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niel\Desktop\"/>
    </mc:Choice>
  </mc:AlternateContent>
  <bookViews>
    <workbookView xWindow="0" yWindow="0" windowWidth="23040" windowHeight="9090"/>
  </bookViews>
  <sheets>
    <sheet name="BD" sheetId="9" r:id="rId1"/>
    <sheet name="RFR" sheetId="12" r:id="rId2"/>
    <sheet name="Stats" sheetId="10" r:id="rId3"/>
    <sheet name="fiche_suivi" sheetId="7" r:id="rId4"/>
    <sheet name="mailing_atelier" sheetId="5" r:id="rId5"/>
    <sheet name="suivi" sheetId="11" r:id="rId6"/>
  </sheets>
  <definedNames>
    <definedName name="_xlnm._FilterDatabase" localSheetId="0" hidden="1">BD!$A$5:$BW$695</definedName>
    <definedName name="_xlnm._FilterDatabase" localSheetId="4" hidden="1">mailing_atelier!$A$1:$AJU$403</definedName>
    <definedName name="OLE_LINK1" localSheetId="4">mailing_atelier!#REF!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679" i="9" l="1"/>
  <c r="Y577" i="9"/>
  <c r="Y511" i="9"/>
  <c r="Y464" i="9"/>
  <c r="Y458" i="9"/>
  <c r="Y444" i="9"/>
  <c r="Y380" i="9"/>
  <c r="Y377" i="9"/>
  <c r="Y375" i="9"/>
  <c r="Y370" i="9"/>
  <c r="Y360" i="9"/>
  <c r="Y356" i="9"/>
  <c r="Y300" i="9"/>
  <c r="Y234" i="9"/>
  <c r="Y233" i="9"/>
  <c r="Y232" i="9"/>
  <c r="Y231" i="9"/>
  <c r="Y225" i="9"/>
  <c r="Y185" i="9"/>
  <c r="Y182" i="9"/>
  <c r="Y168" i="9"/>
  <c r="Y113" i="9"/>
  <c r="Y94" i="9"/>
  <c r="Y70" i="9"/>
  <c r="Y69" i="9"/>
  <c r="Y36" i="9"/>
  <c r="D23" i="12"/>
  <c r="A23" i="12"/>
  <c r="G22" i="12"/>
  <c r="G23" i="12" s="1"/>
  <c r="F22" i="12"/>
  <c r="F23" i="12" s="1"/>
  <c r="E22" i="12"/>
  <c r="E23" i="12" s="1"/>
  <c r="D22" i="12"/>
  <c r="A22" i="12"/>
  <c r="A21" i="12"/>
  <c r="A20" i="12"/>
  <c r="A19" i="12"/>
  <c r="A18" i="12"/>
  <c r="A17" i="12"/>
  <c r="G16" i="12"/>
  <c r="F16" i="12"/>
  <c r="A16" i="12"/>
  <c r="G15" i="12"/>
  <c r="F15" i="12"/>
  <c r="E15" i="12"/>
  <c r="E16" i="12" s="1"/>
  <c r="D15" i="12"/>
  <c r="D16" i="12" s="1"/>
  <c r="A15" i="12"/>
  <c r="A14" i="12"/>
  <c r="A13" i="12"/>
  <c r="A12" i="12"/>
  <c r="A11" i="12"/>
  <c r="A10" i="12"/>
  <c r="F9" i="12"/>
  <c r="A9" i="12"/>
  <c r="G8" i="12"/>
  <c r="G9" i="12" s="1"/>
  <c r="F8" i="12"/>
  <c r="E8" i="12"/>
  <c r="E9" i="12" s="1"/>
  <c r="D8" i="12"/>
  <c r="D9" i="12" s="1"/>
  <c r="A8" i="12"/>
  <c r="A7" i="12"/>
  <c r="A6" i="12"/>
  <c r="A5" i="12"/>
  <c r="A4" i="12"/>
  <c r="A3" i="12"/>
  <c r="Y691" i="9"/>
  <c r="Y671" i="9"/>
  <c r="Y655" i="9"/>
  <c r="Y639" i="9"/>
  <c r="Y623" i="9"/>
  <c r="Y607" i="9"/>
  <c r="Y591" i="9"/>
  <c r="Y575" i="9"/>
  <c r="Y559" i="9"/>
  <c r="Y543" i="9"/>
  <c r="Y527" i="9"/>
  <c r="Y507" i="9"/>
  <c r="Y491" i="9"/>
  <c r="Y475" i="9"/>
  <c r="Y459" i="9"/>
  <c r="Y443" i="9"/>
  <c r="Y427" i="9"/>
  <c r="Y411" i="9"/>
  <c r="Y395" i="9"/>
  <c r="Y379" i="9"/>
  <c r="Y359" i="9"/>
  <c r="Y343" i="9"/>
  <c r="Y327" i="9"/>
  <c r="Y311" i="9"/>
  <c r="Y295" i="9"/>
  <c r="Y279" i="9"/>
  <c r="Y263" i="9"/>
  <c r="Y247" i="9"/>
  <c r="Y227" i="9"/>
  <c r="Y211" i="9"/>
  <c r="Y195" i="9"/>
  <c r="Y179" i="9"/>
  <c r="Y686" i="9"/>
  <c r="Y670" i="9"/>
  <c r="Y654" i="9"/>
  <c r="Y638" i="9"/>
  <c r="Y622" i="9"/>
  <c r="Y606" i="9"/>
  <c r="Y590" i="9"/>
  <c r="Y574" i="9"/>
  <c r="Y558" i="9"/>
  <c r="Y542" i="9"/>
  <c r="Y526" i="9"/>
  <c r="Y510" i="9"/>
  <c r="Y494" i="9"/>
  <c r="Y478" i="9"/>
  <c r="Y462" i="9"/>
  <c r="Y442" i="9"/>
  <c r="Y426" i="9"/>
  <c r="Y410" i="9"/>
  <c r="Y394" i="9"/>
  <c r="Y378" i="9"/>
  <c r="Y358" i="9"/>
  <c r="Y342" i="9"/>
  <c r="Y326" i="9"/>
  <c r="Y310" i="9"/>
  <c r="Y294" i="9"/>
  <c r="Y278" i="9"/>
  <c r="Y262" i="9"/>
  <c r="Y246" i="9"/>
  <c r="Y226" i="9"/>
  <c r="Y210" i="9"/>
  <c r="Y685" i="9"/>
  <c r="Y648" i="9"/>
  <c r="Y616" i="9"/>
  <c r="Y584" i="9"/>
  <c r="Y552" i="9"/>
  <c r="Y520" i="9"/>
  <c r="Y489" i="9"/>
  <c r="Y452" i="9"/>
  <c r="Y412" i="9"/>
  <c r="Y373" i="9"/>
  <c r="Y336" i="9"/>
  <c r="Y304" i="9"/>
  <c r="Y272" i="9"/>
  <c r="Y240" i="9"/>
  <c r="Y204" i="9"/>
  <c r="Y181" i="9"/>
  <c r="Y163" i="9"/>
  <c r="Y147" i="9"/>
  <c r="Y131" i="9"/>
  <c r="Y115" i="9"/>
  <c r="Y99" i="9"/>
  <c r="Y83" i="9"/>
  <c r="Y67" i="9"/>
  <c r="Y51" i="9"/>
  <c r="Y35" i="9"/>
  <c r="Y19" i="9"/>
  <c r="Y681" i="9"/>
  <c r="Y620" i="9"/>
  <c r="Y556" i="9"/>
  <c r="Y493" i="9"/>
  <c r="Y432" i="9"/>
  <c r="Y364" i="9"/>
  <c r="Y284" i="9"/>
  <c r="Y669" i="9"/>
  <c r="Y637" i="9"/>
  <c r="Y605" i="9"/>
  <c r="Y573" i="9"/>
  <c r="Y541" i="9"/>
  <c r="Y504" i="9"/>
  <c r="Y472" i="9"/>
  <c r="Y433" i="9"/>
  <c r="Y401" i="9"/>
  <c r="Y365" i="9"/>
  <c r="Y333" i="9"/>
  <c r="Y301" i="9"/>
  <c r="Y269" i="9"/>
  <c r="Y237" i="9"/>
  <c r="Y196" i="9"/>
  <c r="Y170" i="9"/>
  <c r="Y154" i="9"/>
  <c r="Y138" i="9"/>
  <c r="Y122" i="9"/>
  <c r="Y106" i="9"/>
  <c r="Y86" i="9"/>
  <c r="Y66" i="9"/>
  <c r="Y50" i="9"/>
  <c r="Y34" i="9"/>
  <c r="Y18" i="9"/>
  <c r="Y676" i="9"/>
  <c r="Y612" i="9"/>
  <c r="Y548" i="9"/>
  <c r="Y485" i="9"/>
  <c r="Y424" i="9"/>
  <c r="Y340" i="9"/>
  <c r="Y688" i="9"/>
  <c r="Y687" i="9"/>
  <c r="Y667" i="9"/>
  <c r="Y651" i="9"/>
  <c r="Y635" i="9"/>
  <c r="Y619" i="9"/>
  <c r="Y603" i="9"/>
  <c r="Y587" i="9"/>
  <c r="Y571" i="9"/>
  <c r="Y555" i="9"/>
  <c r="Y539" i="9"/>
  <c r="Y523" i="9"/>
  <c r="Y503" i="9"/>
  <c r="Y487" i="9"/>
  <c r="Y471" i="9"/>
  <c r="Y455" i="9"/>
  <c r="Y439" i="9"/>
  <c r="Y423" i="9"/>
  <c r="Y407" i="9"/>
  <c r="Y391" i="9"/>
  <c r="Y371" i="9"/>
  <c r="Y355" i="9"/>
  <c r="Y339" i="9"/>
  <c r="Y323" i="9"/>
  <c r="Y307" i="9"/>
  <c r="Y291" i="9"/>
  <c r="Y275" i="9"/>
  <c r="Y259" i="9"/>
  <c r="Y243" i="9"/>
  <c r="Y223" i="9"/>
  <c r="Y207" i="9"/>
  <c r="Y191" i="9"/>
  <c r="Y175" i="9"/>
  <c r="Y682" i="9"/>
  <c r="Y666" i="9"/>
  <c r="Y650" i="9"/>
  <c r="Y634" i="9"/>
  <c r="Y618" i="9"/>
  <c r="Y602" i="9"/>
  <c r="Y586" i="9"/>
  <c r="Y570" i="9"/>
  <c r="Y554" i="9"/>
  <c r="Y538" i="9"/>
  <c r="Y522" i="9"/>
  <c r="Y506" i="9"/>
  <c r="Y490" i="9"/>
  <c r="Y474" i="9"/>
  <c r="Y454" i="9"/>
  <c r="Y438" i="9"/>
  <c r="Y422" i="9"/>
  <c r="Y406" i="9"/>
  <c r="Y390" i="9"/>
  <c r="Y374" i="9"/>
  <c r="Y354" i="9"/>
  <c r="Y338" i="9"/>
  <c r="Y322" i="9"/>
  <c r="Y306" i="9"/>
  <c r="Y290" i="9"/>
  <c r="Y274" i="9"/>
  <c r="Y258" i="9"/>
  <c r="Y242" i="9"/>
  <c r="Y222" i="9"/>
  <c r="Y206" i="9"/>
  <c r="Y672" i="9"/>
  <c r="Y640" i="9"/>
  <c r="Y608" i="9"/>
  <c r="Y576" i="9"/>
  <c r="Y544" i="9"/>
  <c r="Y512" i="9"/>
  <c r="Y481" i="9"/>
  <c r="Y436" i="9"/>
  <c r="Y404" i="9"/>
  <c r="Y368" i="9"/>
  <c r="Y328" i="9"/>
  <c r="Y296" i="9"/>
  <c r="Y264" i="9"/>
  <c r="Y228" i="9"/>
  <c r="Y197" i="9"/>
  <c r="Y176" i="9"/>
  <c r="Y159" i="9"/>
  <c r="Y143" i="9"/>
  <c r="Y127" i="9"/>
  <c r="Y111" i="9"/>
  <c r="Y95" i="9"/>
  <c r="Y79" i="9"/>
  <c r="Y63" i="9"/>
  <c r="Y47" i="9"/>
  <c r="Y31" i="9"/>
  <c r="Y15" i="9"/>
  <c r="Y668" i="9"/>
  <c r="Y604" i="9"/>
  <c r="Y540" i="9"/>
  <c r="Y477" i="9"/>
  <c r="Y416" i="9"/>
  <c r="Y348" i="9"/>
  <c r="Y692" i="9"/>
  <c r="Y661" i="9"/>
  <c r="Y629" i="9"/>
  <c r="Y597" i="9"/>
  <c r="Y565" i="9"/>
  <c r="Y533" i="9"/>
  <c r="Y496" i="9"/>
  <c r="Y457" i="9"/>
  <c r="Y425" i="9"/>
  <c r="Y393" i="9"/>
  <c r="Y357" i="9"/>
  <c r="Y325" i="9"/>
  <c r="Y293" i="9"/>
  <c r="Y261" i="9"/>
  <c r="Y217" i="9"/>
  <c r="Y190" i="9"/>
  <c r="Y166" i="9"/>
  <c r="Y150" i="9"/>
  <c r="Y134" i="9"/>
  <c r="Y118" i="9"/>
  <c r="Y102" i="9"/>
  <c r="Y82" i="9"/>
  <c r="Y62" i="9"/>
  <c r="Y46" i="9"/>
  <c r="Y30" i="9"/>
  <c r="Y14" i="9"/>
  <c r="Y660" i="9"/>
  <c r="Y596" i="9"/>
  <c r="Y532" i="9"/>
  <c r="Y469" i="9"/>
  <c r="Y408" i="9"/>
  <c r="Y324" i="9"/>
  <c r="Y665" i="9"/>
  <c r="Y683" i="9"/>
  <c r="Y663" i="9"/>
  <c r="Y647" i="9"/>
  <c r="Y631" i="9"/>
  <c r="Y615" i="9"/>
  <c r="Y599" i="9"/>
  <c r="Y583" i="9"/>
  <c r="Y567" i="9"/>
  <c r="Y551" i="9"/>
  <c r="Y535" i="9"/>
  <c r="Y519" i="9"/>
  <c r="Y499" i="9"/>
  <c r="Y483" i="9"/>
  <c r="Y467" i="9"/>
  <c r="Y451" i="9"/>
  <c r="Y435" i="9"/>
  <c r="Y419" i="9"/>
  <c r="Y403" i="9"/>
  <c r="Y387" i="9"/>
  <c r="Y367" i="9"/>
  <c r="Y351" i="9"/>
  <c r="Y335" i="9"/>
  <c r="Y319" i="9"/>
  <c r="Y303" i="9"/>
  <c r="Y287" i="9"/>
  <c r="Y271" i="9"/>
  <c r="Y255" i="9"/>
  <c r="Y239" i="9"/>
  <c r="Y219" i="9"/>
  <c r="Y203" i="9"/>
  <c r="Y187" i="9"/>
  <c r="Y694" i="9"/>
  <c r="Y678" i="9"/>
  <c r="Y662" i="9"/>
  <c r="Y646" i="9"/>
  <c r="Y630" i="9"/>
  <c r="Y614" i="9"/>
  <c r="Y598" i="9"/>
  <c r="Y582" i="9"/>
  <c r="Y566" i="9"/>
  <c r="Y550" i="9"/>
  <c r="Y534" i="9"/>
  <c r="Y518" i="9"/>
  <c r="Y502" i="9"/>
  <c r="Y486" i="9"/>
  <c r="Y470" i="9"/>
  <c r="Y450" i="9"/>
  <c r="Y434" i="9"/>
  <c r="Y418" i="9"/>
  <c r="Y402" i="9"/>
  <c r="Y386" i="9"/>
  <c r="Y366" i="9"/>
  <c r="Y350" i="9"/>
  <c r="Y334" i="9"/>
  <c r="Y318" i="9"/>
  <c r="Y302" i="9"/>
  <c r="Y286" i="9"/>
  <c r="Y270" i="9"/>
  <c r="Y254" i="9"/>
  <c r="Y238" i="9"/>
  <c r="Y218" i="9"/>
  <c r="Y202" i="9"/>
  <c r="Y664" i="9"/>
  <c r="Y632" i="9"/>
  <c r="Y600" i="9"/>
  <c r="Y568" i="9"/>
  <c r="Y536" i="9"/>
  <c r="Y505" i="9"/>
  <c r="Y473" i="9"/>
  <c r="Y428" i="9"/>
  <c r="Y396" i="9"/>
  <c r="Y352" i="9"/>
  <c r="Y320" i="9"/>
  <c r="Y288" i="9"/>
  <c r="Y256" i="9"/>
  <c r="Y220" i="9"/>
  <c r="Y192" i="9"/>
  <c r="Y171" i="9"/>
  <c r="Y155" i="9"/>
  <c r="Y139" i="9"/>
  <c r="Y123" i="9"/>
  <c r="Y107" i="9"/>
  <c r="Y91" i="9"/>
  <c r="Y75" i="9"/>
  <c r="Y59" i="9"/>
  <c r="Y43" i="9"/>
  <c r="Y27" i="9"/>
  <c r="Y11" i="9"/>
  <c r="Y652" i="9"/>
  <c r="Y588" i="9"/>
  <c r="Y524" i="9"/>
  <c r="Y461" i="9"/>
  <c r="Y400" i="9"/>
  <c r="Y332" i="9"/>
  <c r="Y684" i="9"/>
  <c r="Y653" i="9"/>
  <c r="Y621" i="9"/>
  <c r="Y589" i="9"/>
  <c r="Y557" i="9"/>
  <c r="Y525" i="9"/>
  <c r="Y488" i="9"/>
  <c r="Y449" i="9"/>
  <c r="Y417" i="9"/>
  <c r="Y385" i="9"/>
  <c r="Y349" i="9"/>
  <c r="Y317" i="9"/>
  <c r="Y285" i="9"/>
  <c r="Y253" i="9"/>
  <c r="Y209" i="9"/>
  <c r="Y180" i="9"/>
  <c r="Y162" i="9"/>
  <c r="Y146" i="9"/>
  <c r="Y130" i="9"/>
  <c r="Y114" i="9"/>
  <c r="Y98" i="9"/>
  <c r="Y78" i="9"/>
  <c r="Y58" i="9"/>
  <c r="Y42" i="9"/>
  <c r="Y26" i="9"/>
  <c r="Y10" i="9"/>
  <c r="Y644" i="9"/>
  <c r="Y580" i="9"/>
  <c r="Y516" i="9"/>
  <c r="Y456" i="9"/>
  <c r="Y392" i="9"/>
  <c r="Y308" i="9"/>
  <c r="Y633" i="9"/>
  <c r="Y695" i="9"/>
  <c r="Y627" i="9"/>
  <c r="Y563" i="9"/>
  <c r="Y495" i="9"/>
  <c r="Y431" i="9"/>
  <c r="Y363" i="9"/>
  <c r="Y299" i="9"/>
  <c r="Y235" i="9"/>
  <c r="Y690" i="9"/>
  <c r="Y626" i="9"/>
  <c r="Y562" i="9"/>
  <c r="Y498" i="9"/>
  <c r="Y430" i="9"/>
  <c r="Y362" i="9"/>
  <c r="Y298" i="9"/>
  <c r="Y230" i="9"/>
  <c r="Y624" i="9"/>
  <c r="Y497" i="9"/>
  <c r="Y344" i="9"/>
  <c r="Y212" i="9"/>
  <c r="Y135" i="9"/>
  <c r="Y71" i="9"/>
  <c r="Y6" i="9"/>
  <c r="Y448" i="9"/>
  <c r="Y645" i="9"/>
  <c r="Y517" i="9"/>
  <c r="Y372" i="9"/>
  <c r="Y245" i="9"/>
  <c r="Y142" i="9"/>
  <c r="Y74" i="9"/>
  <c r="Y689" i="9"/>
  <c r="Y440" i="9"/>
  <c r="Y569" i="9"/>
  <c r="Y413" i="9"/>
  <c r="Y260" i="9"/>
  <c r="Y188" i="9"/>
  <c r="Y153" i="9"/>
  <c r="Y121" i="9"/>
  <c r="Y84" i="9"/>
  <c r="Y45" i="9"/>
  <c r="Y13" i="9"/>
  <c r="Y593" i="9"/>
  <c r="Y476" i="9"/>
  <c r="Y353" i="9"/>
  <c r="Y257" i="9"/>
  <c r="Y194" i="9"/>
  <c r="Y144" i="9"/>
  <c r="Y112" i="9"/>
  <c r="Y81" i="9"/>
  <c r="Y52" i="9"/>
  <c r="Y12" i="9"/>
  <c r="Y553" i="9"/>
  <c r="Y453" i="9"/>
  <c r="Y345" i="9"/>
  <c r="Y252" i="9"/>
  <c r="Y193" i="9"/>
  <c r="Y157" i="9"/>
  <c r="Y125" i="9"/>
  <c r="Y88" i="9"/>
  <c r="Y57" i="9"/>
  <c r="Y25" i="9"/>
  <c r="Y641" i="9"/>
  <c r="Y492" i="9"/>
  <c r="Y337" i="9"/>
  <c r="Y249" i="9"/>
  <c r="Y189" i="9"/>
  <c r="Y148" i="9"/>
  <c r="Y116" i="9"/>
  <c r="Y85" i="9"/>
  <c r="Y48" i="9"/>
  <c r="Y16" i="9"/>
  <c r="Y173" i="9"/>
  <c r="Y72" i="9"/>
  <c r="Y545" i="9"/>
  <c r="Y216" i="9"/>
  <c r="Y132" i="9"/>
  <c r="Y32" i="9"/>
  <c r="Y643" i="9"/>
  <c r="Y447" i="9"/>
  <c r="Y251" i="9"/>
  <c r="Y578" i="9"/>
  <c r="Y382" i="9"/>
  <c r="Y656" i="9"/>
  <c r="Y388" i="9"/>
  <c r="Y87" i="9"/>
  <c r="Y509" i="9"/>
  <c r="Y409" i="9"/>
  <c r="Y22" i="9"/>
  <c r="Y601" i="9"/>
  <c r="Y198" i="9"/>
  <c r="Y129" i="9"/>
  <c r="Y21" i="9"/>
  <c r="Y273" i="9"/>
  <c r="Y120" i="9"/>
  <c r="Y20" i="9"/>
  <c r="Y361" i="9"/>
  <c r="Y205" i="9"/>
  <c r="Y101" i="9"/>
  <c r="Y673" i="9"/>
  <c r="Y265" i="9"/>
  <c r="Y124" i="9"/>
  <c r="Y24" i="9"/>
  <c r="Y675" i="9"/>
  <c r="Y611" i="9"/>
  <c r="Y547" i="9"/>
  <c r="Y479" i="9"/>
  <c r="Y415" i="9"/>
  <c r="Y347" i="9"/>
  <c r="Y283" i="9"/>
  <c r="Y215" i="9"/>
  <c r="Y674" i="9"/>
  <c r="Y610" i="9"/>
  <c r="Y546" i="9"/>
  <c r="Y482" i="9"/>
  <c r="Y414" i="9"/>
  <c r="Y346" i="9"/>
  <c r="Y282" i="9"/>
  <c r="Y214" i="9"/>
  <c r="Y592" i="9"/>
  <c r="Y465" i="9"/>
  <c r="Y312" i="9"/>
  <c r="Y186" i="9"/>
  <c r="Y119" i="9"/>
  <c r="Y55" i="9"/>
  <c r="Y636" i="9"/>
  <c r="Y384" i="9"/>
  <c r="Y613" i="9"/>
  <c r="Y480" i="9"/>
  <c r="Y341" i="9"/>
  <c r="Y201" i="9"/>
  <c r="Y126" i="9"/>
  <c r="Y54" i="9"/>
  <c r="Y628" i="9"/>
  <c r="Y376" i="9"/>
  <c r="Y537" i="9"/>
  <c r="Y381" i="9"/>
  <c r="Y244" i="9"/>
  <c r="Y178" i="9"/>
  <c r="Y145" i="9"/>
  <c r="Y105" i="9"/>
  <c r="Y76" i="9"/>
  <c r="Y37" i="9"/>
  <c r="Y680" i="9"/>
  <c r="Y561" i="9"/>
  <c r="Y437" i="9"/>
  <c r="Y321" i="9"/>
  <c r="Y241" i="9"/>
  <c r="Y177" i="9"/>
  <c r="Y136" i="9"/>
  <c r="Y104" i="9"/>
  <c r="Y73" i="9"/>
  <c r="Y44" i="9"/>
  <c r="Y649" i="9"/>
  <c r="Y521" i="9"/>
  <c r="Y429" i="9"/>
  <c r="Y313" i="9"/>
  <c r="Y236" i="9"/>
  <c r="Y184" i="9"/>
  <c r="Y149" i="9"/>
  <c r="Y117" i="9"/>
  <c r="Y80" i="9"/>
  <c r="Y49" i="9"/>
  <c r="Y17" i="9"/>
  <c r="Y609" i="9"/>
  <c r="Y445" i="9"/>
  <c r="Y305" i="9"/>
  <c r="Y229" i="9"/>
  <c r="Y172" i="9"/>
  <c r="Y140" i="9"/>
  <c r="Y108" i="9"/>
  <c r="Y77" i="9"/>
  <c r="Y40" i="9"/>
  <c r="Y7" i="9"/>
  <c r="Y500" i="9"/>
  <c r="Y289" i="9"/>
  <c r="Y141" i="9"/>
  <c r="Y109" i="9"/>
  <c r="Y9" i="9"/>
  <c r="Y281" i="9"/>
  <c r="Y164" i="9"/>
  <c r="Y64" i="9"/>
  <c r="Y579" i="9"/>
  <c r="Y515" i="9"/>
  <c r="Y315" i="9"/>
  <c r="Y642" i="9"/>
  <c r="Y446" i="9"/>
  <c r="Y250" i="9"/>
  <c r="Y248" i="9"/>
  <c r="Y23" i="9"/>
  <c r="Y677" i="9"/>
  <c r="Y277" i="9"/>
  <c r="Y90" i="9"/>
  <c r="Y460" i="9"/>
  <c r="Y161" i="9"/>
  <c r="Y53" i="9"/>
  <c r="Y625" i="9"/>
  <c r="Y369" i="9"/>
  <c r="Y152" i="9"/>
  <c r="Y60" i="9"/>
  <c r="Y468" i="9"/>
  <c r="Y165" i="9"/>
  <c r="Y65" i="9"/>
  <c r="Y513" i="9"/>
  <c r="Y200" i="9"/>
  <c r="Y93" i="9"/>
  <c r="Y659" i="9"/>
  <c r="Y595" i="9"/>
  <c r="Y531" i="9"/>
  <c r="Y463" i="9"/>
  <c r="Y399" i="9"/>
  <c r="Y331" i="9"/>
  <c r="Y267" i="9"/>
  <c r="Y199" i="9"/>
  <c r="Y658" i="9"/>
  <c r="Y594" i="9"/>
  <c r="Y530" i="9"/>
  <c r="Y466" i="9"/>
  <c r="Y398" i="9"/>
  <c r="Y330" i="9"/>
  <c r="Y266" i="9"/>
  <c r="Y693" i="9"/>
  <c r="Y560" i="9"/>
  <c r="Y420" i="9"/>
  <c r="Y280" i="9"/>
  <c r="Y167" i="9"/>
  <c r="Y103" i="9"/>
  <c r="Y39" i="9"/>
  <c r="Y572" i="9"/>
  <c r="Y316" i="9"/>
  <c r="Y581" i="9"/>
  <c r="Y441" i="9"/>
  <c r="Y309" i="9"/>
  <c r="Y174" i="9"/>
  <c r="Y110" i="9"/>
  <c r="Y38" i="9"/>
  <c r="Y564" i="9"/>
  <c r="Y292" i="9"/>
  <c r="Y484" i="9"/>
  <c r="Y329" i="9"/>
  <c r="Y213" i="9"/>
  <c r="Y169" i="9"/>
  <c r="Y137" i="9"/>
  <c r="Y97" i="9"/>
  <c r="Y61" i="9"/>
  <c r="Y29" i="9"/>
  <c r="Y657" i="9"/>
  <c r="Y529" i="9"/>
  <c r="Y405" i="9"/>
  <c r="Y297" i="9"/>
  <c r="Y224" i="9"/>
  <c r="Y160" i="9"/>
  <c r="Y128" i="9"/>
  <c r="Y96" i="9"/>
  <c r="Y68" i="9"/>
  <c r="Y28" i="9"/>
  <c r="Y617" i="9"/>
  <c r="Y397" i="9"/>
  <c r="Y221" i="9"/>
  <c r="Y41" i="9"/>
  <c r="Y421" i="9"/>
  <c r="Y100" i="9"/>
  <c r="Y8" i="9"/>
  <c r="Y383" i="9"/>
  <c r="Y183" i="9"/>
  <c r="Y514" i="9"/>
  <c r="Y314" i="9"/>
  <c r="Y528" i="9"/>
  <c r="Y151" i="9"/>
  <c r="Y549" i="9"/>
  <c r="Y158" i="9"/>
  <c r="Y501" i="9"/>
  <c r="Y276" i="9"/>
  <c r="Y92" i="9"/>
  <c r="Y508" i="9"/>
  <c r="Y208" i="9"/>
  <c r="Y89" i="9"/>
  <c r="Y585" i="9"/>
  <c r="Y268" i="9"/>
  <c r="Y133" i="9"/>
  <c r="Y33" i="9"/>
  <c r="Y389" i="9"/>
  <c r="Y156" i="9"/>
  <c r="Y56" i="9"/>
  <c r="BK695" i="9" l="1"/>
  <c r="BG695" i="9"/>
  <c r="BL695" i="9" s="1"/>
  <c r="BL694" i="9"/>
  <c r="BM695" i="9" l="1"/>
  <c r="BN695" i="9" s="1"/>
  <c r="BM694" i="9"/>
  <c r="BN694" i="9" s="1"/>
  <c r="BK666" i="9"/>
  <c r="BG666" i="9"/>
  <c r="BL645" i="9" l="1"/>
  <c r="BM645" i="9" s="1"/>
  <c r="BG693" i="9" l="1"/>
  <c r="BK693" i="9"/>
  <c r="BG692" i="9" l="1"/>
  <c r="BL692" i="9" s="1"/>
  <c r="BG691" i="9"/>
  <c r="BL691" i="9" s="1"/>
  <c r="BG690" i="9"/>
  <c r="BL690" i="9" s="1"/>
  <c r="BK689" i="9"/>
  <c r="BG689" i="9"/>
  <c r="BL689" i="9" s="1"/>
  <c r="BM692" i="9" l="1"/>
  <c r="BN692" i="9" s="1"/>
  <c r="BM691" i="9"/>
  <c r="BN691" i="9" s="1"/>
  <c r="BM690" i="9"/>
  <c r="BN690" i="9" s="1"/>
  <c r="BM689" i="9"/>
  <c r="BN689" i="9" s="1"/>
  <c r="BG681" i="9" l="1"/>
  <c r="BG687" i="9" l="1"/>
  <c r="BK688" i="9" l="1"/>
  <c r="BG688" i="9"/>
  <c r="BG686" i="9" l="1"/>
  <c r="BK685" i="9"/>
  <c r="BG685" i="9"/>
  <c r="BG684" i="9"/>
  <c r="BG683" i="9"/>
  <c r="BG682" i="9"/>
  <c r="BL693" i="9" l="1"/>
  <c r="BM693" i="9" s="1"/>
  <c r="BN693" i="9" s="1"/>
  <c r="BL688" i="9"/>
  <c r="BM688" i="9" s="1"/>
  <c r="BN688" i="9" l="1"/>
  <c r="BG680" i="9" l="1"/>
  <c r="BK678" i="9"/>
  <c r="BG678" i="9"/>
  <c r="BK677" i="9"/>
  <c r="BG677" i="9"/>
  <c r="BG676" i="9"/>
  <c r="BK676" i="9"/>
  <c r="BK675" i="9"/>
  <c r="BL675" i="9" s="1"/>
  <c r="BM675" i="9" s="1"/>
  <c r="BG675" i="9"/>
  <c r="BK674" i="9"/>
  <c r="BG674" i="9"/>
  <c r="BL674" i="9" s="1"/>
  <c r="BM674" i="9" s="1"/>
  <c r="BN674" i="9" s="1"/>
  <c r="BG673" i="9"/>
  <c r="BG672" i="9"/>
  <c r="BL672" i="9" s="1"/>
  <c r="BM672" i="9" s="1"/>
  <c r="BK672" i="9"/>
  <c r="X677" i="9"/>
  <c r="BK671" i="9"/>
  <c r="BL671" i="9" s="1"/>
  <c r="BM671" i="9" s="1"/>
  <c r="BN671" i="9" s="1"/>
  <c r="BG671" i="9"/>
  <c r="BK670" i="9"/>
  <c r="BL670" i="9"/>
  <c r="BM670" i="9" s="1"/>
  <c r="BN670" i="9" s="1"/>
  <c r="BG670" i="9"/>
  <c r="BK669" i="9"/>
  <c r="BL669" i="9"/>
  <c r="BG669" i="9"/>
  <c r="BL677" i="9"/>
  <c r="BM677" i="9" s="1"/>
  <c r="BL680" i="9"/>
  <c r="BM680" i="9" s="1"/>
  <c r="BN680" i="9" s="1"/>
  <c r="BL673" i="9"/>
  <c r="BM673" i="9" s="1"/>
  <c r="BN673" i="9" s="1"/>
  <c r="BL676" i="9"/>
  <c r="BM676" i="9" s="1"/>
  <c r="BN676" i="9" s="1"/>
  <c r="BL678" i="9"/>
  <c r="BM678" i="9" s="1"/>
  <c r="BL681" i="9"/>
  <c r="BM681" i="9" s="1"/>
  <c r="BN681" i="9" s="1"/>
  <c r="BL682" i="9"/>
  <c r="BM682" i="9" s="1"/>
  <c r="BN682" i="9" s="1"/>
  <c r="BL683" i="9"/>
  <c r="BM683" i="9" s="1"/>
  <c r="BL684" i="9"/>
  <c r="BM684" i="9" s="1"/>
  <c r="BN684" i="9" s="1"/>
  <c r="BL685" i="9"/>
  <c r="BM685" i="9" s="1"/>
  <c r="BN685" i="9" s="1"/>
  <c r="BL686" i="9"/>
  <c r="BM686" i="9" s="1"/>
  <c r="BK627" i="9"/>
  <c r="BG627" i="9"/>
  <c r="BL627" i="9" s="1"/>
  <c r="BG667" i="9"/>
  <c r="BK668" i="9"/>
  <c r="BG668" i="9"/>
  <c r="BK664" i="9"/>
  <c r="BG664" i="9"/>
  <c r="BG602" i="9"/>
  <c r="BK602" i="9"/>
  <c r="BL602" i="9" s="1"/>
  <c r="BM602" i="9" s="1"/>
  <c r="BK663" i="9"/>
  <c r="BG663" i="9"/>
  <c r="BL663" i="9" s="1"/>
  <c r="BM663" i="9" s="1"/>
  <c r="BN663" i="9" s="1"/>
  <c r="BL661" i="9"/>
  <c r="BM661" i="9" s="1"/>
  <c r="BL660" i="9"/>
  <c r="BM660" i="9" s="1"/>
  <c r="BN660" i="9" s="1"/>
  <c r="BL659" i="9"/>
  <c r="BM659" i="9" s="1"/>
  <c r="BN659" i="9" s="1"/>
  <c r="BL658" i="9"/>
  <c r="BL657" i="9"/>
  <c r="BM657" i="9" s="1"/>
  <c r="BN657" i="9" s="1"/>
  <c r="BL656" i="9"/>
  <c r="BL655" i="9"/>
  <c r="BL654" i="9"/>
  <c r="BL653" i="9"/>
  <c r="BM653" i="9" s="1"/>
  <c r="BN653" i="9" s="1"/>
  <c r="BL652" i="9"/>
  <c r="BM652" i="9" s="1"/>
  <c r="BL666" i="9"/>
  <c r="BM666" i="9" s="1"/>
  <c r="BN666" i="9" s="1"/>
  <c r="BL665" i="9"/>
  <c r="BM665" i="9" s="1"/>
  <c r="BL664" i="9"/>
  <c r="BL662" i="9"/>
  <c r="BM662" i="9" s="1"/>
  <c r="BN662" i="9" s="1"/>
  <c r="BL646" i="9"/>
  <c r="BM646" i="9" s="1"/>
  <c r="BL648" i="9"/>
  <c r="BL647" i="9"/>
  <c r="BN645" i="9"/>
  <c r="BL644" i="9"/>
  <c r="BM644" i="9" s="1"/>
  <c r="BN644" i="9" s="1"/>
  <c r="BL643" i="9"/>
  <c r="BM643" i="9" s="1"/>
  <c r="BL642" i="9"/>
  <c r="BL641" i="9"/>
  <c r="BM641" i="9" s="1"/>
  <c r="BN641" i="9" s="1"/>
  <c r="BL667" i="9"/>
  <c r="BM667" i="9" s="1"/>
  <c r="BN667" i="9" s="1"/>
  <c r="BL651" i="9"/>
  <c r="BM651" i="9" s="1"/>
  <c r="BL650" i="9"/>
  <c r="BL649" i="9"/>
  <c r="BM649" i="9" s="1"/>
  <c r="BL687" i="9"/>
  <c r="BM687" i="9" s="1"/>
  <c r="BN687" i="9" s="1"/>
  <c r="BM668" i="9"/>
  <c r="BN668" i="9" s="1"/>
  <c r="BL640" i="9"/>
  <c r="BM640" i="9" s="1"/>
  <c r="BN640" i="9" s="1"/>
  <c r="BL639" i="9"/>
  <c r="BM639" i="9" s="1"/>
  <c r="BL638" i="9"/>
  <c r="BM638" i="9" s="1"/>
  <c r="BN638" i="9" s="1"/>
  <c r="BL637" i="9"/>
  <c r="BM637" i="9" s="1"/>
  <c r="BN637" i="9" s="1"/>
  <c r="BL636" i="9"/>
  <c r="BM636" i="9" s="1"/>
  <c r="BL635" i="9"/>
  <c r="BM635" i="9" s="1"/>
  <c r="BN635" i="9" s="1"/>
  <c r="BL634" i="9"/>
  <c r="BM634" i="9" s="1"/>
  <c r="BG615" i="9"/>
  <c r="BL623" i="9"/>
  <c r="BM623" i="9" s="1"/>
  <c r="BN623" i="9" s="1"/>
  <c r="BL621" i="9"/>
  <c r="BM621" i="9" s="1"/>
  <c r="BN621" i="9" s="1"/>
  <c r="BL620" i="9"/>
  <c r="BM620" i="9" s="1"/>
  <c r="BL619" i="9"/>
  <c r="BM619" i="9" s="1"/>
  <c r="BN619" i="9" s="1"/>
  <c r="BL618" i="9"/>
  <c r="BM618" i="9" s="1"/>
  <c r="BL617" i="9"/>
  <c r="BM617" i="9" s="1"/>
  <c r="BL616" i="9"/>
  <c r="BL615" i="9"/>
  <c r="BM615" i="9" s="1"/>
  <c r="BN615" i="9" s="1"/>
  <c r="BL614" i="9"/>
  <c r="BM614" i="9" s="1"/>
  <c r="BL628" i="9"/>
  <c r="BM628" i="9" s="1"/>
  <c r="BL626" i="9"/>
  <c r="BM626" i="9" s="1"/>
  <c r="BL625" i="9"/>
  <c r="BL624" i="9"/>
  <c r="BM624" i="9" s="1"/>
  <c r="BN624" i="9" s="1"/>
  <c r="BL612" i="9"/>
  <c r="BM612" i="9" s="1"/>
  <c r="BN612" i="9" s="1"/>
  <c r="BL611" i="9"/>
  <c r="BM611" i="9" s="1"/>
  <c r="BL610" i="9"/>
  <c r="BM610" i="9" s="1"/>
  <c r="BL609" i="9"/>
  <c r="BM609" i="9" s="1"/>
  <c r="BN609" i="9" s="1"/>
  <c r="BL608" i="9"/>
  <c r="BM608" i="9" s="1"/>
  <c r="BN608" i="9" s="1"/>
  <c r="BL607" i="9"/>
  <c r="BM607" i="9" s="1"/>
  <c r="BN607" i="9" s="1"/>
  <c r="BL630" i="9"/>
  <c r="BM630" i="9" s="1"/>
  <c r="BL629" i="9"/>
  <c r="BM629" i="9" s="1"/>
  <c r="BL613" i="9"/>
  <c r="BM613" i="9" s="1"/>
  <c r="BL631" i="9"/>
  <c r="BM631" i="9" s="1"/>
  <c r="BN631" i="9" s="1"/>
  <c r="BL632" i="9"/>
  <c r="BM632" i="9" s="1"/>
  <c r="BN632" i="9" s="1"/>
  <c r="BL633" i="9"/>
  <c r="BM633" i="9" s="1"/>
  <c r="B111" i="10"/>
  <c r="B91" i="10"/>
  <c r="B71" i="10"/>
  <c r="B51" i="10"/>
  <c r="B110" i="10"/>
  <c r="B90" i="10"/>
  <c r="B70" i="10"/>
  <c r="B50" i="10"/>
  <c r="B108" i="10"/>
  <c r="B107" i="10"/>
  <c r="B109" i="10"/>
  <c r="B89" i="10"/>
  <c r="B69" i="10"/>
  <c r="B49" i="10"/>
  <c r="B31" i="10"/>
  <c r="B30" i="10"/>
  <c r="B29" i="10"/>
  <c r="B88" i="10"/>
  <c r="B68" i="10"/>
  <c r="B48" i="10"/>
  <c r="B87" i="10"/>
  <c r="B67" i="10"/>
  <c r="B47" i="10"/>
  <c r="B28" i="10"/>
  <c r="B27" i="10"/>
  <c r="BL603" i="9"/>
  <c r="BM603" i="9" s="1"/>
  <c r="BN603" i="9" s="1"/>
  <c r="BL601" i="9"/>
  <c r="BM601" i="9" s="1"/>
  <c r="BN601" i="9" s="1"/>
  <c r="BL600" i="9"/>
  <c r="BM600" i="9" s="1"/>
  <c r="BL605" i="9"/>
  <c r="BM605" i="9" s="1"/>
  <c r="BL604" i="9"/>
  <c r="BM604" i="9" s="1"/>
  <c r="BN604" i="9" s="1"/>
  <c r="BG473" i="9"/>
  <c r="BL473" i="9" s="1"/>
  <c r="BM473" i="9" s="1"/>
  <c r="BN473" i="9" s="1"/>
  <c r="X597" i="9"/>
  <c r="BL7" i="9"/>
  <c r="BM7" i="9" s="1"/>
  <c r="BL8" i="9"/>
  <c r="BM8" i="9" s="1"/>
  <c r="BL9" i="9"/>
  <c r="BM9" i="9" s="1"/>
  <c r="BN9" i="9" s="1"/>
  <c r="BL10" i="9"/>
  <c r="BM10" i="9" s="1"/>
  <c r="BN10" i="9" s="1"/>
  <c r="BL11" i="9"/>
  <c r="BM11" i="9" s="1"/>
  <c r="BL12" i="9"/>
  <c r="BM12" i="9" s="1"/>
  <c r="BL13" i="9"/>
  <c r="BL14" i="9"/>
  <c r="BM14" i="9" s="1"/>
  <c r="BL15" i="9"/>
  <c r="BM15" i="9" s="1"/>
  <c r="BN15" i="9" s="1"/>
  <c r="BL16" i="9"/>
  <c r="BM16" i="9" s="1"/>
  <c r="BL17" i="9"/>
  <c r="BM17" i="9" s="1"/>
  <c r="BL18" i="9"/>
  <c r="BL19" i="9"/>
  <c r="BM19" i="9" s="1"/>
  <c r="BL20" i="9"/>
  <c r="BM20" i="9" s="1"/>
  <c r="BN20" i="9" s="1"/>
  <c r="BL21" i="9"/>
  <c r="BM21" i="9" s="1"/>
  <c r="BL22" i="9"/>
  <c r="BM22" i="9" s="1"/>
  <c r="BL23" i="9"/>
  <c r="BM23" i="9" s="1"/>
  <c r="BL24" i="9"/>
  <c r="BM24" i="9" s="1"/>
  <c r="BL25" i="9"/>
  <c r="BM25" i="9" s="1"/>
  <c r="BL26" i="9"/>
  <c r="BM26" i="9" s="1"/>
  <c r="BL27" i="9"/>
  <c r="BM27" i="9" s="1"/>
  <c r="BN27" i="9" s="1"/>
  <c r="BL28" i="9"/>
  <c r="BM28" i="9" s="1"/>
  <c r="BL29" i="9"/>
  <c r="BM29" i="9" s="1"/>
  <c r="BL30" i="9"/>
  <c r="BM30" i="9" s="1"/>
  <c r="BL31" i="9"/>
  <c r="BM31" i="9" s="1"/>
  <c r="BN31" i="9" s="1"/>
  <c r="BL32" i="9"/>
  <c r="BM32" i="9" s="1"/>
  <c r="BN32" i="9" s="1"/>
  <c r="BL33" i="9"/>
  <c r="BM33" i="9" s="1"/>
  <c r="BL34" i="9"/>
  <c r="BM34" i="9" s="1"/>
  <c r="BN34" i="9" s="1"/>
  <c r="BL35" i="9"/>
  <c r="BM35" i="9" s="1"/>
  <c r="BN35" i="9" s="1"/>
  <c r="BL36" i="9"/>
  <c r="BM36" i="9" s="1"/>
  <c r="BL37" i="9"/>
  <c r="BM37" i="9" s="1"/>
  <c r="BL38" i="9"/>
  <c r="BM38" i="9" s="1"/>
  <c r="BL39" i="9"/>
  <c r="BM39" i="9" s="1"/>
  <c r="BN39" i="9" s="1"/>
  <c r="BL40" i="9"/>
  <c r="BM40" i="9" s="1"/>
  <c r="BN40" i="9" s="1"/>
  <c r="BL41" i="9"/>
  <c r="BM41" i="9" s="1"/>
  <c r="BN41" i="9" s="1"/>
  <c r="BL42" i="9"/>
  <c r="BM42" i="9" s="1"/>
  <c r="BN42" i="9" s="1"/>
  <c r="BL44" i="9"/>
  <c r="BM44" i="9" s="1"/>
  <c r="BL45" i="9"/>
  <c r="BM45" i="9" s="1"/>
  <c r="BL46" i="9"/>
  <c r="BM46" i="9" s="1"/>
  <c r="BL47" i="9"/>
  <c r="BM47" i="9" s="1"/>
  <c r="BN47" i="9" s="1"/>
  <c r="BL48" i="9"/>
  <c r="BM48" i="9" s="1"/>
  <c r="BL49" i="9"/>
  <c r="BM49" i="9" s="1"/>
  <c r="BL50" i="9"/>
  <c r="BM50" i="9" s="1"/>
  <c r="BN50" i="9" s="1"/>
  <c r="BL51" i="9"/>
  <c r="BM51" i="9" s="1"/>
  <c r="BN51" i="9" s="1"/>
  <c r="BL52" i="9"/>
  <c r="BM52" i="9" s="1"/>
  <c r="BN52" i="9" s="1"/>
  <c r="BL53" i="9"/>
  <c r="BL54" i="9"/>
  <c r="BM54" i="9" s="1"/>
  <c r="BN54" i="9" s="1"/>
  <c r="BL55" i="9"/>
  <c r="BM55" i="9" s="1"/>
  <c r="BN55" i="9" s="1"/>
  <c r="BL56" i="9"/>
  <c r="BL57" i="9"/>
  <c r="BM57" i="9" s="1"/>
  <c r="BL58" i="9"/>
  <c r="BM58" i="9" s="1"/>
  <c r="BL60" i="9"/>
  <c r="BM60" i="9" s="1"/>
  <c r="BL61" i="9"/>
  <c r="BM61" i="9" s="1"/>
  <c r="BL62" i="9"/>
  <c r="BM62" i="9" s="1"/>
  <c r="BN62" i="9" s="1"/>
  <c r="BL63" i="9"/>
  <c r="BM63" i="9" s="1"/>
  <c r="BL64" i="9"/>
  <c r="BM64" i="9" s="1"/>
  <c r="BL65" i="9"/>
  <c r="BM65" i="9" s="1"/>
  <c r="BL66" i="9"/>
  <c r="BM66" i="9" s="1"/>
  <c r="BL67" i="9"/>
  <c r="BM67" i="9" s="1"/>
  <c r="BN67" i="9" s="1"/>
  <c r="BL68" i="9"/>
  <c r="BM68" i="9" s="1"/>
  <c r="BL69" i="9"/>
  <c r="BM69" i="9" s="1"/>
  <c r="BN69" i="9" s="1"/>
  <c r="BL70" i="9"/>
  <c r="BM70" i="9" s="1"/>
  <c r="BN70" i="9" s="1"/>
  <c r="BL71" i="9"/>
  <c r="BL72" i="9"/>
  <c r="BM72" i="9" s="1"/>
  <c r="BL73" i="9"/>
  <c r="BL74" i="9"/>
  <c r="BM74" i="9" s="1"/>
  <c r="BL75" i="9"/>
  <c r="BM75" i="9" s="1"/>
  <c r="BN75" i="9" s="1"/>
  <c r="BL76" i="9"/>
  <c r="BM76" i="9" s="1"/>
  <c r="BL78" i="9"/>
  <c r="BM78" i="9" s="1"/>
  <c r="BL79" i="9"/>
  <c r="BM79" i="9" s="1"/>
  <c r="BN79" i="9" s="1"/>
  <c r="BL80" i="9"/>
  <c r="BL81" i="9"/>
  <c r="BM81" i="9" s="1"/>
  <c r="BL82" i="9"/>
  <c r="BM82" i="9" s="1"/>
  <c r="BL83" i="9"/>
  <c r="BM83" i="9" s="1"/>
  <c r="BL84" i="9"/>
  <c r="BM84" i="9" s="1"/>
  <c r="BN84" i="9" s="1"/>
  <c r="BL85" i="9"/>
  <c r="BM85" i="9" s="1"/>
  <c r="BN85" i="9" s="1"/>
  <c r="BL86" i="9"/>
  <c r="BM86" i="9" s="1"/>
  <c r="BL87" i="9"/>
  <c r="BM87" i="9" s="1"/>
  <c r="BL88" i="9"/>
  <c r="BM88" i="9" s="1"/>
  <c r="BN88" i="9" s="1"/>
  <c r="BL89" i="9"/>
  <c r="BM89" i="9" s="1"/>
  <c r="BN89" i="9" s="1"/>
  <c r="BL90" i="9"/>
  <c r="BM90" i="9" s="1"/>
  <c r="BN90" i="9" s="1"/>
  <c r="BL91" i="9"/>
  <c r="BM91" i="9" s="1"/>
  <c r="BN91" i="9" s="1"/>
  <c r="BL92" i="9"/>
  <c r="BM92" i="9" s="1"/>
  <c r="BL93" i="9"/>
  <c r="BM93" i="9" s="1"/>
  <c r="BL94" i="9"/>
  <c r="BM94" i="9" s="1"/>
  <c r="BN94" i="9" s="1"/>
  <c r="BL95" i="9"/>
  <c r="BM95" i="9" s="1"/>
  <c r="BL96" i="9"/>
  <c r="BM96" i="9" s="1"/>
  <c r="BN96" i="9" s="1"/>
  <c r="BL97" i="9"/>
  <c r="BM97" i="9" s="1"/>
  <c r="BL98" i="9"/>
  <c r="BM98" i="9" s="1"/>
  <c r="BL99" i="9"/>
  <c r="BM99" i="9" s="1"/>
  <c r="BL100" i="9"/>
  <c r="BM100" i="9" s="1"/>
  <c r="BN100" i="9" s="1"/>
  <c r="BL101" i="9"/>
  <c r="BL103" i="9"/>
  <c r="BM103" i="9" s="1"/>
  <c r="BL104" i="9"/>
  <c r="BM104" i="9" s="1"/>
  <c r="BL106" i="9"/>
  <c r="BM106" i="9" s="1"/>
  <c r="BL107" i="9"/>
  <c r="BM107" i="9" s="1"/>
  <c r="BL108" i="9"/>
  <c r="BM108" i="9" s="1"/>
  <c r="BL109" i="9"/>
  <c r="BM109" i="9" s="1"/>
  <c r="BL110" i="9"/>
  <c r="BM110" i="9" s="1"/>
  <c r="BN110" i="9" s="1"/>
  <c r="BL111" i="9"/>
  <c r="BM111" i="9" s="1"/>
  <c r="BL112" i="9"/>
  <c r="BM112" i="9" s="1"/>
  <c r="BL113" i="9"/>
  <c r="BM113" i="9" s="1"/>
  <c r="BN113" i="9" s="1"/>
  <c r="BL114" i="9"/>
  <c r="BM114" i="9" s="1"/>
  <c r="BL115" i="9"/>
  <c r="BM115" i="9" s="1"/>
  <c r="BL116" i="9"/>
  <c r="BM116" i="9" s="1"/>
  <c r="BN116" i="9" s="1"/>
  <c r="BL117" i="9"/>
  <c r="BM117" i="9" s="1"/>
  <c r="BL118" i="9"/>
  <c r="BM118" i="9" s="1"/>
  <c r="BL119" i="9"/>
  <c r="BM119" i="9" s="1"/>
  <c r="BN119" i="9" s="1"/>
  <c r="BL120" i="9"/>
  <c r="BM120" i="9" s="1"/>
  <c r="BN120" i="9" s="1"/>
  <c r="BL121" i="9"/>
  <c r="BM121" i="9" s="1"/>
  <c r="BL122" i="9"/>
  <c r="BM122" i="9" s="1"/>
  <c r="BL123" i="9"/>
  <c r="BM123" i="9" s="1"/>
  <c r="BL124" i="9"/>
  <c r="BM124" i="9" s="1"/>
  <c r="BN124" i="9" s="1"/>
  <c r="BL126" i="9"/>
  <c r="BM126" i="9" s="1"/>
  <c r="BN126" i="9" s="1"/>
  <c r="BL127" i="9"/>
  <c r="BM127" i="9" s="1"/>
  <c r="BL129" i="9"/>
  <c r="BM129" i="9" s="1"/>
  <c r="BL130" i="9"/>
  <c r="BM130" i="9" s="1"/>
  <c r="BN130" i="9" s="1"/>
  <c r="BL132" i="9"/>
  <c r="BM132" i="9" s="1"/>
  <c r="BN132" i="9" s="1"/>
  <c r="BL133" i="9"/>
  <c r="BM133" i="9" s="1"/>
  <c r="BN133" i="9" s="1"/>
  <c r="BL134" i="9"/>
  <c r="BM134" i="9" s="1"/>
  <c r="BL135" i="9"/>
  <c r="BM135" i="9" s="1"/>
  <c r="BN135" i="9" s="1"/>
  <c r="BL136" i="9"/>
  <c r="BL137" i="9"/>
  <c r="BM137" i="9" s="1"/>
  <c r="BL139" i="9"/>
  <c r="BM139" i="9" s="1"/>
  <c r="BL140" i="9"/>
  <c r="BM140" i="9" s="1"/>
  <c r="BL141" i="9"/>
  <c r="BM141" i="9" s="1"/>
  <c r="BL43" i="9"/>
  <c r="BM43" i="9" s="1"/>
  <c r="BL59" i="9"/>
  <c r="BM59" i="9" s="1"/>
  <c r="BL102" i="9"/>
  <c r="BM102" i="9" s="1"/>
  <c r="BL105" i="9"/>
  <c r="BM105" i="9" s="1"/>
  <c r="BN105" i="9" s="1"/>
  <c r="BL138" i="9"/>
  <c r="BL142" i="9"/>
  <c r="BM142" i="9" s="1"/>
  <c r="BL143" i="9"/>
  <c r="BM143" i="9" s="1"/>
  <c r="BL144" i="9"/>
  <c r="BM144" i="9" s="1"/>
  <c r="BN144" i="9" s="1"/>
  <c r="BL145" i="9"/>
  <c r="BM145" i="9" s="1"/>
  <c r="BL146" i="9"/>
  <c r="BM146" i="9" s="1"/>
  <c r="BL147" i="9"/>
  <c r="BM147" i="9" s="1"/>
  <c r="BN147" i="9" s="1"/>
  <c r="BL148" i="9"/>
  <c r="BM148" i="9" s="1"/>
  <c r="BL149" i="9"/>
  <c r="BM149" i="9" s="1"/>
  <c r="BL150" i="9"/>
  <c r="BM150" i="9" s="1"/>
  <c r="BN150" i="9" s="1"/>
  <c r="BL151" i="9"/>
  <c r="BM151" i="9" s="1"/>
  <c r="BN151" i="9" s="1"/>
  <c r="BL152" i="9"/>
  <c r="BM152" i="9" s="1"/>
  <c r="BL153" i="9"/>
  <c r="BM153" i="9" s="1"/>
  <c r="BL154" i="9"/>
  <c r="BM154" i="9" s="1"/>
  <c r="BL155" i="9"/>
  <c r="BM155" i="9" s="1"/>
  <c r="BN155" i="9" s="1"/>
  <c r="BL157" i="9"/>
  <c r="BM157" i="9" s="1"/>
  <c r="BL160" i="9"/>
  <c r="BM160" i="9" s="1"/>
  <c r="BL163" i="9"/>
  <c r="BM163" i="9" s="1"/>
  <c r="BN163" i="9" s="1"/>
  <c r="BL164" i="9"/>
  <c r="BM164" i="9" s="1"/>
  <c r="BL165" i="9"/>
  <c r="BM165" i="9" s="1"/>
  <c r="BN165" i="9" s="1"/>
  <c r="BL166" i="9"/>
  <c r="BL167" i="9"/>
  <c r="BM167" i="9" s="1"/>
  <c r="BN167" i="9" s="1"/>
  <c r="BL168" i="9"/>
  <c r="BM168" i="9" s="1"/>
  <c r="BL172" i="9"/>
  <c r="BM172" i="9" s="1"/>
  <c r="BL174" i="9"/>
  <c r="BM174" i="9" s="1"/>
  <c r="BL176" i="9"/>
  <c r="BM176" i="9" s="1"/>
  <c r="BN176" i="9" s="1"/>
  <c r="BL177" i="9"/>
  <c r="BM177" i="9" s="1"/>
  <c r="BL178" i="9"/>
  <c r="BM178" i="9" s="1"/>
  <c r="BN178" i="9" s="1"/>
  <c r="BL179" i="9"/>
  <c r="BM179" i="9" s="1"/>
  <c r="BN179" i="9" s="1"/>
  <c r="BL180" i="9"/>
  <c r="BL182" i="9"/>
  <c r="BL183" i="9"/>
  <c r="BM183" i="9" s="1"/>
  <c r="BN183" i="9" s="1"/>
  <c r="BL184" i="9"/>
  <c r="BM184" i="9" s="1"/>
  <c r="BN184" i="9" s="1"/>
  <c r="BL185" i="9"/>
  <c r="BM185" i="9" s="1"/>
  <c r="BN185" i="9" s="1"/>
  <c r="BL187" i="9"/>
  <c r="BM187" i="9" s="1"/>
  <c r="BN187" i="9" s="1"/>
  <c r="BL188" i="9"/>
  <c r="BL189" i="9"/>
  <c r="BM189" i="9" s="1"/>
  <c r="BL190" i="9"/>
  <c r="BM190" i="9" s="1"/>
  <c r="BL194" i="9"/>
  <c r="BL195" i="9"/>
  <c r="BM195" i="9" s="1"/>
  <c r="BN195" i="9" s="1"/>
  <c r="BL196" i="9"/>
  <c r="BM196" i="9" s="1"/>
  <c r="BL197" i="9"/>
  <c r="BM197" i="9" s="1"/>
  <c r="BL198" i="9"/>
  <c r="BM198" i="9" s="1"/>
  <c r="BL199" i="9"/>
  <c r="BM199" i="9" s="1"/>
  <c r="BN199" i="9" s="1"/>
  <c r="BL200" i="9"/>
  <c r="BM200" i="9" s="1"/>
  <c r="BN200" i="9" s="1"/>
  <c r="BL201" i="9"/>
  <c r="BM201" i="9" s="1"/>
  <c r="BN201" i="9" s="1"/>
  <c r="BL202" i="9"/>
  <c r="BM202" i="9" s="1"/>
  <c r="BL203" i="9"/>
  <c r="BM203" i="9" s="1"/>
  <c r="BL205" i="9"/>
  <c r="BM205" i="9" s="1"/>
  <c r="BN205" i="9" s="1"/>
  <c r="BL206" i="9"/>
  <c r="BL207" i="9"/>
  <c r="BM207" i="9" s="1"/>
  <c r="BL208" i="9"/>
  <c r="BM208" i="9" s="1"/>
  <c r="BL210" i="9"/>
  <c r="BL211" i="9"/>
  <c r="BM211" i="9" s="1"/>
  <c r="BN211" i="9" s="1"/>
  <c r="BL212" i="9"/>
  <c r="BM212" i="9" s="1"/>
  <c r="BL213" i="9"/>
  <c r="BM213" i="9" s="1"/>
  <c r="BN213" i="9" s="1"/>
  <c r="BL214" i="9"/>
  <c r="BL215" i="9"/>
  <c r="BM215" i="9" s="1"/>
  <c r="BL216" i="9"/>
  <c r="BM216" i="9" s="1"/>
  <c r="BN216" i="9" s="1"/>
  <c r="BL217" i="9"/>
  <c r="BM217" i="9" s="1"/>
  <c r="BL218" i="9"/>
  <c r="BM218" i="9" s="1"/>
  <c r="BL219" i="9"/>
  <c r="BM219" i="9" s="1"/>
  <c r="BL220" i="9"/>
  <c r="BM220" i="9" s="1"/>
  <c r="BN220" i="9" s="1"/>
  <c r="BL221" i="9"/>
  <c r="BM221" i="9" s="1"/>
  <c r="BL222" i="9"/>
  <c r="BM222" i="9" s="1"/>
  <c r="BL223" i="9"/>
  <c r="BM223" i="9" s="1"/>
  <c r="BL224" i="9"/>
  <c r="BM224" i="9" s="1"/>
  <c r="BL225" i="9"/>
  <c r="BM225" i="9" s="1"/>
  <c r="BL226" i="9"/>
  <c r="BM226" i="9" s="1"/>
  <c r="BN226" i="9" s="1"/>
  <c r="BL228" i="9"/>
  <c r="BM228" i="9" s="1"/>
  <c r="BL229" i="9"/>
  <c r="BM229" i="9" s="1"/>
  <c r="BL230" i="9"/>
  <c r="BM230" i="9" s="1"/>
  <c r="BL231" i="9"/>
  <c r="BM231" i="9" s="1"/>
  <c r="BN231" i="9" s="1"/>
  <c r="BL232" i="9"/>
  <c r="BL233" i="9"/>
  <c r="BM233" i="9" s="1"/>
  <c r="BL234" i="9"/>
  <c r="BM234" i="9" s="1"/>
  <c r="BN234" i="9" s="1"/>
  <c r="BL235" i="9"/>
  <c r="BM235" i="9" s="1"/>
  <c r="BL236" i="9"/>
  <c r="BM236" i="9" s="1"/>
  <c r="BL237" i="9"/>
  <c r="BM237" i="9" s="1"/>
  <c r="BL238" i="9"/>
  <c r="BM238" i="9" s="1"/>
  <c r="BL240" i="9"/>
  <c r="BM240" i="9" s="1"/>
  <c r="BL242" i="9"/>
  <c r="BL243" i="9"/>
  <c r="BM243" i="9" s="1"/>
  <c r="BL244" i="9"/>
  <c r="BM244" i="9" s="1"/>
  <c r="BL245" i="9"/>
  <c r="BM245" i="9" s="1"/>
  <c r="BL246" i="9"/>
  <c r="BM246" i="9" s="1"/>
  <c r="BL247" i="9"/>
  <c r="BM247" i="9" s="1"/>
  <c r="BN247" i="9" s="1"/>
  <c r="BL248" i="9"/>
  <c r="BM248" i="9" s="1"/>
  <c r="BL249" i="9"/>
  <c r="BM249" i="9" s="1"/>
  <c r="BN249" i="9" s="1"/>
  <c r="BL250" i="9"/>
  <c r="BM250" i="9" s="1"/>
  <c r="BL251" i="9"/>
  <c r="BM251" i="9" s="1"/>
  <c r="BL252" i="9"/>
  <c r="BM252" i="9" s="1"/>
  <c r="BL253" i="9"/>
  <c r="BM253" i="9" s="1"/>
  <c r="BL254" i="9"/>
  <c r="BM254" i="9" s="1"/>
  <c r="BL255" i="9"/>
  <c r="BM255" i="9" s="1"/>
  <c r="BN255" i="9" s="1"/>
  <c r="BL256" i="9"/>
  <c r="BL257" i="9"/>
  <c r="BM257" i="9" s="1"/>
  <c r="BN257" i="9" s="1"/>
  <c r="BL258" i="9"/>
  <c r="BM258" i="9" s="1"/>
  <c r="BN258" i="9" s="1"/>
  <c r="BL259" i="9"/>
  <c r="BM259" i="9" s="1"/>
  <c r="BL260" i="9"/>
  <c r="BM260" i="9" s="1"/>
  <c r="BL261" i="9"/>
  <c r="BM261" i="9" s="1"/>
  <c r="BL262" i="9"/>
  <c r="BM262" i="9" s="1"/>
  <c r="BL263" i="9"/>
  <c r="BM263" i="9" s="1"/>
  <c r="BL264" i="9"/>
  <c r="BM264" i="9" s="1"/>
  <c r="BL266" i="9"/>
  <c r="BM266" i="9" s="1"/>
  <c r="BN266" i="9" s="1"/>
  <c r="BL267" i="9"/>
  <c r="BM267" i="9" s="1"/>
  <c r="BL268" i="9"/>
  <c r="BM268" i="9" s="1"/>
  <c r="BL269" i="9"/>
  <c r="BM269" i="9" s="1"/>
  <c r="BL270" i="9"/>
  <c r="BM270" i="9" s="1"/>
  <c r="BN270" i="9" s="1"/>
  <c r="BL271" i="9"/>
  <c r="BM271" i="9" s="1"/>
  <c r="BN271" i="9" s="1"/>
  <c r="BL272" i="9"/>
  <c r="BM272" i="9" s="1"/>
  <c r="BL273" i="9"/>
  <c r="BM273" i="9" s="1"/>
  <c r="BL281" i="9"/>
  <c r="BM281" i="9" s="1"/>
  <c r="BN281" i="9" s="1"/>
  <c r="BL282" i="9"/>
  <c r="BL284" i="9"/>
  <c r="BM284" i="9" s="1"/>
  <c r="BN284" i="9" s="1"/>
  <c r="BL285" i="9"/>
  <c r="BM285" i="9" s="1"/>
  <c r="BN285" i="9" s="1"/>
  <c r="BL286" i="9"/>
  <c r="BL287" i="9"/>
  <c r="BM287" i="9" s="1"/>
  <c r="BN287" i="9" s="1"/>
  <c r="BL288" i="9"/>
  <c r="BM288" i="9" s="1"/>
  <c r="BL289" i="9"/>
  <c r="BM289" i="9" s="1"/>
  <c r="BN289" i="9" s="1"/>
  <c r="BL290" i="9"/>
  <c r="BM290" i="9" s="1"/>
  <c r="BN290" i="9" s="1"/>
  <c r="BL291" i="9"/>
  <c r="BM291" i="9" s="1"/>
  <c r="BL292" i="9"/>
  <c r="BM292" i="9" s="1"/>
  <c r="BL293" i="9"/>
  <c r="BM293" i="9" s="1"/>
  <c r="BL294" i="9"/>
  <c r="BM294" i="9" s="1"/>
  <c r="BN294" i="9" s="1"/>
  <c r="BL295" i="9"/>
  <c r="BM295" i="9" s="1"/>
  <c r="BL296" i="9"/>
  <c r="BM296" i="9" s="1"/>
  <c r="BN296" i="9" s="1"/>
  <c r="BL297" i="9"/>
  <c r="BM297" i="9" s="1"/>
  <c r="BL300" i="9"/>
  <c r="BM300" i="9" s="1"/>
  <c r="BL303" i="9"/>
  <c r="BM303" i="9" s="1"/>
  <c r="BL305" i="9"/>
  <c r="BM305" i="9" s="1"/>
  <c r="BL309" i="9"/>
  <c r="BM309" i="9" s="1"/>
  <c r="BN309" i="9" s="1"/>
  <c r="BL310" i="9"/>
  <c r="BM310" i="9" s="1"/>
  <c r="BL311" i="9"/>
  <c r="BM311" i="9" s="1"/>
  <c r="BN311" i="9" s="1"/>
  <c r="BL314" i="9"/>
  <c r="BM314" i="9" s="1"/>
  <c r="BL316" i="9"/>
  <c r="BL317" i="9"/>
  <c r="BM317" i="9" s="1"/>
  <c r="BN317" i="9" s="1"/>
  <c r="BL318" i="9"/>
  <c r="BM318" i="9" s="1"/>
  <c r="BN318" i="9" s="1"/>
  <c r="BL319" i="9"/>
  <c r="BM319" i="9" s="1"/>
  <c r="BL320" i="9"/>
  <c r="BL322" i="9"/>
  <c r="BM322" i="9" s="1"/>
  <c r="BL323" i="9"/>
  <c r="BM323" i="9" s="1"/>
  <c r="BN323" i="9" s="1"/>
  <c r="BL324" i="9"/>
  <c r="BM324" i="9" s="1"/>
  <c r="BN324" i="9" s="1"/>
  <c r="BL325" i="9"/>
  <c r="BM325" i="9" s="1"/>
  <c r="BL326" i="9"/>
  <c r="BM326" i="9" s="1"/>
  <c r="BL327" i="9"/>
  <c r="BM327" i="9" s="1"/>
  <c r="BL328" i="9"/>
  <c r="BL329" i="9"/>
  <c r="BM329" i="9" s="1"/>
  <c r="BN329" i="9" s="1"/>
  <c r="BL330" i="9"/>
  <c r="BM330" i="9" s="1"/>
  <c r="BL332" i="9"/>
  <c r="BM332" i="9" s="1"/>
  <c r="BN332" i="9" s="1"/>
  <c r="BL333" i="9"/>
  <c r="BM333" i="9" s="1"/>
  <c r="BN333" i="9" s="1"/>
  <c r="BL334" i="9"/>
  <c r="BM334" i="9" s="1"/>
  <c r="BN334" i="9" s="1"/>
  <c r="BL335" i="9"/>
  <c r="BL336" i="9"/>
  <c r="BM336" i="9" s="1"/>
  <c r="BN336" i="9" s="1"/>
  <c r="BL337" i="9"/>
  <c r="BM337" i="9" s="1"/>
  <c r="BL338" i="9"/>
  <c r="BM338" i="9" s="1"/>
  <c r="BL339" i="9"/>
  <c r="BM339" i="9" s="1"/>
  <c r="BN339" i="9" s="1"/>
  <c r="BL340" i="9"/>
  <c r="BM340" i="9" s="1"/>
  <c r="BL341" i="9"/>
  <c r="BM341" i="9" s="1"/>
  <c r="BN341" i="9" s="1"/>
  <c r="BL342" i="9"/>
  <c r="BM342" i="9" s="1"/>
  <c r="BL343" i="9"/>
  <c r="BM343" i="9" s="1"/>
  <c r="BN343" i="9" s="1"/>
  <c r="BL345" i="9"/>
  <c r="BM345" i="9" s="1"/>
  <c r="BL346" i="9"/>
  <c r="BM346" i="9" s="1"/>
  <c r="BL349" i="9"/>
  <c r="BM349" i="9" s="1"/>
  <c r="BL350" i="9"/>
  <c r="BM350" i="9" s="1"/>
  <c r="BL351" i="9"/>
  <c r="BM351" i="9" s="1"/>
  <c r="BN351" i="9" s="1"/>
  <c r="BL352" i="9"/>
  <c r="BM352" i="9" s="1"/>
  <c r="BN352" i="9" s="1"/>
  <c r="BL353" i="9"/>
  <c r="BM353" i="9" s="1"/>
  <c r="BN353" i="9" s="1"/>
  <c r="BL354" i="9"/>
  <c r="BM354" i="9" s="1"/>
  <c r="BL355" i="9"/>
  <c r="BM355" i="9" s="1"/>
  <c r="BN355" i="9" s="1"/>
  <c r="BL357" i="9"/>
  <c r="BM357" i="9" s="1"/>
  <c r="BN357" i="9" s="1"/>
  <c r="BL358" i="9"/>
  <c r="BM358" i="9" s="1"/>
  <c r="BL359" i="9"/>
  <c r="BL360" i="9"/>
  <c r="BM360" i="9" s="1"/>
  <c r="BN360" i="9" s="1"/>
  <c r="BL361" i="9"/>
  <c r="BM361" i="9" s="1"/>
  <c r="BN361" i="9" s="1"/>
  <c r="BL362" i="9"/>
  <c r="BM362" i="9" s="1"/>
  <c r="BL363" i="9"/>
  <c r="BM363" i="9" s="1"/>
  <c r="BL364" i="9"/>
  <c r="BM364" i="9" s="1"/>
  <c r="BN364" i="9" s="1"/>
  <c r="BL365" i="9"/>
  <c r="BM365" i="9" s="1"/>
  <c r="BL366" i="9"/>
  <c r="BM366" i="9" s="1"/>
  <c r="BN366" i="9" s="1"/>
  <c r="BL367" i="9"/>
  <c r="BL368" i="9"/>
  <c r="BM368" i="9" s="1"/>
  <c r="BL369" i="9"/>
  <c r="BM369" i="9" s="1"/>
  <c r="BL371" i="9"/>
  <c r="BM371" i="9" s="1"/>
  <c r="BL372" i="9"/>
  <c r="BM372" i="9" s="1"/>
  <c r="BL373" i="9"/>
  <c r="BM373" i="9" s="1"/>
  <c r="BL374" i="9"/>
  <c r="BM374" i="9" s="1"/>
  <c r="BN374" i="9" s="1"/>
  <c r="BL375" i="9"/>
  <c r="BM375" i="9" s="1"/>
  <c r="BN375" i="9" s="1"/>
  <c r="BL376" i="9"/>
  <c r="BM376" i="9" s="1"/>
  <c r="BL377" i="9"/>
  <c r="BM377" i="9" s="1"/>
  <c r="BN377" i="9" s="1"/>
  <c r="BL378" i="9"/>
  <c r="BM378" i="9" s="1"/>
  <c r="BL379" i="9"/>
  <c r="BL380" i="9"/>
  <c r="BM380" i="9" s="1"/>
  <c r="BL382" i="9"/>
  <c r="BM382" i="9" s="1"/>
  <c r="BL383" i="9"/>
  <c r="BL384" i="9"/>
  <c r="BM384" i="9" s="1"/>
  <c r="BN384" i="9" s="1"/>
  <c r="BL385" i="9"/>
  <c r="BM385" i="9" s="1"/>
  <c r="BL387" i="9"/>
  <c r="BL388" i="9"/>
  <c r="BM388" i="9" s="1"/>
  <c r="BN388" i="9" s="1"/>
  <c r="BL389" i="9"/>
  <c r="BM389" i="9" s="1"/>
  <c r="BL390" i="9"/>
  <c r="BM390" i="9" s="1"/>
  <c r="BN390" i="9" s="1"/>
  <c r="BL391" i="9"/>
  <c r="BM391" i="9" s="1"/>
  <c r="BL392" i="9"/>
  <c r="BM392" i="9" s="1"/>
  <c r="BL393" i="9"/>
  <c r="BL394" i="9"/>
  <c r="BM394" i="9" s="1"/>
  <c r="BL395" i="9"/>
  <c r="BM395" i="9" s="1"/>
  <c r="BL397" i="9"/>
  <c r="BM397" i="9" s="1"/>
  <c r="BL398" i="9"/>
  <c r="BM398" i="9" s="1"/>
  <c r="BL399" i="9"/>
  <c r="BM399" i="9" s="1"/>
  <c r="BN399" i="9" s="1"/>
  <c r="BL400" i="9"/>
  <c r="BM400" i="9" s="1"/>
  <c r="BL401" i="9"/>
  <c r="BL402" i="9"/>
  <c r="BM402" i="9" s="1"/>
  <c r="BN402" i="9" s="1"/>
  <c r="BL403" i="9"/>
  <c r="BM403" i="9" s="1"/>
  <c r="BN403" i="9" s="1"/>
  <c r="BL404" i="9"/>
  <c r="BM404" i="9" s="1"/>
  <c r="BN404" i="9" s="1"/>
  <c r="BL405" i="9"/>
  <c r="BM405" i="9" s="1"/>
  <c r="BL406" i="9"/>
  <c r="BM406" i="9" s="1"/>
  <c r="BN406" i="9" s="1"/>
  <c r="BL407" i="9"/>
  <c r="BM407" i="9" s="1"/>
  <c r="BL408" i="9"/>
  <c r="BM408" i="9" s="1"/>
  <c r="BN408" i="9" s="1"/>
  <c r="BL409" i="9"/>
  <c r="BM409" i="9" s="1"/>
  <c r="BL412" i="9"/>
  <c r="BM412" i="9" s="1"/>
  <c r="BL413" i="9"/>
  <c r="BM413" i="9" s="1"/>
  <c r="BL414" i="9"/>
  <c r="BM414" i="9" s="1"/>
  <c r="BL415" i="9"/>
  <c r="BL416" i="9"/>
  <c r="BM416" i="9" s="1"/>
  <c r="BN416" i="9" s="1"/>
  <c r="BL417" i="9"/>
  <c r="BM417" i="9" s="1"/>
  <c r="BL418" i="9"/>
  <c r="BM418" i="9" s="1"/>
  <c r="BL419" i="9"/>
  <c r="BM419" i="9" s="1"/>
  <c r="BL420" i="9"/>
  <c r="BM420" i="9" s="1"/>
  <c r="BN420" i="9" s="1"/>
  <c r="BL421" i="9"/>
  <c r="BM421" i="9" s="1"/>
  <c r="BN421" i="9" s="1"/>
  <c r="BL422" i="9"/>
  <c r="BM422" i="9" s="1"/>
  <c r="BL423" i="9"/>
  <c r="BM423" i="9" s="1"/>
  <c r="BL425" i="9"/>
  <c r="BM425" i="9" s="1"/>
  <c r="BN425" i="9" s="1"/>
  <c r="BL426" i="9"/>
  <c r="BL427" i="9"/>
  <c r="BM427" i="9" s="1"/>
  <c r="BL428" i="9"/>
  <c r="BM428" i="9" s="1"/>
  <c r="BL429" i="9"/>
  <c r="BM429" i="9" s="1"/>
  <c r="BN429" i="9" s="1"/>
  <c r="BL430" i="9"/>
  <c r="BM430" i="9" s="1"/>
  <c r="BN430" i="9" s="1"/>
  <c r="BL432" i="9"/>
  <c r="BL433" i="9"/>
  <c r="BM433" i="9" s="1"/>
  <c r="BL434" i="9"/>
  <c r="BM434" i="9" s="1"/>
  <c r="BL435" i="9"/>
  <c r="BM435" i="9" s="1"/>
  <c r="BL436" i="9"/>
  <c r="BM436" i="9" s="1"/>
  <c r="BL437" i="9"/>
  <c r="BM437" i="9" s="1"/>
  <c r="BN437" i="9" s="1"/>
  <c r="BL438" i="9"/>
  <c r="BM438" i="9" s="1"/>
  <c r="BL439" i="9"/>
  <c r="BL441" i="9"/>
  <c r="BM441" i="9" s="1"/>
  <c r="BL442" i="9"/>
  <c r="BM442" i="9" s="1"/>
  <c r="BL444" i="9"/>
  <c r="BL445" i="9"/>
  <c r="BM445" i="9" s="1"/>
  <c r="BL446" i="9"/>
  <c r="BM446" i="9" s="1"/>
  <c r="BN446" i="9" s="1"/>
  <c r="BL447" i="9"/>
  <c r="BM447" i="9" s="1"/>
  <c r="BL448" i="9"/>
  <c r="BM448" i="9" s="1"/>
  <c r="BL449" i="9"/>
  <c r="BM449" i="9" s="1"/>
  <c r="BN449" i="9" s="1"/>
  <c r="BL450" i="9"/>
  <c r="BM450" i="9" s="1"/>
  <c r="BL451" i="9"/>
  <c r="BM451" i="9" s="1"/>
  <c r="BN451" i="9" s="1"/>
  <c r="BL452" i="9"/>
  <c r="BM452" i="9" s="1"/>
  <c r="BN452" i="9" s="1"/>
  <c r="BL453" i="9"/>
  <c r="BM453" i="9" s="1"/>
  <c r="BN453" i="9" s="1"/>
  <c r="BL454" i="9"/>
  <c r="BM454" i="9" s="1"/>
  <c r="BL455" i="9"/>
  <c r="BM455" i="9" s="1"/>
  <c r="BN455" i="9" s="1"/>
  <c r="BL456" i="9"/>
  <c r="BM456" i="9" s="1"/>
  <c r="BL457" i="9"/>
  <c r="BL458" i="9"/>
  <c r="BM458" i="9" s="1"/>
  <c r="BN458" i="9" s="1"/>
  <c r="BL459" i="9"/>
  <c r="BM459" i="9" s="1"/>
  <c r="BL460" i="9"/>
  <c r="BM460" i="9" s="1"/>
  <c r="BL461" i="9"/>
  <c r="BM461" i="9" s="1"/>
  <c r="BL462" i="9"/>
  <c r="BM462" i="9" s="1"/>
  <c r="BL464" i="9"/>
  <c r="BM464" i="9" s="1"/>
  <c r="BL465" i="9"/>
  <c r="BM465" i="9" s="1"/>
  <c r="BN465" i="9" s="1"/>
  <c r="BL466" i="9"/>
  <c r="BM466" i="9" s="1"/>
  <c r="BL467" i="9"/>
  <c r="BL468" i="9"/>
  <c r="BM468" i="9" s="1"/>
  <c r="BN468" i="9" s="1"/>
  <c r="BL469" i="9"/>
  <c r="BM469" i="9" s="1"/>
  <c r="BN469" i="9" s="1"/>
  <c r="BL470" i="9"/>
  <c r="BL471" i="9"/>
  <c r="BM471" i="9" s="1"/>
  <c r="BN471" i="9" s="1"/>
  <c r="BL472" i="9"/>
  <c r="BM472" i="9" s="1"/>
  <c r="BL474" i="9"/>
  <c r="BM474" i="9" s="1"/>
  <c r="BL475" i="9"/>
  <c r="BL476" i="9"/>
  <c r="BM476" i="9" s="1"/>
  <c r="BL477" i="9"/>
  <c r="BM477" i="9" s="1"/>
  <c r="BL479" i="9"/>
  <c r="BM479" i="9" s="1"/>
  <c r="BN479" i="9" s="1"/>
  <c r="BL480" i="9"/>
  <c r="BM480" i="9" s="1"/>
  <c r="BN480" i="9" s="1"/>
  <c r="BL481" i="9"/>
  <c r="BM481" i="9" s="1"/>
  <c r="BN481" i="9" s="1"/>
  <c r="BL482" i="9"/>
  <c r="BM482" i="9" s="1"/>
  <c r="BL483" i="9"/>
  <c r="BM483" i="9" s="1"/>
  <c r="BN483" i="9" s="1"/>
  <c r="BL484" i="9"/>
  <c r="BM484" i="9" s="1"/>
  <c r="BN484" i="9" s="1"/>
  <c r="BL485" i="9"/>
  <c r="BM485" i="9" s="1"/>
  <c r="BL486" i="9"/>
  <c r="BM486" i="9" s="1"/>
  <c r="BN486" i="9" s="1"/>
  <c r="BL487" i="9"/>
  <c r="BM487" i="9" s="1"/>
  <c r="BN487" i="9" s="1"/>
  <c r="BL488" i="9"/>
  <c r="BM488" i="9" s="1"/>
  <c r="BL489" i="9"/>
  <c r="BM489" i="9" s="1"/>
  <c r="BL490" i="9"/>
  <c r="BM490" i="9" s="1"/>
  <c r="BN490" i="9" s="1"/>
  <c r="BL491" i="9"/>
  <c r="BL492" i="9"/>
  <c r="BM492" i="9" s="1"/>
  <c r="BL493" i="9"/>
  <c r="BM493" i="9" s="1"/>
  <c r="BL494" i="9"/>
  <c r="BM494" i="9" s="1"/>
  <c r="BL495" i="9"/>
  <c r="BM495" i="9" s="1"/>
  <c r="BN495" i="9" s="1"/>
  <c r="BL497" i="9"/>
  <c r="BM497" i="9" s="1"/>
  <c r="BL498" i="9"/>
  <c r="BM498" i="9" s="1"/>
  <c r="BL499" i="9"/>
  <c r="BM499" i="9" s="1"/>
  <c r="BL500" i="9"/>
  <c r="BM500" i="9" s="1"/>
  <c r="BL501" i="9"/>
  <c r="BL502" i="9"/>
  <c r="BM502" i="9" s="1"/>
  <c r="BL503" i="9"/>
  <c r="BM503" i="9" s="1"/>
  <c r="BN503" i="9" s="1"/>
  <c r="BL504" i="9"/>
  <c r="BM504" i="9" s="1"/>
  <c r="BL505" i="9"/>
  <c r="BM505" i="9" s="1"/>
  <c r="BL506" i="9"/>
  <c r="BL507" i="9"/>
  <c r="BM507" i="9" s="1"/>
  <c r="BL508" i="9"/>
  <c r="BL509" i="9"/>
  <c r="BM509" i="9" s="1"/>
  <c r="BL510" i="9"/>
  <c r="BM510" i="9" s="1"/>
  <c r="BL511" i="9"/>
  <c r="BM511" i="9" s="1"/>
  <c r="BL512" i="9"/>
  <c r="BM512" i="9" s="1"/>
  <c r="BN512" i="9" s="1"/>
  <c r="BL513" i="9"/>
  <c r="BM513" i="9" s="1"/>
  <c r="BN513" i="9" s="1"/>
  <c r="BL514" i="9"/>
  <c r="BM514" i="9" s="1"/>
  <c r="BN514" i="9" s="1"/>
  <c r="BL515" i="9"/>
  <c r="BM515" i="9" s="1"/>
  <c r="BL516" i="9"/>
  <c r="BM516" i="9" s="1"/>
  <c r="BN516" i="9" s="1"/>
  <c r="BL517" i="9"/>
  <c r="BM517" i="9" s="1"/>
  <c r="BL518" i="9"/>
  <c r="BL519" i="9"/>
  <c r="BM519" i="9" s="1"/>
  <c r="BL520" i="9"/>
  <c r="BM520" i="9" s="1"/>
  <c r="BL521" i="9"/>
  <c r="BM521" i="9" s="1"/>
  <c r="BN521" i="9" s="1"/>
  <c r="BL522" i="9"/>
  <c r="BM522" i="9" s="1"/>
  <c r="BL523" i="9"/>
  <c r="BM523" i="9" s="1"/>
  <c r="BL524" i="9"/>
  <c r="BM524" i="9" s="1"/>
  <c r="BL525" i="9"/>
  <c r="BM525" i="9" s="1"/>
  <c r="BL526" i="9"/>
  <c r="BM526" i="9" s="1"/>
  <c r="BN526" i="9" s="1"/>
  <c r="BL527" i="9"/>
  <c r="BM527" i="9" s="1"/>
  <c r="BN527" i="9" s="1"/>
  <c r="BL528" i="9"/>
  <c r="BM528" i="9" s="1"/>
  <c r="BL529" i="9"/>
  <c r="BM529" i="9" s="1"/>
  <c r="BN529" i="9" s="1"/>
  <c r="BL530" i="9"/>
  <c r="BM530" i="9" s="1"/>
  <c r="BL531" i="9"/>
  <c r="BM531" i="9" s="1"/>
  <c r="BL533" i="9"/>
  <c r="BM533" i="9" s="1"/>
  <c r="BN533" i="9" s="1"/>
  <c r="BL534" i="9"/>
  <c r="BL535" i="9"/>
  <c r="BM535" i="9" s="1"/>
  <c r="BN535" i="9" s="1"/>
  <c r="BL536" i="9"/>
  <c r="BM536" i="9" s="1"/>
  <c r="BL537" i="9"/>
  <c r="BM537" i="9" s="1"/>
  <c r="BN537" i="9" s="1"/>
  <c r="BL538" i="9"/>
  <c r="BM538" i="9" s="1"/>
  <c r="BL539" i="9"/>
  <c r="BL540" i="9"/>
  <c r="BM540" i="9" s="1"/>
  <c r="BN540" i="9" s="1"/>
  <c r="BL541" i="9"/>
  <c r="BM541" i="9" s="1"/>
  <c r="BN541" i="9" s="1"/>
  <c r="BL542" i="9"/>
  <c r="BM542" i="9" s="1"/>
  <c r="BN542" i="9" s="1"/>
  <c r="BL543" i="9"/>
  <c r="BM543" i="9" s="1"/>
  <c r="BN543" i="9" s="1"/>
  <c r="BL545" i="9"/>
  <c r="BL546" i="9"/>
  <c r="BM546" i="9" s="1"/>
  <c r="BN546" i="9" s="1"/>
  <c r="BL547" i="9"/>
  <c r="BM547" i="9" s="1"/>
  <c r="BN547" i="9" s="1"/>
  <c r="BL548" i="9"/>
  <c r="BM548" i="9" s="1"/>
  <c r="BL549" i="9"/>
  <c r="BM549" i="9" s="1"/>
  <c r="BL550" i="9"/>
  <c r="BL551" i="9"/>
  <c r="BL552" i="9"/>
  <c r="BM552" i="9" s="1"/>
  <c r="BL553" i="9"/>
  <c r="BM553" i="9" s="1"/>
  <c r="BN553" i="9" s="1"/>
  <c r="BL554" i="9"/>
  <c r="BM554" i="9" s="1"/>
  <c r="BL555" i="9"/>
  <c r="BM555" i="9" s="1"/>
  <c r="BN555" i="9" s="1"/>
  <c r="BL556" i="9"/>
  <c r="BM556" i="9" s="1"/>
  <c r="BL557" i="9"/>
  <c r="BM557" i="9" s="1"/>
  <c r="BL558" i="9"/>
  <c r="BM558" i="9" s="1"/>
  <c r="BL559" i="9"/>
  <c r="BM559" i="9" s="1"/>
  <c r="BL560" i="9"/>
  <c r="BM560" i="9" s="1"/>
  <c r="BL561" i="9"/>
  <c r="BM561" i="9" s="1"/>
  <c r="BL562" i="9"/>
  <c r="BM562" i="9" s="1"/>
  <c r="BN562" i="9" s="1"/>
  <c r="BL563" i="9"/>
  <c r="BM563" i="9" s="1"/>
  <c r="BN563" i="9" s="1"/>
  <c r="BL564" i="9"/>
  <c r="BM564" i="9" s="1"/>
  <c r="BN564" i="9" s="1"/>
  <c r="BL565" i="9"/>
  <c r="BM565" i="9" s="1"/>
  <c r="BL566" i="9"/>
  <c r="BM566" i="9" s="1"/>
  <c r="BL567" i="9"/>
  <c r="BM567" i="9" s="1"/>
  <c r="BN567" i="9" s="1"/>
  <c r="BL568" i="9"/>
  <c r="BM568" i="9" s="1"/>
  <c r="BL569" i="9"/>
  <c r="BM569" i="9" s="1"/>
  <c r="BL570" i="9"/>
  <c r="BM570" i="9" s="1"/>
  <c r="BL571" i="9"/>
  <c r="BL572" i="9"/>
  <c r="BM572" i="9" s="1"/>
  <c r="BL573" i="9"/>
  <c r="BM573" i="9" s="1"/>
  <c r="BN573" i="9" s="1"/>
  <c r="BL574" i="9"/>
  <c r="BM574" i="9" s="1"/>
  <c r="BN574" i="9" s="1"/>
  <c r="BL575" i="9"/>
  <c r="BL576" i="9"/>
  <c r="BM576" i="9" s="1"/>
  <c r="BL577" i="9"/>
  <c r="BM577" i="9" s="1"/>
  <c r="BN577" i="9" s="1"/>
  <c r="BL578" i="9"/>
  <c r="BM578" i="9" s="1"/>
  <c r="BN578" i="9" s="1"/>
  <c r="BL579" i="9"/>
  <c r="BM579" i="9" s="1"/>
  <c r="BL580" i="9"/>
  <c r="BM580" i="9" s="1"/>
  <c r="BL581" i="9"/>
  <c r="BM581" i="9" s="1"/>
  <c r="BN581" i="9" s="1"/>
  <c r="BL582" i="9"/>
  <c r="BM582" i="9" s="1"/>
  <c r="BL583" i="9"/>
  <c r="BM583" i="9" s="1"/>
  <c r="BL584" i="9"/>
  <c r="BL585" i="9"/>
  <c r="BM585" i="9" s="1"/>
  <c r="BL586" i="9"/>
  <c r="BM586" i="9" s="1"/>
  <c r="BL587" i="9"/>
  <c r="BM587" i="9" s="1"/>
  <c r="BL588" i="9"/>
  <c r="BM588" i="9" s="1"/>
  <c r="BL589" i="9"/>
  <c r="BM589" i="9" s="1"/>
  <c r="BL590" i="9"/>
  <c r="BM590" i="9" s="1"/>
  <c r="BN590" i="9" s="1"/>
  <c r="BL591" i="9"/>
  <c r="BM591" i="9" s="1"/>
  <c r="BL592" i="9"/>
  <c r="BL593" i="9"/>
  <c r="BM593" i="9" s="1"/>
  <c r="BL594" i="9"/>
  <c r="BM594" i="9" s="1"/>
  <c r="BN594" i="9" s="1"/>
  <c r="BL595" i="9"/>
  <c r="BL596" i="9"/>
  <c r="BM596" i="9" s="1"/>
  <c r="BN596" i="9" s="1"/>
  <c r="BL597" i="9"/>
  <c r="BM597" i="9" s="1"/>
  <c r="BN597" i="9" s="1"/>
  <c r="BL598" i="9"/>
  <c r="BM598" i="9" s="1"/>
  <c r="BN598" i="9" s="1"/>
  <c r="BL599" i="9"/>
  <c r="BM599" i="9" s="1"/>
  <c r="BL606" i="9"/>
  <c r="BM606" i="9" s="1"/>
  <c r="BL6" i="9"/>
  <c r="I23" i="10"/>
  <c r="B7" i="10"/>
  <c r="BO509" i="9"/>
  <c r="X546" i="9"/>
  <c r="B3" i="10"/>
  <c r="B4" i="10"/>
  <c r="B14" i="10"/>
  <c r="B16" i="10" s="1"/>
  <c r="B13" i="10"/>
  <c r="B15" i="10" s="1"/>
  <c r="B6" i="10"/>
  <c r="B122" i="10"/>
  <c r="B102" i="10"/>
  <c r="B82" i="10"/>
  <c r="B62" i="10"/>
  <c r="B42" i="10"/>
  <c r="B121" i="10"/>
  <c r="B101" i="10"/>
  <c r="B81" i="10"/>
  <c r="B61" i="10"/>
  <c r="B41" i="10"/>
  <c r="B118" i="10"/>
  <c r="B98" i="10"/>
  <c r="B78" i="10"/>
  <c r="B58" i="10"/>
  <c r="B38" i="10"/>
  <c r="B117" i="10"/>
  <c r="B97" i="10"/>
  <c r="B77" i="10"/>
  <c r="B57" i="10"/>
  <c r="B37" i="10"/>
  <c r="B115" i="10"/>
  <c r="B95" i="10"/>
  <c r="B75" i="10"/>
  <c r="B55" i="10"/>
  <c r="B35" i="10"/>
  <c r="B33" i="10"/>
  <c r="B11" i="10"/>
  <c r="B10" i="10"/>
  <c r="B113" i="10"/>
  <c r="B93" i="10"/>
  <c r="B73" i="10"/>
  <c r="B53" i="10"/>
  <c r="B114" i="10"/>
  <c r="B94" i="10"/>
  <c r="B74" i="10"/>
  <c r="B8" i="10"/>
  <c r="B18" i="10"/>
  <c r="B19" i="10"/>
  <c r="B54" i="10"/>
  <c r="B34" i="10"/>
  <c r="BG544" i="9"/>
  <c r="BL544" i="9"/>
  <c r="BO530" i="9"/>
  <c r="BK532" i="9"/>
  <c r="BL532" i="9" s="1"/>
  <c r="G12" i="10"/>
  <c r="H12" i="10"/>
  <c r="I12" i="10"/>
  <c r="J12" i="10"/>
  <c r="K12" i="10"/>
  <c r="B5" i="10"/>
  <c r="K17" i="10"/>
  <c r="J17" i="10"/>
  <c r="I17" i="10"/>
  <c r="H17" i="10"/>
  <c r="G17" i="10"/>
  <c r="K15" i="10"/>
  <c r="J15" i="10"/>
  <c r="I15" i="10"/>
  <c r="H15" i="10"/>
  <c r="G15" i="10"/>
  <c r="K14" i="10"/>
  <c r="J14" i="10"/>
  <c r="I14" i="10"/>
  <c r="H14" i="10"/>
  <c r="G14" i="10"/>
  <c r="K13" i="10"/>
  <c r="J13" i="10"/>
  <c r="I13" i="10"/>
  <c r="H13" i="10"/>
  <c r="G13" i="10"/>
  <c r="K11" i="10"/>
  <c r="J11" i="10"/>
  <c r="I11" i="10"/>
  <c r="H11" i="10"/>
  <c r="G11" i="10"/>
  <c r="K10" i="10"/>
  <c r="J10" i="10"/>
  <c r="I10" i="10"/>
  <c r="H10" i="10"/>
  <c r="G10" i="10"/>
  <c r="K9" i="10"/>
  <c r="J9" i="10"/>
  <c r="I9" i="10"/>
  <c r="H9" i="10"/>
  <c r="G9" i="10"/>
  <c r="K8" i="10"/>
  <c r="J8" i="10"/>
  <c r="I8" i="10"/>
  <c r="H8" i="10"/>
  <c r="G8" i="10"/>
  <c r="K7" i="10"/>
  <c r="J7" i="10"/>
  <c r="I7" i="10"/>
  <c r="H7" i="10"/>
  <c r="G7" i="10"/>
  <c r="K6" i="10"/>
  <c r="J6" i="10"/>
  <c r="I6" i="10"/>
  <c r="H6" i="10"/>
  <c r="G6" i="10"/>
  <c r="K5" i="10"/>
  <c r="J5" i="10"/>
  <c r="I5" i="10"/>
  <c r="H5" i="10"/>
  <c r="G5" i="10"/>
  <c r="K4" i="10"/>
  <c r="J4" i="10"/>
  <c r="I4" i="10"/>
  <c r="H4" i="10"/>
  <c r="G4" i="10"/>
  <c r="X522" i="9"/>
  <c r="BG496" i="9"/>
  <c r="BL496" i="9" s="1"/>
  <c r="BM496" i="9" s="1"/>
  <c r="X495" i="9"/>
  <c r="BO479" i="9"/>
  <c r="BK478" i="9"/>
  <c r="BL478" i="9"/>
  <c r="BM478" i="9" s="1"/>
  <c r="BN478" i="9" s="1"/>
  <c r="BO474" i="9"/>
  <c r="X471" i="9"/>
  <c r="BO465" i="9"/>
  <c r="BG463" i="9"/>
  <c r="BL463" i="9"/>
  <c r="BM463" i="9" s="1"/>
  <c r="BN463" i="9" s="1"/>
  <c r="BO459" i="9"/>
  <c r="BO447" i="9"/>
  <c r="BO444" i="9"/>
  <c r="BK443" i="9"/>
  <c r="BL443" i="9" s="1"/>
  <c r="BM443" i="9" s="1"/>
  <c r="X443" i="9"/>
  <c r="BG440" i="9"/>
  <c r="BL440" i="9" s="1"/>
  <c r="BM440" i="9" s="1"/>
  <c r="BN440" i="9" s="1"/>
  <c r="BO434" i="9"/>
  <c r="X432" i="9"/>
  <c r="BG431" i="9"/>
  <c r="BL431" i="9"/>
  <c r="BO429" i="9"/>
  <c r="BK424" i="9"/>
  <c r="BL424" i="9" s="1"/>
  <c r="BM424" i="9" s="1"/>
  <c r="BO423" i="9"/>
  <c r="AO417" i="9"/>
  <c r="BO415" i="9"/>
  <c r="BO414" i="9"/>
  <c r="BO413" i="9"/>
  <c r="BK411" i="9"/>
  <c r="BL411" i="9"/>
  <c r="BG410" i="9"/>
  <c r="BL410" i="9" s="1"/>
  <c r="BM410" i="9" s="1"/>
  <c r="X410" i="9"/>
  <c r="X406" i="9"/>
  <c r="BO405" i="9"/>
  <c r="BO401" i="9"/>
  <c r="BO397" i="9"/>
  <c r="BG396" i="9"/>
  <c r="BL396" i="9" s="1"/>
  <c r="BM396" i="9" s="1"/>
  <c r="BN396" i="9" s="1"/>
  <c r="X395" i="9"/>
  <c r="BK386" i="9"/>
  <c r="BL386" i="9" s="1"/>
  <c r="BM386" i="9" s="1"/>
  <c r="BG381" i="9"/>
  <c r="BL381" i="9"/>
  <c r="BM381" i="9" s="1"/>
  <c r="BO380" i="9"/>
  <c r="BO374" i="9"/>
  <c r="BO372" i="9"/>
  <c r="BK370" i="9"/>
  <c r="BL370" i="9"/>
  <c r="BM370" i="9" s="1"/>
  <c r="BO366" i="9"/>
  <c r="BG356" i="9"/>
  <c r="BL356" i="9"/>
  <c r="BM356" i="9" s="1"/>
  <c r="BN356" i="9" s="1"/>
  <c r="BG348" i="9"/>
  <c r="BL348" i="9"/>
  <c r="BM348" i="9" s="1"/>
  <c r="BN348" i="9" s="1"/>
  <c r="BG347" i="9"/>
  <c r="BL347" i="9" s="1"/>
  <c r="BM347" i="9" s="1"/>
  <c r="X346" i="9"/>
  <c r="BG344" i="9"/>
  <c r="BL344" i="9"/>
  <c r="BM344" i="9" s="1"/>
  <c r="X341" i="9"/>
  <c r="X339" i="9"/>
  <c r="BO338" i="9"/>
  <c r="BO336" i="9"/>
  <c r="AZ333" i="9"/>
  <c r="BG331" i="9"/>
  <c r="BL331" i="9" s="1"/>
  <c r="BM331" i="9" s="1"/>
  <c r="X331" i="9"/>
  <c r="X327" i="9"/>
  <c r="BO325" i="9"/>
  <c r="BK321" i="9"/>
  <c r="BL321" i="9" s="1"/>
  <c r="BM321" i="9" s="1"/>
  <c r="BG315" i="9"/>
  <c r="BL315" i="9"/>
  <c r="BM315" i="9" s="1"/>
  <c r="BN315" i="9" s="1"/>
  <c r="BG313" i="9"/>
  <c r="BL313" i="9"/>
  <c r="BM313" i="9" s="1"/>
  <c r="BN313" i="9" s="1"/>
  <c r="BG312" i="9"/>
  <c r="BL312" i="9"/>
  <c r="BM312" i="9" s="1"/>
  <c r="BO308" i="9"/>
  <c r="BG308" i="9"/>
  <c r="BL308" i="9" s="1"/>
  <c r="BM308" i="9" s="1"/>
  <c r="BN308" i="9" s="1"/>
  <c r="BG307" i="9"/>
  <c r="BL307" i="9" s="1"/>
  <c r="BM307" i="9" s="1"/>
  <c r="BG306" i="9"/>
  <c r="BL306" i="9"/>
  <c r="BM306" i="9" s="1"/>
  <c r="BO304" i="9"/>
  <c r="BG304" i="9"/>
  <c r="BL304" i="9" s="1"/>
  <c r="BM304" i="9" s="1"/>
  <c r="BK302" i="9"/>
  <c r="BL302" i="9"/>
  <c r="BM302" i="9" s="1"/>
  <c r="BK301" i="9"/>
  <c r="BL301" i="9" s="1"/>
  <c r="BO299" i="9"/>
  <c r="BK299" i="9"/>
  <c r="BL299" i="9"/>
  <c r="BM299" i="9" s="1"/>
  <c r="X299" i="9"/>
  <c r="BG298" i="9"/>
  <c r="BL298" i="9" s="1"/>
  <c r="X295" i="9"/>
  <c r="BG283" i="9"/>
  <c r="BL283" i="9"/>
  <c r="BM283" i="9" s="1"/>
  <c r="X282" i="9"/>
  <c r="BG280" i="9"/>
  <c r="BL280" i="9"/>
  <c r="BM280" i="9" s="1"/>
  <c r="BG279" i="9"/>
  <c r="BL279" i="9" s="1"/>
  <c r="BM279" i="9" s="1"/>
  <c r="X279" i="9"/>
  <c r="BO278" i="9"/>
  <c r="BG278" i="9"/>
  <c r="BL278" i="9"/>
  <c r="BM278" i="9" s="1"/>
  <c r="BG277" i="9"/>
  <c r="BL277" i="9"/>
  <c r="BM277" i="9" s="1"/>
  <c r="BK276" i="9"/>
  <c r="BL276" i="9" s="1"/>
  <c r="BM276" i="9" s="1"/>
  <c r="BG275" i="9"/>
  <c r="BL275" i="9" s="1"/>
  <c r="BM275" i="9" s="1"/>
  <c r="BN275" i="9" s="1"/>
  <c r="BG274" i="9"/>
  <c r="BL274" i="9"/>
  <c r="BM274" i="9" s="1"/>
  <c r="BN274" i="9" s="1"/>
  <c r="BO267" i="9"/>
  <c r="BK265" i="9"/>
  <c r="BL265" i="9" s="1"/>
  <c r="BM265" i="9" s="1"/>
  <c r="X264" i="9"/>
  <c r="BO262" i="9"/>
  <c r="BO247" i="9"/>
  <c r="BO246" i="9"/>
  <c r="X242" i="9"/>
  <c r="BG241" i="9"/>
  <c r="BL241" i="9"/>
  <c r="BM241" i="9" s="1"/>
  <c r="BN241" i="9" s="1"/>
  <c r="BG239" i="9"/>
  <c r="BL239" i="9" s="1"/>
  <c r="BM239" i="9" s="1"/>
  <c r="X239" i="9"/>
  <c r="X230" i="9"/>
  <c r="X228" i="9"/>
  <c r="BG227" i="9"/>
  <c r="BL227" i="9"/>
  <c r="BM227" i="9" s="1"/>
  <c r="BN227" i="9" s="1"/>
  <c r="BO224" i="9"/>
  <c r="X219" i="9"/>
  <c r="BG209" i="9"/>
  <c r="BL209" i="9"/>
  <c r="BM209" i="9" s="1"/>
  <c r="BN209" i="9" s="1"/>
  <c r="BG204" i="9"/>
  <c r="BL204" i="9"/>
  <c r="BM204" i="9" s="1"/>
  <c r="BN204" i="9" s="1"/>
  <c r="X200" i="9"/>
  <c r="BO197" i="9"/>
  <c r="BG193" i="9"/>
  <c r="BL193" i="9" s="1"/>
  <c r="BM193" i="9" s="1"/>
  <c r="BG192" i="9"/>
  <c r="BL192" i="9"/>
  <c r="BM192" i="9" s="1"/>
  <c r="BG191" i="9"/>
  <c r="BL191" i="9" s="1"/>
  <c r="BM191" i="9" s="1"/>
  <c r="BN191" i="9" s="1"/>
  <c r="BO188" i="9"/>
  <c r="BG186" i="9"/>
  <c r="BL186" i="9" s="1"/>
  <c r="BM186" i="9" s="1"/>
  <c r="BG181" i="9"/>
  <c r="BL181" i="9"/>
  <c r="BM181" i="9" s="1"/>
  <c r="BN181" i="9" s="1"/>
  <c r="X179" i="9"/>
  <c r="X176" i="9"/>
  <c r="BG175" i="9"/>
  <c r="BL175" i="9" s="1"/>
  <c r="BM175" i="9" s="1"/>
  <c r="BF175" i="9"/>
  <c r="BK173" i="9"/>
  <c r="BL173" i="9"/>
  <c r="BM173" i="9" s="1"/>
  <c r="BG171" i="9"/>
  <c r="BL171" i="9" s="1"/>
  <c r="BM171" i="9" s="1"/>
  <c r="BG170" i="9"/>
  <c r="BL170" i="9" s="1"/>
  <c r="BG169" i="9"/>
  <c r="BL169" i="9" s="1"/>
  <c r="BG162" i="9"/>
  <c r="BL162" i="9" s="1"/>
  <c r="X162" i="9"/>
  <c r="BG161" i="9"/>
  <c r="BL161" i="9" s="1"/>
  <c r="BG159" i="9"/>
  <c r="BL159" i="9" s="1"/>
  <c r="BM159" i="9" s="1"/>
  <c r="BG158" i="9"/>
  <c r="BL158" i="9" s="1"/>
  <c r="BM158" i="9" s="1"/>
  <c r="X158" i="9"/>
  <c r="BG156" i="9"/>
  <c r="BL156" i="9" s="1"/>
  <c r="BM156" i="9" s="1"/>
  <c r="BN156" i="9" s="1"/>
  <c r="BK128" i="9"/>
  <c r="BL128" i="9"/>
  <c r="BM128" i="9" s="1"/>
  <c r="BN128" i="9" s="1"/>
  <c r="BG125" i="9"/>
  <c r="BL125" i="9"/>
  <c r="BM125" i="9" s="1"/>
  <c r="BG77" i="9"/>
  <c r="BL77" i="9"/>
  <c r="BM77" i="9" s="1"/>
  <c r="BN77" i="9" s="1"/>
  <c r="X141" i="9"/>
  <c r="BG131" i="9"/>
  <c r="BL131" i="9" s="1"/>
  <c r="BM131" i="9" s="1"/>
  <c r="X68" i="9"/>
  <c r="BN385" i="9"/>
  <c r="BN29" i="9"/>
  <c r="BN322" i="9"/>
  <c r="BN153" i="9"/>
  <c r="BN492" i="9"/>
  <c r="BN466" i="9"/>
  <c r="BN63" i="9"/>
  <c r="BN145" i="9"/>
  <c r="BM534" i="9"/>
  <c r="BN534" i="9" s="1"/>
  <c r="BN536" i="9"/>
  <c r="BN599" i="9"/>
  <c r="BM80" i="9"/>
  <c r="BN106" i="9"/>
  <c r="BM166" i="9"/>
  <c r="BN166" i="9" s="1"/>
  <c r="BN614" i="9"/>
  <c r="BN610" i="9"/>
  <c r="BN43" i="9" l="1"/>
  <c r="BN122" i="9"/>
  <c r="BN310" i="9"/>
  <c r="BN409" i="9"/>
  <c r="BN620" i="9"/>
  <c r="BN59" i="9"/>
  <c r="BN142" i="9"/>
  <c r="BN93" i="9"/>
  <c r="BN382" i="9"/>
  <c r="BN26" i="9"/>
  <c r="BN427" i="9"/>
  <c r="BN11" i="9"/>
  <c r="BN482" i="9"/>
  <c r="BN319" i="9"/>
  <c r="BN611" i="9"/>
  <c r="BN305" i="9"/>
  <c r="BN589" i="9"/>
  <c r="BN243" i="9"/>
  <c r="BN605" i="9"/>
  <c r="BM627" i="9"/>
  <c r="BN627" i="9" s="1"/>
  <c r="BN565" i="9"/>
  <c r="BN507" i="9"/>
  <c r="BN78" i="9"/>
  <c r="BN19" i="9"/>
  <c r="BN268" i="9"/>
  <c r="BN422" i="9"/>
  <c r="BN476" i="9"/>
  <c r="BN154" i="9"/>
  <c r="BN190" i="9"/>
  <c r="BN14" i="9"/>
  <c r="BN502" i="9"/>
  <c r="BN123" i="9"/>
  <c r="BN368" i="9"/>
  <c r="BN552" i="9"/>
  <c r="BN30" i="9"/>
  <c r="BN576" i="9"/>
  <c r="BN340" i="9"/>
  <c r="BN338" i="9"/>
  <c r="BN217" i="9"/>
  <c r="BN349" i="9"/>
  <c r="BN582" i="9"/>
  <c r="BN558" i="9"/>
  <c r="BN225" i="9"/>
  <c r="BN566" i="9"/>
  <c r="BN36" i="9"/>
  <c r="BN477" i="9"/>
  <c r="BN137" i="9"/>
  <c r="BN87" i="9"/>
  <c r="BN417" i="9"/>
  <c r="BN497" i="9"/>
  <c r="BN160" i="9"/>
  <c r="BN445" i="9"/>
  <c r="BN196" i="9"/>
  <c r="BN58" i="9"/>
  <c r="BN118" i="9"/>
  <c r="BN222" i="9"/>
  <c r="BN528" i="9"/>
  <c r="BN230" i="9"/>
  <c r="BN221" i="9"/>
  <c r="BN434" i="9"/>
  <c r="BN585" i="9"/>
  <c r="BN504" i="9"/>
  <c r="BN248" i="9"/>
  <c r="BN325" i="9"/>
  <c r="BN297" i="9"/>
  <c r="BN109" i="9"/>
  <c r="BN438" i="9"/>
  <c r="BN172" i="9"/>
  <c r="BN515" i="9"/>
  <c r="BN99" i="9"/>
  <c r="BN263" i="9"/>
  <c r="BN288" i="9"/>
  <c r="BN203" i="9"/>
  <c r="BN237" i="9"/>
  <c r="BN212" i="9"/>
  <c r="BN369" i="9"/>
  <c r="BN83" i="9"/>
  <c r="BN229" i="9"/>
  <c r="BN98" i="9"/>
  <c r="BN262" i="9"/>
  <c r="BN219" i="9"/>
  <c r="BN462" i="9"/>
  <c r="BN412" i="9"/>
  <c r="BN215" i="9"/>
  <c r="BN114" i="9"/>
  <c r="BN472" i="9"/>
  <c r="BN8" i="9"/>
  <c r="BN303" i="9"/>
  <c r="BN291" i="9"/>
  <c r="BN499" i="9"/>
  <c r="BN397" i="9"/>
  <c r="BN64" i="9"/>
  <c r="BN7" i="9"/>
  <c r="BN602" i="9"/>
  <c r="BN371" i="9"/>
  <c r="BN24" i="9"/>
  <c r="BN538" i="9"/>
  <c r="BN474" i="9"/>
  <c r="BN579" i="9"/>
  <c r="BN354" i="9"/>
  <c r="BN140" i="9"/>
  <c r="BN617" i="9"/>
  <c r="BN143" i="9"/>
  <c r="BN587" i="9"/>
  <c r="B92" i="10"/>
  <c r="BM169" i="9"/>
  <c r="BN169" i="9" s="1"/>
  <c r="BN139" i="9"/>
  <c r="BN293" i="9"/>
  <c r="BN253" i="9"/>
  <c r="BN509" i="9"/>
  <c r="BN235" i="9"/>
  <c r="BN337" i="9"/>
  <c r="BN49" i="9"/>
  <c r="B112" i="10"/>
  <c r="BN261" i="9"/>
  <c r="BN613" i="9"/>
  <c r="BN218" i="9"/>
  <c r="BN391" i="9"/>
  <c r="BN33" i="9"/>
  <c r="BN202" i="9"/>
  <c r="B119" i="10"/>
  <c r="BN523" i="9"/>
  <c r="BN435" i="9"/>
  <c r="BN129" i="9"/>
  <c r="BN121" i="9"/>
  <c r="BN95" i="9"/>
  <c r="BN626" i="9"/>
  <c r="BN511" i="9"/>
  <c r="BN267" i="9"/>
  <c r="BN300" i="9"/>
  <c r="BN326" i="9"/>
  <c r="BN60" i="9"/>
  <c r="BN273" i="9"/>
  <c r="B32" i="10"/>
  <c r="BN112" i="9"/>
  <c r="BN157" i="9"/>
  <c r="BN233" i="9"/>
  <c r="BN580" i="9"/>
  <c r="BN28" i="9"/>
  <c r="BN208" i="9"/>
  <c r="BN16" i="9"/>
  <c r="BN636" i="9"/>
  <c r="BN395" i="9"/>
  <c r="BN414" i="9"/>
  <c r="BN81" i="9"/>
  <c r="BN424" i="9"/>
  <c r="BN173" i="9"/>
  <c r="BN572" i="9"/>
  <c r="BN44" i="9"/>
  <c r="BM470" i="9"/>
  <c r="BN470" i="9" s="1"/>
  <c r="BN363" i="9"/>
  <c r="BM532" i="9"/>
  <c r="BN532" i="9" s="1"/>
  <c r="BN400" i="9"/>
  <c r="BN350" i="9"/>
  <c r="BN531" i="9"/>
  <c r="BN461" i="9"/>
  <c r="BN442" i="9"/>
  <c r="BN413" i="9"/>
  <c r="BN314" i="9"/>
  <c r="BN65" i="9"/>
  <c r="BN675" i="9"/>
  <c r="BN398" i="9"/>
  <c r="BN345" i="9"/>
  <c r="BN600" i="9"/>
  <c r="BN299" i="9"/>
  <c r="BN498" i="9"/>
  <c r="BN418" i="9"/>
  <c r="BN389" i="9"/>
  <c r="BN269" i="9"/>
  <c r="BN593" i="9"/>
  <c r="BN259" i="9"/>
  <c r="BN652" i="9"/>
  <c r="BN630" i="9"/>
  <c r="BN661" i="9"/>
  <c r="BM508" i="9"/>
  <c r="BN508" i="9" s="1"/>
  <c r="BM501" i="9"/>
  <c r="BN501" i="9" s="1"/>
  <c r="BN407" i="9"/>
  <c r="BM73" i="9"/>
  <c r="BN73" i="9" s="1"/>
  <c r="B72" i="10"/>
  <c r="B83" i="10"/>
  <c r="BM584" i="9"/>
  <c r="BN584" i="9" s="1"/>
  <c r="BM457" i="9"/>
  <c r="BN457" i="9" s="1"/>
  <c r="BN264" i="9"/>
  <c r="BM161" i="9"/>
  <c r="BN161" i="9" s="1"/>
  <c r="BM544" i="9"/>
  <c r="BN544" i="9" s="1"/>
  <c r="BM136" i="9"/>
  <c r="BN136" i="9" s="1"/>
  <c r="BN127" i="9"/>
  <c r="BN344" i="9"/>
  <c r="BM518" i="9"/>
  <c r="BN518" i="9" s="1"/>
  <c r="BN107" i="9"/>
  <c r="BM616" i="9"/>
  <c r="BN616" i="9" s="1"/>
  <c r="BM298" i="9"/>
  <c r="BN298" i="9" s="1"/>
  <c r="BM426" i="9"/>
  <c r="BN426" i="9" s="1"/>
  <c r="BM545" i="9"/>
  <c r="BN545" i="9" s="1"/>
  <c r="BN559" i="9"/>
  <c r="BN141" i="9"/>
  <c r="BM13" i="9"/>
  <c r="BN13" i="9" s="1"/>
  <c r="BM328" i="9"/>
  <c r="BN328" i="9" s="1"/>
  <c r="BM180" i="9"/>
  <c r="BN180" i="9" s="1"/>
  <c r="BM101" i="9"/>
  <c r="BN101" i="9" s="1"/>
  <c r="BN633" i="9"/>
  <c r="BN86" i="9"/>
  <c r="BN568" i="9"/>
  <c r="BN277" i="9"/>
  <c r="BN193" i="9"/>
  <c r="BN280" i="9"/>
  <c r="BM411" i="9"/>
  <c r="BN411" i="9" s="1"/>
  <c r="BN38" i="9"/>
  <c r="BN381" i="9"/>
  <c r="BN386" i="9"/>
  <c r="BN131" i="9"/>
  <c r="BM170" i="9"/>
  <c r="BN170" i="9" s="1"/>
  <c r="BM431" i="9"/>
  <c r="BN431" i="9" s="1"/>
  <c r="BM550" i="9"/>
  <c r="BN550" i="9" s="1"/>
  <c r="BN245" i="9"/>
  <c r="BN80" i="9"/>
  <c r="BM655" i="9"/>
  <c r="BN655" i="9" s="1"/>
  <c r="BN448" i="9"/>
  <c r="BN419" i="9"/>
  <c r="BN115" i="9"/>
  <c r="BN74" i="9"/>
  <c r="BN66" i="9"/>
  <c r="BN517" i="9"/>
  <c r="BN456" i="9"/>
  <c r="BN618" i="9"/>
  <c r="BN373" i="9"/>
  <c r="BN198" i="9"/>
  <c r="BN606" i="9"/>
  <c r="BN591" i="9"/>
  <c r="BN570" i="9"/>
  <c r="BN561" i="9"/>
  <c r="BN530" i="9"/>
  <c r="BN505" i="9"/>
  <c r="BN405" i="9"/>
  <c r="BN330" i="9"/>
  <c r="BN272" i="9"/>
  <c r="BN223" i="9"/>
  <c r="BN207" i="9"/>
  <c r="BN189" i="9"/>
  <c r="BN103" i="9"/>
  <c r="BN556" i="9"/>
  <c r="BN524" i="9"/>
  <c r="BN380" i="9"/>
  <c r="BN365" i="9"/>
  <c r="BN252" i="9"/>
  <c r="BN177" i="9"/>
  <c r="BN92" i="9"/>
  <c r="BN72" i="9"/>
  <c r="BN57" i="9"/>
  <c r="BN629" i="9"/>
  <c r="BN651" i="9"/>
  <c r="BN643" i="9"/>
  <c r="BN493" i="9"/>
  <c r="BO493" i="9" s="1"/>
  <c r="BN68" i="9"/>
  <c r="BN634" i="9"/>
  <c r="BN192" i="9"/>
  <c r="BN295" i="9"/>
  <c r="BN260" i="9"/>
  <c r="BM656" i="9"/>
  <c r="BN656" i="9" s="1"/>
  <c r="BM162" i="9"/>
  <c r="BN162" i="9" s="1"/>
  <c r="BM301" i="9"/>
  <c r="BN301" i="9" s="1"/>
  <c r="BM664" i="9"/>
  <c r="BN664" i="9" s="1"/>
  <c r="BN21" i="9"/>
  <c r="BN186" i="9"/>
  <c r="BN246" i="9"/>
  <c r="BN158" i="9"/>
  <c r="BN346" i="9"/>
  <c r="BN494" i="9"/>
  <c r="BN265" i="9"/>
  <c r="BN370" i="9"/>
  <c r="BN557" i="9"/>
  <c r="BN548" i="9"/>
  <c r="BN459" i="9"/>
  <c r="BM439" i="9"/>
  <c r="BN439" i="9" s="1"/>
  <c r="BM256" i="9"/>
  <c r="BN256" i="9" s="1"/>
  <c r="BN197" i="9"/>
  <c r="BM182" i="9"/>
  <c r="BN182" i="9" s="1"/>
  <c r="BM648" i="9"/>
  <c r="BN648" i="9" s="1"/>
  <c r="BM669" i="9"/>
  <c r="BN669" i="9" s="1"/>
  <c r="BN321" i="9"/>
  <c r="BN276" i="9"/>
  <c r="BN496" i="9"/>
  <c r="BM595" i="9"/>
  <c r="BN595" i="9" s="1"/>
  <c r="BN302" i="9"/>
  <c r="BN17" i="9"/>
  <c r="BN306" i="9"/>
  <c r="BM575" i="9"/>
  <c r="BN575" i="9" s="1"/>
  <c r="BN522" i="9"/>
  <c r="BM467" i="9"/>
  <c r="BN467" i="9" s="1"/>
  <c r="BN394" i="9"/>
  <c r="BM367" i="9"/>
  <c r="BN367" i="9" s="1"/>
  <c r="BN358" i="9"/>
  <c r="BM320" i="9"/>
  <c r="BN320" i="9" s="1"/>
  <c r="BM206" i="9"/>
  <c r="BN206" i="9" s="1"/>
  <c r="BM316" i="9"/>
  <c r="BN316" i="9" s="1"/>
  <c r="BN168" i="9"/>
  <c r="BN331" i="9"/>
  <c r="BN278" i="9"/>
  <c r="BN171" i="9"/>
  <c r="BN239" i="9"/>
  <c r="BN560" i="9"/>
  <c r="BM551" i="9"/>
  <c r="BN551" i="9" s="1"/>
  <c r="BN525" i="9"/>
  <c r="BM444" i="9"/>
  <c r="BN444" i="9" s="1"/>
  <c r="BM432" i="9"/>
  <c r="BN432" i="9" s="1"/>
  <c r="BM286" i="9"/>
  <c r="BN286" i="9" s="1"/>
  <c r="BM6" i="9"/>
  <c r="BN6" i="9" s="1"/>
  <c r="BN588" i="9"/>
  <c r="BM539" i="9"/>
  <c r="BN539" i="9" s="1"/>
  <c r="BM491" i="9"/>
  <c r="BN491" i="9" s="1"/>
  <c r="BM475" i="9"/>
  <c r="BN475" i="9" s="1"/>
  <c r="BM415" i="9"/>
  <c r="BN415" i="9" s="1"/>
  <c r="BM379" i="9"/>
  <c r="BN379" i="9" s="1"/>
  <c r="BN372" i="9"/>
  <c r="BM138" i="9"/>
  <c r="BN138" i="9" s="1"/>
  <c r="BN111" i="9"/>
  <c r="BM53" i="9"/>
  <c r="BN53" i="9" s="1"/>
  <c r="BN307" i="9"/>
  <c r="BN347" i="9"/>
  <c r="BN159" i="9"/>
  <c r="BN304" i="9"/>
  <c r="BN279" i="9"/>
  <c r="BN125" i="9"/>
  <c r="BN175" i="9"/>
  <c r="BN410" i="9"/>
  <c r="BN443" i="9"/>
  <c r="BN283" i="9"/>
  <c r="BN312" i="9"/>
  <c r="BM592" i="9"/>
  <c r="BN592" i="9" s="1"/>
  <c r="BN447" i="9"/>
  <c r="BM242" i="9"/>
  <c r="BN242" i="9" s="1"/>
  <c r="BM625" i="9"/>
  <c r="BN625" i="9" s="1"/>
  <c r="BM571" i="9"/>
  <c r="BN571" i="9" s="1"/>
  <c r="BN554" i="9"/>
  <c r="BN519" i="9"/>
  <c r="BM506" i="9"/>
  <c r="BN506" i="9" s="1"/>
  <c r="BM71" i="9"/>
  <c r="BN71" i="9" s="1"/>
  <c r="BN485" i="9"/>
  <c r="BM393" i="9"/>
  <c r="BN393" i="9" s="1"/>
  <c r="BN378" i="9"/>
  <c r="BN362" i="9"/>
  <c r="BM335" i="9"/>
  <c r="BN335" i="9" s="1"/>
  <c r="BN250" i="9"/>
  <c r="BN224" i="9"/>
  <c r="BN152" i="9"/>
  <c r="BN97" i="9"/>
  <c r="BM56" i="9"/>
  <c r="BN56" i="9" s="1"/>
  <c r="BN489" i="9"/>
  <c r="BN450" i="9"/>
  <c r="BM383" i="9"/>
  <c r="BN383" i="9" s="1"/>
  <c r="BN238" i="9"/>
  <c r="BM210" i="9"/>
  <c r="BN210" i="9" s="1"/>
  <c r="BM188" i="9"/>
  <c r="BN188" i="9" s="1"/>
  <c r="B52" i="10"/>
  <c r="BM650" i="9"/>
  <c r="BN650" i="9" s="1"/>
  <c r="BM642" i="9"/>
  <c r="BN642" i="9" s="1"/>
  <c r="BM658" i="9"/>
  <c r="BN658" i="9" s="1"/>
  <c r="BN586" i="9"/>
  <c r="BN583" i="9"/>
  <c r="BN569" i="9"/>
  <c r="BN549" i="9"/>
  <c r="BN520" i="9"/>
  <c r="BN510" i="9"/>
  <c r="BN500" i="9"/>
  <c r="BN488" i="9"/>
  <c r="BN454" i="9"/>
  <c r="BN441" i="9"/>
  <c r="BN433" i="9"/>
  <c r="BN392" i="9"/>
  <c r="BM282" i="9"/>
  <c r="BN282" i="9" s="1"/>
  <c r="BN228" i="9"/>
  <c r="BN117" i="9"/>
  <c r="BN76" i="9"/>
  <c r="BN45" i="9"/>
  <c r="BN23" i="9"/>
  <c r="BN428" i="9"/>
  <c r="BM232" i="9"/>
  <c r="BN232" i="9" s="1"/>
  <c r="BM214" i="9"/>
  <c r="BN214" i="9" s="1"/>
  <c r="BM194" i="9"/>
  <c r="BN194" i="9" s="1"/>
  <c r="BN104" i="9"/>
  <c r="BM654" i="9"/>
  <c r="BN654" i="9" s="1"/>
  <c r="BN672" i="9"/>
  <c r="BN460" i="9"/>
  <c r="BN423" i="9"/>
  <c r="BM387" i="9"/>
  <c r="BN387" i="9" s="1"/>
  <c r="BN342" i="9"/>
  <c r="BN164" i="9"/>
  <c r="BN134" i="9"/>
  <c r="BM18" i="9"/>
  <c r="BN18" i="9" s="1"/>
  <c r="BN678" i="9"/>
  <c r="BN464" i="9"/>
  <c r="BN436" i="9"/>
  <c r="BM401" i="9"/>
  <c r="BN401" i="9" s="1"/>
  <c r="BN376" i="9"/>
  <c r="BM359" i="9"/>
  <c r="BN359" i="9" s="1"/>
  <c r="BN148" i="9"/>
  <c r="BN108" i="9"/>
  <c r="BN48" i="9"/>
  <c r="BM647" i="9"/>
  <c r="BN647" i="9" s="1"/>
  <c r="BN327" i="9"/>
  <c r="BN292" i="9"/>
  <c r="BN254" i="9"/>
  <c r="BN251" i="9"/>
  <c r="BN244" i="9"/>
  <c r="BN240" i="9"/>
  <c r="BN236" i="9"/>
  <c r="BN174" i="9"/>
  <c r="BN149" i="9"/>
  <c r="BN146" i="9"/>
  <c r="BN102" i="9"/>
  <c r="BN82" i="9"/>
  <c r="BN61" i="9"/>
  <c r="BN46" i="9"/>
  <c r="BN37" i="9"/>
  <c r="BN25" i="9"/>
  <c r="BN22" i="9"/>
  <c r="BN12" i="9"/>
  <c r="BN665" i="9"/>
  <c r="BN628" i="9"/>
  <c r="BN639" i="9"/>
  <c r="BN649" i="9"/>
  <c r="BN677" i="9"/>
  <c r="BN646" i="9"/>
  <c r="B123" i="10"/>
  <c r="B39" i="10"/>
  <c r="B99" i="10"/>
  <c r="B63" i="10"/>
  <c r="BN686" i="9"/>
  <c r="BN683" i="9"/>
  <c r="B79" i="10"/>
  <c r="B43" i="10"/>
  <c r="B103" i="10"/>
  <c r="B116" i="10"/>
  <c r="B20" i="10"/>
  <c r="B12" i="10"/>
  <c r="B59" i="10"/>
  <c r="B76" i="10"/>
  <c r="B9" i="10"/>
  <c r="B56" i="10"/>
  <c r="B36" i="10"/>
  <c r="B96" i="10"/>
  <c r="B120" i="10" l="1"/>
  <c r="B100" i="10"/>
  <c r="B40" i="10"/>
  <c r="B80" i="10"/>
  <c r="B60" i="10"/>
  <c r="B17" i="10"/>
  <c r="B22" i="10" s="1"/>
  <c r="B23" i="10" s="1"/>
</calcChain>
</file>

<file path=xl/comments1.xml><?xml version="1.0" encoding="utf-8"?>
<comments xmlns="http://schemas.openxmlformats.org/spreadsheetml/2006/main">
  <authors>
    <author/>
  </authors>
  <commentList>
    <comment ref="J139" authorId="0" shapeId="0">
      <text>
        <r>
          <rPr>
            <sz val="11"/>
            <color rgb="FF000000"/>
            <rFont val="Calibri"/>
            <family val="2"/>
            <charset val="1"/>
          </rPr>
          <t>2017</t>
        </r>
      </text>
    </comment>
    <comment ref="J140" authorId="0" shapeId="0">
      <text>
        <r>
          <rPr>
            <sz val="11"/>
            <color rgb="FF000000"/>
            <rFont val="Calibri"/>
            <family val="2"/>
            <charset val="1"/>
          </rPr>
          <t>2017</t>
        </r>
      </text>
    </comment>
    <comment ref="J142" authorId="0" shapeId="0">
      <text>
        <r>
          <rPr>
            <sz val="11"/>
            <color rgb="FF000000"/>
            <rFont val="Calibri"/>
            <family val="2"/>
            <charset val="1"/>
          </rPr>
          <t>2017</t>
        </r>
      </text>
    </comment>
    <comment ref="J143" authorId="0" shapeId="0">
      <text>
        <r>
          <rPr>
            <sz val="11"/>
            <color rgb="FF000000"/>
            <rFont val="Calibri"/>
            <family val="2"/>
            <charset val="1"/>
          </rPr>
          <t>2017</t>
        </r>
      </text>
    </comment>
    <comment ref="BL226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Aurore:
</t>
        </r>
        <r>
          <rPr>
            <sz val="9"/>
            <color rgb="FF000000"/>
            <rFont val="Tahoma"/>
            <family val="2"/>
            <charset val="1"/>
          </rPr>
          <t>Pk ce cout ne compte pas le cout de l'appareil colonne BE ?</t>
        </r>
      </text>
    </comment>
  </commentList>
</comments>
</file>

<file path=xl/sharedStrings.xml><?xml version="1.0" encoding="utf-8"?>
<sst xmlns="http://schemas.openxmlformats.org/spreadsheetml/2006/main" count="15657" uniqueCount="4434">
  <si>
    <t>dossier en cours</t>
  </si>
  <si>
    <t>dossier avec point à éclaircir</t>
  </si>
  <si>
    <t>Nb de dossiers engagés à 400€</t>
  </si>
  <si>
    <t>Nb de dossiers en attente à 400€</t>
  </si>
  <si>
    <t>dossier terminé</t>
  </si>
  <si>
    <t>Nb de dossiers engagés à 800€</t>
  </si>
  <si>
    <t>Nb de dossiers en attente à 800€</t>
  </si>
  <si>
    <t>dossier non éligible</t>
  </si>
  <si>
    <t>Nb de dossiers refusés</t>
  </si>
  <si>
    <t>-</t>
  </si>
  <si>
    <t>ETAPE  DE TRAITEMENT</t>
  </si>
  <si>
    <t>BOIS</t>
  </si>
  <si>
    <t>DEVIS</t>
  </si>
  <si>
    <t>FACTURE</t>
  </si>
  <si>
    <t>CIE_referent</t>
  </si>
  <si>
    <t>numero_dossier</t>
  </si>
  <si>
    <t>montant d'aide</t>
  </si>
  <si>
    <t>dossier_recu</t>
  </si>
  <si>
    <t>dossier_incomplet (option)</t>
  </si>
  <si>
    <t>dossier_incomplet_pieces_complementaires (option)</t>
  </si>
  <si>
    <t>dossier_complet</t>
  </si>
  <si>
    <t>transfert_dossier_complet_epci</t>
  </si>
  <si>
    <t>envoi_arrete_d_attribution</t>
  </si>
  <si>
    <t>facture_recu</t>
  </si>
  <si>
    <t>date_de_facture</t>
  </si>
  <si>
    <t>facture_incomplet (option)</t>
  </si>
  <si>
    <t>facture_complet_demandeur</t>
  </si>
  <si>
    <t>transfert_facture_facture_complet_epci</t>
  </si>
  <si>
    <t>Envoi compta pour paiement</t>
  </si>
  <si>
    <t>dossier_non_eligible</t>
  </si>
  <si>
    <t>rmq_si_non_eligible</t>
  </si>
  <si>
    <t>nom</t>
  </si>
  <si>
    <t>prenom</t>
  </si>
  <si>
    <t>nb de pers</t>
  </si>
  <si>
    <t>RFR</t>
  </si>
  <si>
    <t>adresse_numero</t>
  </si>
  <si>
    <t>adresse_voie</t>
  </si>
  <si>
    <t>adresse_CP</t>
  </si>
  <si>
    <t>adresse_ville</t>
  </si>
  <si>
    <t>adresse_tel</t>
  </si>
  <si>
    <t>adresse_mail</t>
  </si>
  <si>
    <t>statut_PO/PB</t>
  </si>
  <si>
    <t>surface</t>
  </si>
  <si>
    <t>date_acquisition</t>
  </si>
  <si>
    <t>adresse2_numero</t>
  </si>
  <si>
    <t>adresse2_voie</t>
  </si>
  <si>
    <t>adresse2_CP</t>
  </si>
  <si>
    <t>adresse2_ville</t>
  </si>
  <si>
    <t>entreprise_nom</t>
  </si>
  <si>
    <t>entreprise_commune</t>
  </si>
  <si>
    <t>entreprise_signataire</t>
  </si>
  <si>
    <t>entreprise_sous-traitance_pose</t>
  </si>
  <si>
    <t>Date de fin RGE</t>
  </si>
  <si>
    <t>entreprise_mail</t>
  </si>
  <si>
    <t>entreprise_tel</t>
  </si>
  <si>
    <t>appareil_ancien_type</t>
  </si>
  <si>
    <t>appareil_ancien_annee_acquisition</t>
  </si>
  <si>
    <t>type</t>
  </si>
  <si>
    <t>combustible</t>
  </si>
  <si>
    <t>marque</t>
  </si>
  <si>
    <t>modele</t>
  </si>
  <si>
    <t>poussieres</t>
  </si>
  <si>
    <t>puissance</t>
  </si>
  <si>
    <t>rendement</t>
  </si>
  <si>
    <t>CO</t>
  </si>
  <si>
    <t>FV_ou_registre</t>
  </si>
  <si>
    <t>cout_appareil</t>
  </si>
  <si>
    <t>cout_fourniture</t>
  </si>
  <si>
    <t>cout_tubage</t>
  </si>
  <si>
    <t>cout_main œuvre</t>
  </si>
  <si>
    <t>cout_total HT</t>
  </si>
  <si>
    <t>cout_TVA</t>
  </si>
  <si>
    <t>cout_total TTC</t>
  </si>
  <si>
    <t>ok pour communication</t>
  </si>
  <si>
    <t>invit_ateliers_bonnes_pratiques_papier</t>
  </si>
  <si>
    <t>ateliers_bonnes_pratiques</t>
  </si>
  <si>
    <t>JD / DC</t>
  </si>
  <si>
    <t>I02 (isolation) / V025 (bois) / S02 (solaire)</t>
  </si>
  <si>
    <t>reception email ou courrier</t>
  </si>
  <si>
    <t>envoi email "bonne reception" au demandeur</t>
  </si>
  <si>
    <t>envoi email "dossier incomplet" au demandeur</t>
  </si>
  <si>
    <t>remarques si incomplet, puis date lorsque dossier complet</t>
  </si>
  <si>
    <t>envoi email "dossier complet" au demandeur</t>
  </si>
  <si>
    <t>a remplir par CPV</t>
  </si>
  <si>
    <t>date de reception email ou courrier</t>
  </si>
  <si>
    <t>date de facturation</t>
  </si>
  <si>
    <t>remarques si incomplet, puis date lorsque complet</t>
  </si>
  <si>
    <t>envoi email "transfert facture" au demandeur</t>
  </si>
  <si>
    <t>envoi email "dossier non eligible" au demandeur</t>
  </si>
  <si>
    <t>oui_ou_registre</t>
  </si>
  <si>
    <t>AT</t>
  </si>
  <si>
    <t>V271</t>
  </si>
  <si>
    <t>Romain</t>
  </si>
  <si>
    <t>route_du_Vercors</t>
  </si>
  <si>
    <t>SAINT-CASSIEN</t>
  </si>
  <si>
    <t>PO</t>
  </si>
  <si>
    <t>VOIRON</t>
  </si>
  <si>
    <t>oui</t>
  </si>
  <si>
    <t>bois-soleil-chauffage@orange.fr</t>
  </si>
  <si>
    <t>cheminée</t>
  </si>
  <si>
    <t>poele</t>
  </si>
  <si>
    <t>granulé</t>
  </si>
  <si>
    <t>MCZ</t>
  </si>
  <si>
    <t>Ego_Confort_Air</t>
  </si>
  <si>
    <t>non</t>
  </si>
  <si>
    <t>V272</t>
  </si>
  <si>
    <t>Marc</t>
  </si>
  <si>
    <t>chemin_de_la_courrière</t>
  </si>
  <si>
    <t>VOREPPE</t>
  </si>
  <si>
    <t>ALO_Lorenzo</t>
  </si>
  <si>
    <t>cheminees.jay@orange.fr</t>
  </si>
  <si>
    <t>insert</t>
  </si>
  <si>
    <t>buche</t>
  </si>
  <si>
    <t>TURBO FONTE</t>
  </si>
  <si>
    <t>Eleseo_700_E</t>
  </si>
  <si>
    <t>V273</t>
  </si>
  <si>
    <t>Pascal</t>
  </si>
  <si>
    <t>lotissement_orgeoise</t>
  </si>
  <si>
    <t>COUBLEVIE</t>
  </si>
  <si>
    <t>LIBER_Jean-Christophe</t>
  </si>
  <si>
    <t>jlc.services@orange.fr</t>
  </si>
  <si>
    <t>FONTE_FLAMME</t>
  </si>
  <si>
    <t>Managa</t>
  </si>
  <si>
    <t>V274</t>
  </si>
  <si>
    <t>Rue_genev_anthonioz_de_gaule</t>
  </si>
  <si>
    <t>PB</t>
  </si>
  <si>
    <t>route_du_souillet</t>
  </si>
  <si>
    <t>Sagar_Air</t>
  </si>
  <si>
    <t>V275</t>
  </si>
  <si>
    <t>Christophe</t>
  </si>
  <si>
    <t>rue_victor_cassien</t>
  </si>
  <si>
    <t>DHENNAIN_Jean-Pierre</t>
  </si>
  <si>
    <t>contact@techni-nature.com</t>
  </si>
  <si>
    <t>HOBEN</t>
  </si>
  <si>
    <t>H6_ECLIPSE_BLACKMOON</t>
  </si>
  <si>
    <t>V276</t>
  </si>
  <si>
    <t>Facture non acquitée : ok</t>
  </si>
  <si>
    <t>Antoine</t>
  </si>
  <si>
    <t>route_de_saint_aupre</t>
  </si>
  <si>
    <t>SAINT_ETIENNE_DE_CROSSEY</t>
  </si>
  <si>
    <t>SIMON_F</t>
  </si>
  <si>
    <t>contact@ecvoiron.fr</t>
  </si>
  <si>
    <t>&lt;1995</t>
  </si>
  <si>
    <t>foyer</t>
  </si>
  <si>
    <t>ROMOTOP</t>
  </si>
  <si>
    <t>LR_2G_S</t>
  </si>
  <si>
    <t>V277</t>
  </si>
  <si>
    <t>route_des_jolis</t>
  </si>
  <si>
    <t>CHIRENS</t>
  </si>
  <si>
    <t>MOOD</t>
  </si>
  <si>
    <t>V278</t>
  </si>
  <si>
    <t>Manque photo: ok</t>
  </si>
  <si>
    <t>chemin_de_la_cote_peyroliere</t>
  </si>
  <si>
    <t>SAINT_CASSIEN</t>
  </si>
  <si>
    <t>SARL_PAB</t>
  </si>
  <si>
    <t>AILLOUD_Jérôme</t>
  </si>
  <si>
    <t>sarlpab@orange.fr</t>
  </si>
  <si>
    <t>FREEPOINT</t>
  </si>
  <si>
    <t>VEGA</t>
  </si>
  <si>
    <t>V279</t>
  </si>
  <si>
    <t>Julien</t>
  </si>
  <si>
    <t>chemin_du_cholat</t>
  </si>
  <si>
    <t>SAINT_SULPICE_DES_RIVOIRES</t>
  </si>
  <si>
    <t>CARRE_François</t>
  </si>
  <si>
    <t>f.carre@carre-f.com</t>
  </si>
  <si>
    <t>PALLAZETTI</t>
  </si>
  <si>
    <t>ANITA_9</t>
  </si>
  <si>
    <t>V280</t>
  </si>
  <si>
    <t>Sebastien</t>
  </si>
  <si>
    <t>boulevard_de_charavines</t>
  </si>
  <si>
    <t>PALADRU</t>
  </si>
  <si>
    <t>contact@sgee.fr</t>
  </si>
  <si>
    <t>cuisinière</t>
  </si>
  <si>
    <t>&lt;1990</t>
  </si>
  <si>
    <t>EDILKAMIN</t>
  </si>
  <si>
    <t>TALLY_UP</t>
  </si>
  <si>
    <t>V281</t>
  </si>
  <si>
    <t>Richard</t>
  </si>
  <si>
    <t>impasse_du_bois_michal</t>
  </si>
  <si>
    <t>ECOCONFORT</t>
  </si>
  <si>
    <t>V282</t>
  </si>
  <si>
    <t>rue_de_la_gachetiere</t>
  </si>
  <si>
    <t>VOGLANS</t>
  </si>
  <si>
    <t>steyo.energie@gmail.com</t>
  </si>
  <si>
    <t>PIAZZETTA</t>
  </si>
  <si>
    <t>P943M</t>
  </si>
  <si>
    <t>AG</t>
  </si>
  <si>
    <t>V283</t>
  </si>
  <si>
    <t>Jacques</t>
  </si>
  <si>
    <t>chemin_du_mortier</t>
  </si>
  <si>
    <t>ORANIER</t>
  </si>
  <si>
    <t>ARENA</t>
  </si>
  <si>
    <t>V284</t>
  </si>
  <si>
    <t>Manque RIB</t>
  </si>
  <si>
    <t>chemin_du_vert</t>
  </si>
  <si>
    <t>TULLINS</t>
  </si>
  <si>
    <t>MOREY_Thomas</t>
  </si>
  <si>
    <t>thomas.morey@wattethome.com</t>
  </si>
  <si>
    <t>BEATRICE</t>
  </si>
  <si>
    <t>V285</t>
  </si>
  <si>
    <t>Photo non conforme. Cheminée déjà transformée en bibliothèque</t>
  </si>
  <si>
    <t>route_du_saquet</t>
  </si>
  <si>
    <t>LA_SURE_EN_CHARTREUSE</t>
  </si>
  <si>
    <t>SAINT_LAURENT_DU_PONT</t>
  </si>
  <si>
    <t>MONIN_Stéphane</t>
  </si>
  <si>
    <t>moninplomberie@gmail.com</t>
  </si>
  <si>
    <t>&lt;2007</t>
  </si>
  <si>
    <t>V286</t>
  </si>
  <si>
    <t>Michel</t>
  </si>
  <si>
    <t>chemin_de_simandre</t>
  </si>
  <si>
    <t>ZAPPONNE_Thierry</t>
  </si>
  <si>
    <t>jcduo@orange.fr</t>
  </si>
  <si>
    <t>DOVRE</t>
  </si>
  <si>
    <t>2620_SCB</t>
  </si>
  <si>
    <t>V287</t>
  </si>
  <si>
    <t>Fabrice</t>
  </si>
  <si>
    <t>chemin_des_cerises</t>
  </si>
  <si>
    <t>MOIRANS</t>
  </si>
  <si>
    <t>JACQU'CHEMINEES</t>
  </si>
  <si>
    <t>FAURE_Jacques</t>
  </si>
  <si>
    <t>jacques.faure24@wanadoo.fr</t>
  </si>
  <si>
    <t>V288</t>
  </si>
  <si>
    <t>Demande de précision devis</t>
  </si>
  <si>
    <t>route_de_la_morge</t>
  </si>
  <si>
    <t>&lt;1920</t>
  </si>
  <si>
    <t>NOVALINE_Fonte_Flamme</t>
  </si>
  <si>
    <t>gusto_back</t>
  </si>
  <si>
    <t>V289</t>
  </si>
  <si>
    <t>route_du_paris</t>
  </si>
  <si>
    <t>CHARREL_Stephane</t>
  </si>
  <si>
    <t>contact@fer-et-feu.fr</t>
  </si>
  <si>
    <t>&lt;2002</t>
  </si>
  <si>
    <t>RIKA</t>
  </si>
  <si>
    <t>COMO</t>
  </si>
  <si>
    <t>V290</t>
  </si>
  <si>
    <t>Franck</t>
  </si>
  <si>
    <t>rue_de_la_liberte</t>
  </si>
  <si>
    <t>RIVES</t>
  </si>
  <si>
    <t>GILLET_Pascal</t>
  </si>
  <si>
    <t>V291</t>
  </si>
  <si>
    <t>Lionel</t>
  </si>
  <si>
    <t>montee_du_petit_bilie</t>
  </si>
  <si>
    <t>BILIEU</t>
  </si>
  <si>
    <t>OLIGER</t>
  </si>
  <si>
    <t>SCHROEDER_Serge</t>
  </si>
  <si>
    <t>info@oliger.fr</t>
  </si>
  <si>
    <t>ALPHASTAR</t>
  </si>
  <si>
    <t>V292</t>
  </si>
  <si>
    <t>Photo non conforme. Poêle non raccordé.</t>
  </si>
  <si>
    <t>Jérôme</t>
  </si>
  <si>
    <t>rue_anatole_france</t>
  </si>
  <si>
    <t>JOTUL</t>
  </si>
  <si>
    <t>F_305_B</t>
  </si>
  <si>
    <t>V293</t>
  </si>
  <si>
    <t>taxe_habitation: ok</t>
  </si>
  <si>
    <t>facture non payé&amp;e</t>
  </si>
  <si>
    <t>Frédéric</t>
  </si>
  <si>
    <t>rue_du_bourg_vieux</t>
  </si>
  <si>
    <t>ADURO</t>
  </si>
  <si>
    <t>Aduro_9-7</t>
  </si>
  <si>
    <t>V294</t>
  </si>
  <si>
    <t>rue_de_l'Isère</t>
  </si>
  <si>
    <t>LA_BUISSE</t>
  </si>
  <si>
    <t>F373_advance</t>
  </si>
  <si>
    <t>V295</t>
  </si>
  <si>
    <t>Poêle pas 7*</t>
  </si>
  <si>
    <t>Thierry</t>
  </si>
  <si>
    <t>rue_de_la_mayoussière</t>
  </si>
  <si>
    <t>ECOVESTA</t>
  </si>
  <si>
    <t>PANISSIERES</t>
  </si>
  <si>
    <t>BABEL_Christophe</t>
  </si>
  <si>
    <t>contact@ecovesta.fr</t>
  </si>
  <si>
    <t>CMG</t>
  </si>
  <si>
    <t>EIREN</t>
  </si>
  <si>
    <t>V296</t>
  </si>
  <si>
    <t>date Facture mausvaise - AT 03/17 msg tel laissé pour demander facture nouvelle date</t>
  </si>
  <si>
    <t>route_de_la_croix_de_tolvon</t>
  </si>
  <si>
    <t xml:space="preserve">marketing@carre-f.com </t>
  </si>
  <si>
    <t>FIREPLACE</t>
  </si>
  <si>
    <t>MONTE_CARLO</t>
  </si>
  <si>
    <t>V297</t>
  </si>
  <si>
    <t>envoyé le 02/01/2017 puis refusé</t>
  </si>
  <si>
    <t>Pb dates</t>
  </si>
  <si>
    <t>Gérard</t>
  </si>
  <si>
    <t>allée_de_la_source</t>
  </si>
  <si>
    <t>accueil@carre-f.com</t>
  </si>
  <si>
    <t>V298</t>
  </si>
  <si>
    <t>Devis + justif domicile</t>
  </si>
  <si>
    <t>20/19/18</t>
  </si>
  <si>
    <t>Laurent</t>
  </si>
  <si>
    <t>chemin_de_virieu</t>
  </si>
  <si>
    <t>LE_PIN</t>
  </si>
  <si>
    <t>FIARD_Alain</t>
  </si>
  <si>
    <t>TINY</t>
  </si>
  <si>
    <t>V299</t>
  </si>
  <si>
    <t>RIB + justif domicile + photo: OK</t>
  </si>
  <si>
    <t>impasse_des_osiers</t>
  </si>
  <si>
    <t>DIK_GEURTS_PAR_FONTE_FLAMME</t>
  </si>
  <si>
    <t>BORA</t>
  </si>
  <si>
    <t>V300</t>
  </si>
  <si>
    <t>foyer non FV 7*/réponse CRPIPTT_bopis du 22/12/17.=pas éligible / client en attente de choix
AG : message laissé sur répondeur le 27,07 pour clôturer le dossier</t>
  </si>
  <si>
    <t>FV 6*</t>
  </si>
  <si>
    <t>BERGER</t>
  </si>
  <si>
    <t>Pascale</t>
  </si>
  <si>
    <t>chemin_de_beauplan</t>
  </si>
  <si>
    <t>VYROSA</t>
  </si>
  <si>
    <t>OLIVA</t>
  </si>
  <si>
    <t>V301</t>
  </si>
  <si>
    <t>Gilles</t>
  </si>
  <si>
    <t>rue_perrier</t>
  </si>
  <si>
    <t>ROTA</t>
  </si>
  <si>
    <t>V302</t>
  </si>
  <si>
    <t>artisan plus RGE au 24/12/17</t>
  </si>
  <si>
    <t>route_du_guillon</t>
  </si>
  <si>
    <t>SERPOLET_Guy</t>
  </si>
  <si>
    <t>sasc2denergie@gmail.com</t>
  </si>
  <si>
    <t>SUPRA</t>
  </si>
  <si>
    <t>CHLOE</t>
  </si>
  <si>
    <t>V303</t>
  </si>
  <si>
    <t>Gerard</t>
  </si>
  <si>
    <t>route_du_chateau</t>
  </si>
  <si>
    <t>REAUMONT</t>
  </si>
  <si>
    <t>V304</t>
  </si>
  <si>
    <t>Yves</t>
  </si>
  <si>
    <t>rue_de_termérieu</t>
  </si>
  <si>
    <t>DIDIER_Jean-Claude</t>
  </si>
  <si>
    <t>mixte</t>
  </si>
  <si>
    <t>MAX_BLANK</t>
  </si>
  <si>
    <t>RIOSP_STORE</t>
  </si>
  <si>
    <t>V305</t>
  </si>
  <si>
    <t>manque photo</t>
  </si>
  <si>
    <t>rue_des_pervenches</t>
  </si>
  <si>
    <t>SIGMA_74_CVD</t>
  </si>
  <si>
    <t>V306</t>
  </si>
  <si>
    <t>Manque Taxe foncière</t>
  </si>
  <si>
    <t>chemin_de_la_courbatiere</t>
  </si>
  <si>
    <t>GEORGES_Josselin</t>
  </si>
  <si>
    <t>godin-grenoble@orange.fr</t>
  </si>
  <si>
    <t>GODIN</t>
  </si>
  <si>
    <t>695_SR</t>
  </si>
  <si>
    <t>V307</t>
  </si>
  <si>
    <t>abandon</t>
  </si>
  <si>
    <t>Abandon des démarches</t>
  </si>
  <si>
    <t>avenue_andré_malraux</t>
  </si>
  <si>
    <t>INVICTA</t>
  </si>
  <si>
    <t>MANDOR</t>
  </si>
  <si>
    <t>V308</t>
  </si>
  <si>
    <t>Résidence secondaire: demande de doc complémentaires</t>
  </si>
  <si>
    <t>Serge</t>
  </si>
  <si>
    <t>route_de_bilieu</t>
  </si>
  <si>
    <t>ALP'CONFORT</t>
  </si>
  <si>
    <t>CARUANA_Anthony</t>
  </si>
  <si>
    <t>a.caruana@alp-confort.fr</t>
  </si>
  <si>
    <t>I520</t>
  </si>
  <si>
    <t>nc</t>
  </si>
  <si>
    <t>V309</t>
  </si>
  <si>
    <t>BENOIT</t>
  </si>
  <si>
    <t>Patricia</t>
  </si>
  <si>
    <t>rue_saint_michel</t>
  </si>
  <si>
    <t>V310</t>
  </si>
  <si>
    <t>Pas FV7*</t>
  </si>
  <si>
    <t>François</t>
  </si>
  <si>
    <t>route_des_picottes</t>
  </si>
  <si>
    <t>CHARNECLES</t>
  </si>
  <si>
    <t>101_2V</t>
  </si>
  <si>
    <t>V311</t>
  </si>
  <si>
    <t>avenue_dugueyt-jouvin</t>
  </si>
  <si>
    <t>PALLAS_M</t>
  </si>
  <si>
    <t>V312</t>
  </si>
  <si>
    <t>manque photo et attestation fin de travaux non signée par particulier : ok</t>
  </si>
  <si>
    <t>chemin_de_coublevie</t>
  </si>
  <si>
    <t>eric.marguet@sbidaud.fr</t>
  </si>
  <si>
    <t>UGO_CADEL</t>
  </si>
  <si>
    <t>VICTORIA_EFFICIENT_DYNAMIC</t>
  </si>
  <si>
    <t>registre</t>
  </si>
  <si>
    <t>V313</t>
  </si>
  <si>
    <t>rue_du_louvasset</t>
  </si>
  <si>
    <t>SUMO_RAO</t>
  </si>
  <si>
    <t>V314</t>
  </si>
  <si>
    <t>MERLE</t>
  </si>
  <si>
    <t>Bruno</t>
  </si>
  <si>
    <t>avenue_de_le_contamine</t>
  </si>
  <si>
    <t>V315</t>
  </si>
  <si>
    <t>route_des_fayoles</t>
  </si>
  <si>
    <t>TORRES_Kevin</t>
  </si>
  <si>
    <t>commercial-godin@orange.fr</t>
  </si>
  <si>
    <t>SUPERCHAUFF</t>
  </si>
  <si>
    <t>V316</t>
  </si>
  <si>
    <t>pas FV7* -&gt; OK le // / ma,que taxe d'habitation</t>
  </si>
  <si>
    <t>Route_de_la_fromentale</t>
  </si>
  <si>
    <t>PEAUGRES</t>
  </si>
  <si>
    <t>Lot_Le_Bourg_Impasse_st_Michel</t>
  </si>
  <si>
    <t>S71/I520_VLD</t>
  </si>
  <si>
    <t>V317</t>
  </si>
  <si>
    <t>Jean-Luc</t>
  </si>
  <si>
    <t>Route_de_Chateaubourg</t>
  </si>
  <si>
    <t>V318</t>
  </si>
  <si>
    <t>Chemin_en_Lay</t>
  </si>
  <si>
    <t>Reaumont</t>
  </si>
  <si>
    <t>foyer_ferme</t>
  </si>
  <si>
    <t>SUPERCHAUFF_698-2</t>
  </si>
  <si>
    <t>V319</t>
  </si>
  <si>
    <t>facturé avant arrêté</t>
  </si>
  <si>
    <t>Jean-Paul</t>
  </si>
  <si>
    <t>rue_de_montponçon_10_L'orée_du_bois</t>
  </si>
  <si>
    <t>CASTAN_Traçy</t>
  </si>
  <si>
    <t>chemineescastan@orange.fr</t>
  </si>
  <si>
    <t>FONDIS</t>
  </si>
  <si>
    <t>V80L</t>
  </si>
  <si>
    <t>V320</t>
  </si>
  <si>
    <t>Guillaume</t>
  </si>
  <si>
    <t>Rue_du_vergeron</t>
  </si>
  <si>
    <t>LANAO-MAZAN-MANAGA</t>
  </si>
  <si>
    <t>V321</t>
  </si>
  <si>
    <t>RODRIGUEZ</t>
  </si>
  <si>
    <t>Rue_Taillefer</t>
  </si>
  <si>
    <t>CHATTE</t>
  </si>
  <si>
    <t>Roubinet_Jean-François</t>
  </si>
  <si>
    <t>chaleurbois38@orange.fr</t>
  </si>
  <si>
    <t>INOVALP</t>
  </si>
  <si>
    <t>HOBEN_H6</t>
  </si>
  <si>
    <t>V322</t>
  </si>
  <si>
    <t>Manque taxe habitation</t>
  </si>
  <si>
    <t>chemin_des_rajans</t>
  </si>
  <si>
    <t>SUITE_COMFORT_AIR</t>
  </si>
  <si>
    <t>V323</t>
  </si>
  <si>
    <t>RGE sur facture</t>
  </si>
  <si>
    <t>Nadège</t>
  </si>
  <si>
    <t>route_du_bret</t>
  </si>
  <si>
    <t>SAINT_JULIEN_DE_RATZ</t>
  </si>
  <si>
    <t>foyer_ouvert</t>
  </si>
  <si>
    <t>V324</t>
  </si>
  <si>
    <t>chemin_de_la_galise</t>
  </si>
  <si>
    <t>FENTE_FLAMME</t>
  </si>
  <si>
    <t>V325</t>
  </si>
  <si>
    <t>Res secondaire ?</t>
  </si>
  <si>
    <t>Résidence secondaire</t>
  </si>
  <si>
    <t>chemin_du_four</t>
  </si>
  <si>
    <t>CHARAVINES</t>
  </si>
  <si>
    <t>SIMON</t>
  </si>
  <si>
    <t>PALAZETTI</t>
  </si>
  <si>
    <t>JULIE</t>
  </si>
  <si>
    <t>V326</t>
  </si>
  <si>
    <t>BERNARD</t>
  </si>
  <si>
    <t>route_des_pierres_blanches</t>
  </si>
  <si>
    <t>VOUREY</t>
  </si>
  <si>
    <t>ARENA_Plus</t>
  </si>
  <si>
    <t>V327</t>
  </si>
  <si>
    <t>Jean-Pierre</t>
  </si>
  <si>
    <t>chemin_de_la_zille</t>
  </si>
  <si>
    <t>LA_MURETTE</t>
  </si>
  <si>
    <t>BOURGOIN-JALLIEU</t>
  </si>
  <si>
    <t>CLAREL_Pascal</t>
  </si>
  <si>
    <t>sandra@alp-confort.fr</t>
  </si>
  <si>
    <t>EXTRAFLAME</t>
  </si>
  <si>
    <t>Anastasia +</t>
  </si>
  <si>
    <t>V328</t>
  </si>
  <si>
    <t>manque instalateur RGE</t>
  </si>
  <si>
    <t>Rue_du_petit_bessey</t>
  </si>
  <si>
    <t>V329</t>
  </si>
  <si>
    <t>rue_du_grand_françois</t>
  </si>
  <si>
    <t>MUSA_COMFORT_AIR_2016-UP</t>
  </si>
  <si>
    <t>V330</t>
  </si>
  <si>
    <t>chemin_de_la_pissotte</t>
  </si>
  <si>
    <t xml:space="preserve"> </t>
  </si>
  <si>
    <t>ATTIKA</t>
  </si>
  <si>
    <t>VIVA_120L</t>
  </si>
  <si>
    <t>V331</t>
  </si>
  <si>
    <t>Facture non aquittée: ok</t>
  </si>
  <si>
    <t>Vincent</t>
  </si>
  <si>
    <t>rue_des_tisserands</t>
  </si>
  <si>
    <t>DOMO</t>
  </si>
  <si>
    <t>V332</t>
  </si>
  <si>
    <t>route_des_reynauds</t>
  </si>
  <si>
    <t>F305</t>
  </si>
  <si>
    <t>V333</t>
  </si>
  <si>
    <t>facture non acquittée + anque justif destruction</t>
  </si>
  <si>
    <t>Olivier</t>
  </si>
  <si>
    <t>hameau_de_beau_rivoire</t>
  </si>
  <si>
    <t>ANGLE_L/R_2G_S_88.51.44.01</t>
  </si>
  <si>
    <t>V334</t>
  </si>
  <si>
    <t>chemin_de_la_burletiere</t>
  </si>
  <si>
    <t>Meltemi</t>
  </si>
  <si>
    <t>V335</t>
  </si>
  <si>
    <t>Jean-Louis</t>
  </si>
  <si>
    <t>rue_du_fangeat</t>
  </si>
  <si>
    <t>695-5</t>
  </si>
  <si>
    <t>V336</t>
  </si>
  <si>
    <t>11/04/18 (msg tel)</t>
  </si>
  <si>
    <t>manque fourniture poele</t>
  </si>
  <si>
    <t>route_de_la_sure</t>
  </si>
  <si>
    <t>grenoble@hase-boutique.fr</t>
  </si>
  <si>
    <t>HASE</t>
  </si>
  <si>
    <t>Jena</t>
  </si>
  <si>
    <t>V337</t>
  </si>
  <si>
    <t>manque: justif rés + rib</t>
  </si>
  <si>
    <t>rue_du_boutet</t>
  </si>
  <si>
    <t>CARVANA_Anthony</t>
  </si>
  <si>
    <t>contact.echirolles@alp-confort.fr</t>
  </si>
  <si>
    <t>SCAN</t>
  </si>
  <si>
    <t>Scan-80</t>
  </si>
  <si>
    <t>AT/ML</t>
  </si>
  <si>
    <t>V338</t>
  </si>
  <si>
    <t>Eric</t>
  </si>
  <si>
    <t>route_des_coquettes</t>
  </si>
  <si>
    <t>aucoindufeu38@gmail.com</t>
  </si>
  <si>
    <t>Forma</t>
  </si>
  <si>
    <t>V339</t>
  </si>
  <si>
    <t>manque: formulaire demande + poele pas FV7*</t>
  </si>
  <si>
    <t>Hors territoire</t>
  </si>
  <si>
    <t>route_du_tram</t>
  </si>
  <si>
    <t>COLOMBE</t>
  </si>
  <si>
    <t>Lia</t>
  </si>
  <si>
    <t>V340</t>
  </si>
  <si>
    <t>David</t>
  </si>
  <si>
    <t>montee_de_la_chapelle</t>
  </si>
  <si>
    <t>contact@wattethome.com</t>
  </si>
  <si>
    <t>Marianne</t>
  </si>
  <si>
    <t>V341</t>
  </si>
  <si>
    <t>chemin_des_chardons</t>
  </si>
  <si>
    <t>SAINT_JEAN_DE_MOIRANS</t>
  </si>
  <si>
    <t>TENCIN</t>
  </si>
  <si>
    <t>BRUNO_Pascal</t>
  </si>
  <si>
    <t>pascal.brn@gmail.com</t>
  </si>
  <si>
    <t>H5</t>
  </si>
  <si>
    <t>V342</t>
  </si>
  <si>
    <t>chemin_de_la_matiniere</t>
  </si>
  <si>
    <t>PICCINI</t>
  </si>
  <si>
    <t>pascale.energies@gmail.com</t>
  </si>
  <si>
    <t>Ove</t>
  </si>
  <si>
    <t>V343</t>
  </si>
  <si>
    <t>artisan pas encore RGE: en attente</t>
  </si>
  <si>
    <t>Sylvie</t>
  </si>
  <si>
    <t>route_des_mille_martyrs</t>
  </si>
  <si>
    <t>MERLAS</t>
  </si>
  <si>
    <t>NESTORI_Olivier</t>
  </si>
  <si>
    <t>nessfrance38@hotmail.fr</t>
  </si>
  <si>
    <t>Chloe</t>
  </si>
  <si>
    <t>V344</t>
  </si>
  <si>
    <t>route_du_val_d_ainan</t>
  </si>
  <si>
    <t>Halo</t>
  </si>
  <si>
    <t>V345</t>
  </si>
  <si>
    <t>chemin_du_pansu</t>
  </si>
  <si>
    <t>Stromboli_N</t>
  </si>
  <si>
    <t>V346</t>
  </si>
  <si>
    <t>Francis</t>
  </si>
  <si>
    <t>allée_des_terrasses_de_criel</t>
  </si>
  <si>
    <t>Evora</t>
  </si>
  <si>
    <t>V347</t>
  </si>
  <si>
    <t>attention artisan bientôt plus rge</t>
  </si>
  <si>
    <t>l'orée_du_bois</t>
  </si>
  <si>
    <t>Eliseo_700_efficiens_i</t>
  </si>
  <si>
    <t>V348</t>
  </si>
  <si>
    <t>Poele pas FV: OK, manque instalateur: OK, photo non conforme : OK</t>
  </si>
  <si>
    <t>chemin_du_pigeonnier</t>
  </si>
  <si>
    <t>GILLIN_Nathalie</t>
  </si>
  <si>
    <t>04 38 86 98 36</t>
  </si>
  <si>
    <t>Gbbe_Air_2_Noir</t>
  </si>
  <si>
    <t>V349</t>
  </si>
  <si>
    <t>Dossier annulé, puis demande de recours acceptée</t>
  </si>
  <si>
    <t>manque cerfa + attestation fin travaux</t>
  </si>
  <si>
    <t>Patrick</t>
  </si>
  <si>
    <t>lot_les_jardins_du_centre</t>
  </si>
  <si>
    <t>04 76 05 99 38</t>
  </si>
  <si>
    <t>Filo</t>
  </si>
  <si>
    <t>V350</t>
  </si>
  <si>
    <t>La_Platte</t>
  </si>
  <si>
    <t xml:space="preserve">DIK_GEURTS_par_FONTE_FLAMME </t>
  </si>
  <si>
    <t>VIDAR_TRIPLE</t>
  </si>
  <si>
    <t>V351</t>
  </si>
  <si>
    <t>Pas FV7*  +artisan pas RGE pour bois : AG : ok pour les deux</t>
  </si>
  <si>
    <t>montée_du_raffet</t>
  </si>
  <si>
    <t>RUY-MONTCEAU</t>
  </si>
  <si>
    <t>accueil@sbidaud.fr</t>
  </si>
  <si>
    <t>04 37 03 99 13</t>
  </si>
  <si>
    <t>CS_THERMOS</t>
  </si>
  <si>
    <t>Libera</t>
  </si>
  <si>
    <t>V352</t>
  </si>
  <si>
    <t>Joseph</t>
  </si>
  <si>
    <t>impasse_le_bois_michel_le_royer</t>
  </si>
  <si>
    <t>Curl_8</t>
  </si>
  <si>
    <t>V353</t>
  </si>
  <si>
    <t>manque signature attestation fin de travaux</t>
  </si>
  <si>
    <t>montée_d'hurtières_le_chanin</t>
  </si>
  <si>
    <t>VEYRINS-THUELLINS</t>
  </si>
  <si>
    <t>contact@passion-flamme.fr</t>
  </si>
  <si>
    <t>09 83 77 71 64</t>
  </si>
  <si>
    <t>LORFLAM</t>
  </si>
  <si>
    <t>OFEN_5</t>
  </si>
  <si>
    <t>V354</t>
  </si>
  <si>
    <t>manque signature attestation fion travaux</t>
  </si>
  <si>
    <t>Alain</t>
  </si>
  <si>
    <t>route_du_rivier</t>
  </si>
  <si>
    <t>RONKY_PIERRE_OLLAIRE</t>
  </si>
  <si>
    <t>MG</t>
  </si>
  <si>
    <t>V355</t>
  </si>
  <si>
    <t>20054
34920</t>
  </si>
  <si>
    <t>rue_des_arts_et_métiers</t>
  </si>
  <si>
    <t>GRENOBLE</t>
  </si>
  <si>
    <t>chemin_des_côtes</t>
  </si>
  <si>
    <t>stylflamme@sfr.fr</t>
  </si>
  <si>
    <t>06 11 26 41 81</t>
  </si>
  <si>
    <t>H1</t>
  </si>
  <si>
    <t>V356</t>
  </si>
  <si>
    <t>RIB à la bonne adresse -&gt; reçu, OK ML</t>
  </si>
  <si>
    <t>Dominique</t>
  </si>
  <si>
    <t>route_de_merlas</t>
  </si>
  <si>
    <t>SAINT_BUEIL</t>
  </si>
  <si>
    <t>04 76 37 03 50</t>
  </si>
  <si>
    <t>Anna_12_pro_3</t>
  </si>
  <si>
    <t>V357</t>
  </si>
  <si>
    <t>avenue_gambetta</t>
  </si>
  <si>
    <t>Sol</t>
  </si>
  <si>
    <t>CRITTBOIS</t>
  </si>
  <si>
    <t>V358</t>
  </si>
  <si>
    <t>route_de_l'église</t>
  </si>
  <si>
    <t>04 76 50 05 50</t>
  </si>
  <si>
    <t>V359</t>
  </si>
  <si>
    <t>message vocal : 2° page taxe habitation + photo plan large</t>
  </si>
  <si>
    <t>route_du_sabot</t>
  </si>
  <si>
    <t>04 76 35 56 05</t>
  </si>
  <si>
    <t>vision 700-8K</t>
  </si>
  <si>
    <t>V360</t>
  </si>
  <si>
    <t>PIGACHE</t>
  </si>
  <si>
    <t>route_de_bois_vert</t>
  </si>
  <si>
    <t>&lt;2001</t>
  </si>
  <si>
    <t>LENI_ETANCHE</t>
  </si>
  <si>
    <t>V361</t>
  </si>
  <si>
    <t>John</t>
  </si>
  <si>
    <t>rue lamartine</t>
  </si>
  <si>
    <t>Havana</t>
  </si>
  <si>
    <t>V362</t>
  </si>
  <si>
    <t>Demande d'aide annulée : achat d'un poele à bois d'occasion</t>
  </si>
  <si>
    <t>TESTINO</t>
  </si>
  <si>
    <t>04 38 02 90 38</t>
  </si>
  <si>
    <t>CAMINETTI_MONTEGRAPPA-EIRENE_9</t>
  </si>
  <si>
    <t>V363</t>
  </si>
  <si>
    <t>BRET</t>
  </si>
  <si>
    <t>route_des_moulins</t>
  </si>
  <si>
    <t>ECOFIRE_JULIE_9_PRO_2</t>
  </si>
  <si>
    <t>V364</t>
  </si>
  <si>
    <t>Philippe</t>
  </si>
  <si>
    <t>route_de_paris</t>
  </si>
  <si>
    <t>GERENTE-PAQUET_Hervé</t>
  </si>
  <si>
    <t>expertise.ramonage.paquet@gmail.com</t>
  </si>
  <si>
    <t>06 08 98 78 63</t>
  </si>
  <si>
    <t>HARK</t>
  </si>
  <si>
    <t>57_ecoplux_ex</t>
  </si>
  <si>
    <t>V365</t>
  </si>
  <si>
    <t>36424
18068</t>
  </si>
  <si>
    <t>Impasse_de_la_couriaz</t>
  </si>
  <si>
    <t>Visi_75-F</t>
  </si>
  <si>
    <t>V366</t>
  </si>
  <si>
    <t>RGE : renouvellement en cours : ok</t>
  </si>
  <si>
    <t>route_du_mouret</t>
  </si>
  <si>
    <t>Jazz</t>
  </si>
  <si>
    <t>V367</t>
  </si>
  <si>
    <t>Les_combes</t>
  </si>
  <si>
    <t>04 76 07 14 61</t>
  </si>
  <si>
    <t>Vivo_90_pellet</t>
  </si>
  <si>
    <t>V368</t>
  </si>
  <si>
    <t>Appareils acheté sur internet non FV et artisan non rge (pas de mail : je les contacte par tel)</t>
  </si>
  <si>
    <t>rue_des_cerneaux</t>
  </si>
  <si>
    <t>PESENTI_Mathieu</t>
  </si>
  <si>
    <t>chauffage.pesenti@gmail.com</t>
  </si>
  <si>
    <t>06 50 19 52 13</t>
  </si>
  <si>
    <t>ZEUS</t>
  </si>
  <si>
    <t>Compact</t>
  </si>
  <si>
    <t>V369</t>
  </si>
  <si>
    <t>rue_du_marechal_leclerc</t>
  </si>
  <si>
    <t>V370</t>
  </si>
  <si>
    <t>Christian</t>
  </si>
  <si>
    <t>route_du_bourg_lotissement_d'orgeoise</t>
  </si>
  <si>
    <t xml:space="preserve">Magma </t>
  </si>
  <si>
    <t>NC</t>
  </si>
  <si>
    <t>MG/ML</t>
  </si>
  <si>
    <t>V371</t>
  </si>
  <si>
    <t>facture non acquittée</t>
  </si>
  <si>
    <t>Anne-Laure</t>
  </si>
  <si>
    <t>route_du_grand_ratz</t>
  </si>
  <si>
    <t>04 76 55 49 22</t>
  </si>
  <si>
    <t>44-5.5 Gtécoplus</t>
  </si>
  <si>
    <t>V372</t>
  </si>
  <si>
    <t>facture date</t>
  </si>
  <si>
    <t>route_des_rivoires</t>
  </si>
  <si>
    <t>Instyle_Prostyle_600EA</t>
  </si>
  <si>
    <t xml:space="preserve">MG </t>
  </si>
  <si>
    <t>V373</t>
  </si>
  <si>
    <t>Photo appareil : ok</t>
  </si>
  <si>
    <t>attestation à signer et completer</t>
  </si>
  <si>
    <t>chemin_de_la_parisette</t>
  </si>
  <si>
    <t>04 38 02 19 01</t>
  </si>
  <si>
    <t xml:space="preserve">GODIN </t>
  </si>
  <si>
    <t>Eliot_388131</t>
  </si>
  <si>
    <t>V374</t>
  </si>
  <si>
    <t>Photo appareil :ok</t>
  </si>
  <si>
    <t>chemin_du_clapier</t>
  </si>
  <si>
    <t>TROUBE_Adrien</t>
  </si>
  <si>
    <t>flammeiseroise@orange.fr</t>
  </si>
  <si>
    <t>04 74 43 04 11</t>
  </si>
  <si>
    <t>JOLLY MEC</t>
  </si>
  <si>
    <t>Botero2_8 kW</t>
  </si>
  <si>
    <t>V375</t>
  </si>
  <si>
    <t>Daniel</t>
  </si>
  <si>
    <t>rue_du_may</t>
  </si>
  <si>
    <t>Tumi_12</t>
  </si>
  <si>
    <t>V376</t>
  </si>
  <si>
    <t>formulaire incomplet : ok + taxe habitation ok</t>
  </si>
  <si>
    <t>Bernard</t>
  </si>
  <si>
    <t>routes_des_vignes</t>
  </si>
  <si>
    <t>EYBENS</t>
  </si>
  <si>
    <t>BICKERT_Joel</t>
  </si>
  <si>
    <t>oui (sous traitance  CABESTAN)</t>
  </si>
  <si>
    <t>alby-eco@sfr.fr</t>
  </si>
  <si>
    <t>06 21 21 79 85</t>
  </si>
  <si>
    <t>LA_NORDICA</t>
  </si>
  <si>
    <t>Rossella_Plus_Forno_Evo</t>
  </si>
  <si>
    <t>AG/ML</t>
  </si>
  <si>
    <t>V377</t>
  </si>
  <si>
    <t>Facturation et travaux en juin !!</t>
  </si>
  <si>
    <t>route_du_ri_d'olon</t>
  </si>
  <si>
    <t>AILLOUD</t>
  </si>
  <si>
    <t>06 98 19 30 37</t>
  </si>
  <si>
    <t>ADURO_15_3</t>
  </si>
  <si>
    <t>FV</t>
  </si>
  <si>
    <t>V378</t>
  </si>
  <si>
    <t>route_des_combes</t>
  </si>
  <si>
    <t>SAINT_NICOLAS_DE_MACHERIN</t>
  </si>
  <si>
    <t>V379</t>
  </si>
  <si>
    <t>RIB bonne adresse + photo plan large : ok</t>
  </si>
  <si>
    <t>Julie</t>
  </si>
  <si>
    <t>place_de_la_chaffardière</t>
  </si>
  <si>
    <t>SAINT_GEOIRE_EN_VALDAINE</t>
  </si>
  <si>
    <t>04 74 97 40 32</t>
  </si>
  <si>
    <t>BESTOVE</t>
  </si>
  <si>
    <t>Pop</t>
  </si>
  <si>
    <t>V380</t>
  </si>
  <si>
    <t>Guy</t>
  </si>
  <si>
    <t>Instyle_Prostyle_650EA</t>
  </si>
  <si>
    <t>AG/MLO</t>
  </si>
  <si>
    <t>V381</t>
  </si>
  <si>
    <t>Route_du_pont_du_boeuf</t>
  </si>
  <si>
    <t>SAINT_BLAISE_DU_BUIS</t>
  </si>
  <si>
    <t>Charas_Jean-Pierre</t>
  </si>
  <si>
    <t>contactprojet@orange.fr</t>
  </si>
  <si>
    <t>06 08 93 65 77</t>
  </si>
  <si>
    <t>chaudière</t>
  </si>
  <si>
    <t>HARGASNNER</t>
  </si>
  <si>
    <t>Classic_Lambda_25</t>
  </si>
  <si>
    <t>ML</t>
  </si>
  <si>
    <t>V382</t>
  </si>
  <si>
    <t>Rés secondaire : ok le 05.09</t>
  </si>
  <si>
    <t>Rue_du_Salamot</t>
  </si>
  <si>
    <t>FF_700</t>
  </si>
  <si>
    <t>V383</t>
  </si>
  <si>
    <t>attention_rge expire avant 3 mois (21/08), ML a prevenu le PO</t>
  </si>
  <si>
    <t>chemin_de_la_Carle</t>
  </si>
  <si>
    <t>V384</t>
  </si>
  <si>
    <t xml:space="preserve">attention appareil 70T, non flamme verte 7*) +  RGE expire le 18/09/18 -&gt; appreil changé </t>
  </si>
  <si>
    <t>fcature non acquittée</t>
  </si>
  <si>
    <t>Route_de_Voiron</t>
  </si>
  <si>
    <t>ECOPALEX_S78_CH</t>
  </si>
  <si>
    <t>V385</t>
  </si>
  <si>
    <t>Pb sur nombre de personne dans foyer</t>
  </si>
  <si>
    <t>Rue_de_la_Morgerie</t>
  </si>
  <si>
    <t>Cheminée</t>
  </si>
  <si>
    <t>2GS 44 66 44-01</t>
  </si>
  <si>
    <t>V386</t>
  </si>
  <si>
    <t>formulaire de demande pas signé (eu au tél+ mail le 08/08) : ok</t>
  </si>
  <si>
    <t>rue_des_Pensees</t>
  </si>
  <si>
    <t>fralor73@wanadoo.fr</t>
  </si>
  <si>
    <t>DIK GEURTS par FONTE FLAMME</t>
  </si>
  <si>
    <t>PROSTYLE</t>
  </si>
  <si>
    <t>V387</t>
  </si>
  <si>
    <t>Alexandre</t>
  </si>
  <si>
    <t>Montee_du_cellier</t>
  </si>
  <si>
    <t xml:space="preserve">04 76 06 58 76 </t>
  </si>
  <si>
    <t>poêle</t>
  </si>
  <si>
    <t>BEATRICE_6</t>
  </si>
  <si>
    <t>V388</t>
  </si>
  <si>
    <t>manque deuxième page de la taxe d'habitation et de l'avis d'impot</t>
  </si>
  <si>
    <t>Manque photo</t>
  </si>
  <si>
    <t>Impasse_du_puits</t>
  </si>
  <si>
    <t>VELANNE</t>
  </si>
  <si>
    <t>CARRE</t>
  </si>
  <si>
    <t>poèle</t>
  </si>
  <si>
    <t>MIRIAM_12_PRO_3</t>
  </si>
  <si>
    <t>V389</t>
  </si>
  <si>
    <t>07 67 63 86 69</t>
  </si>
  <si>
    <t>SIMON_Frédéric</t>
  </si>
  <si>
    <t>JULIE_12_PRO_3</t>
  </si>
  <si>
    <t>V390</t>
  </si>
  <si>
    <t>ML : à verifier : possible si pas deuxième page avis imposition ?</t>
  </si>
  <si>
    <t>Route_de_Clermont</t>
  </si>
  <si>
    <t>EGO_Confort_Air_UP</t>
  </si>
  <si>
    <t>V391</t>
  </si>
  <si>
    <t>Sylvain</t>
  </si>
  <si>
    <t>V392</t>
  </si>
  <si>
    <t>PYLA</t>
  </si>
  <si>
    <t>V393</t>
  </si>
  <si>
    <t>manque attestation sur l'honneur destruction</t>
  </si>
  <si>
    <t>chemin de cassagne</t>
  </si>
  <si>
    <t>04 76 32 32 35</t>
  </si>
  <si>
    <t>F520</t>
  </si>
  <si>
    <t>V394</t>
  </si>
  <si>
    <t>avenue_du_8_mai_1945</t>
  </si>
  <si>
    <t xml:space="preserve">RIKA </t>
  </si>
  <si>
    <t>SUMO</t>
  </si>
  <si>
    <t>V395</t>
  </si>
  <si>
    <t>chemin_des_touvieres</t>
  </si>
  <si>
    <t>1996-2002</t>
  </si>
  <si>
    <t>Marianne_9</t>
  </si>
  <si>
    <t>V396</t>
  </si>
  <si>
    <t>Manque signature attestation fin travaux</t>
  </si>
  <si>
    <t>montée_d'hurtières</t>
  </si>
  <si>
    <t>flammeiseroise38300@orange.fr</t>
  </si>
  <si>
    <t>Cherie_Up</t>
  </si>
  <si>
    <t>11.2</t>
  </si>
  <si>
    <t>V397</t>
  </si>
  <si>
    <t>place_du_biez</t>
  </si>
  <si>
    <t>04 76 06 99 38</t>
  </si>
  <si>
    <t>BIANCA_12</t>
  </si>
  <si>
    <t>V398</t>
  </si>
  <si>
    <t>facture doit être acquitée</t>
  </si>
  <si>
    <t>Monique</t>
  </si>
  <si>
    <t>les_routes_le_mont</t>
  </si>
  <si>
    <t>V399</t>
  </si>
  <si>
    <t>pas FV -&gt; attendre debut oct new registre ADEME</t>
  </si>
  <si>
    <t>route_du_grois_bois</t>
  </si>
  <si>
    <t>SAINT-EGREVE</t>
  </si>
  <si>
    <t>WANDERS</t>
  </si>
  <si>
    <t>PEPPEL</t>
  </si>
  <si>
    <t>V400</t>
  </si>
  <si>
    <t>lot._la_grande_forêt</t>
  </si>
  <si>
    <t>EGO AIR</t>
  </si>
  <si>
    <t>V401</t>
  </si>
  <si>
    <t>manque facture</t>
  </si>
  <si>
    <t>Nicolas</t>
  </si>
  <si>
    <t>route_des_sources</t>
  </si>
  <si>
    <t>DIDIER_Leo</t>
  </si>
  <si>
    <t>AX UP - HOTH</t>
  </si>
  <si>
    <t>V402</t>
  </si>
  <si>
    <t>manque attestation</t>
  </si>
  <si>
    <t>rue_de_la_feydelière</t>
  </si>
  <si>
    <t>SUPERCHAUFF-6</t>
  </si>
  <si>
    <t>V403</t>
  </si>
  <si>
    <t>manque facture et date mausvaise</t>
  </si>
  <si>
    <t>hameau_des_fournieres</t>
  </si>
  <si>
    <t>9_AIR</t>
  </si>
  <si>
    <t>V404</t>
  </si>
  <si>
    <t>impasse_de_la_motte_castrale</t>
  </si>
  <si>
    <t>SAINT-GEOIRE-EN-VALDAINE</t>
  </si>
  <si>
    <t>V405</t>
  </si>
  <si>
    <t>rue_jean_moulin</t>
  </si>
  <si>
    <t>Ecofire_beatrice_9</t>
  </si>
  <si>
    <t>V406</t>
  </si>
  <si>
    <t>chemin_du_primard</t>
  </si>
  <si>
    <t>MONTFERRAT</t>
  </si>
  <si>
    <t>V407</t>
  </si>
  <si>
    <t>Régis</t>
  </si>
  <si>
    <t>route_de_tolvon</t>
  </si>
  <si>
    <t>Gillet_Pascal</t>
  </si>
  <si>
    <t>ATRAFLAM</t>
  </si>
  <si>
    <t>16/9 800VL</t>
  </si>
  <si>
    <t>V408</t>
  </si>
  <si>
    <t>lotissement_bellevue</t>
  </si>
  <si>
    <t>05 76 32 32 35</t>
  </si>
  <si>
    <t>PF921S</t>
  </si>
  <si>
    <t>V409</t>
  </si>
  <si>
    <t>Yann</t>
  </si>
  <si>
    <t>Ego_confort_air</t>
  </si>
  <si>
    <t>V410</t>
  </si>
  <si>
    <t>montée_de_la_croix_des_charettes</t>
  </si>
  <si>
    <t>ILD</t>
  </si>
  <si>
    <t>ILD_13</t>
  </si>
  <si>
    <t>V411</t>
  </si>
  <si>
    <t>manque dernier page taxe habitation: OK</t>
  </si>
  <si>
    <t>rue_seraphin_martin</t>
  </si>
  <si>
    <t>AXIS</t>
  </si>
  <si>
    <t>I_800_I</t>
  </si>
  <si>
    <t>V412</t>
  </si>
  <si>
    <t>pas de mail, toute info par tél</t>
  </si>
  <si>
    <t>GODIN_336104</t>
  </si>
  <si>
    <t>V413</t>
  </si>
  <si>
    <t>Rge moins de trois mois</t>
  </si>
  <si>
    <t>rue_de_gachetiere</t>
  </si>
  <si>
    <t>BESLIN-LEBRAS_Gaston</t>
  </si>
  <si>
    <t>energie.trieves@orange.fr</t>
  </si>
  <si>
    <t>04 76 34 64 88</t>
  </si>
  <si>
    <t>Aures</t>
  </si>
  <si>
    <t>V414</t>
  </si>
  <si>
    <t>Rib autre adress, formulaire illisible et date</t>
  </si>
  <si>
    <t>PONTCHARRA</t>
  </si>
  <si>
    <t>LAMBERT</t>
  </si>
  <si>
    <t>lambert.cheminees@wanadoo.fr</t>
  </si>
  <si>
    <t>04 76 97 64 00</t>
  </si>
  <si>
    <t>Polar_Neo_W+</t>
  </si>
  <si>
    <t>V415</t>
  </si>
  <si>
    <t>Pas FV? bianca 9KW ( pas fv7*, sur internet on trouve un rendement de 88,54% donc inférieur à FV7*)</t>
  </si>
  <si>
    <t>REYNAUD</t>
  </si>
  <si>
    <t>chemin_du_janin</t>
  </si>
  <si>
    <t>BIANCA_9_LUX</t>
  </si>
  <si>
    <t>V416</t>
  </si>
  <si>
    <t>poele pas FV: demande au crittbois le 11/02/19: refusé</t>
  </si>
  <si>
    <t>appareil non FV7*</t>
  </si>
  <si>
    <t>Xavier</t>
  </si>
  <si>
    <t>route_de_la_couratiere</t>
  </si>
  <si>
    <t>STOVAX</t>
  </si>
  <si>
    <t>Rivaf76</t>
  </si>
  <si>
    <t>V417</t>
  </si>
  <si>
    <t>Lucien</t>
  </si>
  <si>
    <t>route_de_ture</t>
  </si>
  <si>
    <t>SAINT_AUPRE</t>
  </si>
  <si>
    <t>VISION_775-10K</t>
  </si>
  <si>
    <t>V418</t>
  </si>
  <si>
    <t>Stéphane</t>
  </si>
  <si>
    <t>chemin_de_beaudiné</t>
  </si>
  <si>
    <t>GONCELIN</t>
  </si>
  <si>
    <t>contact@poelesgranules.fr</t>
  </si>
  <si>
    <t>Kira</t>
  </si>
  <si>
    <t>V419</t>
  </si>
  <si>
    <t>Marcelle</t>
  </si>
  <si>
    <t>route_de_clermont</t>
  </si>
  <si>
    <t>LIA_6</t>
  </si>
  <si>
    <t>V420</t>
  </si>
  <si>
    <t>chemin_rené_cassin</t>
  </si>
  <si>
    <t>ATELIERS_FRANCE_TURBO</t>
  </si>
  <si>
    <t>Clock</t>
  </si>
  <si>
    <t>OUI</t>
  </si>
  <si>
    <t>P49</t>
  </si>
  <si>
    <t>verolefiblec@free.fr</t>
  </si>
  <si>
    <t>Impasse_Henri_Dunand</t>
  </si>
  <si>
    <t>Véronique</t>
  </si>
  <si>
    <t>LE_FIBLEC</t>
  </si>
  <si>
    <t>V270</t>
  </si>
  <si>
    <t>H7</t>
  </si>
  <si>
    <t>lauga@ill.fr</t>
  </si>
  <si>
    <t>RIVES_SUR_FURE</t>
  </si>
  <si>
    <t>chemin_de_la_puce</t>
  </si>
  <si>
    <t>Jean</t>
  </si>
  <si>
    <t>LAUGA</t>
  </si>
  <si>
    <t>V269</t>
  </si>
  <si>
    <t>chemin_des_espinas</t>
  </si>
  <si>
    <t>poele_deja_installé</t>
  </si>
  <si>
    <t>V268</t>
  </si>
  <si>
    <t>760 CB</t>
  </si>
  <si>
    <t>ALO_Orenzo</t>
  </si>
  <si>
    <t>alpesimmobilier38@gmail.com</t>
  </si>
  <si>
    <t>route_des_trois_fontaines</t>
  </si>
  <si>
    <t>Cyril</t>
  </si>
  <si>
    <t>DURDUX</t>
  </si>
  <si>
    <t>V267</t>
  </si>
  <si>
    <t>I570</t>
  </si>
  <si>
    <t>s.clement@atre-loisirs.fr</t>
  </si>
  <si>
    <t>CLEMENT_Stephane</t>
  </si>
  <si>
    <t>jocelyne.cebola@ameg.fr</t>
  </si>
  <si>
    <t>Diamantino</t>
  </si>
  <si>
    <t>CEBOLA</t>
  </si>
  <si>
    <t>Adresse sur RIB: ok</t>
  </si>
  <si>
    <t>V266</t>
  </si>
  <si>
    <t>Europa_7</t>
  </si>
  <si>
    <t>SEGUIN_DUTERIEZ</t>
  </si>
  <si>
    <t>cheminees.bertola@wanadoo.fr</t>
  </si>
  <si>
    <t>sylvieruzzin@yahoo.fr</t>
  </si>
  <si>
    <t>côte_des_filles</t>
  </si>
  <si>
    <t>RUZZIN</t>
  </si>
  <si>
    <t>AT 21/09/18: relance tel et mail</t>
  </si>
  <si>
    <t>V265</t>
  </si>
  <si>
    <t>route_du_seigle</t>
  </si>
  <si>
    <t>Pierre</t>
  </si>
  <si>
    <t>poele_non_7*</t>
  </si>
  <si>
    <t>V264</t>
  </si>
  <si>
    <t>KELLY</t>
  </si>
  <si>
    <t>maillot.fab@aliceadsl.fr</t>
  </si>
  <si>
    <t>allée_paul_experton</t>
  </si>
  <si>
    <t>Fabien</t>
  </si>
  <si>
    <t>MAILLOT</t>
  </si>
  <si>
    <t>Adresse sur RIB ok</t>
  </si>
  <si>
    <t>V263</t>
  </si>
  <si>
    <t>LIMA</t>
  </si>
  <si>
    <t>sebastien.buffat@gmail.com</t>
  </si>
  <si>
    <t>route_de_polienas</t>
  </si>
  <si>
    <t>Sébastien</t>
  </si>
  <si>
    <t>BUFFAT</t>
  </si>
  <si>
    <t>V262</t>
  </si>
  <si>
    <t>rue_de_la_résistance</t>
  </si>
  <si>
    <t>Non_Eligible_Locataire_et_photo_non_conforme</t>
  </si>
  <si>
    <t>V261</t>
  </si>
  <si>
    <t>MOLAND_Kévn</t>
  </si>
  <si>
    <t>domi.putelat@free.fr</t>
  </si>
  <si>
    <t>impasse_de_la_Feydeliere_2</t>
  </si>
  <si>
    <t>PUTELAT</t>
  </si>
  <si>
    <t>V260</t>
  </si>
  <si>
    <t>lot_la_gateliere</t>
  </si>
  <si>
    <t>OMACINI</t>
  </si>
  <si>
    <t>06/11/2017 Pays Voironnais</t>
  </si>
  <si>
    <t>V259</t>
  </si>
  <si>
    <t>Navia</t>
  </si>
  <si>
    <t>SIMON_Frederic</t>
  </si>
  <si>
    <t>jeanmariegaillat@hotmail.fr</t>
  </si>
  <si>
    <t>rue_du_lac_bleu</t>
  </si>
  <si>
    <t>Jean-Marie</t>
  </si>
  <si>
    <t>GAILLAT</t>
  </si>
  <si>
    <t>V258</t>
  </si>
  <si>
    <t>jacques.faure@wanadoo.fr</t>
  </si>
  <si>
    <t>clement.jeanpaul@neuf.fr</t>
  </si>
  <si>
    <t>POMMIERS_LA_PLACETTE</t>
  </si>
  <si>
    <t>route_des_barniers</t>
  </si>
  <si>
    <t>CLEMENT</t>
  </si>
  <si>
    <t>Manque taxe d'habitation : ok</t>
  </si>
  <si>
    <t>V257</t>
  </si>
  <si>
    <t>Mesa</t>
  </si>
  <si>
    <t>georges.stretti@wanadoo.fr</t>
  </si>
  <si>
    <t>Georges</t>
  </si>
  <si>
    <t>STRETTI</t>
  </si>
  <si>
    <t>V256</t>
  </si>
  <si>
    <t>Allegro</t>
  </si>
  <si>
    <t>PALAZZETTI</t>
  </si>
  <si>
    <t>christiane.servant@manpower.fr</t>
  </si>
  <si>
    <t>allée_du_chateau</t>
  </si>
  <si>
    <t>Christiane</t>
  </si>
  <si>
    <t>SERVANT</t>
  </si>
  <si>
    <t>Pb devis</t>
  </si>
  <si>
    <t>V255</t>
  </si>
  <si>
    <t>Funny</t>
  </si>
  <si>
    <t>flammeiseroise38@orange.fr</t>
  </si>
  <si>
    <t>ludovic.barrot@wanadoo.fr</t>
  </si>
  <si>
    <t>avenue_Georges_Rigny</t>
  </si>
  <si>
    <t>Ludovic</t>
  </si>
  <si>
    <t>BARROT</t>
  </si>
  <si>
    <t>Manque taxe d'habitation: ok</t>
  </si>
  <si>
    <t>V254</t>
  </si>
  <si>
    <t>rival.christian@wanadoo.fr</t>
  </si>
  <si>
    <t>avenue_de_la_maladière</t>
  </si>
  <si>
    <t>RIVAL</t>
  </si>
  <si>
    <t>Cuisinière non comforme</t>
  </si>
  <si>
    <t>PB labellisation du poele</t>
  </si>
  <si>
    <t>V253</t>
  </si>
  <si>
    <t>SENSO</t>
  </si>
  <si>
    <t>SPARTHERM</t>
  </si>
  <si>
    <t>flooo23@yahoo.fr</t>
  </si>
  <si>
    <t>lotissement_plein_sud</t>
  </si>
  <si>
    <t>LARUE</t>
  </si>
  <si>
    <t>V252</t>
  </si>
  <si>
    <t>route_de_champtoraz</t>
  </si>
  <si>
    <t>BERNARD_GUELLE</t>
  </si>
  <si>
    <t>Manque taxe foncière</t>
  </si>
  <si>
    <t>V251</t>
  </si>
  <si>
    <t>MOOD CONFORT AIR 8</t>
  </si>
  <si>
    <t>brunetoc@free.fr</t>
  </si>
  <si>
    <t>rue_de_montponçon</t>
  </si>
  <si>
    <t>BRUNET</t>
  </si>
  <si>
    <t>V250</t>
  </si>
  <si>
    <t>F163</t>
  </si>
  <si>
    <t>infos73@atre-loisirs.fr</t>
  </si>
  <si>
    <t>SIMON_Pascal</t>
  </si>
  <si>
    <t>ARBIN</t>
  </si>
  <si>
    <t>m.farabet@gmail.com</t>
  </si>
  <si>
    <t>LES_VILLAGES_DE_PALADRU</t>
  </si>
  <si>
    <t>route_du_benevet</t>
  </si>
  <si>
    <t>Maïlys</t>
  </si>
  <si>
    <t>FARABET</t>
  </si>
  <si>
    <t>V249</t>
  </si>
  <si>
    <t>SOPRANO</t>
  </si>
  <si>
    <t>ECOFIRE</t>
  </si>
  <si>
    <t>mathieu.battail@wanadoo.fr</t>
  </si>
  <si>
    <t>Avenue_du_Vercors</t>
  </si>
  <si>
    <t>Mathieu</t>
  </si>
  <si>
    <t>BATTAIL</t>
  </si>
  <si>
    <t>Manque CERFA et facture acquittée</t>
  </si>
  <si>
    <t>Watt et home non RGE : ok</t>
  </si>
  <si>
    <t>V248</t>
  </si>
  <si>
    <t>690T_Style</t>
  </si>
  <si>
    <t>CONTURA</t>
  </si>
  <si>
    <t>joel.auvergne@gmail.com</t>
  </si>
  <si>
    <t>voie_du_boucain</t>
  </si>
  <si>
    <t>Joel</t>
  </si>
  <si>
    <t>AUVERGNE</t>
  </si>
  <si>
    <t>Manque 1ère page impôt + taxe foncière + Pb poêle</t>
  </si>
  <si>
    <t>V247</t>
  </si>
  <si>
    <t>POP</t>
  </si>
  <si>
    <t>accueil@carre.f.com</t>
  </si>
  <si>
    <t>chollatfabienne@gmail.com</t>
  </si>
  <si>
    <t>route_de_saint_geoire</t>
  </si>
  <si>
    <t>William</t>
  </si>
  <si>
    <t>CHOLLAT_RAT</t>
  </si>
  <si>
    <t>Pb sur le devis</t>
  </si>
  <si>
    <t>V246</t>
  </si>
  <si>
    <t>&lt;2000</t>
  </si>
  <si>
    <t>IZEAUX</t>
  </si>
  <si>
    <t>impasse_lamartine</t>
  </si>
  <si>
    <t>Hors Territoire</t>
  </si>
  <si>
    <t>V245</t>
  </si>
  <si>
    <t>C586</t>
  </si>
  <si>
    <t>stephane.molinari@free.fr</t>
  </si>
  <si>
    <t>rue_Emile_Gilioli</t>
  </si>
  <si>
    <t>MOLINARI</t>
  </si>
  <si>
    <t>V244</t>
  </si>
  <si>
    <t>POLAR_Neo_4</t>
  </si>
  <si>
    <t>ludovic.fortoul@orange.fr</t>
  </si>
  <si>
    <t>le_petit_chemin</t>
  </si>
  <si>
    <t>FORTOUL</t>
  </si>
  <si>
    <t>Manque taxe d'habitation</t>
  </si>
  <si>
    <t>V243</t>
  </si>
  <si>
    <t>First</t>
  </si>
  <si>
    <t>e.berg@hotmail.fr</t>
  </si>
  <si>
    <t>chemin_des_3_chataigniers</t>
  </si>
  <si>
    <t>Manque Taxe foncière :ok</t>
  </si>
  <si>
    <t>V242</t>
  </si>
  <si>
    <t>HALO</t>
  </si>
  <si>
    <t>familleadamski@neuf.fr</t>
  </si>
  <si>
    <t>chemin_de_la_plaine_de_fures</t>
  </si>
  <si>
    <t>Raymond</t>
  </si>
  <si>
    <t>ADAMSKI</t>
  </si>
  <si>
    <t>V241</t>
  </si>
  <si>
    <t>Atlas</t>
  </si>
  <si>
    <t>gilbert.jay@orange.fr</t>
  </si>
  <si>
    <t>avenue_de_juin_1940</t>
  </si>
  <si>
    <t>Gilbert</t>
  </si>
  <si>
    <t>JAY</t>
  </si>
  <si>
    <t>manque rib</t>
  </si>
  <si>
    <t>V240</t>
  </si>
  <si>
    <t>HV20</t>
  </si>
  <si>
    <t>HARGASSNER</t>
  </si>
  <si>
    <t>CHARAT_Jean-Pierre</t>
  </si>
  <si>
    <t>pm.moulin@orange.fr</t>
  </si>
  <si>
    <t>route_de_Benevet</t>
  </si>
  <si>
    <t>MOULIN</t>
  </si>
  <si>
    <t>Manque cerfa + attestation de fin de travaux : demande faite au professionnel et au particulier :ok</t>
  </si>
  <si>
    <t>Manque RIB : ok</t>
  </si>
  <si>
    <t>V239</t>
  </si>
  <si>
    <t>ANNA 12 PRO3</t>
  </si>
  <si>
    <t>alexandra.egger@neuf.fr</t>
  </si>
  <si>
    <t>CHARANCIEU</t>
  </si>
  <si>
    <t>route_de_la_siniere</t>
  </si>
  <si>
    <t>Alexandra</t>
  </si>
  <si>
    <t>EGGER</t>
  </si>
  <si>
    <t>Facture non acquittée + CERFA</t>
  </si>
  <si>
    <t>V238</t>
  </si>
  <si>
    <t>Globe</t>
  </si>
  <si>
    <t>AILLOUX_Jerome</t>
  </si>
  <si>
    <t>berger.christophe@bbox.fr</t>
  </si>
  <si>
    <t>chemin_de_malossane</t>
  </si>
  <si>
    <t>Christophe et Christelle</t>
  </si>
  <si>
    <t>BERGER-CHELAOUCHI</t>
  </si>
  <si>
    <t>En attente RIB: OK le 09/01/18</t>
  </si>
  <si>
    <t>Leroy Merlin : pas le nom du poseur ok</t>
  </si>
  <si>
    <t>V237</t>
  </si>
  <si>
    <t>Senso_L</t>
  </si>
  <si>
    <t>moinecarolle@gmail.com</t>
  </si>
  <si>
    <t>impasse_du_plan</t>
  </si>
  <si>
    <t>MOINE</t>
  </si>
  <si>
    <t>Manque Taxe foncière: ok</t>
  </si>
  <si>
    <t>V236</t>
  </si>
  <si>
    <t>Scan_85</t>
  </si>
  <si>
    <t>maudlurin@hotmail.fr</t>
  </si>
  <si>
    <t>chemin_du_barreau</t>
  </si>
  <si>
    <t>LURIN</t>
  </si>
  <si>
    <t>V235</t>
  </si>
  <si>
    <t>Ego_2.0_Confort_Air</t>
  </si>
  <si>
    <t>yann.garnier9@wanadoo.fr</t>
  </si>
  <si>
    <t>rue_de_la_feydeliere</t>
  </si>
  <si>
    <t>GARNIER</t>
  </si>
  <si>
    <t>V234</t>
  </si>
  <si>
    <t>Visio_7</t>
  </si>
  <si>
    <t>cheminées.bertola@wanadoo.fr</t>
  </si>
  <si>
    <t>DURANT_Jean-Claude</t>
  </si>
  <si>
    <t>marionmc@sfr.fr</t>
  </si>
  <si>
    <t>MARION</t>
  </si>
  <si>
    <t>V233</t>
  </si>
  <si>
    <t>Novia</t>
  </si>
  <si>
    <t>LEDA_par_FONTE_FLAMME</t>
  </si>
  <si>
    <t>le_trievoz</t>
  </si>
  <si>
    <t>MEUNIER_CARUS</t>
  </si>
  <si>
    <t>Pas d'adresse mail : pas de confirmation</t>
  </si>
  <si>
    <t>V232</t>
  </si>
  <si>
    <t>Vision_775_10K</t>
  </si>
  <si>
    <t>anne-laure.barra@lncmi.cnrs.fr</t>
  </si>
  <si>
    <t>chemin_du_pit</t>
  </si>
  <si>
    <t>BARRA</t>
  </si>
  <si>
    <t>RIB à la bonne adresse</t>
  </si>
  <si>
    <t>V231</t>
  </si>
  <si>
    <t>775-10K</t>
  </si>
  <si>
    <t>jean-claude_mondon@orange.fr</t>
  </si>
  <si>
    <t>rue_du_bessey</t>
  </si>
  <si>
    <t>Jean-Claude</t>
  </si>
  <si>
    <t>MONDON</t>
  </si>
  <si>
    <t>Manque CERFA :ok</t>
  </si>
  <si>
    <t>V230</t>
  </si>
  <si>
    <t>Pellbbox_SCF</t>
  </si>
  <si>
    <t>TROUBA_Michel</t>
  </si>
  <si>
    <t>elisa.diaz@orange.fr</t>
  </si>
  <si>
    <t>route_du_vieux_chen</t>
  </si>
  <si>
    <t>Elisabeth</t>
  </si>
  <si>
    <t>DIAZ</t>
  </si>
  <si>
    <t>Pb modèle poêle : ok</t>
  </si>
  <si>
    <t>V229</t>
  </si>
  <si>
    <t>Curl</t>
  </si>
  <si>
    <t>isavalfort@gmail.com</t>
  </si>
  <si>
    <t>rue_montponçon</t>
  </si>
  <si>
    <t>Isabelle</t>
  </si>
  <si>
    <t>VALFORT</t>
  </si>
  <si>
    <t>Manque Avis d'impôt. N'a pas internet. Eu au téléphone le 21.08</t>
  </si>
  <si>
    <t>V228</t>
  </si>
  <si>
    <t>chemin de la bavonne</t>
  </si>
  <si>
    <t>ROUX</t>
  </si>
  <si>
    <t>poele_déjà_installé</t>
  </si>
  <si>
    <t>Manque tous les documents</t>
  </si>
  <si>
    <t>V227</t>
  </si>
  <si>
    <t>Ofali</t>
  </si>
  <si>
    <t>helo.bossuyt@gmail.com</t>
  </si>
  <si>
    <t>BOSSUYT</t>
  </si>
  <si>
    <t>Facture Leroy Merlin</t>
  </si>
  <si>
    <t>Pas d'engagement sur l'honneur. Pb devis. Pas le nom du poseur. Pas la Marque : ok</t>
  </si>
  <si>
    <t>V226</t>
  </si>
  <si>
    <t>PALAZZETI</t>
  </si>
  <si>
    <t>alexandrine.fernandez02@gmail.com</t>
  </si>
  <si>
    <t>la_gouterie</t>
  </si>
  <si>
    <t>Mathias</t>
  </si>
  <si>
    <t>GUTTIN</t>
  </si>
  <si>
    <t>Manque facture acquittée</t>
  </si>
  <si>
    <t>V225</t>
  </si>
  <si>
    <t>SENSO L</t>
  </si>
  <si>
    <t>blm.entreprise38@orange.fr</t>
  </si>
  <si>
    <t>route_de_chalais</t>
  </si>
  <si>
    <t>BAGNAUD</t>
  </si>
  <si>
    <t>PB RIB</t>
  </si>
  <si>
    <t>V224</t>
  </si>
  <si>
    <t>RAVET_Eric</t>
  </si>
  <si>
    <t>lperd@hotmail.com</t>
  </si>
  <si>
    <t>chemin_de_la_pierre</t>
  </si>
  <si>
    <t>PERRIARD</t>
  </si>
  <si>
    <t>RIB</t>
  </si>
  <si>
    <t>Manque lettre de sollicitation. Téléphone le 11/08/2017</t>
  </si>
  <si>
    <t>V223</t>
  </si>
  <si>
    <t>LX_9_UP</t>
  </si>
  <si>
    <t>BERGER_Frederic</t>
  </si>
  <si>
    <t>jean.bonzi@cegetel.net</t>
  </si>
  <si>
    <t>allée_des_pins</t>
  </si>
  <si>
    <t>BONZI</t>
  </si>
  <si>
    <t>V222</t>
  </si>
  <si>
    <t>AV</t>
  </si>
  <si>
    <t>700-8K</t>
  </si>
  <si>
    <t>047635356</t>
  </si>
  <si>
    <t>chemin_de_la_plaine_de_tullins</t>
  </si>
  <si>
    <t>Robert</t>
  </si>
  <si>
    <t>BOUCHEZ</t>
  </si>
  <si>
    <t>V221</t>
  </si>
  <si>
    <t>Fynn Xtra</t>
  </si>
  <si>
    <t>AUSTROFLAMM</t>
  </si>
  <si>
    <t>DURANTON</t>
  </si>
  <si>
    <t>sandrine.poulicet@gmail.com</t>
  </si>
  <si>
    <t>le_petit_bessey</t>
  </si>
  <si>
    <t>Luc</t>
  </si>
  <si>
    <t>POULICET</t>
  </si>
  <si>
    <t>Manque CERFA destruction : ok</t>
  </si>
  <si>
    <t>Attente RFR pour validation du dossier : ok</t>
  </si>
  <si>
    <t>V220</t>
  </si>
  <si>
    <t>SCAN_83</t>
  </si>
  <si>
    <t>contact@bois-soleil-chauffage,fr</t>
  </si>
  <si>
    <t>blanc.jerome@cegetel.net</t>
  </si>
  <si>
    <t>avenue_jacques_prevert</t>
  </si>
  <si>
    <t>BLANC</t>
  </si>
  <si>
    <t>Manque devis avec Marque du poele. Eu par téléphone : ok</t>
  </si>
  <si>
    <t>V219</t>
  </si>
  <si>
    <t>Alister 74</t>
  </si>
  <si>
    <t>mjglayere94@gmail.com</t>
  </si>
  <si>
    <t>impasse_claude_debussy</t>
  </si>
  <si>
    <t>CAYON_GLAYERE</t>
  </si>
  <si>
    <t>ATTENTION Modification de son RFR</t>
  </si>
  <si>
    <t>V218</t>
  </si>
  <si>
    <t>Evora Accu</t>
  </si>
  <si>
    <t>sandrine.bonnefond@neuf.fr</t>
  </si>
  <si>
    <t>impasse_des_bains</t>
  </si>
  <si>
    <t>Sandrine</t>
  </si>
  <si>
    <t>BONNEFOND</t>
  </si>
  <si>
    <t>Manque Facture acquitée et photo du poele : ok Manque RIB</t>
  </si>
  <si>
    <t>Attente espace confort. Demande de précision devis</t>
  </si>
  <si>
    <t>V217</t>
  </si>
  <si>
    <t>Foghet evo air</t>
  </si>
  <si>
    <t>contact@nordiflam.com</t>
  </si>
  <si>
    <t>BRUNAY_Christophe</t>
  </si>
  <si>
    <t>NORDIFLAM73</t>
  </si>
  <si>
    <t>dimitri_ktenas@hotmail.com</t>
  </si>
  <si>
    <t>chemin_de_la_jacquinières</t>
  </si>
  <si>
    <t>Dimitri</t>
  </si>
  <si>
    <t>KTENAS</t>
  </si>
  <si>
    <t>RIB Bonne adresse</t>
  </si>
  <si>
    <t>V216</t>
  </si>
  <si>
    <t>Agnese</t>
  </si>
  <si>
    <t>MOREY_Stéphane</t>
  </si>
  <si>
    <t>florian.chataing@gmail.com</t>
  </si>
  <si>
    <t>Le_grand_chemin</t>
  </si>
  <si>
    <t>Florian</t>
  </si>
  <si>
    <t>CHATAING</t>
  </si>
  <si>
    <t>manque signature clie,nt attestation fin travaux</t>
  </si>
  <si>
    <t>entreprise non RGE 22.08 : téléphone Watt et Home, ils sont sur le coup. 05/01/18: OK</t>
  </si>
  <si>
    <t>V215</t>
  </si>
  <si>
    <t>Roco</t>
  </si>
  <si>
    <t>alpesconcept@gmail.com</t>
  </si>
  <si>
    <t>rue_du_janin</t>
  </si>
  <si>
    <t>RUEL_GALLAY</t>
  </si>
  <si>
    <t>Manque facture acquittée : ok</t>
  </si>
  <si>
    <t>V214</t>
  </si>
  <si>
    <t>ANIMO_(RIKA)</t>
  </si>
  <si>
    <t>MONIN_STEPHANE</t>
  </si>
  <si>
    <t>chemin_des_grollets</t>
  </si>
  <si>
    <t>Non_Eligible_Hors_territoire</t>
  </si>
  <si>
    <t>V213</t>
  </si>
  <si>
    <t>Miriam</t>
  </si>
  <si>
    <t>chtiot38@gmail.com</t>
  </si>
  <si>
    <t>chemin_des_pieces</t>
  </si>
  <si>
    <t>CLEYET_MERLE</t>
  </si>
  <si>
    <t>Pas d'attestation de destruction du poêle</t>
  </si>
  <si>
    <t xml:space="preserve">Manque RIB </t>
  </si>
  <si>
    <t>V212</t>
  </si>
  <si>
    <t>Vintage</t>
  </si>
  <si>
    <t>berard.guillaume@yahoo.fr</t>
  </si>
  <si>
    <t>ST_GEOIRE_EN_VALDAINE</t>
  </si>
  <si>
    <t>route_de_Grosset</t>
  </si>
  <si>
    <t>BERARD</t>
  </si>
  <si>
    <t>V211</t>
  </si>
  <si>
    <t>LP 9 UP</t>
  </si>
  <si>
    <t>DIDIER_Jean-claude</t>
  </si>
  <si>
    <t>veronique.perez@wanadoo.fr</t>
  </si>
  <si>
    <t>chemin_des_Oullières</t>
  </si>
  <si>
    <t>Yvan</t>
  </si>
  <si>
    <t>PEREZ</t>
  </si>
  <si>
    <t>Manque RIB + Cerfa : ok</t>
  </si>
  <si>
    <t>V210</t>
  </si>
  <si>
    <t>avant 1980</t>
  </si>
  <si>
    <t>04 79 65 87 63</t>
  </si>
  <si>
    <t>contact@chauffage-sanitaire-service.com</t>
  </si>
  <si>
    <t>MOLLARD_Pascal</t>
  </si>
  <si>
    <t>Brevardieres</t>
  </si>
  <si>
    <t>V209</t>
  </si>
  <si>
    <t>letellierchirens@free.fr</t>
  </si>
  <si>
    <t>route_du_Bourg</t>
  </si>
  <si>
    <t>LETELLIER</t>
  </si>
  <si>
    <t>Manque taxe d'habitation et deuxième page demande de sub</t>
  </si>
  <si>
    <t>V208</t>
  </si>
  <si>
    <t>Scan_63</t>
  </si>
  <si>
    <t>mireille.chaugne@gmail.com</t>
  </si>
  <si>
    <t>route_de_la_grande_sure</t>
  </si>
  <si>
    <t>Mireille</t>
  </si>
  <si>
    <t>CHAUGNE</t>
  </si>
  <si>
    <t>V207</t>
  </si>
  <si>
    <t>Nano_15</t>
  </si>
  <si>
    <t>richouxdidier@laposte.net</t>
  </si>
  <si>
    <t>RICHOUX_Didier</t>
  </si>
  <si>
    <t>BELLEY</t>
  </si>
  <si>
    <t>bernard.rolando@wanadoo.fr</t>
  </si>
  <si>
    <t>impasse_des_vouises</t>
  </si>
  <si>
    <t>ROLANDO</t>
  </si>
  <si>
    <t>Demande faite ailleurs. Dossier classé</t>
  </si>
  <si>
    <t>V206</t>
  </si>
  <si>
    <t>Vista_800C</t>
  </si>
  <si>
    <t>senaize@bbox.fr</t>
  </si>
  <si>
    <t>rue_de_bonnieux</t>
  </si>
  <si>
    <t>SENAIZE</t>
  </si>
  <si>
    <t>V205</t>
  </si>
  <si>
    <t>Grand_saphir</t>
  </si>
  <si>
    <t>DEVILLE</t>
  </si>
  <si>
    <t>beatrice.ci@wanadoo.fr</t>
  </si>
  <si>
    <t>rue_de_la_croix_rousse</t>
  </si>
  <si>
    <t>CICHETTI</t>
  </si>
  <si>
    <t>Facture non acquittée</t>
  </si>
  <si>
    <t>V204</t>
  </si>
  <si>
    <t>ILD_12</t>
  </si>
  <si>
    <t>c_genton@orange.fr</t>
  </si>
  <si>
    <t>chemin_du_fourrier</t>
  </si>
  <si>
    <t>Clément</t>
  </si>
  <si>
    <t>GENTON</t>
  </si>
  <si>
    <t>V203</t>
  </si>
  <si>
    <t>HERA_MASSIV</t>
  </si>
  <si>
    <t>b.perroux@gmail.com</t>
  </si>
  <si>
    <t>route_des_haies</t>
  </si>
  <si>
    <t>PERROUX</t>
  </si>
  <si>
    <t>V202</t>
  </si>
  <si>
    <t>veduclos@free.fr</t>
  </si>
  <si>
    <t>montée_du_cellier</t>
  </si>
  <si>
    <t>DUCLOS</t>
  </si>
  <si>
    <t>V201</t>
  </si>
  <si>
    <t>rota</t>
  </si>
  <si>
    <t>Oranier</t>
  </si>
  <si>
    <t>alain.mosca@yahoo.fr</t>
  </si>
  <si>
    <t>MASSIEU</t>
  </si>
  <si>
    <t>impasse_du_matton</t>
  </si>
  <si>
    <t>MOSCA</t>
  </si>
  <si>
    <t>V200</t>
  </si>
  <si>
    <t>Family NRG</t>
  </si>
  <si>
    <t>WODTKE</t>
  </si>
  <si>
    <t>GRATIER_Pascal</t>
  </si>
  <si>
    <t>zala.ninon@orange.fr</t>
  </si>
  <si>
    <t>impasse_charles-de-Foucault</t>
  </si>
  <si>
    <t>Ninon</t>
  </si>
  <si>
    <t>ZALA</t>
  </si>
  <si>
    <t>Pb devis : ok</t>
  </si>
  <si>
    <t>V199</t>
  </si>
  <si>
    <t>daniel.delahaye@laposte.net</t>
  </si>
  <si>
    <t>Bas_lezardières</t>
  </si>
  <si>
    <t>DELAHAYE</t>
  </si>
  <si>
    <t>V198</t>
  </si>
  <si>
    <t>Blade</t>
  </si>
  <si>
    <t>contact@poelegranules.fr</t>
  </si>
  <si>
    <t>BACCI_Lionel</t>
  </si>
  <si>
    <t>route_de_la_branchat</t>
  </si>
  <si>
    <t>PELIZZARI</t>
  </si>
  <si>
    <t>Manque document cerfa et attestation de destruction</t>
  </si>
  <si>
    <t>Pas d'adresse mail : manque taxe foncière et questionnaire :ok</t>
  </si>
  <si>
    <t>V197</t>
  </si>
  <si>
    <t>ANNA 9 PRO 2</t>
  </si>
  <si>
    <t>route_des_marais</t>
  </si>
  <si>
    <t>Jean-Noël</t>
  </si>
  <si>
    <t>PEYROCHE</t>
  </si>
  <si>
    <t>04/05/2017 au Pays Voironnais 15/05/2017 AGEDEN</t>
  </si>
  <si>
    <t>V196</t>
  </si>
  <si>
    <t>CUPIDO</t>
  </si>
  <si>
    <t>COLA</t>
  </si>
  <si>
    <t>a.brindani@laposte.net</t>
  </si>
  <si>
    <t>rue_du_gresivaudan</t>
  </si>
  <si>
    <t>Aurélie</t>
  </si>
  <si>
    <t>BRINDANI</t>
  </si>
  <si>
    <t>Manque Photo</t>
  </si>
  <si>
    <t>Manque taxe foncière et avis d'impôt conjoint : ok</t>
  </si>
  <si>
    <t>V195</t>
  </si>
  <si>
    <t>CASTAN_Henri</t>
  </si>
  <si>
    <t>giroud.franck@wanadoo.fr</t>
  </si>
  <si>
    <t>lotissement_l'orée_du_bois</t>
  </si>
  <si>
    <t>GIROUD</t>
  </si>
  <si>
    <t>V194</t>
  </si>
  <si>
    <t>Route_des_picottes</t>
  </si>
  <si>
    <t>Insert trop récent 2003</t>
  </si>
  <si>
    <t>Manque questionnaire et courrier signé</t>
  </si>
  <si>
    <t>V193</t>
  </si>
  <si>
    <t>RCV1000</t>
  </si>
  <si>
    <t>RAVELLI</t>
  </si>
  <si>
    <t>infos.38@atre-loisirs.fr</t>
  </si>
  <si>
    <t>alain.le-perron@orange.fr</t>
  </si>
  <si>
    <t>rue_Maréchal_Leclerc</t>
  </si>
  <si>
    <t>LE PERRON</t>
  </si>
  <si>
    <t>V192</t>
  </si>
  <si>
    <t>jerome.collion@gmail.com</t>
  </si>
  <si>
    <t>route_de_la_Sure</t>
  </si>
  <si>
    <t>COLLION</t>
  </si>
  <si>
    <t>facture non acquittée: Ok</t>
  </si>
  <si>
    <t>Pro RGE en cours de certif : ok</t>
  </si>
  <si>
    <t>V191</t>
  </si>
  <si>
    <t>VIDAR_WALL</t>
  </si>
  <si>
    <t>laurent.benoit33@orange.fr</t>
  </si>
  <si>
    <t>impasse_la_roselière</t>
  </si>
  <si>
    <t>Pas de justificatif de domicile pas de questionnaire</t>
  </si>
  <si>
    <t>V190</t>
  </si>
  <si>
    <t>C24</t>
  </si>
  <si>
    <t>jotul</t>
  </si>
  <si>
    <t>gilbert.sillon@orange.fr</t>
  </si>
  <si>
    <t>chemin_de_la_piaule_le_Pavillet</t>
  </si>
  <si>
    <t>SILLON</t>
  </si>
  <si>
    <t>V189</t>
  </si>
  <si>
    <t>fabien.ceccaldi@orange.fr</t>
  </si>
  <si>
    <t>chemin_de_côte_béranger</t>
  </si>
  <si>
    <t>CECCALDI</t>
  </si>
  <si>
    <t>Manque attestation de fin de travaux signé par le pro et manque CERFA</t>
  </si>
  <si>
    <t>V188</t>
  </si>
  <si>
    <t>SARI</t>
  </si>
  <si>
    <t>allée_des_bleuets</t>
  </si>
  <si>
    <t>HENRY</t>
  </si>
  <si>
    <t>V187</t>
  </si>
  <si>
    <t>barbier.eric91@gmail.com</t>
  </si>
  <si>
    <t>route_des_3_fontaines</t>
  </si>
  <si>
    <t>BARBIER</t>
  </si>
  <si>
    <t>V186</t>
  </si>
  <si>
    <t>RIO SP</t>
  </si>
  <si>
    <t>MAX BLANK</t>
  </si>
  <si>
    <t>tomas.guillet@gmail.com</t>
  </si>
  <si>
    <t>rue_de_la_fraternité</t>
  </si>
  <si>
    <t>José</t>
  </si>
  <si>
    <t>TOMAS</t>
  </si>
  <si>
    <t>V185</t>
  </si>
  <si>
    <t>MESA</t>
  </si>
  <si>
    <t>mlj.monti@gmail.com</t>
  </si>
  <si>
    <t>montée_de_l'enclos_du_chateau</t>
  </si>
  <si>
    <t>MONTI</t>
  </si>
  <si>
    <t>V184</t>
  </si>
  <si>
    <t xml:space="preserve">AG </t>
  </si>
  <si>
    <t>sebastien.knockaert@orange.fr</t>
  </si>
  <si>
    <t>rue_du_presbytère</t>
  </si>
  <si>
    <t>KNOCKAERT</t>
  </si>
  <si>
    <t>V183</t>
  </si>
  <si>
    <t>geraldine.ferronato@gmail.com</t>
  </si>
  <si>
    <t>rue_du_berard_La_Ratz</t>
  </si>
  <si>
    <t>Géraldine</t>
  </si>
  <si>
    <t>FERRONATO</t>
  </si>
  <si>
    <t>V182</t>
  </si>
  <si>
    <t>F600</t>
  </si>
  <si>
    <t>guivernein.38@gmail.com</t>
  </si>
  <si>
    <t>chemin_de_la_ruche</t>
  </si>
  <si>
    <t>VERNEIN</t>
  </si>
  <si>
    <t>V181</t>
  </si>
  <si>
    <t>perret-christian@orange.fr</t>
  </si>
  <si>
    <t>rue_du_tram</t>
  </si>
  <si>
    <t>Christian_et_Pascale</t>
  </si>
  <si>
    <t>PERRET</t>
  </si>
  <si>
    <t>Manque CERFA : OK/ RIB à l'ancienne adresse</t>
  </si>
  <si>
    <t>V180</t>
  </si>
  <si>
    <t>CMG_Caminetti montegrappa</t>
  </si>
  <si>
    <t>allée_des_noisettes</t>
  </si>
  <si>
    <t>Paul</t>
  </si>
  <si>
    <t>BONNAFFOUS</t>
  </si>
  <si>
    <t>Pas de taxe hab + pas le bon modèle sur le devis</t>
  </si>
  <si>
    <t>V179</t>
  </si>
  <si>
    <t>foyer_fermé</t>
  </si>
  <si>
    <t>12/2017,</t>
  </si>
  <si>
    <t>Durant_Jean-Claude</t>
  </si>
  <si>
    <t>jmjema@wanadoo.fr</t>
  </si>
  <si>
    <t>Chemin_d'Orgeoise</t>
  </si>
  <si>
    <t>Jean-Marc</t>
  </si>
  <si>
    <t>TACNET</t>
  </si>
  <si>
    <t>V178</t>
  </si>
  <si>
    <t>Sila</t>
  </si>
  <si>
    <t>gui_re8_b16a@hotmail.fr</t>
  </si>
  <si>
    <t>Le_petit_bessay</t>
  </si>
  <si>
    <t>DANDA</t>
  </si>
  <si>
    <t>V177</t>
  </si>
  <si>
    <t>Solveig Céramique</t>
  </si>
  <si>
    <t>ALO</t>
  </si>
  <si>
    <t>rleroy38@laposte.net</t>
  </si>
  <si>
    <t>rue_Leon_Garcin</t>
  </si>
  <si>
    <t>Regis</t>
  </si>
  <si>
    <t>LEROY</t>
  </si>
  <si>
    <t>V176</t>
  </si>
  <si>
    <t>LX UP STEEL</t>
  </si>
  <si>
    <t>jpcaruso@orange.fr</t>
  </si>
  <si>
    <t>CARUSO</t>
  </si>
  <si>
    <t>V175</t>
  </si>
  <si>
    <t>Angela_Plus</t>
  </si>
  <si>
    <t>Extraflamme</t>
  </si>
  <si>
    <t>AILLOUD_BETASSON</t>
  </si>
  <si>
    <t>jerem.blain@gmail.com</t>
  </si>
  <si>
    <t>route_de_la_bayardière</t>
  </si>
  <si>
    <t>Jérémy</t>
  </si>
  <si>
    <t>BLAIN</t>
  </si>
  <si>
    <t>Manque RIB bonne adresse</t>
  </si>
  <si>
    <t>En attente Non RGE non FV : ok</t>
  </si>
  <si>
    <t>V174</t>
  </si>
  <si>
    <t>KLIN</t>
  </si>
  <si>
    <t>patou1244@hotmail.fr</t>
  </si>
  <si>
    <t>Saint_jean_de_Chepy</t>
  </si>
  <si>
    <t>MOTTE</t>
  </si>
  <si>
    <t>V173</t>
  </si>
  <si>
    <t>Toba Confort Air</t>
  </si>
  <si>
    <t>s.mercent@yahoo.fr</t>
  </si>
  <si>
    <t>chemin_de_la_garenne</t>
  </si>
  <si>
    <t>MERCENT</t>
  </si>
  <si>
    <t>V172</t>
  </si>
  <si>
    <t>j.nemoz@aliceadsl.fr</t>
  </si>
  <si>
    <t>lot_Beau_Rivoire</t>
  </si>
  <si>
    <t>NEMOZ</t>
  </si>
  <si>
    <t>V171</t>
  </si>
  <si>
    <t>sandrine.bortolato@orange.fr</t>
  </si>
  <si>
    <t>route_du Vernay</t>
  </si>
  <si>
    <t>BORTOLATO</t>
  </si>
  <si>
    <t>V170</t>
  </si>
  <si>
    <t>SUPERCHAUFF 698-2</t>
  </si>
  <si>
    <t>romain.madonia@orange.fr</t>
  </si>
  <si>
    <t>allée du vieux four</t>
  </si>
  <si>
    <t>MADONIA</t>
  </si>
  <si>
    <t>V169</t>
  </si>
  <si>
    <t>TT 22H</t>
  </si>
  <si>
    <t>THERMATEC</t>
  </si>
  <si>
    <t>avant 1990</t>
  </si>
  <si>
    <t>bois_soleil_chauffage@orange.fr</t>
  </si>
  <si>
    <t>stellemie@hotmail.fr</t>
  </si>
  <si>
    <t>route_du_mollard_rond</t>
  </si>
  <si>
    <t>Barbara</t>
  </si>
  <si>
    <t>CONSIGLIO</t>
  </si>
  <si>
    <t>V168</t>
  </si>
  <si>
    <t>michel.termozboulaton@orange.fr</t>
  </si>
  <si>
    <t>TERMOZ_BOULATON</t>
  </si>
  <si>
    <t>V167</t>
  </si>
  <si>
    <t>Tura</t>
  </si>
  <si>
    <t>verdaguer.laura@yahoo.fr</t>
  </si>
  <si>
    <t>Laura</t>
  </si>
  <si>
    <t>VERDAGUER</t>
  </si>
  <si>
    <t>V166</t>
  </si>
  <si>
    <t>Swing</t>
  </si>
  <si>
    <t>kahl.emeline@wanadoo.fr</t>
  </si>
  <si>
    <t>impasse_du_bouvreuil</t>
  </si>
  <si>
    <t>René</t>
  </si>
  <si>
    <t>KAHL</t>
  </si>
  <si>
    <t>01/03/2017 (AGEDEN) 20/02/2017 (Pays Voironnais)</t>
  </si>
  <si>
    <t>V165</t>
  </si>
  <si>
    <t>chemin_des_vignes</t>
  </si>
  <si>
    <t>Franjo</t>
  </si>
  <si>
    <t>DELAC</t>
  </si>
  <si>
    <t>V164</t>
  </si>
  <si>
    <t>chemin_du_revol</t>
  </si>
  <si>
    <t>V163</t>
  </si>
  <si>
    <t>rue_du_port</t>
  </si>
  <si>
    <t>Madeleine</t>
  </si>
  <si>
    <t>Date de facture avant le dépôt du dossier</t>
  </si>
  <si>
    <t>Manque taxe d'hab ok + OK Questionnaire</t>
  </si>
  <si>
    <t>V162</t>
  </si>
  <si>
    <t>Fonte_Flamme</t>
  </si>
  <si>
    <t>oliveira.alan@aliceadsl.fr</t>
  </si>
  <si>
    <t>route_des_balcons_de_la_Valdaine</t>
  </si>
  <si>
    <t>Alan_Caroline</t>
  </si>
  <si>
    <t>OLIVEIRA_GROS-COISSY</t>
  </si>
  <si>
    <t>V161</t>
  </si>
  <si>
    <t>Caloristar</t>
  </si>
  <si>
    <t>serge.schroeder@wanadoo.fr</t>
  </si>
  <si>
    <t>BRIGNOLES</t>
  </si>
  <si>
    <t>jacquelinemt@neuf.fr</t>
  </si>
  <si>
    <t>rue_willy_rettmeyer</t>
  </si>
  <si>
    <t>MICOUD-TERRAUD</t>
  </si>
  <si>
    <t>Manque Devis + photo + taxe d'hab</t>
  </si>
  <si>
    <t>V160</t>
  </si>
  <si>
    <t>Vivo_80_Pellet</t>
  </si>
  <si>
    <t>enerlogis@orange.fr</t>
  </si>
  <si>
    <t>PATAT_Olivier</t>
  </si>
  <si>
    <t>BARBERAZ</t>
  </si>
  <si>
    <t>ENERLOGIS</t>
  </si>
  <si>
    <t>richard.petri@orange.fr</t>
  </si>
  <si>
    <t>chemin_du_Mollard</t>
  </si>
  <si>
    <t>PETRI</t>
  </si>
  <si>
    <t>Demande RIB bonne adresse</t>
  </si>
  <si>
    <t>Pb référence de l'appareil FV 5* : ok</t>
  </si>
  <si>
    <t>V159</t>
  </si>
  <si>
    <t>BARI</t>
  </si>
  <si>
    <t>rue_des_saules</t>
  </si>
  <si>
    <t>l.scappaticci@wanadoo.fr</t>
  </si>
  <si>
    <t>route_de_saint_julien</t>
  </si>
  <si>
    <t>Alexis</t>
  </si>
  <si>
    <t>ROCHAS</t>
  </si>
  <si>
    <t>V158</t>
  </si>
  <si>
    <t>mesa</t>
  </si>
  <si>
    <t>christophe.hatton.13@gmail.com</t>
  </si>
  <si>
    <t>chemin_du_trincon</t>
  </si>
  <si>
    <t>HATTON</t>
  </si>
  <si>
    <t>V157</t>
  </si>
  <si>
    <t>Vidar_triple</t>
  </si>
  <si>
    <t>DIK_GEURTS</t>
  </si>
  <si>
    <t>novembre_2017</t>
  </si>
  <si>
    <t>Jean_Christophe_Liber</t>
  </si>
  <si>
    <t>briere.florence@orange.fr</t>
  </si>
  <si>
    <t>Florence</t>
  </si>
  <si>
    <t>DENIS_BRIERE</t>
  </si>
  <si>
    <t>Manque attestation de destruction</t>
  </si>
  <si>
    <t>Demande photo coplémentaire : ok</t>
  </si>
  <si>
    <t>V156</t>
  </si>
  <si>
    <t>Invicta</t>
  </si>
  <si>
    <t>Cassine</t>
  </si>
  <si>
    <t>0474974052
0611403887</t>
  </si>
  <si>
    <t>NESTORI</t>
  </si>
  <si>
    <t>dvandeweeghe@orange.fr</t>
  </si>
  <si>
    <t>Mikael</t>
  </si>
  <si>
    <t>VOCE_VANDEWEEGHE</t>
  </si>
  <si>
    <t>Pb Bricorama</t>
  </si>
  <si>
    <t>V155</t>
  </si>
  <si>
    <t>ANNA</t>
  </si>
  <si>
    <t>palazzetti</t>
  </si>
  <si>
    <t>deborde.henri-charles@orange.fr</t>
  </si>
  <si>
    <t>route_de_la_roussette</t>
  </si>
  <si>
    <t>Henri-Charles</t>
  </si>
  <si>
    <t>DEBORDE</t>
  </si>
  <si>
    <t>V154</t>
  </si>
  <si>
    <t>Karl 62</t>
  </si>
  <si>
    <t>carine.borgesgourdol@gmail.com</t>
  </si>
  <si>
    <t>Carine</t>
  </si>
  <si>
    <t>GOURDOL_BORGES</t>
  </si>
  <si>
    <t>Pb sur le poêle non FV : changement de poêle</t>
  </si>
  <si>
    <t>V153</t>
  </si>
  <si>
    <t>Bari</t>
  </si>
  <si>
    <t>contact-hase26@orange.fr</t>
  </si>
  <si>
    <t>philippe.holliger@yahoo.fr</t>
  </si>
  <si>
    <t>HOLLIGER</t>
  </si>
  <si>
    <t>V152</t>
  </si>
  <si>
    <t>infinity_800</t>
  </si>
  <si>
    <t>RICHARD_LE_DROFF</t>
  </si>
  <si>
    <t>francis.baillet38@gmail.com</t>
  </si>
  <si>
    <t>impasse_les_brides</t>
  </si>
  <si>
    <t>BAILLET</t>
  </si>
  <si>
    <t>V151</t>
  </si>
  <si>
    <t>Ego 2.0 confort air</t>
  </si>
  <si>
    <t>&gt;25 ans</t>
  </si>
  <si>
    <t>contact@gaz-services.net</t>
  </si>
  <si>
    <t>LIZZI_Lionel</t>
  </si>
  <si>
    <t>CROLLES</t>
  </si>
  <si>
    <t>piaggio38@hotmail.fr</t>
  </si>
  <si>
    <t>rue_des_chamois</t>
  </si>
  <si>
    <t>Salvatore</t>
  </si>
  <si>
    <t>CAPIZZI</t>
  </si>
  <si>
    <t>Avis d'imposition 2015 sur revenus 2014</t>
  </si>
  <si>
    <t>V150</t>
  </si>
  <si>
    <t>Unilux 6-70</t>
  </si>
  <si>
    <t>BARBAS</t>
  </si>
  <si>
    <t>CASTAN_Tracy</t>
  </si>
  <si>
    <t>michel.carisio@orange.fr</t>
  </si>
  <si>
    <t>rue_du_bavoir</t>
  </si>
  <si>
    <t>CARISIO</t>
  </si>
  <si>
    <t>Manque taxe d'habitation+ formulaire p 2 + photos poêle</t>
  </si>
  <si>
    <t>V149</t>
  </si>
  <si>
    <t>6* mal classé</t>
  </si>
  <si>
    <t>rue_cure_et_benne</t>
  </si>
  <si>
    <t>Poêle_trop_recent</t>
  </si>
  <si>
    <t>Poêle trop recent (2003) ; Veuve : RFR inférieure au plafond si toute seule + manque questionnaire</t>
  </si>
  <si>
    <t>V148</t>
  </si>
  <si>
    <t>LP UP</t>
  </si>
  <si>
    <t>foyer ouvert</t>
  </si>
  <si>
    <t>LEMASSON</t>
  </si>
  <si>
    <t>chemin_des_chataigniers</t>
  </si>
  <si>
    <t>vrogier@gmail.com</t>
  </si>
  <si>
    <t>avenue_Marechal_Raudon</t>
  </si>
  <si>
    <t>ROGIER</t>
  </si>
  <si>
    <t>Manque qestionnaire</t>
  </si>
  <si>
    <t>V147</t>
  </si>
  <si>
    <t>Billie</t>
  </si>
  <si>
    <t>vieux</t>
  </si>
  <si>
    <t>gregoire.jouan@gmail.com</t>
  </si>
  <si>
    <t>rue_sermorens</t>
  </si>
  <si>
    <t>Grégoire_et_Aurélie</t>
  </si>
  <si>
    <t>JOUAN</t>
  </si>
  <si>
    <t>V146</t>
  </si>
  <si>
    <t>beatrice</t>
  </si>
  <si>
    <t>hubsuz.bret@orange.fr</t>
  </si>
  <si>
    <t>impasse_clé_des_champs</t>
  </si>
  <si>
    <t>Hubert_et_Suzanne</t>
  </si>
  <si>
    <t>V145</t>
  </si>
  <si>
    <t>oui registre</t>
  </si>
  <si>
    <t>Duo Matic</t>
  </si>
  <si>
    <t>LPA</t>
  </si>
  <si>
    <t>contact@ccm38.com</t>
  </si>
  <si>
    <t>chemin_des_touvières</t>
  </si>
  <si>
    <t>André</t>
  </si>
  <si>
    <t>photo non conforme : ok</t>
  </si>
  <si>
    <t>V144</t>
  </si>
  <si>
    <t>oui 5*</t>
  </si>
  <si>
    <t>Rota tre</t>
  </si>
  <si>
    <t>couleurs.du.jour@gmail.com</t>
  </si>
  <si>
    <t>route_du_Massot</t>
  </si>
  <si>
    <t>Valérie</t>
  </si>
  <si>
    <t>SENTILHES</t>
  </si>
  <si>
    <t>Attente du SER : ok</t>
  </si>
  <si>
    <t>V143</t>
  </si>
  <si>
    <t>Solveig acier</t>
  </si>
  <si>
    <t>cheminée_ouverte</t>
  </si>
  <si>
    <t>netgi@orange.fr</t>
  </si>
  <si>
    <t>chemin_Pré_Boulat</t>
  </si>
  <si>
    <t>Marguerite</t>
  </si>
  <si>
    <t>GINET</t>
  </si>
  <si>
    <t>Questionnaire + copie taxe d'habitation</t>
  </si>
  <si>
    <t>V142</t>
  </si>
  <si>
    <t>P4 15</t>
  </si>
  <si>
    <t>FROLING</t>
  </si>
  <si>
    <t>cuisinière_bois</t>
  </si>
  <si>
    <t>PERIER_Denis</t>
  </si>
  <si>
    <t>route_de_Méribel</t>
  </si>
  <si>
    <t>Dossier incomplet malgré plusieurs relances. Plus de 6 mois</t>
  </si>
  <si>
    <t>V141</t>
  </si>
  <si>
    <t>Alicante</t>
  </si>
  <si>
    <t>poele_buche</t>
  </si>
  <si>
    <t>jean-marc.foulon0717@orange.fr</t>
  </si>
  <si>
    <t>rue_des_écoliers</t>
  </si>
  <si>
    <t>FOULON</t>
  </si>
  <si>
    <t>FV et questionnaire : ok</t>
  </si>
  <si>
    <t>V140</t>
  </si>
  <si>
    <t>FS 175</t>
  </si>
  <si>
    <t>fredericfath@yahoo.fr</t>
  </si>
  <si>
    <t>route_de_planche_Cattin</t>
  </si>
  <si>
    <t>FATH</t>
  </si>
  <si>
    <t>30 /12/16</t>
  </si>
  <si>
    <t>V139</t>
  </si>
  <si>
    <t>Musa 2.0 Confort Air</t>
  </si>
  <si>
    <t>laurencetreves@yahoo.fr</t>
  </si>
  <si>
    <t>rue_du_Louvasset</t>
  </si>
  <si>
    <t>Laurence</t>
  </si>
  <si>
    <t>TREVES</t>
  </si>
  <si>
    <t>V138</t>
  </si>
  <si>
    <t>serggrai@aol.com</t>
  </si>
  <si>
    <t>GRAISSE</t>
  </si>
  <si>
    <t>V137</t>
  </si>
  <si>
    <t>oui et
non
(personne de 95 ans, oui si présence de sa fille à son domicile)</t>
  </si>
  <si>
    <t>600 (demande)
450 (devis)</t>
  </si>
  <si>
    <t>1292 (demande)
1550 (devis)</t>
  </si>
  <si>
    <t>Boheme</t>
  </si>
  <si>
    <t>colette.kubiak@orange.fr</t>
  </si>
  <si>
    <t>Marcelline</t>
  </si>
  <si>
    <t>BARLET</t>
  </si>
  <si>
    <t>Facture non acquittée: ok</t>
  </si>
  <si>
    <t>Devis de Bricorama (avec aucune info sur le brico) donc infos entreprise de l'installateur indiqué dans la demande : ok
manque questionnaire et acte notarié (justif résidence principale)</t>
  </si>
  <si>
    <t>V133</t>
  </si>
  <si>
    <t>Fifti</t>
  </si>
  <si>
    <t>route_du_bret_Le_Garrel</t>
  </si>
  <si>
    <t>Poêle FV 5* . Ne souhaite pas changer de modèle</t>
  </si>
  <si>
    <t>Poele 5 * et dossier non complet</t>
  </si>
  <si>
    <t>V123</t>
  </si>
  <si>
    <t>Delhi 114</t>
  </si>
  <si>
    <t>Hase</t>
  </si>
  <si>
    <t>Lieu-dit_Grand_Maison</t>
  </si>
  <si>
    <t>Manque la moitié des documents</t>
  </si>
  <si>
    <t>V120</t>
  </si>
  <si>
    <t>Keops</t>
  </si>
  <si>
    <t>JACOLIN</t>
  </si>
  <si>
    <t>Poêle_non_éligible : pas de réponse du fabricant, malgré les relances du Critbois. Souhaite arrêter le dossier le 26,01/2017</t>
  </si>
  <si>
    <t>En attente fabricant</t>
  </si>
  <si>
    <t>V100</t>
  </si>
  <si>
    <t>KK ECK 57/82/48 MAS</t>
  </si>
  <si>
    <t>Brunner</t>
  </si>
  <si>
    <t>rue_du_champ_du_Mard</t>
  </si>
  <si>
    <t>Poêle_non_éligible : pas de réponse du fabricant, malgré les relances du Critbois. Dossier de plus de 1 an</t>
  </si>
  <si>
    <t>En attente FV</t>
  </si>
  <si>
    <t>V097</t>
  </si>
  <si>
    <t>BSO2</t>
  </si>
  <si>
    <t>Poêle_non _éligible : pas de réponse du fabricant, poêle déjà installé à ce jour avec une facture</t>
  </si>
  <si>
    <t>Manque questionnaire + Modèle non FV</t>
  </si>
  <si>
    <t>V072</t>
  </si>
  <si>
    <t>kk 51/67</t>
  </si>
  <si>
    <t>route_de_la_cascade</t>
  </si>
  <si>
    <t>21/06/16 (Modèle non FV critbois)</t>
  </si>
  <si>
    <t>V054</t>
  </si>
  <si>
    <t>non, tranfert cribois 27/04</t>
  </si>
  <si>
    <t>Morso</t>
  </si>
  <si>
    <t>10/05/16 equivalent transfert cribois 27/04</t>
  </si>
  <si>
    <t>V038</t>
  </si>
  <si>
    <t>JD</t>
  </si>
  <si>
    <t>EGO_AIR</t>
  </si>
  <si>
    <t>MICHEL_Patrick</t>
  </si>
  <si>
    <t>lisecarre3@gmail.com</t>
  </si>
  <si>
    <t>rue_alfred_de_musset</t>
  </si>
  <si>
    <t>Lise_Alexandre</t>
  </si>
  <si>
    <t>CARRE_CHABOUCHE</t>
  </si>
  <si>
    <t>V136</t>
  </si>
  <si>
    <t>poele_de_cuisine</t>
  </si>
  <si>
    <t>chuper38@gmail.com</t>
  </si>
  <si>
    <t>chemin_du_bouvier</t>
  </si>
  <si>
    <t>Claudine</t>
  </si>
  <si>
    <t>HUBOND-PEROND</t>
  </si>
  <si>
    <t>Manque cefa de destruction</t>
  </si>
  <si>
    <t>Acte notarial</t>
  </si>
  <si>
    <t>V135</t>
  </si>
  <si>
    <t>ANIA</t>
  </si>
  <si>
    <t>rue_victor_hugo</t>
  </si>
  <si>
    <t>Paulette</t>
  </si>
  <si>
    <t>Devis signé avec accompte
Manque questionnaire</t>
  </si>
  <si>
    <t>V134</t>
  </si>
  <si>
    <t>buche_0,07
granulés_0</t>
  </si>
  <si>
    <t>buche_86
granulés_91</t>
  </si>
  <si>
    <t>buche_11,6
granulés_9,7</t>
  </si>
  <si>
    <t>buche_27
granulés_10</t>
  </si>
  <si>
    <t>Induo</t>
  </si>
  <si>
    <t>CHARREL</t>
  </si>
  <si>
    <t>arnaud.menguy@gmail.com</t>
  </si>
  <si>
    <t>chemin_de_la_larde</t>
  </si>
  <si>
    <t>Arnaud</t>
  </si>
  <si>
    <t>MENGUY</t>
  </si>
  <si>
    <t>Date facture</t>
  </si>
  <si>
    <t>V132</t>
  </si>
  <si>
    <t>oui (registre sept 2016)</t>
  </si>
  <si>
    <t>Evora_T_acier</t>
  </si>
  <si>
    <t>Romotop</t>
  </si>
  <si>
    <t>pascal.cornet38@gmail.com</t>
  </si>
  <si>
    <t>impasse_gare_du_cotterg</t>
  </si>
  <si>
    <t>CORNET</t>
  </si>
  <si>
    <t>Pas de CERFA</t>
  </si>
  <si>
    <t>V131</t>
  </si>
  <si>
    <t>Persee_sur_bucher</t>
  </si>
  <si>
    <t>Supra</t>
  </si>
  <si>
    <t>0457939338_leroy_merlin
0698193037_SARL_PAB</t>
  </si>
  <si>
    <t>Sebastien_F_leroy_merlin
AILLOUD_SARL_PAB</t>
  </si>
  <si>
    <t>emmanuelle.radzyner@orange.fr</t>
  </si>
  <si>
    <t>SAINT_GEOIRS_EN_VALDAINE</t>
  </si>
  <si>
    <t>Emmanuelle</t>
  </si>
  <si>
    <t>SAINT-PIERRE</t>
  </si>
  <si>
    <t>V130</t>
  </si>
  <si>
    <t>Ego_2.0_Oyster</t>
  </si>
  <si>
    <t>annabule@hotmail.com</t>
  </si>
  <si>
    <t>avenue_Jean_Jaurès</t>
  </si>
  <si>
    <t>Anabelle</t>
  </si>
  <si>
    <t>PERSEE</t>
  </si>
  <si>
    <t>Demande infos complémentaires photos</t>
  </si>
  <si>
    <t>Questionnaire</t>
  </si>
  <si>
    <t>V129</t>
  </si>
  <si>
    <t>Ecofire_Slimmy</t>
  </si>
  <si>
    <t>Palazzetti</t>
  </si>
  <si>
    <t>thomas.morey@wattehome.com</t>
  </si>
  <si>
    <t>Oui</t>
  </si>
  <si>
    <t>WATT&amp;HOME</t>
  </si>
  <si>
    <t>cplms38@free.fr</t>
  </si>
  <si>
    <t>Chemin_de_Saint-jean-de-Chepy</t>
  </si>
  <si>
    <t>D'HARDIVILLE</t>
  </si>
  <si>
    <t>V128</t>
  </si>
  <si>
    <t>Sally</t>
  </si>
  <si>
    <t>clementnathalie239@yahoo.fr</t>
  </si>
  <si>
    <t>chemin_des_paastières</t>
  </si>
  <si>
    <t>V127</t>
  </si>
  <si>
    <t>Pallas</t>
  </si>
  <si>
    <t>TURBO_FONTE</t>
  </si>
  <si>
    <t>stephanie.orgeas@gmail.com</t>
  </si>
  <si>
    <t>route_du_Bayard</t>
  </si>
  <si>
    <t>Stéphanie</t>
  </si>
  <si>
    <t>ORGEAS</t>
  </si>
  <si>
    <t>V126</t>
  </si>
  <si>
    <t>EGO 2.0 Confort air</t>
  </si>
  <si>
    <t>bioclimatic@wanadoo.fr</t>
  </si>
  <si>
    <t>HUE_Jean-Pierre</t>
  </si>
  <si>
    <t>yves.isabelle.hirschauer@wanadoo.fr</t>
  </si>
  <si>
    <t>rue_du_Maleyssard</t>
  </si>
  <si>
    <t>Yves et Isabelle</t>
  </si>
  <si>
    <t>HIRSCHAUER</t>
  </si>
  <si>
    <t>V125</t>
  </si>
  <si>
    <t>Ild 9</t>
  </si>
  <si>
    <t>stephanie.fieu@orange.fr</t>
  </si>
  <si>
    <t>chemin_des_sources</t>
  </si>
  <si>
    <t>FIEU</t>
  </si>
  <si>
    <t>V124</t>
  </si>
  <si>
    <t>Noah 12</t>
  </si>
  <si>
    <t>myriam.rumillat@orange.fr</t>
  </si>
  <si>
    <t>allée_de_la_soie</t>
  </si>
  <si>
    <t>RUMILLAT</t>
  </si>
  <si>
    <t>Questionnaire : ok</t>
  </si>
  <si>
    <t>V122</t>
  </si>
  <si>
    <t>Vision 700</t>
  </si>
  <si>
    <t>bmd@clouet@wanadoo.fr</t>
  </si>
  <si>
    <t>rue _du_Criel</t>
  </si>
  <si>
    <t>CLOUET</t>
  </si>
  <si>
    <t>V121</t>
  </si>
  <si>
    <t>Ines</t>
  </si>
  <si>
    <t>michel.willi@free.fr</t>
  </si>
  <si>
    <t>route_du_val_d'Ainan</t>
  </si>
  <si>
    <t>MICHEL</t>
  </si>
  <si>
    <t>Attention : attestation cerfa non remplie : déchetterie</t>
  </si>
  <si>
    <t>Entreprise non RGE</t>
  </si>
  <si>
    <t>V119</t>
  </si>
  <si>
    <t>2020S</t>
  </si>
  <si>
    <t>gaellebras@wanadoo.fr</t>
  </si>
  <si>
    <t>allée_de_la_chenaie</t>
  </si>
  <si>
    <t>Gaël</t>
  </si>
  <si>
    <t>LE_BRAS</t>
  </si>
  <si>
    <t>Critbois : ok changement d'insert</t>
  </si>
  <si>
    <t>V118</t>
  </si>
  <si>
    <t>michel.38.arnould@gmail.com</t>
  </si>
  <si>
    <t>rue_des_Pautes</t>
  </si>
  <si>
    <t>ARNOULD</t>
  </si>
  <si>
    <t>V117</t>
  </si>
  <si>
    <t>olivier_deschamps@hotmail.com</t>
  </si>
  <si>
    <t>avenue_Henri_Chapays</t>
  </si>
  <si>
    <t>DESCHAMPS</t>
  </si>
  <si>
    <t>V116</t>
  </si>
  <si>
    <t>MAHEO_Christian</t>
  </si>
  <si>
    <t>La_Grande_Route</t>
  </si>
  <si>
    <t>Suzanne</t>
  </si>
  <si>
    <t>V115</t>
  </si>
  <si>
    <t>Star 2.0</t>
  </si>
  <si>
    <t>bibi.fabry@orange.fr</t>
  </si>
  <si>
    <t>route_du_gorgeat</t>
  </si>
  <si>
    <t>FABRY</t>
  </si>
  <si>
    <t>V114</t>
  </si>
  <si>
    <t>Atlas Céramique</t>
  </si>
  <si>
    <t>Turbo Fonte</t>
  </si>
  <si>
    <t>m.bouvierpatron@orange.fr</t>
  </si>
  <si>
    <t>chemin_de_Boréas</t>
  </si>
  <si>
    <t>Marius</t>
  </si>
  <si>
    <t>COLLIN</t>
  </si>
  <si>
    <t>PB installateur non RGE : ok</t>
  </si>
  <si>
    <t>V113</t>
  </si>
  <si>
    <t>Eliseo</t>
  </si>
  <si>
    <t>chemin_de_boréas</t>
  </si>
  <si>
    <t>Maurice</t>
  </si>
  <si>
    <t>Artisan non RGE + insert 6*</t>
  </si>
  <si>
    <t>V112</t>
  </si>
  <si>
    <t>gerald.fantinel@orange.fr</t>
  </si>
  <si>
    <t>route_d'Oyeu</t>
  </si>
  <si>
    <t>Gérald</t>
  </si>
  <si>
    <t>FANTINEL</t>
  </si>
  <si>
    <t>V111</t>
  </si>
  <si>
    <t>Lahan</t>
  </si>
  <si>
    <t>mikexcoff@free.fr</t>
  </si>
  <si>
    <t>Impasse_Matrières_et_les_combes_Lieu-Dit_Saint_Sixte</t>
  </si>
  <si>
    <t>Michaël</t>
  </si>
  <si>
    <t>EXCOFFIER</t>
  </si>
  <si>
    <t>V110</t>
  </si>
  <si>
    <t>ILD 13</t>
  </si>
  <si>
    <t>kw.halo@wanadoo.fr</t>
  </si>
  <si>
    <t>route_de_la_croix_blanche</t>
  </si>
  <si>
    <t>Walter</t>
  </si>
  <si>
    <t>KNOBLAUCH</t>
  </si>
  <si>
    <t>V109</t>
  </si>
  <si>
    <t>contact@mv-energie.fr</t>
  </si>
  <si>
    <t>GOSSET_Victor</t>
  </si>
  <si>
    <t>MORESTEL</t>
  </si>
  <si>
    <t>flo.loeser@gmail.com</t>
  </si>
  <si>
    <t>rue_de_beauvillage</t>
  </si>
  <si>
    <t>LOESER</t>
  </si>
  <si>
    <t>Avis d'impôt: ok</t>
  </si>
  <si>
    <t>V108</t>
  </si>
  <si>
    <t>EGO 2.0</t>
  </si>
  <si>
    <t>route_du_bois_du_four</t>
  </si>
  <si>
    <t>Claude</t>
  </si>
  <si>
    <t>poele de 2011</t>
  </si>
  <si>
    <t>V107</t>
  </si>
  <si>
    <t>Solveig</t>
  </si>
  <si>
    <t>hlachaise@nge.fr</t>
  </si>
  <si>
    <t>Chemin_de_Berlan_Le_Perrin_3_lots_les_Terrassades</t>
  </si>
  <si>
    <t>Henri et Anne-Marie</t>
  </si>
  <si>
    <t>LACHAISE</t>
  </si>
  <si>
    <t>facture non acquitée</t>
  </si>
  <si>
    <t>En attente RGE : ok</t>
  </si>
  <si>
    <t>V106</t>
  </si>
  <si>
    <t>ROCO</t>
  </si>
  <si>
    <t>ffab.dum@gmail.com</t>
  </si>
  <si>
    <t>DUMOULIN</t>
  </si>
  <si>
    <t>V105</t>
  </si>
  <si>
    <t>Viviana_10</t>
  </si>
  <si>
    <t>NORDICA_EXTRAFLAMME</t>
  </si>
  <si>
    <t>chaudhieretdaujourdhui@orange.fr</t>
  </si>
  <si>
    <t>QAVIOT_Gérard</t>
  </si>
  <si>
    <t>CHAUD'HIER&amp;D'AUJOURD'HUI</t>
  </si>
  <si>
    <t>chemin_de_la_faverge</t>
  </si>
  <si>
    <t>FOURCADE/MOLLIER</t>
  </si>
  <si>
    <t>V104</t>
  </si>
  <si>
    <t>Anna 9 Pro 2</t>
  </si>
  <si>
    <t>floriane.38@hotmail.fr</t>
  </si>
  <si>
    <t>Impasse_du_mollard_de_la_sauge</t>
  </si>
  <si>
    <t>BAYET</t>
  </si>
  <si>
    <t>Manque RIB, taxe d'habitation, avis d'impo, lettre de sollicatation</t>
  </si>
  <si>
    <t>V103</t>
  </si>
  <si>
    <t>Boxtherm_70</t>
  </si>
  <si>
    <t>maumichehugon@free.fr</t>
  </si>
  <si>
    <t>HUGON</t>
  </si>
  <si>
    <t>28/10/216</t>
  </si>
  <si>
    <t>V102</t>
  </si>
  <si>
    <t>pascal.joffre.570@gmail.com</t>
  </si>
  <si>
    <t>chemin_du_gros_bois</t>
  </si>
  <si>
    <t>JOFFRE</t>
  </si>
  <si>
    <t>V101</t>
  </si>
  <si>
    <t>LP9UP</t>
  </si>
  <si>
    <t>nathaliewild@yahoo.fr</t>
  </si>
  <si>
    <t>Nathalie et Claude</t>
  </si>
  <si>
    <t>WILD</t>
  </si>
  <si>
    <t>Locataire</t>
  </si>
  <si>
    <t>V099</t>
  </si>
  <si>
    <t>ego 2.0 air</t>
  </si>
  <si>
    <t>rue_des_taillifardières</t>
  </si>
  <si>
    <t>BILLON-PIERRON</t>
  </si>
  <si>
    <t>V098</t>
  </si>
  <si>
    <t>serie 20</t>
  </si>
  <si>
    <t>Contura</t>
  </si>
  <si>
    <t>rjos17@aol.com</t>
  </si>
  <si>
    <t>SAINT-JEAN de MOIRANS</t>
  </si>
  <si>
    <t>chemin_du_delard</t>
  </si>
  <si>
    <t>Josiane</t>
  </si>
  <si>
    <t>ROCHE</t>
  </si>
  <si>
    <t>V096</t>
  </si>
  <si>
    <t>route_de_la_Chartreuse</t>
  </si>
  <si>
    <t>Christelle</t>
  </si>
  <si>
    <t>JOSSERAND</t>
  </si>
  <si>
    <t>V095</t>
  </si>
  <si>
    <t>levasseur.mauries@orange.fr</t>
  </si>
  <si>
    <t>montée_de_la_revatière</t>
  </si>
  <si>
    <t>MAURIES</t>
  </si>
  <si>
    <t>Manque cerfa: ok</t>
  </si>
  <si>
    <t>V094</t>
  </si>
  <si>
    <t>F166</t>
  </si>
  <si>
    <t>p.clavel@alp-confort.fr</t>
  </si>
  <si>
    <t>CLAVEL_Pascal</t>
  </si>
  <si>
    <t>marie-line.rey@wanadoo.fr</t>
  </si>
  <si>
    <t>Marie-Line</t>
  </si>
  <si>
    <t>REY</t>
  </si>
  <si>
    <t>manque dates</t>
  </si>
  <si>
    <t>V093</t>
  </si>
  <si>
    <t>PZ_Beatrice</t>
  </si>
  <si>
    <t>granule</t>
  </si>
  <si>
    <t>nadegesv@gmail.com</t>
  </si>
  <si>
    <t>chemin_du_lavoir</t>
  </si>
  <si>
    <t>SEIGLE-VATTE</t>
  </si>
  <si>
    <t>V092</t>
  </si>
  <si>
    <t>Firestar_Lambda</t>
  </si>
  <si>
    <t>HERZ</t>
  </si>
  <si>
    <t>Chaudière_bois</t>
  </si>
  <si>
    <t>plomberie.philippe@alicepro.fr</t>
  </si>
  <si>
    <t>PELLU_Philippe</t>
  </si>
  <si>
    <t>PANISSAGE</t>
  </si>
  <si>
    <t>route_de_la_grange_dimière</t>
  </si>
  <si>
    <t>BARRAL</t>
  </si>
  <si>
    <t>V091</t>
  </si>
  <si>
    <t>electro-menager-baratier@wanadoo.fr</t>
  </si>
  <si>
    <t>BARATIER_Jean-Marie</t>
  </si>
  <si>
    <t>chemin_de_l'office</t>
  </si>
  <si>
    <t>ROMET</t>
  </si>
  <si>
    <t>Poele 5* : perf ok : vu avec le SER</t>
  </si>
  <si>
    <t>V090</t>
  </si>
  <si>
    <t>Foyer_fermé</t>
  </si>
  <si>
    <t>sophie.trouilloud@neuf.fr</t>
  </si>
  <si>
    <t>rue_du_Dauphiné</t>
  </si>
  <si>
    <t>Stephan</t>
  </si>
  <si>
    <t>SPITZNAGEL</t>
  </si>
  <si>
    <t>Manque lettre de sollicitation, RGE, Questionnaire, avis d'imposition</t>
  </si>
  <si>
    <t>V089</t>
  </si>
  <si>
    <t>Suite Confort Air</t>
  </si>
  <si>
    <t>madeleine.charbonneaux@orange.fr</t>
  </si>
  <si>
    <t>CHARBONNEAUX</t>
  </si>
  <si>
    <t>V088</t>
  </si>
  <si>
    <t>SLIMMY</t>
  </si>
  <si>
    <t>VOISSANT</t>
  </si>
  <si>
    <t>chemin_du_grappillon_Verchère</t>
  </si>
  <si>
    <t>CURTET</t>
  </si>
  <si>
    <t>Manque Taxe foncière (propriétaire)</t>
  </si>
  <si>
    <t>V087</t>
  </si>
  <si>
    <t>pascal.gentile@sfr.fr</t>
  </si>
  <si>
    <t>rue_des_buissons</t>
  </si>
  <si>
    <t>GENTILE</t>
  </si>
  <si>
    <t>V086</t>
  </si>
  <si>
    <t>ROTA TRE</t>
  </si>
  <si>
    <t>jpcrodriguez38@gmail.com</t>
  </si>
  <si>
    <t>rue_Lionel_Terray</t>
  </si>
  <si>
    <t>Poele attente CRIIBOIS</t>
  </si>
  <si>
    <t>V085</t>
  </si>
  <si>
    <t>Aris</t>
  </si>
  <si>
    <t>vincendon-habitat.horizon@wanadoo.fr</t>
  </si>
  <si>
    <t>BERNIGAUD_Jean-Claude</t>
  </si>
  <si>
    <t>cissou38sfp@yahoo.fr</t>
  </si>
  <si>
    <t>rue _Georges_Clemenceau</t>
  </si>
  <si>
    <t>MANGOURNET</t>
  </si>
  <si>
    <t>Photo non conforme</t>
  </si>
  <si>
    <t>V084</t>
  </si>
  <si>
    <t>Lagos</t>
  </si>
  <si>
    <t>mireille-sylvain@orange.fr</t>
  </si>
  <si>
    <t>route_de_Palluel</t>
  </si>
  <si>
    <t>Mireille et Sylvain</t>
  </si>
  <si>
    <t>PALTRIER</t>
  </si>
  <si>
    <t>Pb RGE entreprise : ok</t>
  </si>
  <si>
    <t>V083</t>
  </si>
  <si>
    <t>ARENA W+</t>
  </si>
  <si>
    <t>christophe.h@free.fr</t>
  </si>
  <si>
    <t>rue_des_mollies</t>
  </si>
  <si>
    <t>HUMBERT</t>
  </si>
  <si>
    <t>Attente CRIIBOIS</t>
  </si>
  <si>
    <t>V082</t>
  </si>
  <si>
    <t>Ginger</t>
  </si>
  <si>
    <t>jeremy-h.38@orange.fr</t>
  </si>
  <si>
    <t>route_du_girerd</t>
  </si>
  <si>
    <t>Nicole</t>
  </si>
  <si>
    <t>REVOL</t>
  </si>
  <si>
    <t>V081</t>
  </si>
  <si>
    <t>godin</t>
  </si>
  <si>
    <t>giuseppeitalo.bruno@sfr.fr</t>
  </si>
  <si>
    <t>route_du_col</t>
  </si>
  <si>
    <t>BRUNO</t>
  </si>
  <si>
    <t>pb installateur non RGE :ok</t>
  </si>
  <si>
    <t>V080</t>
  </si>
  <si>
    <t>cyrillecoh@gmail.com</t>
  </si>
  <si>
    <t>Route_de_Chartreuse</t>
  </si>
  <si>
    <t>Cyrille</t>
  </si>
  <si>
    <t>COHEN</t>
  </si>
  <si>
    <t>V079</t>
  </si>
  <si>
    <t>Jotul</t>
  </si>
  <si>
    <t>route_du_monnair</t>
  </si>
  <si>
    <t>BIASO</t>
  </si>
  <si>
    <t>Manque questionnaire</t>
  </si>
  <si>
    <t>V078</t>
  </si>
  <si>
    <t>moninjean38@yahoo.fr</t>
  </si>
  <si>
    <t>chemin_de_la_jacquinière</t>
  </si>
  <si>
    <t>MONIN</t>
  </si>
  <si>
    <t>V077</t>
  </si>
  <si>
    <t>s.pourcenoux@orange.fr</t>
  </si>
  <si>
    <t>Simon</t>
  </si>
  <si>
    <t>POURCENOUX</t>
  </si>
  <si>
    <t>V076</t>
  </si>
  <si>
    <t>Gardenia Air</t>
  </si>
  <si>
    <t>RED</t>
  </si>
  <si>
    <t>jcmeyer53@hotmail.fr</t>
  </si>
  <si>
    <t>avenue_de_st_cassien</t>
  </si>
  <si>
    <t>CHENE</t>
  </si>
  <si>
    <t>V075</t>
  </si>
  <si>
    <t>Violino 65*87</t>
  </si>
  <si>
    <t>Ruegg</t>
  </si>
  <si>
    <t>infos38@atre-loisirs.fr</t>
  </si>
  <si>
    <t>CLEMENT_Jean-Yves</t>
  </si>
  <si>
    <t>chemin_de_la_Félie</t>
  </si>
  <si>
    <t>Didier</t>
  </si>
  <si>
    <t>Manque CERFA + attestation de fin de travaux</t>
  </si>
  <si>
    <t>V074</t>
  </si>
  <si>
    <t>NAVIA</t>
  </si>
  <si>
    <t>route_de_Voissant</t>
  </si>
  <si>
    <t>DYON</t>
  </si>
  <si>
    <t>V073</t>
  </si>
  <si>
    <t>Domo</t>
  </si>
  <si>
    <t>Rika</t>
  </si>
  <si>
    <t>route_des_prairies</t>
  </si>
  <si>
    <t>Dossier complet mais appareils &gt;2002</t>
  </si>
  <si>
    <t>V071</t>
  </si>
  <si>
    <t>V070</t>
  </si>
  <si>
    <t>Interno</t>
  </si>
  <si>
    <t>LO</t>
  </si>
  <si>
    <t>richard.prochic@orange.fr</t>
  </si>
  <si>
    <t>TETE</t>
  </si>
  <si>
    <t>locataire</t>
  </si>
  <si>
    <t>En attente du SER : ok</t>
  </si>
  <si>
    <t>V069</t>
  </si>
  <si>
    <t>vanthournouts@wanadoo.fr</t>
  </si>
  <si>
    <t>chemin_des_prairies</t>
  </si>
  <si>
    <t>VANTHOURNOUT</t>
  </si>
  <si>
    <t>V068</t>
  </si>
  <si>
    <t>FS73</t>
  </si>
  <si>
    <t>tie-naud@wanadoo.fr</t>
  </si>
  <si>
    <t>chemin_de_la_chevalerie</t>
  </si>
  <si>
    <t>Christine</t>
  </si>
  <si>
    <t>NAUD</t>
  </si>
  <si>
    <t>V067</t>
  </si>
  <si>
    <t>Corso</t>
  </si>
  <si>
    <t>lmouradian@yahoo.fr</t>
  </si>
  <si>
    <t>MOURADIAN</t>
  </si>
  <si>
    <t>V066</t>
  </si>
  <si>
    <t>Cecile</t>
  </si>
  <si>
    <t>cedric.brandi@orange.fr</t>
  </si>
  <si>
    <t>Grande_rue</t>
  </si>
  <si>
    <t>Cédric</t>
  </si>
  <si>
    <t>BRANDI</t>
  </si>
  <si>
    <t>Manque facture acquiteé</t>
  </si>
  <si>
    <t>V065</t>
  </si>
  <si>
    <t>laurereverdy@hotmail.com</t>
  </si>
  <si>
    <t>route_de_Miribel</t>
  </si>
  <si>
    <t>Laure</t>
  </si>
  <si>
    <t>REVERDY</t>
  </si>
  <si>
    <t>V064</t>
  </si>
  <si>
    <t>Slimmy</t>
  </si>
  <si>
    <t>stephane.giovale@free.fr</t>
  </si>
  <si>
    <t>route_de_Tolven</t>
  </si>
  <si>
    <t>GIOVALE</t>
  </si>
  <si>
    <t>V063</t>
  </si>
  <si>
    <t>ego 2.0</t>
  </si>
  <si>
    <t>annecepollin@hotmail.fr</t>
  </si>
  <si>
    <t>route_de_Sanissard</t>
  </si>
  <si>
    <t>MOENNE-LOCCOZ</t>
  </si>
  <si>
    <t>Photo</t>
  </si>
  <si>
    <t>Pb personne sur déclaration impôt</t>
  </si>
  <si>
    <t>V062</t>
  </si>
  <si>
    <t>Visio 8 plus</t>
  </si>
  <si>
    <t>seguin_Duteriez</t>
  </si>
  <si>
    <t>DURAND_Jean-Claude</t>
  </si>
  <si>
    <t>martine.r.delubac@gsk.com</t>
  </si>
  <si>
    <t>Martine</t>
  </si>
  <si>
    <t>DELUBAC</t>
  </si>
  <si>
    <t>11/07/2016 : photos supplémentaires et questionnaire</t>
  </si>
  <si>
    <t>V061</t>
  </si>
  <si>
    <t>avant 1994</t>
  </si>
  <si>
    <t>POELES ET CUISINIERES PASSION</t>
  </si>
  <si>
    <t>jean_paul_champon@wanadoo.fr</t>
  </si>
  <si>
    <t>route_des_galbits</t>
  </si>
  <si>
    <t>CHAMPON</t>
  </si>
  <si>
    <t>Manque Cerfa elimination : ok</t>
  </si>
  <si>
    <t>V060</t>
  </si>
  <si>
    <t>loic.chassigneu@live.fr</t>
  </si>
  <si>
    <t>route_de_montfollet</t>
  </si>
  <si>
    <t>Loic</t>
  </si>
  <si>
    <t>CHASSIGNEU</t>
  </si>
  <si>
    <t>V059</t>
  </si>
  <si>
    <t>Hugo multifire</t>
  </si>
  <si>
    <t>christine.chassiboud@orange.fr</t>
  </si>
  <si>
    <t>rue_de_belledonne</t>
  </si>
  <si>
    <t>CHASSIBOUD</t>
  </si>
  <si>
    <t>Manque CERFA + Attestation de fin de travaux</t>
  </si>
  <si>
    <t>01/07/16 : manque questionnaire</t>
  </si>
  <si>
    <t>V058</t>
  </si>
  <si>
    <t>LUNO</t>
  </si>
  <si>
    <t>marc.rodary@laposte.net</t>
  </si>
  <si>
    <t>rue_du_moulin</t>
  </si>
  <si>
    <t>Marc_et_Emmanuelle</t>
  </si>
  <si>
    <t>RODARY</t>
  </si>
  <si>
    <t>29/08/2016 : va rappeler pour nous tenir au courant</t>
  </si>
  <si>
    <t>01/07/2016 NON RGE</t>
  </si>
  <si>
    <t>V057</t>
  </si>
  <si>
    <t>melanie.vaudray@hotmail.fr</t>
  </si>
  <si>
    <t>impasse_du_petit_Velanne</t>
  </si>
  <si>
    <t>Mélanie</t>
  </si>
  <si>
    <t>V056</t>
  </si>
  <si>
    <t>alti.ramonage@free.fr</t>
  </si>
  <si>
    <t>BONNEFAUS_Olivier</t>
  </si>
  <si>
    <t>PASSY</t>
  </si>
  <si>
    <t>caro.philippe@cegetel.net</t>
  </si>
  <si>
    <t>chemin_du_bois_chatel</t>
  </si>
  <si>
    <t>CARO</t>
  </si>
  <si>
    <t>V055</t>
  </si>
  <si>
    <t>be@wattethome.com</t>
  </si>
  <si>
    <t>liviamarie.cercle@yahoo.fr</t>
  </si>
  <si>
    <t>chemin_de_la_vorly</t>
  </si>
  <si>
    <t>Thiébaut</t>
  </si>
  <si>
    <t>ESSAO_MBANE</t>
  </si>
  <si>
    <t>V053</t>
  </si>
  <si>
    <t>rue_Raoul_Blancherd</t>
  </si>
  <si>
    <t>03/06/2016: manque devis installateur + ancien poêle de 2011 (voir avec JD)</t>
  </si>
  <si>
    <t>V052</t>
  </si>
  <si>
    <t>CLUB 2.0 Air</t>
  </si>
  <si>
    <t>amedail@laposte.net</t>
  </si>
  <si>
    <t>chemin_du_vallon</t>
  </si>
  <si>
    <t>MEDAIL</t>
  </si>
  <si>
    <t>V051</t>
  </si>
  <si>
    <t>Nadia</t>
  </si>
  <si>
    <t>vitoria38@hotmail.fr</t>
  </si>
  <si>
    <t>LA_BATIE_DIVISIN</t>
  </si>
  <si>
    <t>route_de_bourg</t>
  </si>
  <si>
    <t>Yvon</t>
  </si>
  <si>
    <t>FAURE</t>
  </si>
  <si>
    <t>03/06/16 : manque questionnaire</t>
  </si>
  <si>
    <t>V050</t>
  </si>
  <si>
    <t>georges.tirard-gatel@orange.fr</t>
  </si>
  <si>
    <t>croix_de_tourtière</t>
  </si>
  <si>
    <t>TIRARD-GATEL</t>
  </si>
  <si>
    <t>23 /06/16</t>
  </si>
  <si>
    <t>1/6/16 : Equivalent FV en attente CRIIBOIS</t>
  </si>
  <si>
    <t>V049</t>
  </si>
  <si>
    <t>Atraflam 16/9ème 600</t>
  </si>
  <si>
    <t>ATRA</t>
  </si>
  <si>
    <t>rue_de_la_Feydelière</t>
  </si>
  <si>
    <t>DESSALLES</t>
  </si>
  <si>
    <t>01/06/16 : manque questionnaire + RIB</t>
  </si>
  <si>
    <t>V048</t>
  </si>
  <si>
    <t>Poele</t>
  </si>
  <si>
    <t>Insert</t>
  </si>
  <si>
    <t>fralor73@orange.fr</t>
  </si>
  <si>
    <t>MAHEO_E</t>
  </si>
  <si>
    <t>picco.remy@neuf.fr</t>
  </si>
  <si>
    <t>route_de_la_croze</t>
  </si>
  <si>
    <t>Rémy</t>
  </si>
  <si>
    <t>PICCO</t>
  </si>
  <si>
    <t>01/06/16 : manque questionnaire</t>
  </si>
  <si>
    <t>V047</t>
  </si>
  <si>
    <t>SERVANDON_Didier</t>
  </si>
  <si>
    <t>chemin_de_la_plaine_Lieu-Dit_"Trian"</t>
  </si>
  <si>
    <t>lysianebis.candeias@gmail.com</t>
  </si>
  <si>
    <t>boulevard_Michel_Perret</t>
  </si>
  <si>
    <t>Lysiane</t>
  </si>
  <si>
    <t>CANDEIAS</t>
  </si>
  <si>
    <t>V046</t>
  </si>
  <si>
    <t>j.cusinmermet@yahoo.fr</t>
  </si>
  <si>
    <t>Route_de_Mas_et_Grand_Rey</t>
  </si>
  <si>
    <t>CUSIN-MERMET</t>
  </si>
  <si>
    <t>25/05/16 : En attente 2ème avis d'imposition</t>
  </si>
  <si>
    <t>V045</t>
  </si>
  <si>
    <t>Monde LP 6 UP</t>
  </si>
  <si>
    <t>contact@othermie.fr</t>
  </si>
  <si>
    <t>ZARPONNE_Thierry</t>
  </si>
  <si>
    <t>chantoiseau.alexis@gmail.com</t>
  </si>
  <si>
    <t>clos_des_tuileries</t>
  </si>
  <si>
    <t>CHANTOISEAU</t>
  </si>
  <si>
    <t>25/05/16 : pas accès à la base équivalent FV et manque des docs
21/06/16 : réception des docs manquantes. En attente réponse cribois</t>
  </si>
  <si>
    <t>V044</t>
  </si>
  <si>
    <t>XP78IN</t>
  </si>
  <si>
    <t>Lorflam</t>
  </si>
  <si>
    <t>christophe.cortinovis@wanadoo.fr</t>
  </si>
  <si>
    <t>Route_des_souces</t>
  </si>
  <si>
    <t>CORTINOVIS</t>
  </si>
  <si>
    <t>V043</t>
  </si>
  <si>
    <t>pascal.rigolt@orange.fr</t>
  </si>
  <si>
    <t>Route_de_la_Garangère_La_Pagère</t>
  </si>
  <si>
    <t>RIGOLT</t>
  </si>
  <si>
    <t>V042</t>
  </si>
  <si>
    <t>LA MURETTE</t>
  </si>
  <si>
    <t>Le_bas_de_la_sarra</t>
  </si>
  <si>
    <t>Ginette</t>
  </si>
  <si>
    <t>SEYMARC</t>
  </si>
  <si>
    <t>V041</t>
  </si>
  <si>
    <t>Ecofire_Beatrice</t>
  </si>
  <si>
    <t>Palazetti</t>
  </si>
  <si>
    <t>ginetteguillermet@free.fr</t>
  </si>
  <si>
    <t>Chemin_du_Bouvier</t>
  </si>
  <si>
    <t>GUILLERMET</t>
  </si>
  <si>
    <t>20/05/16 (tél) attente actualisation BD FV - coup de fil installateur pour qu'il disent aux constructeurs d'alerter FV</t>
  </si>
  <si>
    <t>V040</t>
  </si>
  <si>
    <t>Europa_7_DC</t>
  </si>
  <si>
    <t>Seguin_Duteriez</t>
  </si>
  <si>
    <t>bernarg.guillou@wanadoo.fr</t>
  </si>
  <si>
    <t>Rue_du_Pleyre</t>
  </si>
  <si>
    <t>GUILLOU</t>
  </si>
  <si>
    <t>V039</t>
  </si>
  <si>
    <t>Astrea 888 Ultra I</t>
  </si>
  <si>
    <t>Turbo_Fonte</t>
  </si>
  <si>
    <t>pierre.katan@gmail.com</t>
  </si>
  <si>
    <t>SAINT-ETIENNE-DE-CROSSEY</t>
  </si>
  <si>
    <t>Alle_de_la_Rosetiere</t>
  </si>
  <si>
    <t>KATAN</t>
  </si>
  <si>
    <t>V037</t>
  </si>
  <si>
    <t>Route_de_la_Gare</t>
  </si>
  <si>
    <t>V036</t>
  </si>
  <si>
    <t>6* mais avec perf 7*</t>
  </si>
  <si>
    <t>Sumo</t>
  </si>
  <si>
    <t>sgrattessol@hotmail.fr</t>
  </si>
  <si>
    <t>Chemin_Saint_Jean_de_Chepy</t>
  </si>
  <si>
    <t>Sonia</t>
  </si>
  <si>
    <t>GRATTESSOL</t>
  </si>
  <si>
    <t>29/04 FV 6* avec des perf 7*</t>
  </si>
  <si>
    <t>V035</t>
  </si>
  <si>
    <t>Nara</t>
  </si>
  <si>
    <t>jlduch@free.fr</t>
  </si>
  <si>
    <t>Route_des_Galbits</t>
  </si>
  <si>
    <t>DUCHAUX</t>
  </si>
  <si>
    <t>13/04/2016 ni FV ni suffisant sur poussières et CO</t>
  </si>
  <si>
    <t>V034</t>
  </si>
  <si>
    <t>marieclavel38@gmail.com</t>
  </si>
  <si>
    <t>Jeremie</t>
  </si>
  <si>
    <t>GALLEN</t>
  </si>
  <si>
    <t>V033</t>
  </si>
  <si>
    <t>?</t>
  </si>
  <si>
    <t>SAINT-AUPRE</t>
  </si>
  <si>
    <t>Route_de_St_Etienne_de_Crossey</t>
  </si>
  <si>
    <t>Ange</t>
  </si>
  <si>
    <t>AMORE</t>
  </si>
  <si>
    <t>V032</t>
  </si>
  <si>
    <t>rosy.dipasquale@laposte.net</t>
  </si>
  <si>
    <t>Route_du_Pin</t>
  </si>
  <si>
    <t>Rosette</t>
  </si>
  <si>
    <t>DI_PASQUALE</t>
  </si>
  <si>
    <t>25/04 : RIB et devis vont être envoyé par courrier, à priori pas bon pour majoration 15/04 pas de RIB pas d'info sur majoration pas de devis pas dinfo sur modèle</t>
  </si>
  <si>
    <t>V031</t>
  </si>
  <si>
    <t>gf.bugnon@orange.fr</t>
  </si>
  <si>
    <t>Rue_du_Beal</t>
  </si>
  <si>
    <t>BUGNON</t>
  </si>
  <si>
    <t>V030</t>
  </si>
  <si>
    <t>Lena</t>
  </si>
  <si>
    <t>nurain.catherine@cegetel.net</t>
  </si>
  <si>
    <t>Rue_de_Montaud</t>
  </si>
  <si>
    <t>NURAIN</t>
  </si>
  <si>
    <t>V029</t>
  </si>
  <si>
    <t>pierre.madillo@orange.fr</t>
  </si>
  <si>
    <t>Chemin_du_Vier on</t>
  </si>
  <si>
    <t>Pierre-Jean</t>
  </si>
  <si>
    <t>MADILLO</t>
  </si>
  <si>
    <t>Facture non acquitée</t>
  </si>
  <si>
    <t>29/04 : email CAPV ok pour pice mais facture du 01/0
11/4 email : attente photo meilleure + questio</t>
  </si>
  <si>
    <t>V028</t>
  </si>
  <si>
    <t>Spartherm</t>
  </si>
  <si>
    <t>scatoli@free.fr</t>
  </si>
  <si>
    <t>SCATOLI</t>
  </si>
  <si>
    <t>pas d'attestation de fin de travaux</t>
  </si>
  <si>
    <t>11/04/16 (tél) en attente retour CRIBOIS</t>
  </si>
  <si>
    <t>V027</t>
  </si>
  <si>
    <t>en attente retour CRIBOIS</t>
  </si>
  <si>
    <t>Zio</t>
  </si>
  <si>
    <t>Skantherm</t>
  </si>
  <si>
    <t>PICCOT_Claude</t>
  </si>
  <si>
    <t>SALLANCHES</t>
  </si>
  <si>
    <t>Route_des_Fontaines</t>
  </si>
  <si>
    <t>29/04 email à l'inst : pas RGE sur annuaire en ligne me faire passer une attestation , tranfsert élément pv essai au crittbois 11/04 (tél) MO + inst (messages) : pas RGE  + en attente retour CRIBOIS. 07/06/16 : message laissé sur répondeur. Poêle non conforme. Entreprise non RGE.</t>
  </si>
  <si>
    <t>V026</t>
  </si>
  <si>
    <t>HEIMDALL_DESIGN_(meme_commune)</t>
  </si>
  <si>
    <t>ROUBINET_Jean-Francois</t>
  </si>
  <si>
    <t>SAINT-PAUL-LES-ROMANS</t>
  </si>
  <si>
    <t>bobgrang@gmail.com</t>
  </si>
  <si>
    <t>Rue_de_la_Tour_Criel</t>
  </si>
  <si>
    <t>Boris</t>
  </si>
  <si>
    <t>GRANGIER</t>
  </si>
  <si>
    <t>Manque facture acquittée :ok</t>
  </si>
  <si>
    <t>V025</t>
  </si>
  <si>
    <t>RCV 1000</t>
  </si>
  <si>
    <t>Ravelli</t>
  </si>
  <si>
    <t>infos73atre-loisirs.fr</t>
  </si>
  <si>
    <t>Chemin_de_l_Eglise</t>
  </si>
  <si>
    <t>V024</t>
  </si>
  <si>
    <t>Cherie</t>
  </si>
  <si>
    <t>Edilkamin</t>
  </si>
  <si>
    <t>p.zanino@cegetel.net</t>
  </si>
  <si>
    <t>Impasse_du_Vieux_Chene</t>
  </si>
  <si>
    <t>ZANINO</t>
  </si>
  <si>
    <t>V023</t>
  </si>
  <si>
    <t>XP68-IN</t>
  </si>
  <si>
    <t>patrick_marques38@yahoo.fr</t>
  </si>
  <si>
    <t>Chemin_des_Rayettes</t>
  </si>
  <si>
    <t>MARQUES</t>
  </si>
  <si>
    <t>V022</t>
  </si>
  <si>
    <t>&lt; 2002</t>
  </si>
  <si>
    <t>jean-pierre.gallo@mgf-grimaldi.com</t>
  </si>
  <si>
    <t>Impasse_Louis_Bleriot</t>
  </si>
  <si>
    <t>GALLO</t>
  </si>
  <si>
    <t>V021</t>
  </si>
  <si>
    <t>PF_920</t>
  </si>
  <si>
    <t>lbs38@live.fr</t>
  </si>
  <si>
    <t>Route_des_Vignes</t>
  </si>
  <si>
    <t>SIAUD</t>
  </si>
  <si>
    <t>Demande photos complémentaires</t>
  </si>
  <si>
    <t>V020</t>
  </si>
  <si>
    <t>robert.combe@orange.fr</t>
  </si>
  <si>
    <t>SAINTE-BLAISE-DU-BUIS</t>
  </si>
  <si>
    <t>Route_du_Petit_Bois</t>
  </si>
  <si>
    <t>COMBE</t>
  </si>
  <si>
    <t>V019</t>
  </si>
  <si>
    <t>Scan_83</t>
  </si>
  <si>
    <t>Scan</t>
  </si>
  <si>
    <t>famille.lafaye@gmail.com</t>
  </si>
  <si>
    <t>Alle_des_Gentianes</t>
  </si>
  <si>
    <t>LAFAYE</t>
  </si>
  <si>
    <t>V018</t>
  </si>
  <si>
    <t>TT22H</t>
  </si>
  <si>
    <t>Termatech</t>
  </si>
  <si>
    <t>nsmollard@free.fr</t>
  </si>
  <si>
    <t>Route_de_Miribel_Le_Grand_Chemin</t>
  </si>
  <si>
    <t>MOLLARD</t>
  </si>
  <si>
    <t>Demande photo complémentaire</t>
  </si>
  <si>
    <t>13/04 : réponse positive Cribois</t>
  </si>
  <si>
    <t>11/03 envoi email CRIBOIS</t>
  </si>
  <si>
    <t>V017</t>
  </si>
  <si>
    <t>Emma</t>
  </si>
  <si>
    <t>antoine.letullier@orange.fr</t>
  </si>
  <si>
    <t>Route_du_Chateau</t>
  </si>
  <si>
    <t>LE TULLIER</t>
  </si>
  <si>
    <t>11/03 envoi email FV 5étoiles mais perf 7étoiles, il faut un reclassement de l'appareil</t>
  </si>
  <si>
    <t>V016</t>
  </si>
  <si>
    <t>Heat_pure_90</t>
  </si>
  <si>
    <t>Kal-fire</t>
  </si>
  <si>
    <t>che.patoux@orange.fr</t>
  </si>
  <si>
    <t>PATOUX_Thierry</t>
  </si>
  <si>
    <t>Grenoble</t>
  </si>
  <si>
    <t>Route_de_Rives</t>
  </si>
  <si>
    <t>GAUTHIER</t>
  </si>
  <si>
    <t>Poêle non éligible. Ne souhaite pas changer de modèle</t>
  </si>
  <si>
    <t>3/03 envoi email CRIBOIS. Installateur en copie de l'envoi au MO</t>
  </si>
  <si>
    <t>V015</t>
  </si>
  <si>
    <t>a.guill@free.fr</t>
  </si>
  <si>
    <t>route_de_la_Garangere</t>
  </si>
  <si>
    <t>GUILLERMIN</t>
  </si>
  <si>
    <t>22/02/2016 et 22/05/16</t>
  </si>
  <si>
    <t>V014</t>
  </si>
  <si>
    <t>Godin</t>
  </si>
  <si>
    <t>martine.bazola@wanadoo.fr</t>
  </si>
  <si>
    <t>Impasse_du_ru_du_Cras</t>
  </si>
  <si>
    <t>BAZOLA</t>
  </si>
  <si>
    <t>V013</t>
  </si>
  <si>
    <t>DC</t>
  </si>
  <si>
    <t>ECOFIRE ALLEGRO 12 KW</t>
  </si>
  <si>
    <t>pichonmartingerard@orange.fr</t>
  </si>
  <si>
    <t>Chemin_de_la_montferale</t>
  </si>
  <si>
    <t>PICHON_MARTIN</t>
  </si>
  <si>
    <t>16/02/16
appareil non conforme au label flamme verte 7 étoiles. Appel le 22/03 : on attend une info attestant de la perf 7 étoiles (pour l'instant c'est 6 étoiles sur le site FV). AG : mail explicatif le 07/06</t>
  </si>
  <si>
    <t>V012</t>
  </si>
  <si>
    <t>tgandelin@orange.fr</t>
  </si>
  <si>
    <t>Route_de_Montclair_-_5_Lot_de_Chablis</t>
  </si>
  <si>
    <t>GANDELIN</t>
  </si>
  <si>
    <t>13/04 : une dmeande au cribois envoyé le 29/03 + relance ce jour. Toujours rien sur site FV (par email) 16/02/16
appareil non conforme au label flamme verte 7 étoiles. Message laissé sur répondeur le 07/06/16</t>
  </si>
  <si>
    <t>V011</t>
  </si>
  <si>
    <t>lerda-jacky@wanadoo.fr</t>
  </si>
  <si>
    <t>Allée_du_Cras</t>
  </si>
  <si>
    <t>Jean-Jacques</t>
  </si>
  <si>
    <t>LERDA</t>
  </si>
  <si>
    <t>16/02/16 modèle ROMOTOP - Evora pas ok envoi email cribois</t>
  </si>
  <si>
    <t>V010</t>
  </si>
  <si>
    <t>contactechirolles@alp-confort.fr</t>
  </si>
  <si>
    <t>SERVANDAN_Didier</t>
  </si>
  <si>
    <t>celere@orange.fr</t>
  </si>
  <si>
    <t>Chemin_de _Béguetière</t>
  </si>
  <si>
    <t>Cécile</t>
  </si>
  <si>
    <t>LEREBOURG</t>
  </si>
  <si>
    <t>V009</t>
  </si>
  <si>
    <t>mch.lescuyer@orange.fr</t>
  </si>
  <si>
    <t>Rue_du_Placyre</t>
  </si>
  <si>
    <t>LESCUYER</t>
  </si>
  <si>
    <t>V008</t>
  </si>
  <si>
    <t>Fortis_2_Ollaire</t>
  </si>
  <si>
    <t>mayeuxv@orange.fr</t>
  </si>
  <si>
    <t>lotissemen_de_Lambertiere</t>
  </si>
  <si>
    <t>Veronique</t>
  </si>
  <si>
    <t>MAYEUX_THERET</t>
  </si>
  <si>
    <t>V007</t>
  </si>
  <si>
    <t>lotissement_la_Bousse</t>
  </si>
  <si>
    <t>Facture acquitée alors que l'insert n'est pas validé par le CRIBOIS</t>
  </si>
  <si>
    <t>09/02/16 modèle brunner pas ok envoi email cribois + envoi email fornoni le 1/03 pour l'informer et demander de voir avec installateur s'il peut avoir l'info</t>
  </si>
  <si>
    <t>V006</t>
  </si>
  <si>
    <t>Solveig Ceramique</t>
  </si>
  <si>
    <t>v.esclassan@free.fr</t>
  </si>
  <si>
    <t>rue_des_Ecoles</t>
  </si>
  <si>
    <t>ESCLASSAN</t>
  </si>
  <si>
    <t>V005</t>
  </si>
  <si>
    <t>F162</t>
  </si>
  <si>
    <t>mju3@wanadoo.fr</t>
  </si>
  <si>
    <t>SAINT-NICOLAS-DE-MACHERIN</t>
  </si>
  <si>
    <t>route_de_saint_Sixte</t>
  </si>
  <si>
    <t>Marie-Josephe</t>
  </si>
  <si>
    <t>UGNON-FLEURY</t>
  </si>
  <si>
    <t>V004</t>
  </si>
  <si>
    <t>flotelau@gmail.com</t>
  </si>
  <si>
    <t>Florence_Jerome</t>
  </si>
  <si>
    <t>LAUNAY_MAUPAY</t>
  </si>
  <si>
    <t>V003</t>
  </si>
  <si>
    <t>pdugoudron@wanadoo.fr</t>
  </si>
  <si>
    <t>rue_Leon_Perrier</t>
  </si>
  <si>
    <t>DUGOUDRON</t>
  </si>
  <si>
    <t>V002</t>
  </si>
  <si>
    <t>Multifire Nicolas</t>
  </si>
  <si>
    <t>&lt;1999</t>
  </si>
  <si>
    <t>pierre_garrigues@hotmail.fr</t>
  </si>
  <si>
    <t>route_des_pierres_Blanches</t>
  </si>
  <si>
    <t>GARRIGUES</t>
  </si>
  <si>
    <t>V001</t>
  </si>
  <si>
    <t>x</t>
  </si>
  <si>
    <t>5 lot_la_gateliere</t>
  </si>
  <si>
    <t>1 rue_du_lac_bleu</t>
  </si>
  <si>
    <t>804 route_des_barniers</t>
  </si>
  <si>
    <t>4060 route_de_bilieu</t>
  </si>
  <si>
    <t>170 allée_du_chateau</t>
  </si>
  <si>
    <t>32 avenue_Georges_Rigny</t>
  </si>
  <si>
    <t>6 avenue_de_la_maladière</t>
  </si>
  <si>
    <t>8 lotissement_plein_sud</t>
  </si>
  <si>
    <t>242 route_de_champtoraz</t>
  </si>
  <si>
    <t>41 rue_de_montponçon</t>
  </si>
  <si>
    <t>260 route_du_benevet</t>
  </si>
  <si>
    <t>48_bis Avenue_du_Vercors</t>
  </si>
  <si>
    <t>200 voie_du_boucain</t>
  </si>
  <si>
    <t>319 route_de_saint_geoire</t>
  </si>
  <si>
    <t>112 rue_Emile_Gilioli</t>
  </si>
  <si>
    <t>35 le_petit_chemin</t>
  </si>
  <si>
    <t>80 chemin_des_3_chataigniers</t>
  </si>
  <si>
    <t>5 chemin_de_la_plaine_de_fures</t>
  </si>
  <si>
    <t>473 avenue_de_juin_1940</t>
  </si>
  <si>
    <t>800 route_de_Benevet</t>
  </si>
  <si>
    <t>30 route_de_la_siniere</t>
  </si>
  <si>
    <t>110 chemin_de_malossane</t>
  </si>
  <si>
    <t>136 impasse_du_plan</t>
  </si>
  <si>
    <t>262 chemin_du_barreau</t>
  </si>
  <si>
    <t>11 rue_de_la_feydeliere</t>
  </si>
  <si>
    <t>9 rue_des_pervenches</t>
  </si>
  <si>
    <t>290 le_trievoz</t>
  </si>
  <si>
    <t>71 chemin_du_pit</t>
  </si>
  <si>
    <t>180 rue_du_bessey</t>
  </si>
  <si>
    <t>123 route_du_vieux_chen</t>
  </si>
  <si>
    <t>45 rue_montponçon</t>
  </si>
  <si>
    <t>323 route_de_la_couratiere</t>
  </si>
  <si>
    <t>310 la_gouterie</t>
  </si>
  <si>
    <t>115 route_de_chalais</t>
  </si>
  <si>
    <t>764 chemin_de_la_pierre</t>
  </si>
  <si>
    <t>21 allée_des_pins</t>
  </si>
  <si>
    <t>813 chemin_de_la_plaine_de_tullins</t>
  </si>
  <si>
    <t>100 le_petit_bessey</t>
  </si>
  <si>
    <t>174 avenue_jacques_prevert</t>
  </si>
  <si>
    <t>2 impasse_claude_debussy</t>
  </si>
  <si>
    <t>42 impasse_des_bains</t>
  </si>
  <si>
    <t>44 chemin_de_la_jacquinières</t>
  </si>
  <si>
    <t>395 Le_grand_chemin</t>
  </si>
  <si>
    <t>100 rue_du_janin</t>
  </si>
  <si>
    <t>259 chemin_des_pieces</t>
  </si>
  <si>
    <t>560 route_de_Grosset</t>
  </si>
  <si>
    <t>80 chemin_des_Oullières</t>
  </si>
  <si>
    <t>406 route_du_Bourg</t>
  </si>
  <si>
    <t>160 route_de_la_grande_sure</t>
  </si>
  <si>
    <t>109 impasse_des_vouises</t>
  </si>
  <si>
    <t>10 rue_de_bonnieux</t>
  </si>
  <si>
    <t>60 rue_de_la_croix_rousse</t>
  </si>
  <si>
    <t>371 chemin_du_fourrier</t>
  </si>
  <si>
    <t>20 route_des_haies</t>
  </si>
  <si>
    <t>109 montée_du_cellier</t>
  </si>
  <si>
    <t>11 impasse_du_matton</t>
  </si>
  <si>
    <t>56 impasse_charles-de-Foucault</t>
  </si>
  <si>
    <t>212 Bas_lezardières</t>
  </si>
  <si>
    <t>38 route_de_la_branchat</t>
  </si>
  <si>
    <t>614 route_des_marais</t>
  </si>
  <si>
    <t>1_bis rue_du_gresivaudan</t>
  </si>
  <si>
    <t>9 lotissement_l'orée_du_bois</t>
  </si>
  <si>
    <t>421 rue_Maréchal_Leclerc</t>
  </si>
  <si>
    <t>530 route_de_la_Sure</t>
  </si>
  <si>
    <t>10 impasse_la_roselière</t>
  </si>
  <si>
    <t>20 chemin_de_la_piaule_le_Pavillet</t>
  </si>
  <si>
    <t>75 chemin_de_côte_béranger</t>
  </si>
  <si>
    <t>101 allée_des_bleuets</t>
  </si>
  <si>
    <t>La_Sure_en_chartreuse</t>
  </si>
  <si>
    <t>1716 route_des_3_fontaines</t>
  </si>
  <si>
    <t>25 rue_de_la_fraternité</t>
  </si>
  <si>
    <t>40 montée_de_l'enclos_du_chateau</t>
  </si>
  <si>
    <t>55 rue_du_presbytère</t>
  </si>
  <si>
    <t>406 rue_du_berard_La_Ratz</t>
  </si>
  <si>
    <t>2 chemin_de_la_ruche</t>
  </si>
  <si>
    <t>690 rue_du_tram</t>
  </si>
  <si>
    <t>34 allée_des_noisettes</t>
  </si>
  <si>
    <t>287 Chemin_d'Orgeoise</t>
  </si>
  <si>
    <t>345 Le_petit_bessay</t>
  </si>
  <si>
    <t>29 rue_Leon_Garcin</t>
  </si>
  <si>
    <t>260 rue_Emile_Gilioli</t>
  </si>
  <si>
    <t>11 route_de_la_bayardière</t>
  </si>
  <si>
    <t>45 Saint_jean_de_Chepy</t>
  </si>
  <si>
    <t>45 chemin_de_la_garenne</t>
  </si>
  <si>
    <t>14 lot_Beau_Rivoire</t>
  </si>
  <si>
    <t>158 route_du Vernay</t>
  </si>
  <si>
    <t>101 allée du vieux four</t>
  </si>
  <si>
    <t>376 route_du_mollard_rond</t>
  </si>
  <si>
    <t>105 rue_des_pervenches</t>
  </si>
  <si>
    <t>265 Le_grand_chemin</t>
  </si>
  <si>
    <t>187 impasse_du_bouvreuil</t>
  </si>
  <si>
    <t>63 chemin_des_vignes</t>
  </si>
  <si>
    <t>229 route_des_balcons_de_la_Valdaine</t>
  </si>
  <si>
    <t>256 rue_willy_rettmeyer</t>
  </si>
  <si>
    <t>73 chemin_du_Mollard</t>
  </si>
  <si>
    <t>599 route_de_saint_julien</t>
  </si>
  <si>
    <t>427 chemin_du_trincon</t>
  </si>
  <si>
    <t>130 route_de_la_sure</t>
  </si>
  <si>
    <t>113 route_du_Vercors</t>
  </si>
  <si>
    <t>51 route_de_la_roussette</t>
  </si>
  <si>
    <t>544 Impasse_Henri_Dunand</t>
  </si>
  <si>
    <t>34 Avenue_du_Vercors</t>
  </si>
  <si>
    <t>74 impasse_les_brides</t>
  </si>
  <si>
    <t>48 rue_des_chamois</t>
  </si>
  <si>
    <t>20 rue_du_bavoir</t>
  </si>
  <si>
    <t>19 avenue_Marechal_Raudon</t>
  </si>
  <si>
    <t>79 rue_sermorens</t>
  </si>
  <si>
    <t>37 impasse_clé_des_champs</t>
  </si>
  <si>
    <t>542 route_du_Massot</t>
  </si>
  <si>
    <t>93 chemin_Pré_Boulat</t>
  </si>
  <si>
    <t>275 rue_des_écoliers</t>
  </si>
  <si>
    <t>586 route_de_planche_Cattin</t>
  </si>
  <si>
    <t>45 rue_du_Louvasset</t>
  </si>
  <si>
    <t>355_B route_des_moulins</t>
  </si>
  <si>
    <t>1076 route_de_bois_vert</t>
  </si>
  <si>
    <t>18 rue_alfred_de_musset</t>
  </si>
  <si>
    <t>407 chemin_du_bouvier</t>
  </si>
  <si>
    <t>32 rue_victor_hugo</t>
  </si>
  <si>
    <t>- chemin_de_la_larde</t>
  </si>
  <si>
    <t>10 impasse_gare_du_cotterg</t>
  </si>
  <si>
    <t>2654 route_des_mille_martyrs</t>
  </si>
  <si>
    <t>103 avenue_Jean_Jaurès</t>
  </si>
  <si>
    <t>1Bis Chemin_de_Saint-jean-de-Chepy</t>
  </si>
  <si>
    <t>92 chemin_des_paastières</t>
  </si>
  <si>
    <t>125 route_du_Bayard</t>
  </si>
  <si>
    <t>20 rue_du_Maleyssard</t>
  </si>
  <si>
    <t>13 chemin_des_sources</t>
  </si>
  <si>
    <t>114 allée_de_la_soie</t>
  </si>
  <si>
    <t>153 rue _du_Criel</t>
  </si>
  <si>
    <t>668 route_du_val_d'Ainan</t>
  </si>
  <si>
    <t>267 allée_de_la_chenaie</t>
  </si>
  <si>
    <t>135 rue_des_Pautes</t>
  </si>
  <si>
    <t>161 avenue_Henri_Chapays</t>
  </si>
  <si>
    <t>1648 La_Grande_Route</t>
  </si>
  <si>
    <t>465 route_du_gorgeat</t>
  </si>
  <si>
    <t>130 chemin_de_Boréas</t>
  </si>
  <si>
    <t>1740 route_d'Oyeu</t>
  </si>
  <si>
    <t>34 Impasse_Matrières_et_les_combes_Lieu-Dit_Saint_Sixte</t>
  </si>
  <si>
    <t>508 route_de_la_croix_blanche</t>
  </si>
  <si>
    <t>21 rue_de_beauvillage</t>
  </si>
  <si>
    <t>45 Chemin_de_Berlan_Le_Perrin_3_lots_les_Terrassades</t>
  </si>
  <si>
    <t>430 rue_du_janin</t>
  </si>
  <si>
    <t>466 chemin_de_la_faverge</t>
  </si>
  <si>
    <t>70 Impasse_du_mollard_de_la_sauge</t>
  </si>
  <si>
    <t>1921 Route_de_Clermont</t>
  </si>
  <si>
    <t>570 chemin_du_gros_bois</t>
  </si>
  <si>
    <t>240 chemin_de_beauplan</t>
  </si>
  <si>
    <t>44 rue_des_taillifardières</t>
  </si>
  <si>
    <t>229 chemin_du_delard</t>
  </si>
  <si>
    <t>24 route_de_la_Chartreuse</t>
  </si>
  <si>
    <t>98 montée_de_la_revatière</t>
  </si>
  <si>
    <t>335 route_des_haies</t>
  </si>
  <si>
    <t>181 chemin_du_lavoir</t>
  </si>
  <si>
    <t>180 route_de_la_grange_dimière</t>
  </si>
  <si>
    <t>24 chemin_de_l'office</t>
  </si>
  <si>
    <t>53 rue_du_Dauphiné</t>
  </si>
  <si>
    <t>668 route_du_guillon</t>
  </si>
  <si>
    <t>87 chemin_du_grappillon_Verchère</t>
  </si>
  <si>
    <t>15 rue_des_buissons</t>
  </si>
  <si>
    <t>83 rue_Lionel_Terray</t>
  </si>
  <si>
    <t>8 rue _Georges_Clemenceau</t>
  </si>
  <si>
    <t>163 route_de_Palluel</t>
  </si>
  <si>
    <t>45 rue_des_mollies</t>
  </si>
  <si>
    <t>630 route_du_girerd</t>
  </si>
  <si>
    <t>60 route_du_col</t>
  </si>
  <si>
    <t>2266 Route_de_Chartreuse</t>
  </si>
  <si>
    <t>163 route_du_monnair</t>
  </si>
  <si>
    <t>63 chemin_de_la_jacquinière</t>
  </si>
  <si>
    <t>40 route_des_picottes</t>
  </si>
  <si>
    <t>57 avenue_de_st_cassien</t>
  </si>
  <si>
    <t>217 route_de_Voissant</t>
  </si>
  <si>
    <t>135 route_du_souillet</t>
  </si>
  <si>
    <t>304 chemin_des_prairies</t>
  </si>
  <si>
    <t>23 chemin_de_la_chevalerie</t>
  </si>
  <si>
    <t>904 rue_du_bourg_vieux</t>
  </si>
  <si>
    <t>132 Grande_rue</t>
  </si>
  <si>
    <t>745 route_de_Miribel</t>
  </si>
  <si>
    <t>1215 route_de_Tolven</t>
  </si>
  <si>
    <t>80 route_de_Sanissard</t>
  </si>
  <si>
    <t>117 chemin_du_primard</t>
  </si>
  <si>
    <t>272 route_des_galbits</t>
  </si>
  <si>
    <t>767 route_de_montfollet</t>
  </si>
  <si>
    <t>26 rue_de_belledonne</t>
  </si>
  <si>
    <t>201 rue_du_moulin</t>
  </si>
  <si>
    <t>22 impasse_du_petit_Velanne</t>
  </si>
  <si>
    <t>1323 chemin_du_bois_chatel</t>
  </si>
  <si>
    <t>255 chemin_de_la_vorly</t>
  </si>
  <si>
    <t>487 chemin_du_vallon</t>
  </si>
  <si>
    <t>395 route_de_bourg</t>
  </si>
  <si>
    <t>75 croix_de_tourtière</t>
  </si>
  <si>
    <t>23 rue_de_la_Feydelière</t>
  </si>
  <si>
    <t>600 route_de_la_croze</t>
  </si>
  <si>
    <t>69 boulevard_Michel_Perret</t>
  </si>
  <si>
    <t>24 Route_de_Mas_et_Grand_Rey</t>
  </si>
  <si>
    <t>5 clos_des_tuileries</t>
  </si>
  <si>
    <t>565 Route_des_souces</t>
  </si>
  <si>
    <t>379 Route_de_la_Garangère_La_Pagère</t>
  </si>
  <si>
    <t>130 Le_bas_de_la_sarra</t>
  </si>
  <si>
    <t>299 Chemin_du_Bouvier</t>
  </si>
  <si>
    <t>113 Rue_du_Pleyre</t>
  </si>
  <si>
    <t>126 Alle_de_la_Rosetiere</t>
  </si>
  <si>
    <t>50 Route_de_la_Gare</t>
  </si>
  <si>
    <t>45 Chemin_Saint_Jean_de_Chepy</t>
  </si>
  <si>
    <t>218 Route_des_Galbits</t>
  </si>
  <si>
    <t>332 Route_de_Chartreuse</t>
  </si>
  <si>
    <t>251 Route_de_St_Etienne_de_Crossey</t>
  </si>
  <si>
    <t>250 Route_du_Pin</t>
  </si>
  <si>
    <t>139 Rue_du_Beal</t>
  </si>
  <si>
    <t>41 Rue_de_Montaud</t>
  </si>
  <si>
    <t>450 Chemin_du_Vier on</t>
  </si>
  <si>
    <t>4 Avenue_du_Vercors</t>
  </si>
  <si>
    <t>66 Rue_de_la_Tour_Criel</t>
  </si>
  <si>
    <t>13 Impasse_du_Vieux_Chene</t>
  </si>
  <si>
    <t>150 Chemin_des_Rayettes</t>
  </si>
  <si>
    <t>45 Impasse_Louis_Bleriot</t>
  </si>
  <si>
    <t>30 Route_des_Vignes</t>
  </si>
  <si>
    <t>100 Route_du_Petit_Bois</t>
  </si>
  <si>
    <t>102 Alle_des_Gentianes</t>
  </si>
  <si>
    <t>448 Route_de_Miribel_Le_Grand_Chemin</t>
  </si>
  <si>
    <t>418 Route_du_Chateau</t>
  </si>
  <si>
    <t>1097 route_de_la_Garangere</t>
  </si>
  <si>
    <t>30 Impasse_du_ru_du_Cras</t>
  </si>
  <si>
    <t>200 Chemin_de_la_montferale</t>
  </si>
  <si>
    <t>149 Route_de_Montclair_-_5_Lot_de_Chablis</t>
  </si>
  <si>
    <t>166 Allée_du_Cras</t>
  </si>
  <si>
    <t>512 Chemin_de _Béguetière</t>
  </si>
  <si>
    <t>22 Rue_du_Placyre</t>
  </si>
  <si>
    <t>37 lotissemen_de_Lambertiere</t>
  </si>
  <si>
    <t>34 rue_des_Ecoles</t>
  </si>
  <si>
    <t>173 route_de_saint_Sixte</t>
  </si>
  <si>
    <t>951 route_de_la_Garangere</t>
  </si>
  <si>
    <t>17 rue_Leon_Perrier</t>
  </si>
  <si>
    <t>380 route_des_pierres_Blanches</t>
  </si>
  <si>
    <t>LA BATIE DIVISIN</t>
  </si>
  <si>
    <t>495 route de la chapelle</t>
  </si>
  <si>
    <t>VIGIER</t>
  </si>
  <si>
    <t>226, rue des Jonquilles</t>
  </si>
  <si>
    <t>VIAL</t>
  </si>
  <si>
    <t>20 Lot de la Rondière</t>
  </si>
  <si>
    <t>VANVOREN</t>
  </si>
  <si>
    <t>98 route des coquettes</t>
  </si>
  <si>
    <t>VALLET</t>
  </si>
  <si>
    <t xml:space="preserve"> VOREPPE</t>
  </si>
  <si>
    <t>90 rue Maréchal Leclerc</t>
  </si>
  <si>
    <t>VALAIS</t>
  </si>
  <si>
    <t>253, impasse de la Goyette</t>
  </si>
  <si>
    <t>Gaëlle</t>
  </si>
  <si>
    <t>TREVISANI PESENTI</t>
  </si>
  <si>
    <t>95 Impasse du Matton</t>
  </si>
  <si>
    <t>TOURNIER</t>
  </si>
  <si>
    <t>ST ETIENNE DE CROSSEY</t>
  </si>
  <si>
    <t>1223 route du Paris</t>
  </si>
  <si>
    <t>312 route de la garangère
10 lot les rivoires</t>
  </si>
  <si>
    <t>SOULAT</t>
  </si>
  <si>
    <t>97 Impasse Champ d’olivet n°1</t>
  </si>
  <si>
    <t>SOULAS</t>
  </si>
  <si>
    <t>SAINT CASSIEN</t>
  </si>
  <si>
    <t>18 bis route de Chartreuse</t>
  </si>
  <si>
    <t>SOMMAVILLA</t>
  </si>
  <si>
    <t>332, rue de l’Hoirie</t>
  </si>
  <si>
    <t>SOLARSKI</t>
  </si>
  <si>
    <t>430 route du Guillermet</t>
  </si>
  <si>
    <t>Lucie</t>
  </si>
  <si>
    <t>SAVARY</t>
  </si>
  <si>
    <t>110 lotissement d’Orgeoise</t>
  </si>
  <si>
    <t>SAUZZEDE</t>
  </si>
  <si>
    <t>7 rue Beaudelaire</t>
  </si>
  <si>
    <t>SABOT</t>
  </si>
  <si>
    <t>461 chemin de la pierre</t>
  </si>
  <si>
    <t>RUSSEL</t>
  </si>
  <si>
    <t>34 rue du chateau</t>
  </si>
  <si>
    <t>RUBIN</t>
  </si>
  <si>
    <t>40 Chemin de Montollier</t>
  </si>
  <si>
    <t>ROBIN</t>
  </si>
  <si>
    <t>25 Aux Combes Louvat</t>
  </si>
  <si>
    <t>361 chemin des Pièces
La Sauge</t>
  </si>
  <si>
    <t>REYNAUD -DULAURIER</t>
  </si>
  <si>
    <t>SAINT JEAN DE MOIRANS</t>
  </si>
  <si>
    <t>8 impasse des ateliers</t>
  </si>
  <si>
    <t>105 Le Trousseau</t>
  </si>
  <si>
    <t>REYDEL</t>
  </si>
  <si>
    <t>LA BUISSE</t>
  </si>
  <si>
    <t>512 chemin de la plaine</t>
  </si>
  <si>
    <t>6 lotissement la Grand Foret</t>
  </si>
  <si>
    <t>RABAUD</t>
  </si>
  <si>
    <t xml:space="preserve"> MOIRANS</t>
  </si>
  <si>
    <t>38 rue Victor Hugo</t>
  </si>
  <si>
    <t>Joëlle</t>
  </si>
  <si>
    <t>PREVOST</t>
  </si>
  <si>
    <t>6 rue Noël Perrot Berton</t>
  </si>
  <si>
    <t>Edouard</t>
  </si>
  <si>
    <t>PRAQUIN</t>
  </si>
  <si>
    <t>288, rue Jacques Brel</t>
  </si>
  <si>
    <t>POTAVIN</t>
  </si>
  <si>
    <t>2930 chemin de la plaine de Tullins</t>
  </si>
  <si>
    <t>PONS Jean-Luc</t>
  </si>
  <si>
    <t>273 Chemin du Bois Chatel</t>
  </si>
  <si>
    <t>POMMIER</t>
  </si>
  <si>
    <t>42 chemin de la chevaliere</t>
  </si>
  <si>
    <t>Romano</t>
  </si>
  <si>
    <t>POLO</t>
  </si>
  <si>
    <t>442 chemin de la Faverge</t>
  </si>
  <si>
    <t xml:space="preserve"> Bernard</t>
  </si>
  <si>
    <t>1216 route du Ri d’Olon</t>
  </si>
  <si>
    <t>PEYRADE</t>
  </si>
  <si>
    <t>54 rue des buissons</t>
  </si>
  <si>
    <t>PESTEL</t>
  </si>
  <si>
    <t>3714 route de bilieu</t>
  </si>
  <si>
    <t>Roland</t>
  </si>
  <si>
    <t>PERRIN-COCON</t>
  </si>
  <si>
    <t>423 Route du Grand Rocher</t>
  </si>
  <si>
    <t>PELLET</t>
  </si>
  <si>
    <t>200 Chemin de Lezardière</t>
  </si>
  <si>
    <t>OSTERTAG</t>
  </si>
  <si>
    <t>35, Impasse du Ruisseau</t>
  </si>
  <si>
    <t>Hugues</t>
  </si>
  <si>
    <t>NOLIN</t>
  </si>
  <si>
    <t>226, route de la Platière</t>
  </si>
  <si>
    <t>NADAL</t>
  </si>
  <si>
    <t>ST GEOIRE EN VALDAINE</t>
  </si>
  <si>
    <t>172 Voie de la Martinette</t>
  </si>
  <si>
    <t>MUZART</t>
  </si>
  <si>
    <t>ST JEAN DE MOIRANS</t>
  </si>
  <si>
    <r>
      <rPr>
        <sz val="10"/>
        <color rgb="FF000000"/>
        <rFont val="Arial"/>
        <family val="2"/>
        <charset val="1"/>
      </rPr>
      <t>38</t>
    </r>
    <r>
      <rPr>
        <sz val="12"/>
        <color rgb="FF000000"/>
        <rFont val="Arial"/>
        <family val="2"/>
        <charset val="1"/>
      </rPr>
      <t>430</t>
    </r>
  </si>
  <si>
    <t>23 rue du 8 mai 1945</t>
  </si>
  <si>
    <t>MURE</t>
  </si>
  <si>
    <t>1150 route de la guilletière</t>
  </si>
  <si>
    <t>MUFFAT-JEANDET</t>
  </si>
  <si>
    <t>319 chemin Beauregard</t>
  </si>
  <si>
    <t>Annik</t>
  </si>
  <si>
    <t>MORETTI</t>
  </si>
  <si>
    <t>SAINT ETIENNE DE CROSSEY</t>
  </si>
  <si>
    <t>1449 route de Voiron</t>
  </si>
  <si>
    <t>Jackie</t>
  </si>
  <si>
    <t>MONTAGNAT RENTIER</t>
  </si>
  <si>
    <t>305 Basse Lezardiere</t>
  </si>
  <si>
    <t>MOIRAND</t>
  </si>
  <si>
    <t>Lotissement La Cerisaie</t>
  </si>
  <si>
    <t>MOCCI</t>
  </si>
  <si>
    <t>31 Impasse des fauvettes</t>
  </si>
  <si>
    <t>Benoit</t>
  </si>
  <si>
    <t>MISCHEL</t>
  </si>
  <si>
    <t>8 Lotissement du Chablis
149 Route de Montclair</t>
  </si>
  <si>
    <t>MIRALLES</t>
  </si>
  <si>
    <t>41 chemin du parc</t>
  </si>
  <si>
    <t>MICHALET</t>
  </si>
  <si>
    <t>28 route du Souillet</t>
  </si>
  <si>
    <t>MICHALAT</t>
  </si>
  <si>
    <t>278 rue des tilleuls
11, lot la Rafiniere</t>
  </si>
  <si>
    <t>MAURY</t>
  </si>
  <si>
    <t>259, chemin de la Faverge</t>
  </si>
  <si>
    <t>Yolande</t>
  </si>
  <si>
    <t>MARGUET</t>
  </si>
  <si>
    <t>170 rue de la procession</t>
  </si>
  <si>
    <t>MAIRET</t>
  </si>
  <si>
    <t>LE PIN</t>
  </si>
  <si>
    <t>309 route des plaines</t>
  </si>
  <si>
    <t>LOEFFEL</t>
  </si>
  <si>
    <t>663 route de Marinière</t>
  </si>
  <si>
    <t>LEHNEBACH</t>
  </si>
  <si>
    <t>715 Route des Rivoires</t>
  </si>
  <si>
    <t>LAVOYE</t>
  </si>
  <si>
    <t>148, rue du Bérard</t>
  </si>
  <si>
    <t>LATTARD</t>
  </si>
  <si>
    <t>192, chemin de la Commanderie</t>
  </si>
  <si>
    <t>Emilie</t>
  </si>
  <si>
    <t>LAE</t>
  </si>
  <si>
    <t>8 rue Emile Zola</t>
  </si>
  <si>
    <t>LABERT</t>
  </si>
  <si>
    <t>507 le bois vert</t>
  </si>
  <si>
    <t>KUBIAK</t>
  </si>
  <si>
    <t>SAINT AUPRE</t>
  </si>
  <si>
    <t>Le Barreau
915, route du grand vivier</t>
  </si>
  <si>
    <t>Jean-Michel</t>
  </si>
  <si>
    <t>JULLIAN BINARD</t>
  </si>
  <si>
    <t>77 chemin des Granges</t>
  </si>
  <si>
    <t>JAYET</t>
  </si>
  <si>
    <t>258 lotissement d’orgeoise</t>
  </si>
  <si>
    <t>JANON</t>
  </si>
  <si>
    <t>251, route de Saint jean</t>
  </si>
  <si>
    <t>Remy</t>
  </si>
  <si>
    <t>JAILLANT</t>
  </si>
  <si>
    <t>205 le Trievoz</t>
  </si>
  <si>
    <t>JACQUIN-BERTHOLET</t>
  </si>
  <si>
    <t>173 Allée de Combe Chatte</t>
  </si>
  <si>
    <t>ST NICOLAS DE MACHERIN</t>
  </si>
  <si>
    <t>76 route de Pied Barlet</t>
  </si>
  <si>
    <t>JABRI</t>
  </si>
  <si>
    <t>335 chemin Etang Dauphin</t>
  </si>
  <si>
    <t>Chantal</t>
  </si>
  <si>
    <t>HEYER</t>
  </si>
  <si>
    <t>530 Route de Paladru</t>
  </si>
  <si>
    <t>GUILLAUD</t>
  </si>
  <si>
    <t>13 Lot Le Pré de la Croix</t>
  </si>
  <si>
    <t>GUCCIARDO</t>
  </si>
  <si>
    <t>61 impasse jean de la Fontaine</t>
  </si>
  <si>
    <t>Annick</t>
  </si>
  <si>
    <t>GRATTIER</t>
  </si>
  <si>
    <t>715 descente du Pavé</t>
  </si>
  <si>
    <t>GORON</t>
  </si>
  <si>
    <t>481c le buisson rond</t>
  </si>
  <si>
    <t>GONZALEZ</t>
  </si>
  <si>
    <t>200 Route du Moulin</t>
  </si>
  <si>
    <t>GOMEZ BALDERAS</t>
  </si>
  <si>
    <t>70, impasse de la Mollardière</t>
  </si>
  <si>
    <t>Denis</t>
  </si>
  <si>
    <t>143 route du Bourg</t>
  </si>
  <si>
    <t>Patrice</t>
  </si>
  <si>
    <t>827 chemin du Bret</t>
  </si>
  <si>
    <t>GIRARD</t>
  </si>
  <si>
    <t>10, chemin du Sicaud</t>
  </si>
  <si>
    <t>GAZZIERO</t>
  </si>
  <si>
    <t>165 route de Sanissard</t>
  </si>
  <si>
    <t>78 Rue des Bannettes</t>
  </si>
  <si>
    <t>1806 Route de Merlas</t>
  </si>
  <si>
    <t>GARAMPON</t>
  </si>
  <si>
    <t>ST AUPRE</t>
  </si>
  <si>
    <t>151 Chemin du haut Roland</t>
  </si>
  <si>
    <t>GALAMAND</t>
  </si>
  <si>
    <t>190, rue Cure et Bennes</t>
  </si>
  <si>
    <t>GAILLARD</t>
  </si>
  <si>
    <t>29 rue du Garat</t>
  </si>
  <si>
    <t>FINET</t>
  </si>
  <si>
    <t>1450 Tizin</t>
  </si>
  <si>
    <t>FILLIERE</t>
  </si>
  <si>
    <t xml:space="preserve"> VOUREY</t>
  </si>
  <si>
    <t>700 route des Pierres Blanches</t>
  </si>
  <si>
    <t>FEUGIER</t>
  </si>
  <si>
    <t>710, route de Ture</t>
  </si>
  <si>
    <t>FERMOND</t>
  </si>
  <si>
    <t>235 Montée du Boulord</t>
  </si>
  <si>
    <t>FAY</t>
  </si>
  <si>
    <t>1500 route de la Véronnière</t>
  </si>
  <si>
    <t xml:space="preserve"> Thierry</t>
  </si>
  <si>
    <t>FARDEAU</t>
  </si>
  <si>
    <t>122 route du Lac</t>
  </si>
  <si>
    <t>FAIVRE-PIERRET</t>
  </si>
  <si>
    <t>66 rue Lionel Terray</t>
  </si>
  <si>
    <t>ESCALON</t>
  </si>
  <si>
    <t xml:space="preserve"> POMMIERS LA PLACETTE</t>
  </si>
  <si>
    <t>15, route des Fayolles</t>
  </si>
  <si>
    <t xml:space="preserve"> Virginie</t>
  </si>
  <si>
    <t>DURDAN</t>
  </si>
  <si>
    <t xml:space="preserve"> VOIRON</t>
  </si>
  <si>
    <t>17 avenue Marie Curie</t>
  </si>
  <si>
    <t>DUPUY</t>
  </si>
  <si>
    <t>73 rue Emile Gilioli</t>
  </si>
  <si>
    <t>DUNY</t>
  </si>
  <si>
    <t>121, rue du Moulin</t>
  </si>
  <si>
    <t>DUCROTOIS</t>
  </si>
  <si>
    <t>1253 Route de la Garangère</t>
  </si>
  <si>
    <t>DOURY</t>
  </si>
  <si>
    <t>Lieu dit le Vernay</t>
  </si>
  <si>
    <t>DOPPLER</t>
  </si>
  <si>
    <t>7 allée des treilles</t>
  </si>
  <si>
    <t>DONINI</t>
  </si>
  <si>
    <t>SAINT BLAISE DU BUIS</t>
  </si>
  <si>
    <t>110 route de la plaine</t>
  </si>
  <si>
    <t>DI GENNARO</t>
  </si>
  <si>
    <t>575 Route du Grand Voye</t>
  </si>
  <si>
    <t xml:space="preserve"> Agnès</t>
  </si>
  <si>
    <t>DESGRANGES</t>
  </si>
  <si>
    <t>66 route de la Merie
La Cote d’Ainan</t>
  </si>
  <si>
    <t>DELORMAS</t>
  </si>
  <si>
    <t>ST CASSIEN</t>
  </si>
  <si>
    <t>18 ROUTE DE CHARTREUSE</t>
  </si>
  <si>
    <t>DELMOTTE</t>
  </si>
  <si>
    <t xml:space="preserve"> MASSIEU</t>
  </si>
  <si>
    <t>582 Route de la Grange de Galle</t>
  </si>
  <si>
    <t>Jeanne-Noelle</t>
  </si>
  <si>
    <t>DEL BANO</t>
  </si>
  <si>
    <t>73 allée du sabotier</t>
  </si>
  <si>
    <t>DEBUT</t>
  </si>
  <si>
    <t>4, rue Noël Perrot Berton</t>
  </si>
  <si>
    <t>DE JAHAM</t>
  </si>
  <si>
    <t>38 Village de St Pierre</t>
  </si>
  <si>
    <t>Gabriel</t>
  </si>
  <si>
    <t>DARGONNE</t>
  </si>
  <si>
    <t>31 allée des pins</t>
  </si>
  <si>
    <t>DA SILVA PEREIRA</t>
  </si>
  <si>
    <t>945 Le Grand Chemin</t>
  </si>
  <si>
    <t>CUZZIT</t>
  </si>
  <si>
    <t>26 rue du Grand François</t>
  </si>
  <si>
    <t>COTE</t>
  </si>
  <si>
    <t>3363 chemin du Vert</t>
  </si>
  <si>
    <t>CORNU</t>
  </si>
  <si>
    <t>11 chemin des bois du mas</t>
  </si>
  <si>
    <t>CHOSSAT</t>
  </si>
  <si>
    <t>345 Route des Jolis</t>
  </si>
  <si>
    <t>CHARLES</t>
  </si>
  <si>
    <t>848, route de l’Isère</t>
  </si>
  <si>
    <t>CHAMBOULEYRON</t>
  </si>
  <si>
    <t xml:space="preserve"> VOISSANT</t>
  </si>
  <si>
    <t>SOUS LE MONT</t>
  </si>
  <si>
    <t>CERUTTI</t>
  </si>
  <si>
    <t>65 route des gorges</t>
  </si>
  <si>
    <t>CASU</t>
  </si>
  <si>
    <t>165, chemin du Magnin</t>
  </si>
  <si>
    <t>CASSANELLI</t>
  </si>
  <si>
    <t>114 rue du 8 mai 1945</t>
  </si>
  <si>
    <t>CASSAN</t>
  </si>
  <si>
    <t>319 Chemin du Vallon</t>
  </si>
  <si>
    <t>CARRIERE</t>
  </si>
  <si>
    <t>128 Square de la Gardine</t>
  </si>
  <si>
    <t>CANIN</t>
  </si>
  <si>
    <t>SAINT SULPICES DES RIVOIRES</t>
  </si>
  <si>
    <t>2015 route des Rivoires</t>
  </si>
  <si>
    <t>CAILLAT</t>
  </si>
  <si>
    <t>665 Bois Vert</t>
  </si>
  <si>
    <t>248 Rue jacques Brel</t>
  </si>
  <si>
    <t>BRETTON</t>
  </si>
  <si>
    <t>350 Route de la grange dimière</t>
  </si>
  <si>
    <t>47, impasse Arthur Rimbaud
Résidence Volouise</t>
  </si>
  <si>
    <t>BRANCHARD</t>
  </si>
  <si>
    <t>55 chemin du guillot</t>
  </si>
  <si>
    <t>BOUZON</t>
  </si>
  <si>
    <t>15 rue de la fontaine</t>
  </si>
  <si>
    <t>BOURGEAT LAMI</t>
  </si>
  <si>
    <t>184 Route de la Garangère</t>
  </si>
  <si>
    <t>BOURDAT</t>
  </si>
  <si>
    <t>2 rue Venise</t>
  </si>
  <si>
    <t xml:space="preserve"> Nathalie</t>
  </si>
  <si>
    <t>BOURCHANIN</t>
  </si>
  <si>
    <t>215, route du Guichard</t>
  </si>
  <si>
    <t xml:space="preserve"> Abdelmajid</t>
  </si>
  <si>
    <t>BOUCHELTA</t>
  </si>
  <si>
    <t>485 Impasse du Plan</t>
  </si>
  <si>
    <t>BONIN</t>
  </si>
  <si>
    <t>7 impasse des oeillets</t>
  </si>
  <si>
    <t>BOMBRUN</t>
  </si>
  <si>
    <t>42 Chemin de la Martelière</t>
  </si>
  <si>
    <t>BINET-EMERY Alain</t>
  </si>
  <si>
    <t>100 rue du Muguet</t>
  </si>
  <si>
    <t>BERTAILS</t>
  </si>
  <si>
    <t>106 impasse les Aigles</t>
  </si>
  <si>
    <t>Justin</t>
  </si>
  <si>
    <t>129 chemin de la Morge</t>
  </si>
  <si>
    <t>POMMIERS LA PLACETTE</t>
  </si>
  <si>
    <t>162 Chemin des Charrières</t>
  </si>
  <si>
    <t>BEAUVAIS</t>
  </si>
  <si>
    <t xml:space="preserve"> LA MURETTE</t>
  </si>
  <si>
    <t>50 rue du Village</t>
  </si>
  <si>
    <t>BALMAIN</t>
  </si>
  <si>
    <t xml:space="preserve"> ST ETIENNE DE CROSSEY</t>
  </si>
  <si>
    <t>5 lotissement le rojon</t>
  </si>
  <si>
    <t>AUTRAND</t>
  </si>
  <si>
    <t>332 rue de l’Hoirie</t>
  </si>
  <si>
    <t>ALLIBE</t>
  </si>
  <si>
    <t>235 rue des fleurs</t>
  </si>
  <si>
    <t>Tommy</t>
  </si>
  <si>
    <t>ALBRILE</t>
  </si>
  <si>
    <t>13 Lotissement les primevères</t>
  </si>
  <si>
    <t>Raison(s) de la non éligibilité : ……………………………………………………………………………………………………….</t>
  </si>
  <si>
    <t>Dossier non éligible.</t>
  </si>
  <si>
    <t>Photo illustrant la réalisation des travaux</t>
  </si>
  <si>
    <t>Attestation CERFA ou certificat sur l'honneur attestant le remplacement du foyer ouvert</t>
  </si>
  <si>
    <t>Attestation fin de travaux</t>
  </si>
  <si>
    <t>Facture acquité</t>
  </si>
  <si>
    <t>Eléments de la demande de versement</t>
  </si>
  <si>
    <t>Dossier complet</t>
  </si>
  <si>
    <t>Etat de l’instruction avant transfert EPCI pour arrêté d'attribution</t>
  </si>
  <si>
    <t>Photo de l’appareil à remplacer</t>
  </si>
  <si>
    <t>Formulaire de demande</t>
  </si>
  <si>
    <t>Devis</t>
  </si>
  <si>
    <t xml:space="preserve">       autres : …………………………………………………</t>
  </si>
  <si>
    <t xml:space="preserve">        Taxe foncière</t>
  </si>
  <si>
    <t xml:space="preserve">        Acte de vente (attestation)</t>
  </si>
  <si>
    <t>Lettre de sollicitation</t>
  </si>
  <si>
    <t>main-propre</t>
  </si>
  <si>
    <t>courrier</t>
  </si>
  <si>
    <t>Eléments du dossier de demande</t>
  </si>
  <si>
    <t xml:space="preserve">mail </t>
  </si>
  <si>
    <t>Reçu par :</t>
  </si>
  <si>
    <t>Dossier reçu le :</t>
  </si>
  <si>
    <t xml:space="preserve">  N° dossier : V</t>
  </si>
  <si>
    <t>Suivi dossier aides</t>
  </si>
  <si>
    <t>Prime Air Bois</t>
  </si>
  <si>
    <t>V567</t>
  </si>
  <si>
    <t>V566</t>
  </si>
  <si>
    <t>V565</t>
  </si>
  <si>
    <t>V564</t>
  </si>
  <si>
    <t>V563</t>
  </si>
  <si>
    <t>V562</t>
  </si>
  <si>
    <t>V561</t>
  </si>
  <si>
    <t>V560</t>
  </si>
  <si>
    <t>V559</t>
  </si>
  <si>
    <t>V558</t>
  </si>
  <si>
    <t>V557</t>
  </si>
  <si>
    <t>V556</t>
  </si>
  <si>
    <t>V555</t>
  </si>
  <si>
    <t>V554</t>
  </si>
  <si>
    <t>V553</t>
  </si>
  <si>
    <t>V552</t>
  </si>
  <si>
    <t>V551</t>
  </si>
  <si>
    <t>V550</t>
  </si>
  <si>
    <t>V549</t>
  </si>
  <si>
    <t>V548</t>
  </si>
  <si>
    <t>V547</t>
  </si>
  <si>
    <t>V546</t>
  </si>
  <si>
    <t>V545</t>
  </si>
  <si>
    <t>V544</t>
  </si>
  <si>
    <t>V543</t>
  </si>
  <si>
    <t>V542</t>
  </si>
  <si>
    <t>V541</t>
  </si>
  <si>
    <t>V540</t>
  </si>
  <si>
    <t>EXTRAFLAME_NORDICO</t>
  </si>
  <si>
    <t>04 37 06 45 66</t>
  </si>
  <si>
    <t>route_des_grands_roseaux</t>
  </si>
  <si>
    <t>V539</t>
  </si>
  <si>
    <t>Magma</t>
  </si>
  <si>
    <t>SAINT-JEAN-DE-MOIRANS</t>
  </si>
  <si>
    <t>impasse_des_marques</t>
  </si>
  <si>
    <t>V538</t>
  </si>
  <si>
    <t>rue_de_la_coste</t>
  </si>
  <si>
    <t>V537</t>
  </si>
  <si>
    <t>Lima</t>
  </si>
  <si>
    <t>04 76 45 24 33</t>
  </si>
  <si>
    <t>impasse_du_goncelin</t>
  </si>
  <si>
    <t>V536</t>
  </si>
  <si>
    <t>Garel</t>
  </si>
  <si>
    <t>chemin_du_gué_de_roize</t>
  </si>
  <si>
    <t>V535</t>
  </si>
  <si>
    <t>COUTURA</t>
  </si>
  <si>
    <t>V534</t>
  </si>
  <si>
    <t>EGO_AIR-2016_UP</t>
  </si>
  <si>
    <t>06 89 66 84 19</t>
  </si>
  <si>
    <t>route_de_plampalais</t>
  </si>
  <si>
    <t>V533</t>
  </si>
  <si>
    <t>rue_de_l'alambic</t>
  </si>
  <si>
    <t>V532</t>
  </si>
  <si>
    <t>CHAMWOOD</t>
  </si>
  <si>
    <t>route_de_l'école</t>
  </si>
  <si>
    <t>V531</t>
  </si>
  <si>
    <t>route_du_charrat</t>
  </si>
  <si>
    <t>V530</t>
  </si>
  <si>
    <t>V529</t>
  </si>
  <si>
    <t>allée_de_la_tençon</t>
  </si>
  <si>
    <t>V528</t>
  </si>
  <si>
    <t>Mariane</t>
  </si>
  <si>
    <t>chemin_de_mont_bessey</t>
  </si>
  <si>
    <t>V527</t>
  </si>
  <si>
    <t>SUITE</t>
  </si>
  <si>
    <t>route_du_rousset</t>
  </si>
  <si>
    <t>RIB sans adresse</t>
  </si>
  <si>
    <t>V526</t>
  </si>
  <si>
    <t>chemin_du_divat</t>
  </si>
  <si>
    <t>V525</t>
  </si>
  <si>
    <t>78_CB</t>
  </si>
  <si>
    <t>DRU</t>
  </si>
  <si>
    <t>chemin_du_saix</t>
  </si>
  <si>
    <t>V524</t>
  </si>
  <si>
    <t>DIEGO</t>
  </si>
  <si>
    <t>04 76 36 12 23</t>
  </si>
  <si>
    <t>carrelageetc@gmail.com</t>
  </si>
  <si>
    <t>SAINT-GERVAIS</t>
  </si>
  <si>
    <t>SAINT-QUENTIN-SUR-ISERE</t>
  </si>
  <si>
    <t>rue_de_l'eau_vive</t>
  </si>
  <si>
    <t>Travaux déjà réalisés</t>
  </si>
  <si>
    <t>V523</t>
  </si>
  <si>
    <t>PETIT_CARVIN</t>
  </si>
  <si>
    <t>GEORGES Josselin</t>
  </si>
  <si>
    <t>rue_de_la_grande_montée</t>
  </si>
  <si>
    <t>V522</t>
  </si>
  <si>
    <t>FONTE_FLAME</t>
  </si>
  <si>
    <t>route_de_la_garangère</t>
  </si>
  <si>
    <t>RIB adresse</t>
  </si>
  <si>
    <t>V521</t>
  </si>
  <si>
    <t>VS80</t>
  </si>
  <si>
    <t>M.ZAPPONE</t>
  </si>
  <si>
    <t>Lotissement_le_clos_des_roches</t>
  </si>
  <si>
    <t>FV 7*: 04/06/19: OK</t>
  </si>
  <si>
    <t>V520</t>
  </si>
  <si>
    <t>LOC</t>
  </si>
  <si>
    <t>rue_cure_et_bennes</t>
  </si>
  <si>
    <t>manque attestation propriétaire occupant</t>
  </si>
  <si>
    <t>V519</t>
  </si>
  <si>
    <t>V518</t>
  </si>
  <si>
    <t>NORDPEIS_ME</t>
  </si>
  <si>
    <t>NORDPEI</t>
  </si>
  <si>
    <t>chemin_de_l'_arny</t>
  </si>
  <si>
    <t>rib sans adresse, manque avis d'impot Madame Dominique Gamabrine</t>
  </si>
  <si>
    <t>V517</t>
  </si>
  <si>
    <t>VISION_776</t>
  </si>
  <si>
    <t>5 76 35 56 05</t>
  </si>
  <si>
    <t>rue_lionel_terray</t>
  </si>
  <si>
    <t>V516</t>
  </si>
  <si>
    <t>VISION_775</t>
  </si>
  <si>
    <t>rue_roger_du_marais</t>
  </si>
  <si>
    <t>photo pas plan large, manque RIB</t>
  </si>
  <si>
    <t>V515</t>
  </si>
  <si>
    <t>Arthur</t>
  </si>
  <si>
    <t>04 76 04 23 68</t>
  </si>
  <si>
    <t>laglacetlefeu38@gmail.com</t>
  </si>
  <si>
    <t>SERPOLLET_Guy</t>
  </si>
  <si>
    <t>rue_compagnie_stephane</t>
  </si>
  <si>
    <t>V514</t>
  </si>
  <si>
    <t>VOLNAY</t>
  </si>
  <si>
    <t>ALGOUD_Jean-Louis</t>
  </si>
  <si>
    <t>chemin_des_granges</t>
  </si>
  <si>
    <t>V513</t>
  </si>
  <si>
    <t>INSERT</t>
  </si>
  <si>
    <t>Rue_des_arrondières</t>
  </si>
  <si>
    <t>Rib reçu</t>
  </si>
  <si>
    <t>V512</t>
  </si>
  <si>
    <t>SMART_120</t>
  </si>
  <si>
    <t>KLOVER</t>
  </si>
  <si>
    <t>cuisinière_hydro</t>
  </si>
  <si>
    <t>Charat_Jean-Pierre</t>
  </si>
  <si>
    <t>chemin_de_lézardière</t>
  </si>
  <si>
    <t>V511</t>
  </si>
  <si>
    <t>Vision_775</t>
  </si>
  <si>
    <t>Le-penon</t>
  </si>
  <si>
    <t>V510</t>
  </si>
  <si>
    <t>SV</t>
  </si>
  <si>
    <t>Julie_12_Pro3</t>
  </si>
  <si>
    <t>chemin_du_garcin</t>
  </si>
  <si>
    <t>V509</t>
  </si>
  <si>
    <t>Evora_T</t>
  </si>
  <si>
    <t>allée_des_treilles</t>
  </si>
  <si>
    <t>V508</t>
  </si>
  <si>
    <t>FS_73</t>
  </si>
  <si>
    <t>M. GILLET</t>
  </si>
  <si>
    <t>rue_des_jonquilles</t>
  </si>
  <si>
    <t>RIB reçu à la bonne adresse</t>
  </si>
  <si>
    <t>V507</t>
  </si>
  <si>
    <t>SV/ML</t>
  </si>
  <si>
    <t>En attente de rappel du particulier. Matériel pas FV et je me suis faite envoyer balader par l'installateur.</t>
  </si>
  <si>
    <t>V506</t>
  </si>
  <si>
    <t>Studio_2</t>
  </si>
  <si>
    <t>rue_des_Edelweiss</t>
  </si>
  <si>
    <t>V505</t>
  </si>
  <si>
    <t>Rota_Tre</t>
  </si>
  <si>
    <t>rue_du_placyre</t>
  </si>
  <si>
    <t>V504</t>
  </si>
  <si>
    <t>ECOFIRE_A_INTEGRER_A70</t>
  </si>
  <si>
    <t>impasse_des_jonquilles</t>
  </si>
  <si>
    <t>V503</t>
  </si>
  <si>
    <t>30CH</t>
  </si>
  <si>
    <t>STUV</t>
  </si>
  <si>
    <t>04 76 44 10 60</t>
  </si>
  <si>
    <t>M.GABORIT</t>
  </si>
  <si>
    <t>SAINT-MARTIN-D'HERES</t>
  </si>
  <si>
    <t>allée_de_pré_noyet_lepin</t>
  </si>
  <si>
    <t>V502</t>
  </si>
  <si>
    <t>route_du_petit_voye</t>
  </si>
  <si>
    <t>V501</t>
  </si>
  <si>
    <t>Vega_Airtight</t>
  </si>
  <si>
    <t>Mr AILLAUD Jérôme</t>
  </si>
  <si>
    <t>V500</t>
  </si>
  <si>
    <t>F360</t>
  </si>
  <si>
    <t>route_de_chirens</t>
  </si>
  <si>
    <t>V499</t>
  </si>
  <si>
    <t>DEHLI</t>
  </si>
  <si>
    <t>route_de_saint_quentin</t>
  </si>
  <si>
    <t>V498</t>
  </si>
  <si>
    <t>ANTHEUS</t>
  </si>
  <si>
    <t>09 73 65 39 07</t>
  </si>
  <si>
    <t>info@antheus-concept.fr</t>
  </si>
  <si>
    <t>MIALY_Michael</t>
  </si>
  <si>
    <t>Matériel pas FV. Dossier en attente suite conversation avec AT</t>
  </si>
  <si>
    <t>V497</t>
  </si>
  <si>
    <t>rue_du_petit_port</t>
  </si>
  <si>
    <t>V496</t>
  </si>
  <si>
    <t>Ego_conforair_2016</t>
  </si>
  <si>
    <t>rue_noel_perrot_berton</t>
  </si>
  <si>
    <t>V495</t>
  </si>
  <si>
    <t>MLO</t>
  </si>
  <si>
    <t>HOBEN_H5</t>
  </si>
  <si>
    <t>04 76 38 95 84</t>
  </si>
  <si>
    <t>lottissement_le_bois_du_four</t>
  </si>
  <si>
    <t>V494</t>
  </si>
  <si>
    <t>impasse_du_petit_velanne</t>
  </si>
  <si>
    <t>V493</t>
  </si>
  <si>
    <t>AT/MLO</t>
  </si>
  <si>
    <t>Malu</t>
  </si>
  <si>
    <t>route_du_boulongeat</t>
  </si>
  <si>
    <t>V492</t>
  </si>
  <si>
    <t>44_MF</t>
  </si>
  <si>
    <t>rue_georges_clemenceau</t>
  </si>
  <si>
    <t xml:space="preserve">nouveau RIB reçu </t>
  </si>
  <si>
    <t>V491</t>
  </si>
  <si>
    <t>Box65</t>
  </si>
  <si>
    <t>route_des_chevaliers_de_l_an_mil</t>
  </si>
  <si>
    <t>manque photo et 2 personnes ?</t>
  </si>
  <si>
    <t>V490</t>
  </si>
  <si>
    <t>GLUBO</t>
  </si>
  <si>
    <t>JOLLY_MEC</t>
  </si>
  <si>
    <t>06 83 38 98 69</t>
  </si>
  <si>
    <t>fdeplomberie@yahoo.fr</t>
  </si>
  <si>
    <t>FALLEMAGNE_Frédéric</t>
  </si>
  <si>
    <t>rue_principale</t>
  </si>
  <si>
    <t>V489</t>
  </si>
  <si>
    <t>FF1000SF</t>
  </si>
  <si>
    <t>le_grand_chemin</t>
  </si>
  <si>
    <t>28/03//19</t>
  </si>
  <si>
    <t>prévune par téléphone que l'appareil risque surdimentionnement (19/02/19)</t>
  </si>
  <si>
    <t>V488</t>
  </si>
  <si>
    <t>IKI_16/9</t>
  </si>
  <si>
    <t>impasse_de_larchat</t>
  </si>
  <si>
    <t>RIB à la mauvaise adresse</t>
  </si>
  <si>
    <t>V487</t>
  </si>
  <si>
    <t>Arc_7</t>
  </si>
  <si>
    <t>rue_de_la_Martellière</t>
  </si>
  <si>
    <t>manque signature attesttation + facture acquittée</t>
  </si>
  <si>
    <t>V486</t>
  </si>
  <si>
    <t>Fifty_sur_pied</t>
  </si>
  <si>
    <t>04 74 97 11 60</t>
  </si>
  <si>
    <t>avenue_du_lac</t>
  </si>
  <si>
    <t>V485</t>
  </si>
  <si>
    <t>Nina</t>
  </si>
  <si>
    <t>RIB: adresse logement manquante</t>
  </si>
  <si>
    <t>V484</t>
  </si>
  <si>
    <t>1è,5</t>
  </si>
  <si>
    <t>route_de_veurey</t>
  </si>
  <si>
    <t>RIB: adresse logement manquante : OK</t>
  </si>
  <si>
    <t>V483</t>
  </si>
  <si>
    <t>avenue_trabbia</t>
  </si>
  <si>
    <t>attetion manque adresse sur RIB</t>
  </si>
  <si>
    <t>V482</t>
  </si>
  <si>
    <t>ADAMIS_pierre_ollaire</t>
  </si>
  <si>
    <t>ADAMIS</t>
  </si>
  <si>
    <t>chemin_de_la_burletière</t>
  </si>
  <si>
    <t>V481</t>
  </si>
  <si>
    <t>chemin_des_grands_champs</t>
  </si>
  <si>
    <t>V480</t>
  </si>
  <si>
    <t>89x49x45_S</t>
  </si>
  <si>
    <t>chemin_de_la_rapillière</t>
  </si>
  <si>
    <t>attestation non signée + facture non aquittée</t>
  </si>
  <si>
    <t>V479</t>
  </si>
  <si>
    <t>Soro</t>
  </si>
  <si>
    <t>allée_du_languedoc</t>
  </si>
  <si>
    <t>V478</t>
  </si>
  <si>
    <t>Cobra</t>
  </si>
  <si>
    <t>M.ALGOUD</t>
  </si>
  <si>
    <t>manque attestation fin de trvaux</t>
  </si>
  <si>
    <t>V477</t>
  </si>
  <si>
    <t>Andres</t>
  </si>
  <si>
    <t>route_de_l'ayat</t>
  </si>
  <si>
    <t>V476</t>
  </si>
  <si>
    <t>BARGEL_Jonathan</t>
  </si>
  <si>
    <t>route_du_lac_paladru</t>
  </si>
  <si>
    <t>manque devis</t>
  </si>
  <si>
    <t>V475</t>
  </si>
  <si>
    <t>775_classique_noir</t>
  </si>
  <si>
    <t>allée_de_boisssieux</t>
  </si>
  <si>
    <t>manque RIB, mail reçu par mail mais pas lisible</t>
  </si>
  <si>
    <t>V474</t>
  </si>
  <si>
    <t>PF_931_S</t>
  </si>
  <si>
    <t>route_de_l'isère</t>
  </si>
  <si>
    <t>manque signature sur attestation + facture mauvaise date</t>
  </si>
  <si>
    <t>lettre de sollicitation manquante + taxe d'habitation</t>
  </si>
  <si>
    <t>V473</t>
  </si>
  <si>
    <t>rue_du_11_novembre_1918</t>
  </si>
  <si>
    <t>V472</t>
  </si>
  <si>
    <t>57_ECOplus_EX</t>
  </si>
  <si>
    <t>M. GERENTE-PAQUET</t>
  </si>
  <si>
    <t>rue_des_bannettes</t>
  </si>
  <si>
    <t>V471</t>
  </si>
  <si>
    <t>Ego_comfort_air_2016_UP</t>
  </si>
  <si>
    <t>M.GILLET</t>
  </si>
  <si>
    <t>chemin_des_maraiches_la_gayere</t>
  </si>
  <si>
    <t>V470</t>
  </si>
  <si>
    <t>Arktis_néo_7</t>
  </si>
  <si>
    <t>M.LIBER</t>
  </si>
  <si>
    <t>LA_CHAPELLE_DE_MERLAS</t>
  </si>
  <si>
    <t>chemin_du_rafour</t>
  </si>
  <si>
    <t>route_du_bourg</t>
  </si>
  <si>
    <t xml:space="preserve">nouveau doc avec attestation fin de travaux signé reçu par mail  le 15/03/19 </t>
  </si>
  <si>
    <t>photo pas large</t>
  </si>
  <si>
    <t>V469</t>
  </si>
  <si>
    <t>V468</t>
  </si>
  <si>
    <t>Ecofire_Ginger_12</t>
  </si>
  <si>
    <t>route_de_monnair</t>
  </si>
  <si>
    <t>V467</t>
  </si>
  <si>
    <t>Nino</t>
  </si>
  <si>
    <t>M.JACQUET</t>
  </si>
  <si>
    <t>manque signature attestation + facture non acquittée</t>
  </si>
  <si>
    <t>V466</t>
  </si>
  <si>
    <t>Ecofire_Nina</t>
  </si>
  <si>
    <t>V465</t>
  </si>
  <si>
    <t>Hase_Hase_Sila_Plus</t>
  </si>
  <si>
    <t>rue_de_placyr</t>
  </si>
  <si>
    <t>manque lettre de demande + adresse rib</t>
  </si>
  <si>
    <t>V464</t>
  </si>
  <si>
    <t>Arena</t>
  </si>
  <si>
    <t>M. LIBER</t>
  </si>
  <si>
    <t>route_de_bessey</t>
  </si>
  <si>
    <t>Appareil FV 7*: OK</t>
  </si>
  <si>
    <t>V463</t>
  </si>
  <si>
    <t>Marianne_6kw</t>
  </si>
  <si>
    <t>chemin_de_la_plaine-de-tullins</t>
  </si>
  <si>
    <t>manque signature, dossierformulaire de demande</t>
  </si>
  <si>
    <t>V462</t>
  </si>
  <si>
    <t>Palias</t>
  </si>
  <si>
    <t>M.ALO</t>
  </si>
  <si>
    <t>route_du_chanin</t>
  </si>
  <si>
    <t>V461</t>
  </si>
  <si>
    <t>Ray</t>
  </si>
  <si>
    <t>chemin_de_la_mulatière</t>
  </si>
  <si>
    <t>V460</t>
  </si>
  <si>
    <t>06 14 10 66 09</t>
  </si>
  <si>
    <t>M.BACCI</t>
  </si>
  <si>
    <t>route_du_gros_bois</t>
  </si>
  <si>
    <t>34565
23996</t>
  </si>
  <si>
    <t>V459</t>
  </si>
  <si>
    <t>HP_7008L</t>
  </si>
  <si>
    <t>CHEMINEES_DE_CHAZELLES</t>
  </si>
  <si>
    <t>09 82 25 84 26</t>
  </si>
  <si>
    <t>ambiance.flamme.chazelles@gmail.com</t>
  </si>
  <si>
    <t>chemin_des_grosses_terres</t>
  </si>
  <si>
    <t>V458</t>
  </si>
  <si>
    <t>Axe9</t>
  </si>
  <si>
    <t>taxe habitation ce n'est pas l'avis d'impot, adresse rib ancien logement</t>
  </si>
  <si>
    <t>V457</t>
  </si>
  <si>
    <t>Airedeap12</t>
  </si>
  <si>
    <t>ARCA</t>
  </si>
  <si>
    <t>06 30 00 76 72</t>
  </si>
  <si>
    <t>remiriondet@yahoo.fr</t>
  </si>
  <si>
    <t>M.RIONDET</t>
  </si>
  <si>
    <t>rue_de_bernardiere</t>
  </si>
  <si>
    <t>appareil non trouvé, non identifié -relance par mail 15/03/19</t>
  </si>
  <si>
    <t>V456</t>
  </si>
  <si>
    <t>allée_de_la_billardiere</t>
  </si>
  <si>
    <t>V455</t>
  </si>
  <si>
    <t>oui1</t>
  </si>
  <si>
    <t>Pyla</t>
  </si>
  <si>
    <t>route_de_racin</t>
  </si>
  <si>
    <t>V454</t>
  </si>
  <si>
    <t>route_de_cerveloup</t>
  </si>
  <si>
    <t>devis pas lisible + manque avis d'impot (déclaration fournie mais pas rfr)</t>
  </si>
  <si>
    <t>V453</t>
  </si>
  <si>
    <t>rue_de_l'isere</t>
  </si>
  <si>
    <t>28/02/19 photo à renvoyer</t>
  </si>
  <si>
    <t>changer adresse RIB</t>
  </si>
  <si>
    <t>V452</t>
  </si>
  <si>
    <t>allée_des_chenevieres</t>
  </si>
  <si>
    <t>nouveau RIB reçu</t>
  </si>
  <si>
    <t>V451</t>
  </si>
  <si>
    <t>V450</t>
  </si>
  <si>
    <t>Alaska</t>
  </si>
  <si>
    <t>BRISACH</t>
  </si>
  <si>
    <t>04 79 75 09 79</t>
  </si>
  <si>
    <t>rue_du_magnin</t>
  </si>
  <si>
    <t>V449</t>
  </si>
  <si>
    <t>Rio_Stone</t>
  </si>
  <si>
    <t>04 69 32 63 83</t>
  </si>
  <si>
    <t>M.RAVET</t>
  </si>
  <si>
    <t>SAINT-JEAN-DE-BOURNAY</t>
  </si>
  <si>
    <t>rue_du_village</t>
  </si>
  <si>
    <t>V448</t>
  </si>
  <si>
    <t>Stockholm</t>
  </si>
  <si>
    <t>NORDPEIS</t>
  </si>
  <si>
    <t>rue_soffrey_de_calignon</t>
  </si>
  <si>
    <t>V447</t>
  </si>
  <si>
    <t>route_du_grand_velanne</t>
  </si>
  <si>
    <t>V446</t>
  </si>
  <si>
    <t>Arlo</t>
  </si>
  <si>
    <t>04 74 97 40 52</t>
  </si>
  <si>
    <t>M.NESTORI</t>
  </si>
  <si>
    <t>montée_du_vendin</t>
  </si>
  <si>
    <t>V445</t>
  </si>
  <si>
    <t>foyer_insert</t>
  </si>
  <si>
    <t>M. MIALY</t>
  </si>
  <si>
    <t>Chemin_de_la_plaine _de_Fures</t>
  </si>
  <si>
    <t>insert pas FV. Dossier en attente</t>
  </si>
  <si>
    <t>V444</t>
  </si>
  <si>
    <t>775_classique_gris</t>
  </si>
  <si>
    <t>M.FAURE</t>
  </si>
  <si>
    <t>V443</t>
  </si>
  <si>
    <t>Nime_l_Steel</t>
  </si>
  <si>
    <t>chemin_du_bourdon</t>
  </si>
  <si>
    <t>V442</t>
  </si>
  <si>
    <t>Dru_55_CB</t>
  </si>
  <si>
    <t>chemin_des_claix</t>
  </si>
  <si>
    <t>rue_clément</t>
  </si>
  <si>
    <t>V441</t>
  </si>
  <si>
    <t>impasse_louis_bleriot</t>
  </si>
  <si>
    <t>V440</t>
  </si>
  <si>
    <t>Deco_air</t>
  </si>
  <si>
    <t>V439</t>
  </si>
  <si>
    <t>H6</t>
  </si>
  <si>
    <t>04 76 13 40 04</t>
  </si>
  <si>
    <t>M. BRUNO</t>
  </si>
  <si>
    <t>V438</t>
  </si>
  <si>
    <t>Curl8</t>
  </si>
  <si>
    <t>route_de_la_cote_des_filles</t>
  </si>
  <si>
    <t>V437</t>
  </si>
  <si>
    <t>montée_pinet</t>
  </si>
  <si>
    <t>Rib ancienne adresse</t>
  </si>
  <si>
    <t>V436</t>
  </si>
  <si>
    <t>Hera_massiv</t>
  </si>
  <si>
    <t>V435</t>
  </si>
  <si>
    <t>rue_du_général_de_gaulles</t>
  </si>
  <si>
    <t>SAINT-ISMIER</t>
  </si>
  <si>
    <t>chemin_millet</t>
  </si>
  <si>
    <t>manque taxe d'habitation</t>
  </si>
  <si>
    <t>V434</t>
  </si>
  <si>
    <t>Multifire_Nicolas_14</t>
  </si>
  <si>
    <t>V433</t>
  </si>
  <si>
    <t>Flair_Comfort_Air</t>
  </si>
  <si>
    <t xml:space="preserve">RIVES </t>
  </si>
  <si>
    <t>V432</t>
  </si>
  <si>
    <t>Lotissement_l'orée_du_bois</t>
  </si>
  <si>
    <t>V431</t>
  </si>
  <si>
    <t>HOBEN_H7</t>
  </si>
  <si>
    <t>rue_des_plages</t>
  </si>
  <si>
    <t>date facture: demande de recours le 15/02/18: OK CAPV</t>
  </si>
  <si>
    <t>V430</t>
  </si>
  <si>
    <t>Bianca_12</t>
  </si>
  <si>
    <t>rue_de_la_caserne</t>
  </si>
  <si>
    <t>V429</t>
  </si>
  <si>
    <t>Design_compact_glass_C8</t>
  </si>
  <si>
    <t>06 08 28 73 37</t>
  </si>
  <si>
    <t>V428</t>
  </si>
  <si>
    <t>voie_du_8_mai_1945</t>
  </si>
  <si>
    <t>V427</t>
  </si>
  <si>
    <t>oiui</t>
  </si>
  <si>
    <t>montée_du_chateau_d'eau</t>
  </si>
  <si>
    <t>V426</t>
  </si>
  <si>
    <t>Mino_Trios</t>
  </si>
  <si>
    <t>JUSTUS</t>
  </si>
  <si>
    <t>KARIM_K.</t>
  </si>
  <si>
    <t>manque artisan RGE poseur + mauvaise adresse sur RIB</t>
  </si>
  <si>
    <t>V425</t>
  </si>
  <si>
    <t>comfort_air_14</t>
  </si>
  <si>
    <t>route_de_la_garangere</t>
  </si>
  <si>
    <t>manque taxe habitation</t>
  </si>
  <si>
    <t>V424</t>
  </si>
  <si>
    <t>Natural_7</t>
  </si>
  <si>
    <t>M.CLEMENT</t>
  </si>
  <si>
    <t>route_du_pellet</t>
  </si>
  <si>
    <t>V423</t>
  </si>
  <si>
    <t>Arpège</t>
  </si>
  <si>
    <t>impasse_du_colombier</t>
  </si>
  <si>
    <t>V422</t>
  </si>
  <si>
    <t>V421</t>
  </si>
  <si>
    <t>Année comptable</t>
  </si>
  <si>
    <t>Nb dossiers reçus</t>
  </si>
  <si>
    <t>Nb de dossier validés (stade devis)</t>
  </si>
  <si>
    <t>Janvier</t>
  </si>
  <si>
    <t>Février</t>
  </si>
  <si>
    <t>Nb de dossier validés (stade facture)</t>
  </si>
  <si>
    <t>Mars</t>
  </si>
  <si>
    <t>Avril</t>
  </si>
  <si>
    <t>Mai</t>
  </si>
  <si>
    <t>Juin</t>
  </si>
  <si>
    <t>Juillet</t>
  </si>
  <si>
    <t>Août</t>
  </si>
  <si>
    <t>Septembre</t>
  </si>
  <si>
    <t>Octobre</t>
  </si>
  <si>
    <t>Novembre</t>
  </si>
  <si>
    <t>Décembre</t>
  </si>
  <si>
    <t>Total</t>
  </si>
  <si>
    <t>Montant total dossiers engagés</t>
  </si>
  <si>
    <t>Montant total dossiers en attente</t>
  </si>
  <si>
    <t>Montant dossiers engagés total (envoi compta pour paiement)</t>
  </si>
  <si>
    <t>Montant dossiers engagés 800€ (envoi compta pour paiement)</t>
  </si>
  <si>
    <t>Montant dossiers engagés 400€ (envoi compta pour paiement)</t>
  </si>
  <si>
    <t>Montant dossiers engagés + en attente (demande intiale)</t>
  </si>
  <si>
    <t>2016-2020</t>
  </si>
  <si>
    <t>Gratier_Pascal</t>
  </si>
  <si>
    <t>heut_lezardiere</t>
  </si>
  <si>
    <t>AURORA</t>
  </si>
  <si>
    <t>manque taxhe habitation + rib avc adresse</t>
  </si>
  <si>
    <t>Skye</t>
  </si>
  <si>
    <t>R-EVOLUTION_9_V_S</t>
  </si>
  <si>
    <t>Attention artisan bientôt plus RGE</t>
  </si>
  <si>
    <t>manque signature attestation</t>
  </si>
  <si>
    <t>C596TSTYLE</t>
  </si>
  <si>
    <t>maque adresse sur rib</t>
  </si>
  <si>
    <t>VISION_700-8K</t>
  </si>
  <si>
    <t>Angela_plus_sp</t>
  </si>
  <si>
    <t>rue_des_tallifardières</t>
  </si>
  <si>
    <t>Villeteau</t>
  </si>
  <si>
    <t>Maud</t>
  </si>
  <si>
    <t>Somme allouée au dispositif</t>
  </si>
  <si>
    <t>Somme restante du dispositif</t>
  </si>
  <si>
    <t>Nb de dossiers restants (sur la base de 500€/dossier en moyenne)</t>
  </si>
  <si>
    <t>Nb de dossiers payés</t>
  </si>
  <si>
    <t>Nb de dossiers en attente à 800€ (800?)</t>
  </si>
  <si>
    <t>Nb de dossiers en attente à 400€ (400?)</t>
  </si>
  <si>
    <t>Nb de dossiers instruction en cours 400?+800?+400+800</t>
  </si>
  <si>
    <t>Montant dossiers intruction en cours 400?+800?+400+800</t>
  </si>
  <si>
    <t>Nb de dossiers validés stade facture à 800€</t>
  </si>
  <si>
    <t>Nb de dossiers validés stade facture à 400€</t>
  </si>
  <si>
    <t>Montant dossiers validés stade facture à 800€</t>
  </si>
  <si>
    <t>Montant dossiers validés stade facture à 400€</t>
  </si>
  <si>
    <t>chemin_de_montollier</t>
  </si>
  <si>
    <t>rue_de_la_fure</t>
  </si>
  <si>
    <t>frederic@passionflamme.fr</t>
  </si>
  <si>
    <t>07 62 57 29 06</t>
  </si>
  <si>
    <t>Suivi mensuel FABV</t>
  </si>
  <si>
    <t xml:space="preserve">PAB </t>
  </si>
  <si>
    <t>Isolation</t>
  </si>
  <si>
    <t>Particulier</t>
  </si>
  <si>
    <t>Interco</t>
  </si>
  <si>
    <t>Complet</t>
  </si>
  <si>
    <t>Facture</t>
  </si>
  <si>
    <t>Incomplet</t>
  </si>
  <si>
    <t>Annulé</t>
  </si>
  <si>
    <t>Clou-Pellet</t>
  </si>
  <si>
    <t>AT; attention valider dossier pas prendre en compte date factur differente car CAPV en retard / manque photo, facture acquittée et attestation fin de travaux 12/06/19</t>
  </si>
  <si>
    <t>AT 17/07: Attention: ne pas prendre en compte date facture car CAPV est en retard sur ce dossier: donc la facture sera forcément daté d'avant l'arreté atrib mais on en tient pas compte</t>
  </si>
  <si>
    <t>manque RIB bonne adresse</t>
  </si>
  <si>
    <t>rue_louis_moyroud</t>
  </si>
  <si>
    <t>allée_des_lauriers</t>
  </si>
  <si>
    <t>Reçu ke 9/12/16 à l'AGEDEN
02/12/2016 au Pays Voironnais</t>
  </si>
  <si>
    <t>Nombre de mois depuis le début du dispositif</t>
  </si>
  <si>
    <t>Début du début du dispositif</t>
  </si>
  <si>
    <t>rue_sainte_catherine</t>
  </si>
  <si>
    <t>chemin_de_morge</t>
  </si>
  <si>
    <t>MIRIBEL-LES-ECHELLES</t>
  </si>
  <si>
    <t>facture non acquittée
NR 3007 facture acquittée ok</t>
  </si>
  <si>
    <t>65X45_K</t>
  </si>
  <si>
    <t>route_du_vieux_chene</t>
  </si>
  <si>
    <t>route_de_Ture</t>
  </si>
  <si>
    <t>SAINT-LAURENT-DU-PONT</t>
  </si>
  <si>
    <t>route_du_Touvat</t>
  </si>
  <si>
    <t>chemin_de_Monteuil</t>
  </si>
  <si>
    <t>JACQUIN_Régis</t>
  </si>
  <si>
    <t>rue_Alfred_de_Musset</t>
  </si>
  <si>
    <t>impasse_des_Barraux</t>
  </si>
  <si>
    <t>montée_de_l'enclos_du_château</t>
  </si>
  <si>
    <t>rue_du_coteau</t>
  </si>
  <si>
    <t>14/0819</t>
  </si>
  <si>
    <t>CARUANE Matthias</t>
  </si>
  <si>
    <t>06 41 72 96 41</t>
  </si>
  <si>
    <t>F_520</t>
  </si>
  <si>
    <t>GRATIER Pascal</t>
  </si>
  <si>
    <t>KETTY_EVO</t>
  </si>
  <si>
    <t>manque adresse RIB</t>
  </si>
  <si>
    <t>Caminetti_Montegrappa_AX_9_UP</t>
  </si>
  <si>
    <t>Clou_pellet</t>
  </si>
  <si>
    <t>pas sur la CAPV</t>
  </si>
  <si>
    <t>susville@techni-nature.com</t>
  </si>
  <si>
    <t>indert</t>
  </si>
  <si>
    <t>manque taxe habitation derniere page</t>
  </si>
  <si>
    <t>modèle de poele ?</t>
  </si>
  <si>
    <t>14/011/19</t>
  </si>
  <si>
    <t>TECNO_COVER</t>
  </si>
  <si>
    <t>Gaio</t>
  </si>
  <si>
    <t>remarque: délais de traitement AGEDEN donc OK si facture post Arreté atrib</t>
  </si>
  <si>
    <t>manque RIB</t>
  </si>
  <si>
    <t>AT: ATTENTION ne pas regarder la date de facture car ereur de notre part (dossier non triaté..)</t>
  </si>
  <si>
    <t>SV/AT</t>
  </si>
  <si>
    <t>travaux réalisés avant finalisation du dossier</t>
  </si>
  <si>
    <t>pas RGE
AT: relance tel + mail le 22/08/19</t>
  </si>
  <si>
    <t>AT: relance tél + mail le 22/08/19</t>
  </si>
  <si>
    <t>poele pas FV7*: refusé le 04/06/19: particulier eevient vers nous acr autre poele à installer
AT: relance tel + mail le 22/08/19</t>
  </si>
  <si>
    <t>Appereil non FV7*</t>
  </si>
  <si>
    <t>AT: relance tel + mail le 22/08/19</t>
  </si>
  <si>
    <t>AT 07/05/19: relance mail + 22/08/19 mail + courrier</t>
  </si>
  <si>
    <t>AT: relancé le 22/08/19 tel: OK va le faire bientôt</t>
  </si>
  <si>
    <t>26/03/19
facture pas signé acquitée?
AT 22/08/19: relance tel + mail</t>
  </si>
  <si>
    <t>AT 22/08/19: relance tel + mail</t>
  </si>
  <si>
    <t>SKIA_DESIGN</t>
  </si>
  <si>
    <t>PLASMA_GLASS</t>
  </si>
  <si>
    <t>route_du_grand_bois_grand_criel</t>
  </si>
  <si>
    <t>Tizin</t>
  </si>
  <si>
    <t>JOSSELIN Georges</t>
  </si>
  <si>
    <t>route_de_Veurey</t>
  </si>
  <si>
    <t>chemin_de_Corezin</t>
  </si>
  <si>
    <t>SAINT BUEIL</t>
  </si>
  <si>
    <t>SAINT JOSEPH DE RIVIERE</t>
  </si>
  <si>
    <t>CHARREL _Stéphane</t>
  </si>
  <si>
    <t>04 76 05 94 44</t>
  </si>
  <si>
    <t>rue_Victor_Cassien</t>
  </si>
  <si>
    <t>chemin_de_la_marteliere</t>
  </si>
  <si>
    <t>rue_aristide_berges</t>
  </si>
  <si>
    <t>SIMON Frederic</t>
  </si>
  <si>
    <t>contact@ecuvoiron.fr</t>
  </si>
  <si>
    <t>chemin_le_janin</t>
  </si>
  <si>
    <t>V568</t>
  </si>
  <si>
    <t>V569</t>
  </si>
  <si>
    <t>JACQUET Imad</t>
  </si>
  <si>
    <t>route_du_vercors</t>
  </si>
  <si>
    <t>V570</t>
  </si>
  <si>
    <t>V571</t>
  </si>
  <si>
    <t>chemin_des_chênes</t>
  </si>
  <si>
    <t>V572</t>
  </si>
  <si>
    <t>54891 exceptionnel</t>
  </si>
  <si>
    <t>route_de_Verchère</t>
  </si>
  <si>
    <t>ECLIPS</t>
  </si>
  <si>
    <t>EVO</t>
  </si>
  <si>
    <t>maque RIB adresse</t>
  </si>
  <si>
    <t>V573</t>
  </si>
  <si>
    <t>route_de_fayarde_et_cotes</t>
  </si>
  <si>
    <t>V574</t>
  </si>
  <si>
    <t>lotissement_beau_rivoire</t>
  </si>
  <si>
    <t>MG/AT</t>
  </si>
  <si>
    <t>DOMO_RAO</t>
  </si>
  <si>
    <t>LIA_8</t>
  </si>
  <si>
    <t>SILA_PLUS</t>
  </si>
  <si>
    <t>Les travaux n’ont finalement pas été réalisés pour des problèmes techniques </t>
  </si>
  <si>
    <t>Artisan pas RGE</t>
  </si>
  <si>
    <t>V575</t>
  </si>
  <si>
    <t>rue_de_la_bernardière</t>
  </si>
  <si>
    <t>V576</t>
  </si>
  <si>
    <t>chemin_du_logis_neuf</t>
  </si>
  <si>
    <t>photo non conforme (rideaux). AT 17/09: doit nous envoyer une attestation su l'honneur</t>
  </si>
  <si>
    <t>V577</t>
  </si>
  <si>
    <t>route_du_nantin</t>
  </si>
  <si>
    <t>V578</t>
  </si>
  <si>
    <t>route_du_saquet_saint_julien_de_ratz</t>
  </si>
  <si>
    <t>LA SURE EN CHARTREUSE</t>
  </si>
  <si>
    <t>Buche</t>
  </si>
  <si>
    <t>NARA</t>
  </si>
  <si>
    <t>manque adresse RIB (OK) + appareil pas FL7* (OK)</t>
  </si>
  <si>
    <t>Accumulation</t>
  </si>
  <si>
    <t>SALZBURG_L</t>
  </si>
  <si>
    <t>contact@acvoiron.fr</t>
  </si>
  <si>
    <t>ROYAL</t>
  </si>
  <si>
    <t>MARTINE</t>
  </si>
  <si>
    <t>NEO_10</t>
  </si>
  <si>
    <t>SILA</t>
  </si>
  <si>
    <t>20/09/2019 (courrier)</t>
  </si>
  <si>
    <t>LE DROFF Richard</t>
  </si>
  <si>
    <t>SALLY_PLUS</t>
  </si>
  <si>
    <t>60x40x42_K</t>
  </si>
  <si>
    <t>75x57</t>
  </si>
  <si>
    <t>V579</t>
  </si>
  <si>
    <t>La_platte</t>
  </si>
  <si>
    <t>V580</t>
  </si>
  <si>
    <t>rue_des_galbis</t>
  </si>
  <si>
    <t>V581</t>
  </si>
  <si>
    <t>route_de_l_ancienne_église</t>
  </si>
  <si>
    <t>PC</t>
  </si>
  <si>
    <t>Manque photo plan large</t>
  </si>
  <si>
    <t>STROMBOLI</t>
  </si>
  <si>
    <t>Demandé photo plan large nouvelle installation</t>
  </si>
  <si>
    <t>V582</t>
  </si>
  <si>
    <t>V583</t>
  </si>
  <si>
    <t>rue_de_bourg_vieux</t>
  </si>
  <si>
    <t>V584</t>
  </si>
  <si>
    <t>route_de_saint_etienne_de_crossey</t>
  </si>
  <si>
    <t>V585</t>
  </si>
  <si>
    <t>V586</t>
  </si>
  <si>
    <t>V587</t>
  </si>
  <si>
    <t>V588</t>
  </si>
  <si>
    <t>V589</t>
  </si>
  <si>
    <t>route_de_champbouquet</t>
  </si>
  <si>
    <t>SAINT-SULPICE-DES-RIVOIRES</t>
  </si>
  <si>
    <t>route_de_la_pâle</t>
  </si>
  <si>
    <t>V590</t>
  </si>
  <si>
    <t>V591</t>
  </si>
  <si>
    <t>V592</t>
  </si>
  <si>
    <t>V593</t>
  </si>
  <si>
    <t>V594</t>
  </si>
  <si>
    <t>V595</t>
  </si>
  <si>
    <t>V596</t>
  </si>
  <si>
    <t>V597</t>
  </si>
  <si>
    <t>rue_du_carlin</t>
  </si>
  <si>
    <t>route_de_grosset</t>
  </si>
  <si>
    <t>EBL</t>
  </si>
  <si>
    <t>JAZZ</t>
  </si>
  <si>
    <t>TURBO_FONTE_7KW</t>
  </si>
  <si>
    <t>valeur en %</t>
  </si>
  <si>
    <t>04 76 33 38 50</t>
  </si>
  <si>
    <t>&gt;2002</t>
  </si>
  <si>
    <t>EVOLUTION_7V</t>
  </si>
  <si>
    <t>voie_des_communaux</t>
  </si>
  <si>
    <t>06 26 28 70 26</t>
  </si>
  <si>
    <t>route_de_l'ancienne_poterie</t>
  </si>
  <si>
    <t>Laredo_T</t>
  </si>
  <si>
    <t>ROMAGNIEU</t>
  </si>
  <si>
    <t>06 15 54 15 99</t>
  </si>
  <si>
    <t>MORVAN</t>
  </si>
  <si>
    <t>SX_ESAY_25</t>
  </si>
  <si>
    <t>NINO_Cyril</t>
  </si>
  <si>
    <t>04 75 61 34 41</t>
  </si>
  <si>
    <t>44,5-2GTE</t>
  </si>
  <si>
    <t>F360 ADVANCE</t>
  </si>
  <si>
    <t>DIC_GEURTS</t>
  </si>
  <si>
    <t>Vidar_Wall</t>
  </si>
  <si>
    <t>LACUNZA</t>
  </si>
  <si>
    <t>ETNA 7T</t>
  </si>
  <si>
    <t>PIERRE_Emmanuel</t>
  </si>
  <si>
    <t>voiron@techni-nature.com</t>
  </si>
  <si>
    <t>06 65 63 00 48</t>
  </si>
  <si>
    <t>BOWE</t>
  </si>
  <si>
    <t>ILD9</t>
  </si>
  <si>
    <t>route_de_la_couratière</t>
  </si>
  <si>
    <t>descente_du_pavé</t>
  </si>
  <si>
    <t>HAMAIN_Jeremie</t>
  </si>
  <si>
    <t>Superchauff-6</t>
  </si>
  <si>
    <t>manque questionnaire (ok) et RIB pas adressse (ok)</t>
  </si>
  <si>
    <t>V598</t>
  </si>
  <si>
    <t>V599</t>
  </si>
  <si>
    <t>V600</t>
  </si>
  <si>
    <t>V601</t>
  </si>
  <si>
    <t>V602</t>
  </si>
  <si>
    <t>V603</t>
  </si>
  <si>
    <t>boulevard_michel_perret</t>
  </si>
  <si>
    <t>chemin_du_bois_marzet</t>
  </si>
  <si>
    <t>impasse_du_gay</t>
  </si>
  <si>
    <t>BLACKLINE</t>
  </si>
  <si>
    <t>S8P13</t>
  </si>
  <si>
    <t>GILET_Pascal</t>
  </si>
  <si>
    <t>Star_Confortair_2.0</t>
  </si>
  <si>
    <t>ok</t>
  </si>
  <si>
    <t>Budget 2016</t>
  </si>
  <si>
    <t>Budget 2017</t>
  </si>
  <si>
    <t>Budget 2018</t>
  </si>
  <si>
    <t>Budget 2019</t>
  </si>
  <si>
    <t>Pb date facturation</t>
  </si>
  <si>
    <t>attestation du poêle nonconforme</t>
  </si>
  <si>
    <t>travaux facturés avant reception atribution (courrier PV 23/01/19)</t>
  </si>
  <si>
    <t>appareil à remplacer 2008 + rendement appareil insuffisant  (courrier)</t>
  </si>
  <si>
    <t>travaux déjà realisés et facture acquitée  (courrier envoyé par CAPV le 10/12/18)</t>
  </si>
  <si>
    <t>Nb de dossiers engagés à 800€ (dossiers validés stade devis, éligible à ce jour)</t>
  </si>
  <si>
    <t>Nb de dossiers engagés à 400€ (dossiers validés stade devis, éligible à ce jour)</t>
  </si>
  <si>
    <t>rure_du_curtet</t>
  </si>
  <si>
    <t>chemin_de_la_chaloussière</t>
  </si>
  <si>
    <t>PICO</t>
  </si>
  <si>
    <t>Astrea_888_U</t>
  </si>
  <si>
    <t>07 82 61 73 87</t>
  </si>
  <si>
    <t>F105LL</t>
  </si>
  <si>
    <t>rue_des_peupliers</t>
  </si>
  <si>
    <t>06 71 24 99 77</t>
  </si>
  <si>
    <t>place_de_l'eglise</t>
  </si>
  <si>
    <t>V604</t>
  </si>
  <si>
    <t>V605</t>
  </si>
  <si>
    <t>V606</t>
  </si>
  <si>
    <t>V607</t>
  </si>
  <si>
    <t>V608</t>
  </si>
  <si>
    <t>V609</t>
  </si>
  <si>
    <t>V610</t>
  </si>
  <si>
    <t>V611</t>
  </si>
  <si>
    <t>V612</t>
  </si>
  <si>
    <t>V613</t>
  </si>
  <si>
    <t>route_de_chanay</t>
  </si>
  <si>
    <t>06 33 56 26 43</t>
  </si>
  <si>
    <t>78CB</t>
  </si>
  <si>
    <t xml:space="preserve">facture non acquittée-ok le 9/11
</t>
  </si>
  <si>
    <t>rue_de_termerieu</t>
  </si>
  <si>
    <t>chemin_d'orgeoise</t>
  </si>
  <si>
    <t>TAL</t>
  </si>
  <si>
    <t>MASCLEL_Frederic</t>
  </si>
  <si>
    <t>EVIA</t>
  </si>
  <si>
    <t>ZELUS_Pierre</t>
  </si>
  <si>
    <t>LIBA_Jean-Chrsitophe</t>
  </si>
  <si>
    <t>&lt;1980</t>
  </si>
  <si>
    <t>04 76 32 32 55</t>
  </si>
  <si>
    <t>Ego_Air_8_M1</t>
  </si>
  <si>
    <t>DUVAL_Fabrice</t>
  </si>
  <si>
    <t>contact@lambert-madisun.fr</t>
  </si>
  <si>
    <t>POLAR_NEO_6</t>
  </si>
  <si>
    <t>V614</t>
  </si>
  <si>
    <t>V615</t>
  </si>
  <si>
    <t>V616</t>
  </si>
  <si>
    <t>V617</t>
  </si>
  <si>
    <t>V618</t>
  </si>
  <si>
    <t>V619</t>
  </si>
  <si>
    <t>V620</t>
  </si>
  <si>
    <t>V621</t>
  </si>
  <si>
    <t>V622</t>
  </si>
  <si>
    <t>V623</t>
  </si>
  <si>
    <t>V624</t>
  </si>
  <si>
    <t>V625</t>
  </si>
  <si>
    <t>V626</t>
  </si>
  <si>
    <t>V627</t>
  </si>
  <si>
    <t>V628</t>
  </si>
  <si>
    <t>rue_de_la_chevalerie</t>
  </si>
  <si>
    <t>allée_de_bouvadière</t>
  </si>
  <si>
    <t>SKIA DESIGN</t>
  </si>
  <si>
    <t>MINI_CURVE</t>
  </si>
  <si>
    <t>route_de_chartreuse</t>
  </si>
  <si>
    <t>route_de_creneuf</t>
  </si>
  <si>
    <t>combe_louvat</t>
  </si>
  <si>
    <t>rue_de_la_grande_roche</t>
  </si>
  <si>
    <t>Envoi kits bonnes pratiques</t>
  </si>
  <si>
    <t>Route des Sources</t>
  </si>
  <si>
    <t>LUGO</t>
  </si>
  <si>
    <t>SARL ENERLOGIS</t>
  </si>
  <si>
    <t>CHALLES LES EAUX</t>
  </si>
  <si>
    <t>foyer fermé</t>
  </si>
  <si>
    <t>CONFORT AIR</t>
  </si>
  <si>
    <t>TECHNI NATURE</t>
  </si>
  <si>
    <t>voiron@techni.nature.com</t>
  </si>
  <si>
    <t>09 51 09 63 43</t>
  </si>
  <si>
    <t>H6 HORIZON</t>
  </si>
  <si>
    <t>ESPACE CONFORT VOIRONNAIS</t>
  </si>
  <si>
    <t>DEXTER</t>
  </si>
  <si>
    <t>Adresse RIB</t>
  </si>
  <si>
    <t>BACCI Lionel</t>
  </si>
  <si>
    <t>ARIS UP</t>
  </si>
  <si>
    <t>Rue du Criel</t>
  </si>
  <si>
    <t>Habitant hors CAPV</t>
  </si>
  <si>
    <t>Pas tamponné</t>
  </si>
  <si>
    <t>Chemin de Gutinière</t>
  </si>
  <si>
    <t>SERRE</t>
  </si>
  <si>
    <t>Rue de La Colombière</t>
  </si>
  <si>
    <t>Traverse du Grand Velanne</t>
  </si>
  <si>
    <t>06 18 97 43 46</t>
  </si>
  <si>
    <t>Rue du Dauphiné</t>
  </si>
  <si>
    <t>La Gouterie</t>
  </si>
  <si>
    <t>06 77 84 56 63</t>
  </si>
  <si>
    <t>Route du Chanin</t>
  </si>
  <si>
    <t>FONTE FLAMME</t>
  </si>
  <si>
    <t>ANDRES</t>
  </si>
  <si>
    <t>Dossier conversion</t>
  </si>
  <si>
    <t>MICHEL Patrick</t>
  </si>
  <si>
    <t>STREAM UP</t>
  </si>
  <si>
    <t>CLOU COMPACT</t>
  </si>
  <si>
    <t>LES AVENIERES</t>
  </si>
  <si>
    <t>NESTORI Olivier</t>
  </si>
  <si>
    <t>06 11 40 38 87</t>
  </si>
  <si>
    <t>IOKO</t>
  </si>
  <si>
    <t>Facture scanné</t>
  </si>
  <si>
    <t>Facture scannée</t>
  </si>
  <si>
    <t>Rue des Berards</t>
  </si>
  <si>
    <t>Rue des Pervenches</t>
  </si>
  <si>
    <t>Avenue du 8 mai 1945</t>
  </si>
  <si>
    <t>AT (29/11/19): demande versement reçu mais AR pas envoyé par CAPV</t>
  </si>
  <si>
    <t>Lotissement d'Orgeoise</t>
  </si>
  <si>
    <t xml:space="preserve"> SV</t>
  </si>
  <si>
    <t>V629</t>
  </si>
  <si>
    <t>V630</t>
  </si>
  <si>
    <t>V631</t>
  </si>
  <si>
    <t>V632</t>
  </si>
  <si>
    <t>V633</t>
  </si>
  <si>
    <t>V634</t>
  </si>
  <si>
    <t>V635</t>
  </si>
  <si>
    <t>V636</t>
  </si>
  <si>
    <t>V637</t>
  </si>
  <si>
    <t>Rue de l'Echaillon</t>
  </si>
  <si>
    <t>Route de Montmartel</t>
  </si>
  <si>
    <t>X9P07</t>
  </si>
  <si>
    <t>Chemin de l'Eglise</t>
  </si>
  <si>
    <t>Allée du Sabotier</t>
  </si>
  <si>
    <t>manque avis d'imposition&amp;justificatif de residence</t>
  </si>
  <si>
    <t>CHARNWOOD</t>
  </si>
  <si>
    <t>BAY 5 BX</t>
  </si>
  <si>
    <t>LIBER Jean-Christophe</t>
  </si>
  <si>
    <t xml:space="preserve">EGO UP </t>
  </si>
  <si>
    <t>Route des Jolis</t>
  </si>
  <si>
    <t>Chemin du Four</t>
  </si>
  <si>
    <t>Rue Jean Moulin</t>
  </si>
  <si>
    <t>ARKTIS NEO 7</t>
  </si>
  <si>
    <t>SARL PAB</t>
  </si>
  <si>
    <t>AILLOUD Jerome</t>
  </si>
  <si>
    <t>9,5 LUX</t>
  </si>
  <si>
    <t>CLUB UP</t>
  </si>
  <si>
    <t>CHEMINEES JAY</t>
  </si>
  <si>
    <t>ALO Lorenzo</t>
  </si>
  <si>
    <t>LEDA PAR FONTE FLAMME</t>
  </si>
  <si>
    <t>NOVIA</t>
  </si>
  <si>
    <t>FARO+</t>
  </si>
  <si>
    <t>&lt;1996</t>
  </si>
  <si>
    <t>TASMANIA R</t>
  </si>
  <si>
    <t>GUYOT Christine</t>
  </si>
  <si>
    <t>Faubourg Sermorens</t>
  </si>
  <si>
    <t>facture scannée</t>
  </si>
  <si>
    <t>Rue Saint Michel</t>
  </si>
  <si>
    <t>Le Tour du Plan</t>
  </si>
  <si>
    <t>V638</t>
  </si>
  <si>
    <t>V639</t>
  </si>
  <si>
    <t>V640</t>
  </si>
  <si>
    <t>V641</t>
  </si>
  <si>
    <t>V642</t>
  </si>
  <si>
    <t>V644</t>
  </si>
  <si>
    <t>V646</t>
  </si>
  <si>
    <t>V647</t>
  </si>
  <si>
    <t>V649</t>
  </si>
  <si>
    <t>V650</t>
  </si>
  <si>
    <t>V651</t>
  </si>
  <si>
    <t>Route de Chartreuse</t>
  </si>
  <si>
    <t>Rue de L'Eau Vive</t>
  </si>
  <si>
    <t>pas FV7* et manque devis: 04/06/19: refus label, en attente retour particulier (mail + msg tel)/19-12-19 relance tel</t>
  </si>
  <si>
    <t>Nom de famille - Message Rep + 19/12/19 relance mail</t>
  </si>
  <si>
    <t>CARRE François</t>
  </si>
  <si>
    <t>AURORA US</t>
  </si>
  <si>
    <t>LA BATHIE</t>
  </si>
  <si>
    <t>BOURNAY Christophe</t>
  </si>
  <si>
    <t>04 79 32 44 46</t>
  </si>
  <si>
    <t>BORDELET</t>
  </si>
  <si>
    <t>Appareil non FV - Demande d'equivalence en cours</t>
  </si>
  <si>
    <t>JULIETTA</t>
  </si>
  <si>
    <t>RIB avec adresse + photo plan large</t>
  </si>
  <si>
    <t>Route du Tilleul</t>
  </si>
  <si>
    <t>VYDA</t>
  </si>
  <si>
    <t>Chemin de la Mulatière</t>
  </si>
  <si>
    <t>Rue de Bourg Vieux</t>
  </si>
  <si>
    <t>Route de Miribel</t>
  </si>
  <si>
    <t>Route de Pied Barlet</t>
  </si>
  <si>
    <t>Route de Valence</t>
  </si>
  <si>
    <t>FAURE Jacques</t>
  </si>
  <si>
    <t>LAGOS</t>
  </si>
  <si>
    <t>FLAMME CONCEPT GRESIVAUDAN</t>
  </si>
  <si>
    <t>GHILOUFI</t>
  </si>
  <si>
    <t>fgccrolles@orange?fr</t>
  </si>
  <si>
    <t>04 76 92 34 21</t>
  </si>
  <si>
    <t>CMX</t>
  </si>
  <si>
    <t>XW 12</t>
  </si>
  <si>
    <t>Travaux déjà réalisés + Facture acquittée</t>
  </si>
  <si>
    <t>VISION 775</t>
  </si>
  <si>
    <t>Appareil non elligible</t>
  </si>
  <si>
    <t>Manque facture AQUITTEE-ok le 21/12/2019</t>
  </si>
  <si>
    <t>Rue du Charron</t>
  </si>
  <si>
    <t>LE PONT DE BEAUVOISIN</t>
  </si>
  <si>
    <t>ANNA 12 PRO 3</t>
  </si>
  <si>
    <t>Manque Cerfa-ok le 09/01</t>
  </si>
  <si>
    <t>Facture non acquitée - 20/12-ok le 08/01</t>
  </si>
  <si>
    <t>Rue du Pomarin</t>
  </si>
  <si>
    <t xml:space="preserve">Impasse des Jonquilles </t>
  </si>
  <si>
    <t>manque attestation fin travaux=ok mail le 13/01/20</t>
  </si>
  <si>
    <t>Route du Gros Bois</t>
  </si>
  <si>
    <t>V652</t>
  </si>
  <si>
    <t>V653</t>
  </si>
  <si>
    <t>V654</t>
  </si>
  <si>
    <t>V655</t>
  </si>
  <si>
    <t>V656</t>
  </si>
  <si>
    <t>V657</t>
  </si>
  <si>
    <t>V658</t>
  </si>
  <si>
    <t>V659</t>
  </si>
  <si>
    <t>V660</t>
  </si>
  <si>
    <t>V661</t>
  </si>
  <si>
    <t>SAINT ANDRE LE GAZ</t>
  </si>
  <si>
    <t>AUSTIN 5</t>
  </si>
  <si>
    <t>HALO UP!</t>
  </si>
  <si>
    <t>EMELIEN Jean-Pascal</t>
  </si>
  <si>
    <t>04 76 06 58 76</t>
  </si>
  <si>
    <t>AG :Relance par mail pour la demande de versement le 27/07/2018 / at/ RELANCE COURRIER LE 21/09/18: suite réponse Olivier (09/19): annuler demande si pas de retour d'ixi novembre 2019, relance mail le 13/09/19 +courrier le 19/09/19. AT (29/11/19) mail au pro pour savoir ce qu'il en est. Manque attestation de fin de travaux le 22/01</t>
  </si>
  <si>
    <t>Manque ftre acquittée + attestation correctement remplie=mail 17/01</t>
  </si>
  <si>
    <t>20/12/21019</t>
  </si>
  <si>
    <t>Pas de mail</t>
  </si>
  <si>
    <t>Manque phtoto nouvelle installation. Ok le 30/01/20</t>
  </si>
  <si>
    <t>Manque attestation signée. OK le 3/2/2020</t>
  </si>
  <si>
    <t>Le Grand Chemin</t>
  </si>
  <si>
    <t>DEHLI 114</t>
  </si>
  <si>
    <t>DIDIER Jean-Claude</t>
  </si>
  <si>
    <t>manque lettre de sollicitation&amp;avis d'imposition&amp;justificatif de residence&amp;devis&amp;rib&amp;photo&amp;questionnaire</t>
  </si>
  <si>
    <t>NOVALINE</t>
  </si>
  <si>
    <t>GUSTO</t>
  </si>
  <si>
    <t>Chemin de Hautephare</t>
  </si>
  <si>
    <t>facture scannee (elle n'est pas acquittée) + manque photo+cerfa</t>
  </si>
  <si>
    <t>Impasse du Buissert</t>
  </si>
  <si>
    <t>Allée de Savoie</t>
  </si>
  <si>
    <t>ATRE DECORATION</t>
  </si>
  <si>
    <t>HAMAIN Jérémie</t>
  </si>
  <si>
    <t>TAVERA G44</t>
  </si>
  <si>
    <t>ASTREA 888 U</t>
  </si>
  <si>
    <t>LA GLACE ET LE FEU</t>
  </si>
  <si>
    <t>laglaceetle feu38@gmail.com</t>
  </si>
  <si>
    <t>PANADERO</t>
  </si>
  <si>
    <t xml:space="preserve">ANDES STONE </t>
  </si>
  <si>
    <t>Adresse RIB (relance mail le 21/02/20)</t>
  </si>
  <si>
    <t xml:space="preserve">Installateur non RGE-ok </t>
  </si>
  <si>
    <t>V662</t>
  </si>
  <si>
    <t>V663</t>
  </si>
  <si>
    <t>V664</t>
  </si>
  <si>
    <t>V665</t>
  </si>
  <si>
    <t>V666</t>
  </si>
  <si>
    <t>Chemin du petit Bon Dieu</t>
  </si>
  <si>
    <t>RIB sans adresse (relance le 21/02/20)-ok le 28/02/20</t>
  </si>
  <si>
    <t>Photo plan large+bonne adresse RIB(relance mail 21/02/20)+reçu RIB sans adresse le 25/02/20 (message rep pour envoi RIB evac adresse)-ok le 28/2/20</t>
  </si>
  <si>
    <t>facture non acquitée. OK le 26/02</t>
  </si>
  <si>
    <t>RIB bonne adresse(ok) + photo plan large (ok)</t>
  </si>
  <si>
    <t>Rue de Bonpertuis</t>
  </si>
  <si>
    <t>GILLET Pascal</t>
  </si>
  <si>
    <t>La Platte</t>
  </si>
  <si>
    <t>Chemin du Gros Bois</t>
  </si>
  <si>
    <t>CREATIVE POSE</t>
  </si>
  <si>
    <t>ESTRABLIN</t>
  </si>
  <si>
    <t>DIAS Philippe</t>
  </si>
  <si>
    <t>contact.creativepose@gmail.com</t>
  </si>
  <si>
    <t>TERMATECH</t>
  </si>
  <si>
    <t>TT22R</t>
  </si>
  <si>
    <t>SERPOLET BIDAUD SAS</t>
  </si>
  <si>
    <t>AUDOUARD</t>
  </si>
  <si>
    <t>DZ</t>
  </si>
  <si>
    <t>VICTORIA</t>
  </si>
  <si>
    <t>CHARREL Stéphane</t>
  </si>
  <si>
    <t>REVO</t>
  </si>
  <si>
    <t>STIMO</t>
  </si>
  <si>
    <t>EURL NESSFRANCE</t>
  </si>
  <si>
    <t>Chemin du Vart</t>
  </si>
  <si>
    <t>Installateur non signataire (ok)</t>
  </si>
  <si>
    <t>P115T</t>
  </si>
  <si>
    <t>a cessé son activité</t>
  </si>
  <si>
    <t>Installateur non signataire (relance le 23/04)</t>
  </si>
  <si>
    <t>Installateur non signataire (ok) + photo plan large (ok)</t>
  </si>
  <si>
    <t>achat poele occasion</t>
  </si>
  <si>
    <t>dossier annulé car arrêté caduque</t>
  </si>
  <si>
    <t>appareil non labellisé</t>
  </si>
  <si>
    <t>23/04 envoie du mail pour caducité prime</t>
  </si>
  <si>
    <t>STAR 2.0 CONFORT AIR</t>
  </si>
  <si>
    <t>05/11/2019 dossier anulé car arrêté caduque - pas d'envoi d'infos au bénéficiaire</t>
  </si>
  <si>
    <t>refusé</t>
  </si>
  <si>
    <t>manque facture acquittée + signature attestation</t>
  </si>
  <si>
    <t>Chemin du Delphin</t>
  </si>
  <si>
    <t>ECOFIRE ISABEL 9 US</t>
  </si>
  <si>
    <t>manque verso taxe foncière, lettre de sollicitation</t>
  </si>
  <si>
    <t>Rue Camille Claudel</t>
  </si>
  <si>
    <t>F.E.M. SYNERGIE</t>
  </si>
  <si>
    <t>SAINT BONNET DE MURE</t>
  </si>
  <si>
    <t>entreprise_RGE puis entreprise_signataire à partir du 17/02/2020</t>
  </si>
  <si>
    <t>polerelationclients69@gmail.com</t>
  </si>
  <si>
    <t>appareil existant datant de 2005</t>
  </si>
  <si>
    <t>VOIRON POELES A BOIS ET GRANULES</t>
  </si>
  <si>
    <t>Impasse du Touvier</t>
  </si>
  <si>
    <t>RAMONAGE SERVICES</t>
  </si>
  <si>
    <t>DOMESSIN</t>
  </si>
  <si>
    <t>F370 ADVANCE</t>
  </si>
  <si>
    <t>contact@ramonage-services.com</t>
  </si>
  <si>
    <t>Rue Victor Hugo</t>
  </si>
  <si>
    <t>ARC HABITAT</t>
  </si>
  <si>
    <t>confirmation date ancien matériel</t>
  </si>
  <si>
    <t>V667</t>
  </si>
  <si>
    <t>V668</t>
  </si>
  <si>
    <t>V669</t>
  </si>
  <si>
    <t>V670</t>
  </si>
  <si>
    <t>V671</t>
  </si>
  <si>
    <t>V672</t>
  </si>
  <si>
    <t>manque lettre + signataire de la charte (ok)</t>
  </si>
  <si>
    <t>Chemin de Brossard</t>
  </si>
  <si>
    <t>Route de Ture</t>
  </si>
  <si>
    <t>Impasse de la Grande Sûre</t>
  </si>
  <si>
    <t>Rue de Montponcon</t>
  </si>
  <si>
    <t>Rue du Bourbon</t>
  </si>
  <si>
    <t>Chemin du marais - Hameau La Charlière</t>
  </si>
  <si>
    <t>manque facture avec sous traitant</t>
  </si>
  <si>
    <t>ENTREPOT DU BRICOLAGE</t>
  </si>
  <si>
    <t>LUNO B13</t>
  </si>
  <si>
    <t>manque lettre solicitation</t>
  </si>
  <si>
    <t>KW0100SF</t>
  </si>
  <si>
    <t>Chemin du Lavoir</t>
  </si>
  <si>
    <t>Passage de Vir Fourche</t>
  </si>
  <si>
    <t>Champ de la Dame</t>
  </si>
  <si>
    <t>Rue du Muguet</t>
  </si>
  <si>
    <t>V673</t>
  </si>
  <si>
    <t>V674</t>
  </si>
  <si>
    <t>V675</t>
  </si>
  <si>
    <t>V678</t>
  </si>
  <si>
    <t>V680</t>
  </si>
  <si>
    <t>V681</t>
  </si>
  <si>
    <t>Avenue Edouard Heriot</t>
  </si>
  <si>
    <t>Lotissement La Chataigneraie</t>
  </si>
  <si>
    <t>&gt;1999</t>
  </si>
  <si>
    <t>DIK GEURTS PAR FONTE FLAMME</t>
  </si>
  <si>
    <t>IVAR 5 STORE</t>
  </si>
  <si>
    <t>SARL DUO CHEMINEES</t>
  </si>
  <si>
    <t>jcduo@wanadoo.fr</t>
  </si>
  <si>
    <t>RELAX 8</t>
  </si>
  <si>
    <t>CARRE FRANCOIS</t>
  </si>
  <si>
    <t>ECOFIRE MARIANNE 9KW</t>
  </si>
  <si>
    <t>SCAN 83</t>
  </si>
  <si>
    <t>LONA</t>
  </si>
  <si>
    <t>Commune Hors Pays-Voironnais</t>
  </si>
  <si>
    <t>COUYOT Christine</t>
  </si>
  <si>
    <t>Rue du Bourg</t>
  </si>
  <si>
    <t>TORRES Kevin</t>
  </si>
  <si>
    <t>Cuisinière Ref 6155</t>
  </si>
  <si>
    <t>Message tel Installateur</t>
  </si>
  <si>
    <t>Manque taxe foncière(ok)+photo plan large(ok)+installateur non signataire(ok)+verif adresse(ok)+devis(ok)</t>
  </si>
  <si>
    <t>envoi email CPV (RIB scanné en PJ)</t>
  </si>
  <si>
    <t>envoi email (facture scannée en PJ)</t>
  </si>
  <si>
    <t>manque attestation signée</t>
  </si>
  <si>
    <t>Route des Rivoires</t>
  </si>
  <si>
    <t>Route des Chirouzes</t>
  </si>
  <si>
    <t>SAINT ROMANS</t>
  </si>
  <si>
    <t>Lotissement le Pin</t>
  </si>
  <si>
    <t>Rue des Arts</t>
  </si>
  <si>
    <t>Chemin des Espinas</t>
  </si>
  <si>
    <t>Manque RIB (ok le 04/06)</t>
  </si>
  <si>
    <t>Manque RIB + Photo en plan large (ok le 04/06)</t>
  </si>
  <si>
    <t>SARL FLAMME ISEROISE</t>
  </si>
  <si>
    <t>TROUBA</t>
  </si>
  <si>
    <t>Impasse du Mas de Chantaret</t>
  </si>
  <si>
    <t>V683</t>
  </si>
  <si>
    <t>V684</t>
  </si>
  <si>
    <t>V685</t>
  </si>
  <si>
    <t>V686</t>
  </si>
  <si>
    <t>V687</t>
  </si>
  <si>
    <t>V688</t>
  </si>
  <si>
    <t>A7 SAT GLASS</t>
  </si>
  <si>
    <t>PIERRE</t>
  </si>
  <si>
    <t>65x51 K/K RUND</t>
  </si>
  <si>
    <t>MONTE AMS</t>
  </si>
  <si>
    <t>HOBEN H7</t>
  </si>
  <si>
    <t>CHEMINEES PHILIPPE</t>
  </si>
  <si>
    <t>SAUDOY</t>
  </si>
  <si>
    <t>PIERRE Emmanuel</t>
  </si>
  <si>
    <t>XP54-BOX</t>
  </si>
  <si>
    <t>demande équivalence (08/06)</t>
  </si>
  <si>
    <t>Chemin des Allards</t>
  </si>
  <si>
    <t>manque RIB bonne adresse (ok le 06/06)+ photo en plan large (ok le 06/06)+questionnaire (ok le 08/06)</t>
  </si>
  <si>
    <t>Photo en plan large (ok le 08/06)</t>
  </si>
  <si>
    <t>Allée des Erables</t>
  </si>
  <si>
    <t>775 FF CLASSIQUE</t>
  </si>
  <si>
    <t>Manque devis (ok 09/06)</t>
  </si>
  <si>
    <t>Manque RIB Bonne Adresse (ok le 10/06)</t>
  </si>
  <si>
    <t>Justificatif de propriété :</t>
  </si>
  <si>
    <t>Avis d’imposition propriétaire</t>
  </si>
  <si>
    <t>Avis d’imposition locataire ou bail (si le demandeur est un propriétaire bailleur)</t>
  </si>
  <si>
    <t>BOX 70</t>
  </si>
  <si>
    <t>manque RIB bonne adresse+photo plan large+poële non FV7*(demande équivalence le 08/06 - Changement model poêle le 15/06)</t>
  </si>
  <si>
    <t>relance mail le 19/06/20</t>
  </si>
  <si>
    <t>Date acquisition du matériel remplacé (relance mail le 21/02/20)nouvelle relance le 19/06/20, dossier réfusé le 29/06/20 si pas de retour</t>
  </si>
  <si>
    <t>Adresse RIB (relance mail le 21/02/20)-nouvelle relance le 19/06/20</t>
  </si>
  <si>
    <t>facture non acquitée (25/06/20)</t>
  </si>
  <si>
    <t>Appareil non FV (equivalent le 25/06/20)</t>
  </si>
  <si>
    <t>Chemin du Pit</t>
  </si>
  <si>
    <t>granules</t>
  </si>
  <si>
    <t>CADEL (LAUDEVCO-KAROO)</t>
  </si>
  <si>
    <t>TILE 3 PLUS (XS10C)</t>
  </si>
  <si>
    <t>FV7</t>
  </si>
  <si>
    <t>Rue des Bordes</t>
  </si>
  <si>
    <t>bûches</t>
  </si>
  <si>
    <t>HWAM</t>
  </si>
  <si>
    <t>WIKING LUMA 2</t>
  </si>
  <si>
    <t>Route de Bresin</t>
  </si>
  <si>
    <t>VILLAGES DU LAC DE PALADRU</t>
  </si>
  <si>
    <t xml:space="preserve">369103 (Villeteau) </t>
  </si>
  <si>
    <t>Route de Saint-Julien</t>
  </si>
  <si>
    <t>INNOVALP</t>
  </si>
  <si>
    <t>HOBEN H6 Horizon</t>
  </si>
  <si>
    <t>Registre</t>
  </si>
  <si>
    <t>CLUB AIR 10 UP</t>
  </si>
  <si>
    <t>Pas de date d'acquisition du matériel</t>
  </si>
  <si>
    <t>V682 (VRB0011)</t>
  </si>
  <si>
    <t>V679 (VRB0010)</t>
  </si>
  <si>
    <t>V677 (VRB0009)</t>
  </si>
  <si>
    <t>V676 (VRB0005)</t>
  </si>
  <si>
    <t>V648 (VRB0004)</t>
  </si>
  <si>
    <t>V645 (VRB0002)</t>
  </si>
  <si>
    <t>V643 (VRB0001)</t>
  </si>
  <si>
    <t>Bascule VRB</t>
  </si>
  <si>
    <t>VRB0001</t>
  </si>
  <si>
    <t>VRB0002</t>
  </si>
  <si>
    <t>VRB0005</t>
  </si>
  <si>
    <t>VRB0009</t>
  </si>
  <si>
    <t>VRB0003</t>
  </si>
  <si>
    <t>VRB0010</t>
  </si>
  <si>
    <t>VRB0011</t>
  </si>
  <si>
    <t>10/07 - DC - Installateur certifie n'avoir pas effectué l'installation</t>
  </si>
  <si>
    <t>21/07/20 (manque signature attestation de fin de travaux-ok)</t>
  </si>
  <si>
    <t>21/07/20(manque signature sur attestation fin de travaux-ok)</t>
  </si>
  <si>
    <t>Manque details facture+attestation fin de travaux ok le 03/07</t>
  </si>
  <si>
    <t>attestation non signée (ok)</t>
  </si>
  <si>
    <t>SPH'R Blanc</t>
  </si>
  <si>
    <t>SELF CLIMAT MORVAN</t>
  </si>
  <si>
    <t>facture scanée</t>
  </si>
  <si>
    <t>Arrêté caduque</t>
  </si>
  <si>
    <t>MAGGIE</t>
  </si>
  <si>
    <t>Attends décision de justice pour faire les travaux</t>
  </si>
  <si>
    <t>annulé par mr BURILLE</t>
  </si>
  <si>
    <t>relance le 19/10/20</t>
  </si>
  <si>
    <t>relance mr+installateur le 19/10</t>
  </si>
  <si>
    <t>Facture antérieur à l'arrêté attributif</t>
  </si>
  <si>
    <t>relancé le 23/11/20</t>
  </si>
  <si>
    <t>facture scanné</t>
  </si>
  <si>
    <t>SAINT JULIEN DE RATZ</t>
  </si>
  <si>
    <t>SAINT LAURENT DU PONT</t>
  </si>
  <si>
    <t>SAINT-PIERRE-DE-CHARTREUSE</t>
  </si>
  <si>
    <t>NOTRE DAME DE L'OSIER</t>
  </si>
  <si>
    <t>BOIS SOLEIL CHAUFFAGE SARL</t>
  </si>
  <si>
    <t>SAINT-ALBAN-DE-ROCHE</t>
  </si>
  <si>
    <t>SARL CHEMINEES BERTOLA</t>
  </si>
  <si>
    <t>CHEMINEES THIERRY PATOUX</t>
  </si>
  <si>
    <t>LES CHEMINEES DU GRAND SERRE</t>
  </si>
  <si>
    <t>CHOLONGE</t>
  </si>
  <si>
    <t>ATRE ET LOISIRS SARL</t>
  </si>
  <si>
    <t>SARL PIC MONT-BLANC</t>
  </si>
  <si>
    <t>FRALOR POELES ET CUISINIERES PASSION</t>
  </si>
  <si>
    <t>LEROY MERLIN</t>
  </si>
  <si>
    <t>ALTI RAMONAGE</t>
  </si>
  <si>
    <t>SASU IGNIS DESIGN HASE LA BOUTIQUE</t>
  </si>
  <si>
    <t>RAMONAGE TUBAGE PROS</t>
  </si>
  <si>
    <t>HABITAT HORIZON</t>
  </si>
  <si>
    <t>SARL ELECTROMENAGER BARATIER</t>
  </si>
  <si>
    <t>LA COTE SAINT ANDRE</t>
  </si>
  <si>
    <t>SARL PLOMBERIE PHILIPPE</t>
  </si>
  <si>
    <t>MV ENERGIE</t>
  </si>
  <si>
    <t>BIO CLIMATIC</t>
  </si>
  <si>
    <t>LE GUA</t>
  </si>
  <si>
    <t>POELESGRANULES.FR - BIO BELLEDONNE GRANULES</t>
  </si>
  <si>
    <t>OLIGER FRANCE SAS</t>
  </si>
  <si>
    <t>SAINT-LOUIS</t>
  </si>
  <si>
    <t>SARL Crossey Chauffage</t>
  </si>
  <si>
    <t>CCM CONSEIL CHAUFFAGE MAINTENANCE</t>
  </si>
  <si>
    <t>CHEMINEES CASTAN</t>
  </si>
  <si>
    <t>LE CHEYLAS</t>
  </si>
  <si>
    <t>GAZ SERVICES/ECO LOGIS</t>
  </si>
  <si>
    <t>FLAMME ISEROISE</t>
  </si>
  <si>
    <t>SMJ CHAUFFE FAIENCE</t>
  </si>
  <si>
    <t>PREMILLIEU ENERGIE</t>
  </si>
  <si>
    <t>SARL CHAUFFAGE SANITAIRE SERVICE</t>
  </si>
  <si>
    <t>SAINT PIERRE D'ENTREMONT</t>
  </si>
  <si>
    <t>DOMO SOLAIRE</t>
  </si>
  <si>
    <t>STEPHANE MONIN PLOMBERIE</t>
  </si>
  <si>
    <t>SARL PASSION FLAMME</t>
  </si>
  <si>
    <t>ENTREPRISE CHARAT</t>
  </si>
  <si>
    <t>SARL SGE ENERGIE</t>
  </si>
  <si>
    <t>STEYO ENERGIE</t>
  </si>
  <si>
    <t>MONIN PLOMBERIE</t>
  </si>
  <si>
    <t>C2D</t>
  </si>
  <si>
    <t>CHALEUR BOIS</t>
  </si>
  <si>
    <t>FER ET FEU</t>
  </si>
  <si>
    <t>ISO CHAUFF'CONFORT</t>
  </si>
  <si>
    <t>VILLEFRANCHE SUR SAONE</t>
  </si>
  <si>
    <t>STYL FLAMME</t>
  </si>
  <si>
    <t>CHASSE SUR RHONE</t>
  </si>
  <si>
    <t>GERENTE PAQUET HERVE</t>
  </si>
  <si>
    <t>CHAUFFAGE PESENTI</t>
  </si>
  <si>
    <t>ALBY ECO</t>
  </si>
  <si>
    <t>ENERGIES TRIEVES</t>
  </si>
  <si>
    <t>GRESSE EN VERCORS</t>
  </si>
  <si>
    <t>LAMBERT MADISUN</t>
  </si>
  <si>
    <t>ANTHEUS CONCEPT SARL</t>
  </si>
  <si>
    <t>SAINT PERAY</t>
  </si>
  <si>
    <t>R PLOMBERIE</t>
  </si>
  <si>
    <t>AMBIANCE ET FLAMME CHAZELLES CHEMINEES</t>
  </si>
  <si>
    <t>LA RAVOIRE</t>
  </si>
  <si>
    <t>FDE PLOMBERIE</t>
  </si>
  <si>
    <t>SARL CLE CARRELAGE ETC</t>
  </si>
  <si>
    <t>GENTILIN Jerome</t>
  </si>
  <si>
    <t>CHALEUR &amp; CUISSON</t>
  </si>
  <si>
    <t>SAINT MARCEL LES VALENCES</t>
  </si>
  <si>
    <t>relancé le 23/11/20 et le 18/02/21</t>
  </si>
  <si>
    <t>relance le 19/10/20 et le 18/02/21 + message tel 08/03/21</t>
  </si>
  <si>
    <t>V689</t>
  </si>
  <si>
    <t>V690</t>
  </si>
  <si>
    <t>Adresse RIB (relance mail le 21/02/20-RIB recu en 06/20 toujours sans adresse-message tel le 03/07/20)- dernière relance 16/11/20-ok le 30/11/20</t>
  </si>
  <si>
    <t>Bascule vers V</t>
  </si>
  <si>
    <t>EURL FRALOR</t>
  </si>
  <si>
    <t>Appareil non FV (Changement d'appareil 30/06)</t>
  </si>
  <si>
    <t>Lotissement le Bois du Four</t>
  </si>
  <si>
    <t>DIDIER Jean-Christophe</t>
  </si>
  <si>
    <t>SLOT GLASS A10</t>
  </si>
  <si>
    <t>Présent sur suivi paiement pays voironnais</t>
  </si>
  <si>
    <t>Recherche RFR</t>
  </si>
  <si>
    <t>Nbre personnes</t>
  </si>
  <si>
    <t>Catégories de plafonds</t>
  </si>
  <si>
    <t>2021</t>
  </si>
  <si>
    <t>2022</t>
  </si>
  <si>
    <t>2023</t>
  </si>
  <si>
    <t>2024</t>
  </si>
  <si>
    <t>2025</t>
  </si>
  <si>
    <t>Très modestes</t>
  </si>
  <si>
    <t>Modestes</t>
  </si>
  <si>
    <t>Intermédiaire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</si>
</sst>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8" formatCode="#,##0.00\ &quot;€&quot;;[Red]\-#,##0.00\ &quot;€&quot;"/>
    <numFmt numFmtId="164" formatCode="d/m/yy"/>
    <numFmt numFmtId="165" formatCode="dd/mm/yy;@"/>
    <numFmt numFmtId="166" formatCode="0000000000"/>
    <numFmt numFmtId="167" formatCode="0#\ ##\ ##\ ##\ ##"/>
    <numFmt numFmtId="168" formatCode="d/m/yyyy"/>
    <numFmt numFmtId="169" formatCode="d\-mmm"/>
    <numFmt numFmtId="170" formatCode="0.00\ %"/>
    <numFmt numFmtId="171" formatCode="#,##0.00&quot; €&quot;;[Red]\-#,##0.00&quot; €&quot;"/>
  </numFmts>
  <fonts count="45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Calibri"/>
      <family val="2"/>
      <charset val="1"/>
    </font>
    <font>
      <b/>
      <sz val="10"/>
      <color rgb="FFFF0000"/>
      <name val="Calibri"/>
      <family val="2"/>
      <charset val="1"/>
    </font>
    <font>
      <b/>
      <sz val="10"/>
      <color rgb="FF000000"/>
      <name val="Calibri"/>
      <family val="2"/>
      <charset val="1"/>
    </font>
    <font>
      <b/>
      <sz val="10"/>
      <color rgb="FFFFFFFF"/>
      <name val="Calibri"/>
      <family val="2"/>
      <charset val="1"/>
    </font>
    <font>
      <sz val="11"/>
      <color rgb="FFFFFFFF"/>
      <name val="Calibri"/>
      <family val="2"/>
      <charset val="1"/>
    </font>
    <font>
      <sz val="10"/>
      <color rgb="FFFFFFFF"/>
      <name val="Calibri"/>
      <family val="2"/>
      <charset val="1"/>
    </font>
    <font>
      <i/>
      <sz val="10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sz val="10"/>
      <color rgb="FFFF0000"/>
      <name val="Calibri"/>
      <family val="2"/>
      <charset val="1"/>
    </font>
    <font>
      <sz val="10"/>
      <name val="Calibri"/>
      <family val="2"/>
      <charset val="1"/>
    </font>
    <font>
      <u/>
      <sz val="11"/>
      <color rgb="FF000000"/>
      <name val="Calibri"/>
      <family val="2"/>
      <charset val="1"/>
    </font>
    <font>
      <b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  <font>
      <sz val="10"/>
      <color rgb="FFFF3333"/>
      <name val="Calibri"/>
      <family val="2"/>
      <charset val="1"/>
    </font>
    <font>
      <sz val="10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sz val="11"/>
      <color rgb="FF000000"/>
      <name val="Calibri"/>
      <family val="2"/>
    </font>
    <font>
      <b/>
      <u/>
      <sz val="15"/>
      <color rgb="FF000000"/>
      <name val="Calibri"/>
      <family val="2"/>
      <charset val="1"/>
    </font>
    <font>
      <b/>
      <sz val="10"/>
      <color rgb="FF000000"/>
      <name val="Calibri"/>
      <family val="2"/>
    </font>
    <font>
      <b/>
      <i/>
      <sz val="11"/>
      <color rgb="FF000000"/>
      <name val="Calibri"/>
      <family val="2"/>
      <charset val="1"/>
    </font>
    <font>
      <b/>
      <i/>
      <sz val="10"/>
      <color rgb="FF000000"/>
      <name val="Calibri"/>
      <family val="2"/>
    </font>
    <font>
      <b/>
      <sz val="15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i/>
      <sz val="14"/>
      <color rgb="FF000000"/>
      <name val="Calibri"/>
      <family val="2"/>
    </font>
    <font>
      <b/>
      <sz val="14"/>
      <color rgb="FF000000"/>
      <name val="Calibri"/>
      <family val="2"/>
    </font>
    <font>
      <b/>
      <sz val="14"/>
      <color rgb="FF000000"/>
      <name val="Calibri"/>
      <family val="2"/>
      <charset val="1"/>
    </font>
    <font>
      <sz val="10"/>
      <color theme="1"/>
      <name val="Calibri"/>
      <family val="2"/>
      <charset val="1"/>
    </font>
    <font>
      <b/>
      <sz val="20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rgb="FF000000"/>
      <name val="Arial Unicode MS"/>
      <family val="2"/>
    </font>
    <font>
      <sz val="10"/>
      <color theme="1"/>
      <name val="Calibri"/>
      <family val="2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</fonts>
  <fills count="41">
    <fill>
      <patternFill patternType="none"/>
    </fill>
    <fill>
      <patternFill patternType="gray125"/>
    </fill>
    <fill>
      <patternFill patternType="solid">
        <fgColor rgb="FFE7E6E6"/>
        <bgColor rgb="FFDBDBDB"/>
      </patternFill>
    </fill>
    <fill>
      <patternFill patternType="solid">
        <fgColor rgb="FFD9D9D9"/>
        <bgColor rgb="FFDBDBDB"/>
      </patternFill>
    </fill>
    <fill>
      <patternFill patternType="solid">
        <fgColor rgb="FFFFC000"/>
        <bgColor rgb="FFFFFF00"/>
      </patternFill>
    </fill>
    <fill>
      <patternFill patternType="solid">
        <fgColor rgb="FFA9D08E"/>
        <bgColor rgb="FFBFBFBF"/>
      </patternFill>
    </fill>
    <fill>
      <patternFill patternType="solid">
        <fgColor rgb="FFFF0000"/>
        <bgColor rgb="FFFF3333"/>
      </patternFill>
    </fill>
    <fill>
      <patternFill patternType="solid">
        <fgColor rgb="FFD0CECE"/>
        <bgColor rgb="FFD9D9D9"/>
      </patternFill>
    </fill>
    <fill>
      <patternFill patternType="solid">
        <fgColor rgb="FFED7D31"/>
        <bgColor rgb="FFFF8080"/>
      </patternFill>
    </fill>
    <fill>
      <patternFill patternType="solid">
        <fgColor rgb="FFBF9000"/>
        <bgColor rgb="FFED7D31"/>
      </patternFill>
    </fill>
    <fill>
      <patternFill patternType="solid">
        <fgColor rgb="FF7030A0"/>
        <bgColor rgb="FF993366"/>
      </patternFill>
    </fill>
    <fill>
      <patternFill patternType="solid">
        <fgColor rgb="FF70AD47"/>
        <bgColor rgb="FF92D050"/>
      </patternFill>
    </fill>
    <fill>
      <patternFill patternType="solid">
        <fgColor rgb="FF5B9BD5"/>
        <bgColor rgb="FF808080"/>
      </patternFill>
    </fill>
    <fill>
      <patternFill patternType="solid">
        <fgColor rgb="FF92D050"/>
        <bgColor rgb="FFA9D08E"/>
      </patternFill>
    </fill>
    <fill>
      <patternFill patternType="solid">
        <fgColor rgb="FFFF0000"/>
        <bgColor rgb="FFDBDBDB"/>
      </patternFill>
    </fill>
    <fill>
      <patternFill patternType="solid">
        <fgColor rgb="FF66CC00"/>
        <bgColor rgb="FF70AD47"/>
      </patternFill>
    </fill>
    <fill>
      <patternFill patternType="solid">
        <fgColor rgb="FF00CC33"/>
        <bgColor rgb="FF00CC00"/>
      </patternFill>
    </fill>
    <fill>
      <patternFill patternType="solid">
        <fgColor theme="0"/>
        <bgColor indexed="64"/>
      </patternFill>
    </fill>
    <fill>
      <patternFill patternType="solid">
        <fgColor theme="2"/>
        <bgColor rgb="FF00CC33"/>
      </patternFill>
    </fill>
    <fill>
      <patternFill patternType="solid">
        <fgColor rgb="FFFFFF00"/>
        <bgColor rgb="FFDBDBDB"/>
      </patternFill>
    </fill>
    <fill>
      <patternFill patternType="solid">
        <fgColor theme="2"/>
        <bgColor rgb="FFDBDBDB"/>
      </patternFill>
    </fill>
    <fill>
      <patternFill patternType="solid">
        <fgColor theme="2"/>
        <bgColor indexed="64"/>
      </patternFill>
    </fill>
    <fill>
      <patternFill patternType="solid">
        <fgColor theme="2"/>
        <bgColor rgb="FFD0CECE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rgb="FFFFFF00"/>
      </patternFill>
    </fill>
    <fill>
      <patternFill patternType="solid">
        <fgColor rgb="FFFF0000"/>
        <bgColor rgb="FFFF8080"/>
      </patternFill>
    </fill>
    <fill>
      <patternFill patternType="solid">
        <fgColor theme="2"/>
        <bgColor rgb="FFFF8080"/>
      </patternFill>
    </fill>
    <fill>
      <patternFill patternType="solid">
        <fgColor theme="2"/>
        <bgColor rgb="FFFF3333"/>
      </patternFill>
    </fill>
    <fill>
      <patternFill patternType="solid">
        <fgColor theme="2"/>
        <bgColor rgb="FF00CC00"/>
      </patternFill>
    </fill>
    <fill>
      <patternFill patternType="solid">
        <fgColor theme="2"/>
        <bgColor rgb="FFA9D08E"/>
      </patternFill>
    </fill>
    <fill>
      <patternFill patternType="solid">
        <fgColor theme="2" tint="-9.9978637043366805E-2"/>
        <bgColor rgb="FF00CC33"/>
      </patternFill>
    </fill>
    <fill>
      <patternFill patternType="solid">
        <fgColor theme="2" tint="-9.9978637043366805E-2"/>
        <bgColor rgb="FFFF8080"/>
      </patternFill>
    </fill>
    <fill>
      <patternFill patternType="solid">
        <fgColor theme="2" tint="-9.9978637043366805E-2"/>
        <bgColor rgb="FFFF3333"/>
      </patternFill>
    </fill>
    <fill>
      <patternFill patternType="solid">
        <fgColor theme="2" tint="-9.9978637043366805E-2"/>
        <bgColor rgb="FFD9D9D9"/>
      </patternFill>
    </fill>
    <fill>
      <patternFill patternType="solid">
        <fgColor theme="2" tint="-9.9978637043366805E-2"/>
        <bgColor rgb="FFFFFF00"/>
      </patternFill>
    </fill>
    <fill>
      <patternFill patternType="solid">
        <fgColor theme="2" tint="-9.9978637043366805E-2"/>
        <bgColor rgb="FFDBDBDB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CC00"/>
        <bgColor rgb="FFDBDBDB"/>
      </patternFill>
    </fill>
    <fill>
      <patternFill patternType="solid">
        <fgColor rgb="FF00CC00"/>
        <bgColor rgb="FF00CC33"/>
      </patternFill>
    </fill>
    <fill>
      <patternFill patternType="solid">
        <fgColor rgb="FF00CC00"/>
        <bgColor rgb="FF00CC00"/>
      </patternFill>
    </fill>
    <fill>
      <patternFill patternType="solid">
        <fgColor rgb="FF00CC00"/>
        <bgColor rgb="FFFFFF00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0" fontId="16" fillId="11" borderId="0" applyBorder="0" applyProtection="0"/>
    <xf numFmtId="0" fontId="19" fillId="0" borderId="0" applyBorder="0" applyProtection="0"/>
    <xf numFmtId="0" fontId="11" fillId="0" borderId="0"/>
    <xf numFmtId="0" fontId="6" fillId="0" borderId="0"/>
    <xf numFmtId="0" fontId="43" fillId="0" borderId="0"/>
  </cellStyleXfs>
  <cellXfs count="286">
    <xf numFmtId="0" fontId="0" fillId="0" borderId="0" xfId="0"/>
    <xf numFmtId="164" fontId="12" fillId="2" borderId="0" xfId="0" applyNumberFormat="1" applyFont="1" applyFill="1" applyAlignment="1">
      <alignment horizontal="center" vertical="center" wrapText="1"/>
    </xf>
    <xf numFmtId="1" fontId="0" fillId="0" borderId="0" xfId="0" applyNumberFormat="1"/>
    <xf numFmtId="0" fontId="12" fillId="0" borderId="0" xfId="0" applyFont="1" applyAlignment="1">
      <alignment horizontal="center" vertical="center" wrapText="1"/>
    </xf>
    <xf numFmtId="0" fontId="13" fillId="0" borderId="0" xfId="0" applyFont="1" applyAlignment="1">
      <alignment horizontal="left" vertical="center"/>
    </xf>
    <xf numFmtId="1" fontId="12" fillId="0" borderId="1" xfId="0" applyNumberFormat="1" applyFont="1" applyBorder="1" applyAlignment="1">
      <alignment horizontal="center" vertical="center" wrapText="1"/>
    </xf>
    <xf numFmtId="1" fontId="14" fillId="7" borderId="1" xfId="0" applyNumberFormat="1" applyFont="1" applyFill="1" applyBorder="1" applyAlignment="1">
      <alignment horizontal="center" vertical="center" wrapText="1"/>
    </xf>
    <xf numFmtId="164" fontId="14" fillId="8" borderId="1" xfId="0" applyNumberFormat="1" applyFont="1" applyFill="1" applyBorder="1" applyAlignment="1">
      <alignment horizontal="center" vertical="center" wrapText="1"/>
    </xf>
    <xf numFmtId="164" fontId="14" fillId="3" borderId="1" xfId="0" applyNumberFormat="1" applyFont="1" applyFill="1" applyBorder="1" applyAlignment="1">
      <alignment horizontal="center" vertical="center" wrapText="1"/>
    </xf>
    <xf numFmtId="0" fontId="14" fillId="9" borderId="1" xfId="0" applyFont="1" applyFill="1" applyBorder="1" applyAlignment="1">
      <alignment horizontal="center" vertical="center" wrapText="1"/>
    </xf>
    <xf numFmtId="0" fontId="15" fillId="10" borderId="1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5" fillId="10" borderId="0" xfId="0" applyFont="1" applyFill="1" applyAlignment="1">
      <alignment horizontal="center" vertical="center" wrapText="1"/>
    </xf>
    <xf numFmtId="0" fontId="17" fillId="12" borderId="1" xfId="1" applyFont="1" applyFill="1" applyBorder="1" applyAlignment="1" applyProtection="1">
      <alignment horizontal="center" vertical="center" wrapText="1"/>
    </xf>
    <xf numFmtId="1" fontId="17" fillId="11" borderId="2" xfId="1" applyNumberFormat="1" applyFont="1" applyBorder="1" applyAlignment="1" applyProtection="1">
      <alignment horizontal="center" vertical="center" wrapText="1"/>
    </xf>
    <xf numFmtId="165" fontId="17" fillId="8" borderId="2" xfId="1" applyNumberFormat="1" applyFont="1" applyFill="1" applyBorder="1" applyAlignment="1" applyProtection="1">
      <alignment horizontal="center" vertical="center" wrapText="1"/>
    </xf>
    <xf numFmtId="164" fontId="17" fillId="3" borderId="2" xfId="1" applyNumberFormat="1" applyFont="1" applyFill="1" applyBorder="1" applyAlignment="1" applyProtection="1">
      <alignment horizontal="center" vertical="center" wrapText="1"/>
    </xf>
    <xf numFmtId="0" fontId="17" fillId="8" borderId="2" xfId="1" applyFont="1" applyFill="1" applyBorder="1" applyAlignment="1" applyProtection="1">
      <alignment horizontal="center" vertical="center" wrapText="1"/>
    </xf>
    <xf numFmtId="0" fontId="17" fillId="4" borderId="2" xfId="1" applyFont="1" applyFill="1" applyBorder="1" applyAlignment="1" applyProtection="1">
      <alignment horizontal="center" vertical="center" wrapText="1"/>
    </xf>
    <xf numFmtId="0" fontId="17" fillId="4" borderId="0" xfId="0" applyFont="1" applyFill="1" applyAlignment="1">
      <alignment horizontal="center" vertical="center" wrapText="1"/>
    </xf>
    <xf numFmtId="166" fontId="17" fillId="4" borderId="2" xfId="1" applyNumberFormat="1" applyFont="1" applyFill="1" applyBorder="1" applyAlignment="1" applyProtection="1">
      <alignment horizontal="center" vertical="center" wrapText="1"/>
    </xf>
    <xf numFmtId="0" fontId="17" fillId="9" borderId="2" xfId="1" applyFont="1" applyFill="1" applyBorder="1" applyAlignment="1" applyProtection="1">
      <alignment horizontal="center" vertical="center" wrapText="1"/>
    </xf>
    <xf numFmtId="0" fontId="17" fillId="10" borderId="2" xfId="1" applyFont="1" applyFill="1" applyBorder="1" applyAlignment="1" applyProtection="1">
      <alignment horizontal="center" vertical="center" wrapText="1"/>
    </xf>
    <xf numFmtId="0" fontId="17" fillId="3" borderId="2" xfId="1" applyFont="1" applyFill="1" applyBorder="1" applyAlignment="1" applyProtection="1">
      <alignment horizontal="center" vertical="center" wrapText="1"/>
    </xf>
    <xf numFmtId="0" fontId="17" fillId="11" borderId="1" xfId="1" applyFont="1" applyBorder="1" applyAlignment="1" applyProtection="1">
      <alignment horizontal="center" vertical="center" wrapText="1"/>
    </xf>
    <xf numFmtId="165" fontId="17" fillId="11" borderId="1" xfId="1" applyNumberFormat="1" applyFont="1" applyBorder="1" applyAlignment="1" applyProtection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2" fillId="6" borderId="1" xfId="0" applyFont="1" applyFill="1" applyBorder="1" applyAlignment="1">
      <alignment horizontal="center" vertical="center" wrapText="1"/>
    </xf>
    <xf numFmtId="164" fontId="12" fillId="6" borderId="1" xfId="0" applyNumberFormat="1" applyFont="1" applyFill="1" applyBorder="1" applyAlignment="1">
      <alignment horizontal="center" vertical="center" wrapText="1"/>
    </xf>
    <xf numFmtId="0" fontId="12" fillId="14" borderId="1" xfId="0" applyFont="1" applyFill="1" applyBorder="1" applyAlignment="1">
      <alignment horizontal="center" vertical="center" wrapText="1"/>
    </xf>
    <xf numFmtId="0" fontId="14" fillId="4" borderId="1" xfId="0" applyFont="1" applyFill="1" applyBorder="1" applyAlignment="1">
      <alignment horizontal="center" vertical="center" wrapText="1"/>
    </xf>
    <xf numFmtId="0" fontId="12" fillId="16" borderId="1" xfId="0" applyFont="1" applyFill="1" applyBorder="1" applyAlignment="1">
      <alignment horizontal="center" vertical="center" wrapText="1"/>
    </xf>
    <xf numFmtId="0" fontId="12" fillId="15" borderId="1" xfId="0" applyFont="1" applyFill="1" applyBorder="1" applyAlignment="1">
      <alignment horizontal="center" vertical="center" wrapText="1"/>
    </xf>
    <xf numFmtId="0" fontId="0" fillId="0" borderId="0" xfId="0" applyAlignment="1"/>
    <xf numFmtId="0" fontId="0" fillId="0" borderId="0" xfId="0" applyBorder="1" applyAlignment="1"/>
    <xf numFmtId="0" fontId="19" fillId="0" borderId="0" xfId="1" applyFont="1" applyFill="1" applyBorder="1" applyAlignment="1" applyProtection="1">
      <alignment horizontal="left" vertical="center"/>
    </xf>
    <xf numFmtId="0" fontId="0" fillId="0" borderId="0" xfId="0" applyBorder="1" applyAlignment="1">
      <alignment horizontal="left" vertical="center"/>
    </xf>
    <xf numFmtId="0" fontId="12" fillId="0" borderId="0" xfId="0" applyFont="1" applyBorder="1" applyAlignment="1">
      <alignment horizontal="left" vertical="center" wrapText="1"/>
    </xf>
    <xf numFmtId="0" fontId="12" fillId="0" borderId="1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/>
    </xf>
    <xf numFmtId="0" fontId="22" fillId="0" borderId="0" xfId="1" applyFont="1" applyFill="1" applyBorder="1" applyAlignment="1" applyProtection="1">
      <alignment horizontal="left" vertical="center"/>
    </xf>
    <xf numFmtId="0" fontId="0" fillId="0" borderId="0" xfId="0" applyBorder="1" applyAlignment="1">
      <alignment vertical="center"/>
    </xf>
    <xf numFmtId="0" fontId="12" fillId="0" borderId="3" xfId="0" applyFont="1" applyBorder="1" applyAlignment="1">
      <alignment horizontal="center" vertical="center" wrapText="1"/>
    </xf>
    <xf numFmtId="0" fontId="12" fillId="0" borderId="0" xfId="0" applyFont="1" applyBorder="1" applyAlignment="1">
      <alignment horizontal="left" vertical="center"/>
    </xf>
    <xf numFmtId="0" fontId="22" fillId="0" borderId="0" xfId="2" applyFont="1" applyBorder="1" applyAlignment="1" applyProtection="1">
      <alignment horizontal="left"/>
    </xf>
    <xf numFmtId="0" fontId="19" fillId="0" borderId="0" xfId="2" applyFont="1" applyBorder="1" applyAlignment="1" applyProtection="1">
      <alignment horizontal="left"/>
    </xf>
    <xf numFmtId="0" fontId="0" fillId="0" borderId="0" xfId="0" applyFont="1" applyBorder="1" applyAlignment="1">
      <alignment horizontal="left"/>
    </xf>
    <xf numFmtId="0" fontId="12" fillId="13" borderId="1" xfId="0" applyFont="1" applyFill="1" applyBorder="1" applyAlignment="1">
      <alignment horizontal="left" vertical="center" wrapText="1"/>
    </xf>
    <xf numFmtId="0" fontId="0" fillId="0" borderId="0" xfId="0" applyBorder="1"/>
    <xf numFmtId="0" fontId="0" fillId="0" borderId="0" xfId="0" applyAlignment="1">
      <alignment horizontal="left"/>
    </xf>
    <xf numFmtId="168" fontId="0" fillId="0" borderId="0" xfId="0" applyNumberFormat="1"/>
    <xf numFmtId="0" fontId="12" fillId="16" borderId="3" xfId="0" applyFont="1" applyFill="1" applyBorder="1" applyAlignment="1">
      <alignment horizontal="center" vertical="center" wrapText="1"/>
    </xf>
    <xf numFmtId="0" fontId="26" fillId="0" borderId="0" xfId="0" applyFont="1" applyAlignment="1">
      <alignment horizontal="left"/>
    </xf>
    <xf numFmtId="0" fontId="26" fillId="0" borderId="0" xfId="0" applyFont="1" applyAlignment="1">
      <alignment horizontal="left" wrapText="1"/>
    </xf>
    <xf numFmtId="0" fontId="17" fillId="4" borderId="2" xfId="1" applyFont="1" applyFill="1" applyBorder="1" applyAlignment="1" applyProtection="1">
      <alignment horizontal="center" vertical="center"/>
    </xf>
    <xf numFmtId="0" fontId="0" fillId="17" borderId="0" xfId="0" applyFill="1"/>
    <xf numFmtId="0" fontId="12" fillId="17" borderId="0" xfId="0" applyFont="1" applyFill="1" applyAlignment="1">
      <alignment vertical="center"/>
    </xf>
    <xf numFmtId="0" fontId="0" fillId="17" borderId="0" xfId="0" applyFill="1" applyAlignment="1">
      <alignment vertical="center"/>
    </xf>
    <xf numFmtId="0" fontId="0" fillId="17" borderId="0" xfId="0" applyFill="1" applyAlignment="1"/>
    <xf numFmtId="0" fontId="0" fillId="17" borderId="0" xfId="0" applyFill="1" applyAlignment="1">
      <alignment horizontal="left" vertical="center"/>
    </xf>
    <xf numFmtId="0" fontId="22" fillId="17" borderId="0" xfId="0" applyFont="1" applyFill="1" applyAlignment="1">
      <alignment vertical="center"/>
    </xf>
    <xf numFmtId="0" fontId="12" fillId="17" borderId="0" xfId="0" applyFont="1" applyFill="1"/>
    <xf numFmtId="0" fontId="12" fillId="17" borderId="0" xfId="0" applyFont="1" applyFill="1" applyAlignment="1">
      <alignment horizontal="right" vertical="center"/>
    </xf>
    <xf numFmtId="0" fontId="28" fillId="17" borderId="0" xfId="0" applyFont="1" applyFill="1" applyAlignment="1">
      <alignment horizontal="left" vertical="center"/>
    </xf>
    <xf numFmtId="0" fontId="29" fillId="17" borderId="0" xfId="0" applyFont="1" applyFill="1" applyAlignment="1">
      <alignment horizontal="center" vertical="center"/>
    </xf>
    <xf numFmtId="0" fontId="30" fillId="0" borderId="0" xfId="0" applyFont="1" applyBorder="1"/>
    <xf numFmtId="0" fontId="31" fillId="17" borderId="0" xfId="0" applyFont="1" applyFill="1" applyAlignment="1">
      <alignment horizontal="center"/>
    </xf>
    <xf numFmtId="0" fontId="30" fillId="17" borderId="0" xfId="0" applyFont="1" applyFill="1" applyBorder="1"/>
    <xf numFmtId="0" fontId="32" fillId="17" borderId="0" xfId="0" applyFont="1" applyFill="1" applyBorder="1" applyAlignment="1">
      <alignment horizontal="center"/>
    </xf>
    <xf numFmtId="0" fontId="34" fillId="17" borderId="0" xfId="0" applyFont="1" applyFill="1" applyAlignment="1">
      <alignment vertical="center"/>
    </xf>
    <xf numFmtId="0" fontId="37" fillId="17" borderId="0" xfId="0" applyFont="1" applyFill="1" applyAlignment="1">
      <alignment horizontal="center" vertical="center"/>
    </xf>
    <xf numFmtId="167" fontId="12" fillId="18" borderId="1" xfId="0" applyNumberFormat="1" applyFont="1" applyFill="1" applyBorder="1" applyAlignment="1">
      <alignment horizontal="center" vertical="center" wrapText="1"/>
    </xf>
    <xf numFmtId="14" fontId="12" fillId="18" borderId="1" xfId="0" applyNumberFormat="1" applyFont="1" applyFill="1" applyBorder="1" applyAlignment="1">
      <alignment horizontal="center" vertical="center" wrapText="1"/>
    </xf>
    <xf numFmtId="0" fontId="12" fillId="18" borderId="1" xfId="0" applyFont="1" applyFill="1" applyBorder="1" applyAlignment="1">
      <alignment horizontal="center" vertical="center" wrapText="1"/>
    </xf>
    <xf numFmtId="165" fontId="12" fillId="20" borderId="1" xfId="0" applyNumberFormat="1" applyFont="1" applyFill="1" applyBorder="1" applyAlignment="1">
      <alignment horizontal="center" vertical="center" wrapText="1"/>
    </xf>
    <xf numFmtId="0" fontId="12" fillId="20" borderId="1" xfId="0" applyFont="1" applyFill="1" applyBorder="1" applyAlignment="1">
      <alignment horizontal="center" vertical="center" wrapText="1"/>
    </xf>
    <xf numFmtId="167" fontId="12" fillId="20" borderId="1" xfId="0" applyNumberFormat="1" applyFont="1" applyFill="1" applyBorder="1" applyAlignment="1">
      <alignment horizontal="center" vertical="center" wrapText="1"/>
    </xf>
    <xf numFmtId="14" fontId="12" fillId="20" borderId="1" xfId="0" applyNumberFormat="1" applyFont="1" applyFill="1" applyBorder="1" applyAlignment="1">
      <alignment horizontal="center" vertical="center" wrapText="1"/>
    </xf>
    <xf numFmtId="2" fontId="12" fillId="20" borderId="1" xfId="0" applyNumberFormat="1" applyFont="1" applyFill="1" applyBorder="1" applyAlignment="1">
      <alignment horizontal="center" vertical="center" wrapText="1"/>
    </xf>
    <xf numFmtId="164" fontId="12" fillId="20" borderId="1" xfId="0" applyNumberFormat="1" applyFont="1" applyFill="1" applyBorder="1" applyAlignment="1">
      <alignment horizontal="center" vertical="center" wrapText="1"/>
    </xf>
    <xf numFmtId="164" fontId="12" fillId="22" borderId="1" xfId="0" applyNumberFormat="1" applyFont="1" applyFill="1" applyBorder="1" applyAlignment="1">
      <alignment horizontal="center" vertical="center" wrapText="1"/>
    </xf>
    <xf numFmtId="165" fontId="12" fillId="24" borderId="1" xfId="0" applyNumberFormat="1" applyFont="1" applyFill="1" applyBorder="1" applyAlignment="1">
      <alignment horizontal="center" vertical="center" wrapText="1"/>
    </xf>
    <xf numFmtId="0" fontId="12" fillId="24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21" fillId="25" borderId="1" xfId="0" applyFont="1" applyFill="1" applyBorder="1" applyAlignment="1">
      <alignment horizontal="center" vertical="center" wrapText="1"/>
    </xf>
    <xf numFmtId="0" fontId="18" fillId="0" borderId="3" xfId="0" applyFont="1" applyBorder="1" applyAlignment="1">
      <alignment horizontal="center" vertical="center" wrapText="1"/>
    </xf>
    <xf numFmtId="0" fontId="38" fillId="25" borderId="1" xfId="0" applyFont="1" applyFill="1" applyBorder="1" applyAlignment="1">
      <alignment horizontal="center" vertical="center" wrapText="1"/>
    </xf>
    <xf numFmtId="0" fontId="11" fillId="0" borderId="0" xfId="3"/>
    <xf numFmtId="0" fontId="11" fillId="0" borderId="10" xfId="3" applyBorder="1"/>
    <xf numFmtId="0" fontId="11" fillId="0" borderId="11" xfId="3" applyBorder="1"/>
    <xf numFmtId="0" fontId="11" fillId="0" borderId="12" xfId="3" applyBorder="1"/>
    <xf numFmtId="0" fontId="11" fillId="0" borderId="0" xfId="3" applyBorder="1"/>
    <xf numFmtId="0" fontId="11" fillId="0" borderId="1" xfId="3" applyBorder="1"/>
    <xf numFmtId="0" fontId="12" fillId="0" borderId="11" xfId="3" applyFont="1" applyBorder="1" applyAlignment="1">
      <alignment horizontal="center" vertical="center" wrapText="1"/>
    </xf>
    <xf numFmtId="49" fontId="12" fillId="0" borderId="11" xfId="3" applyNumberFormat="1" applyFont="1" applyBorder="1" applyAlignment="1">
      <alignment horizontal="center" vertical="center" wrapText="1"/>
    </xf>
    <xf numFmtId="0" fontId="11" fillId="0" borderId="7" xfId="3" applyBorder="1"/>
    <xf numFmtId="0" fontId="11" fillId="0" borderId="6" xfId="3" applyBorder="1"/>
    <xf numFmtId="0" fontId="11" fillId="0" borderId="5" xfId="3" applyBorder="1"/>
    <xf numFmtId="164" fontId="12" fillId="18" borderId="1" xfId="0" applyNumberFormat="1" applyFont="1" applyFill="1" applyBorder="1" applyAlignment="1">
      <alignment horizontal="center" vertical="center" wrapText="1"/>
    </xf>
    <xf numFmtId="166" fontId="12" fillId="18" borderId="1" xfId="0" applyNumberFormat="1" applyFont="1" applyFill="1" applyBorder="1" applyAlignment="1">
      <alignment horizontal="center" vertical="center" wrapText="1"/>
    </xf>
    <xf numFmtId="0" fontId="19" fillId="18" borderId="1" xfId="0" applyFont="1" applyFill="1" applyBorder="1" applyAlignment="1" applyProtection="1">
      <alignment horizontal="center" vertical="center" wrapText="1"/>
    </xf>
    <xf numFmtId="2" fontId="12" fillId="18" borderId="1" xfId="0" applyNumberFormat="1" applyFont="1" applyFill="1" applyBorder="1" applyAlignment="1">
      <alignment horizontal="center" vertical="center" wrapText="1"/>
    </xf>
    <xf numFmtId="164" fontId="21" fillId="26" borderId="1" xfId="0" applyNumberFormat="1" applyFont="1" applyFill="1" applyBorder="1" applyAlignment="1">
      <alignment horizontal="center" vertical="center" wrapText="1"/>
    </xf>
    <xf numFmtId="165" fontId="21" fillId="26" borderId="1" xfId="0" applyNumberFormat="1" applyFont="1" applyFill="1" applyBorder="1" applyAlignment="1">
      <alignment horizontal="center" vertical="center" wrapText="1"/>
    </xf>
    <xf numFmtId="0" fontId="21" fillId="26" borderId="1" xfId="0" applyFont="1" applyFill="1" applyBorder="1" applyAlignment="1">
      <alignment horizontal="center" vertical="center" wrapText="1"/>
    </xf>
    <xf numFmtId="166" fontId="21" fillId="26" borderId="1" xfId="0" applyNumberFormat="1" applyFont="1" applyFill="1" applyBorder="1" applyAlignment="1">
      <alignment horizontal="center" vertical="center" wrapText="1"/>
    </xf>
    <xf numFmtId="2" fontId="21" fillId="26" borderId="1" xfId="0" applyNumberFormat="1" applyFont="1" applyFill="1" applyBorder="1" applyAlignment="1">
      <alignment horizontal="center" vertical="center" wrapText="1"/>
    </xf>
    <xf numFmtId="164" fontId="12" fillId="27" borderId="1" xfId="0" applyNumberFormat="1" applyFont="1" applyFill="1" applyBorder="1" applyAlignment="1">
      <alignment horizontal="center" vertical="center" wrapText="1"/>
    </xf>
    <xf numFmtId="165" fontId="12" fillId="27" borderId="1" xfId="0" applyNumberFormat="1" applyFont="1" applyFill="1" applyBorder="1" applyAlignment="1">
      <alignment horizontal="center" vertical="center" wrapText="1"/>
    </xf>
    <xf numFmtId="0" fontId="12" fillId="27" borderId="1" xfId="0" applyFont="1" applyFill="1" applyBorder="1" applyAlignment="1">
      <alignment horizontal="center" vertical="center" wrapText="1"/>
    </xf>
    <xf numFmtId="166" fontId="12" fillId="27" borderId="1" xfId="0" applyNumberFormat="1" applyFont="1" applyFill="1" applyBorder="1" applyAlignment="1">
      <alignment horizontal="center" vertical="center" wrapText="1"/>
    </xf>
    <xf numFmtId="2" fontId="12" fillId="27" borderId="1" xfId="0" applyNumberFormat="1" applyFont="1" applyFill="1" applyBorder="1" applyAlignment="1">
      <alignment horizontal="center" vertical="center" wrapText="1"/>
    </xf>
    <xf numFmtId="165" fontId="12" fillId="18" borderId="1" xfId="0" applyNumberFormat="1" applyFont="1" applyFill="1" applyBorder="1" applyAlignment="1">
      <alignment horizontal="center" vertical="center" wrapText="1"/>
    </xf>
    <xf numFmtId="164" fontId="25" fillId="20" borderId="1" xfId="0" applyNumberFormat="1" applyFont="1" applyFill="1" applyBorder="1" applyAlignment="1">
      <alignment horizontal="center" vertical="center" wrapText="1"/>
    </xf>
    <xf numFmtId="164" fontId="12" fillId="28" borderId="1" xfId="0" applyNumberFormat="1" applyFont="1" applyFill="1" applyBorder="1" applyAlignment="1">
      <alignment horizontal="center" vertical="center" wrapText="1"/>
    </xf>
    <xf numFmtId="165" fontId="12" fillId="28" borderId="1" xfId="0" applyNumberFormat="1" applyFont="1" applyFill="1" applyBorder="1" applyAlignment="1">
      <alignment horizontal="center" vertical="center" wrapText="1"/>
    </xf>
    <xf numFmtId="0" fontId="12" fillId="28" borderId="1" xfId="0" applyFont="1" applyFill="1" applyBorder="1" applyAlignment="1">
      <alignment horizontal="center" vertical="center" wrapText="1"/>
    </xf>
    <xf numFmtId="166" fontId="12" fillId="28" borderId="1" xfId="0" applyNumberFormat="1" applyFont="1" applyFill="1" applyBorder="1" applyAlignment="1">
      <alignment horizontal="center" vertical="center" wrapText="1"/>
    </xf>
    <xf numFmtId="2" fontId="12" fillId="28" borderId="1" xfId="0" applyNumberFormat="1" applyFont="1" applyFill="1" applyBorder="1" applyAlignment="1">
      <alignment horizontal="center" vertical="center" wrapText="1"/>
    </xf>
    <xf numFmtId="165" fontId="38" fillId="26" borderId="1" xfId="0" applyNumberFormat="1" applyFont="1" applyFill="1" applyBorder="1" applyAlignment="1">
      <alignment horizontal="center" vertical="center" wrapText="1"/>
    </xf>
    <xf numFmtId="164" fontId="20" fillId="26" borderId="1" xfId="0" applyNumberFormat="1" applyFont="1" applyFill="1" applyBorder="1" applyAlignment="1">
      <alignment horizontal="center" vertical="center" wrapText="1"/>
    </xf>
    <xf numFmtId="0" fontId="38" fillId="26" borderId="1" xfId="0" applyFont="1" applyFill="1" applyBorder="1" applyAlignment="1">
      <alignment horizontal="center" vertical="center" wrapText="1"/>
    </xf>
    <xf numFmtId="166" fontId="38" fillId="26" borderId="1" xfId="0" applyNumberFormat="1" applyFont="1" applyFill="1" applyBorder="1" applyAlignment="1">
      <alignment horizontal="center" vertical="center" wrapText="1"/>
    </xf>
    <xf numFmtId="0" fontId="20" fillId="26" borderId="1" xfId="0" applyFont="1" applyFill="1" applyBorder="1" applyAlignment="1">
      <alignment horizontal="center" vertical="center" wrapText="1"/>
    </xf>
    <xf numFmtId="2" fontId="38" fillId="26" borderId="1" xfId="0" applyNumberFormat="1" applyFont="1" applyFill="1" applyBorder="1" applyAlignment="1">
      <alignment horizontal="center" vertical="center" wrapText="1"/>
    </xf>
    <xf numFmtId="167" fontId="12" fillId="27" borderId="1" xfId="0" applyNumberFormat="1" applyFont="1" applyFill="1" applyBorder="1" applyAlignment="1">
      <alignment horizontal="center" vertical="center" wrapText="1"/>
    </xf>
    <xf numFmtId="168" fontId="12" fillId="27" borderId="1" xfId="0" applyNumberFormat="1" applyFont="1" applyFill="1" applyBorder="1" applyAlignment="1">
      <alignment horizontal="center" vertical="center" wrapText="1"/>
    </xf>
    <xf numFmtId="0" fontId="20" fillId="27" borderId="1" xfId="0" applyFont="1" applyFill="1" applyBorder="1" applyAlignment="1">
      <alignment horizontal="center" vertical="center" wrapText="1"/>
    </xf>
    <xf numFmtId="17" fontId="12" fillId="18" borderId="1" xfId="0" applyNumberFormat="1" applyFont="1" applyFill="1" applyBorder="1" applyAlignment="1">
      <alignment horizontal="center" vertical="center" wrapText="1"/>
    </xf>
    <xf numFmtId="168" fontId="12" fillId="18" borderId="1" xfId="0" applyNumberFormat="1" applyFont="1" applyFill="1" applyBorder="1" applyAlignment="1">
      <alignment horizontal="center" vertical="center" wrapText="1"/>
    </xf>
    <xf numFmtId="168" fontId="12" fillId="20" borderId="1" xfId="0" applyNumberFormat="1" applyFont="1" applyFill="1" applyBorder="1" applyAlignment="1">
      <alignment horizontal="center" vertical="center" wrapText="1"/>
    </xf>
    <xf numFmtId="166" fontId="12" fillId="20" borderId="1" xfId="0" applyNumberFormat="1" applyFont="1" applyFill="1" applyBorder="1" applyAlignment="1">
      <alignment horizontal="center" vertical="center" wrapText="1"/>
    </xf>
    <xf numFmtId="17" fontId="12" fillId="27" borderId="1" xfId="0" applyNumberFormat="1" applyFont="1" applyFill="1" applyBorder="1" applyAlignment="1">
      <alignment horizontal="center" vertical="center" wrapText="1"/>
    </xf>
    <xf numFmtId="14" fontId="12" fillId="27" borderId="1" xfId="0" applyNumberFormat="1" applyFont="1" applyFill="1" applyBorder="1" applyAlignment="1">
      <alignment horizontal="center" vertical="center" wrapText="1"/>
    </xf>
    <xf numFmtId="169" fontId="12" fillId="18" borderId="1" xfId="0" applyNumberFormat="1" applyFont="1" applyFill="1" applyBorder="1" applyAlignment="1">
      <alignment horizontal="center" vertical="center" wrapText="1"/>
    </xf>
    <xf numFmtId="0" fontId="19" fillId="21" borderId="1" xfId="2" applyFill="1" applyBorder="1" applyProtection="1"/>
    <xf numFmtId="169" fontId="12" fillId="20" borderId="1" xfId="0" applyNumberFormat="1" applyFont="1" applyFill="1" applyBorder="1" applyAlignment="1">
      <alignment horizontal="center" vertical="center" wrapText="1"/>
    </xf>
    <xf numFmtId="0" fontId="12" fillId="29" borderId="1" xfId="0" applyFont="1" applyFill="1" applyBorder="1" applyAlignment="1">
      <alignment horizontal="center" vertical="center" wrapText="1"/>
    </xf>
    <xf numFmtId="165" fontId="12" fillId="18" borderId="1" xfId="0" applyNumberFormat="1" applyFont="1" applyFill="1" applyBorder="1" applyAlignment="1">
      <alignment horizontal="center" vertical="center"/>
    </xf>
    <xf numFmtId="0" fontId="12" fillId="27" borderId="1" xfId="0" applyFont="1" applyFill="1" applyBorder="1" applyAlignment="1">
      <alignment horizontal="center" vertical="center"/>
    </xf>
    <xf numFmtId="169" fontId="12" fillId="27" borderId="1" xfId="0" applyNumberFormat="1" applyFont="1" applyFill="1" applyBorder="1" applyAlignment="1">
      <alignment horizontal="center" vertical="center" wrapText="1"/>
    </xf>
    <xf numFmtId="170" fontId="12" fillId="18" borderId="1" xfId="0" applyNumberFormat="1" applyFont="1" applyFill="1" applyBorder="1" applyAlignment="1">
      <alignment horizontal="center" vertical="center" wrapText="1"/>
    </xf>
    <xf numFmtId="14" fontId="12" fillId="24" borderId="1" xfId="0" applyNumberFormat="1" applyFont="1" applyFill="1" applyBorder="1" applyAlignment="1">
      <alignment horizontal="center" vertical="center" wrapText="1"/>
    </xf>
    <xf numFmtId="17" fontId="12" fillId="20" borderId="1" xfId="0" applyNumberFormat="1" applyFont="1" applyFill="1" applyBorder="1" applyAlignment="1">
      <alignment horizontal="center" vertical="center" wrapText="1"/>
    </xf>
    <xf numFmtId="165" fontId="12" fillId="20" borderId="1" xfId="0" applyNumberFormat="1" applyFont="1" applyFill="1" applyBorder="1" applyAlignment="1">
      <alignment horizontal="center" vertical="center"/>
    </xf>
    <xf numFmtId="0" fontId="12" fillId="20" borderId="1" xfId="0" quotePrefix="1" applyFont="1" applyFill="1" applyBorder="1" applyAlignment="1">
      <alignment horizontal="center" vertical="center" wrapText="1"/>
    </xf>
    <xf numFmtId="164" fontId="12" fillId="22" borderId="1" xfId="0" applyNumberFormat="1" applyFont="1" applyFill="1" applyBorder="1" applyAlignment="1">
      <alignment horizontal="center" vertical="center"/>
    </xf>
    <xf numFmtId="0" fontId="12" fillId="20" borderId="1" xfId="0" applyFont="1" applyFill="1" applyBorder="1" applyAlignment="1">
      <alignment horizontal="center" vertical="center"/>
    </xf>
    <xf numFmtId="167" fontId="12" fillId="20" borderId="1" xfId="0" applyNumberFormat="1" applyFont="1" applyFill="1" applyBorder="1" applyAlignment="1">
      <alignment horizontal="center" vertical="center"/>
    </xf>
    <xf numFmtId="14" fontId="12" fillId="20" borderId="1" xfId="0" applyNumberFormat="1" applyFont="1" applyFill="1" applyBorder="1" applyAlignment="1">
      <alignment horizontal="center" vertical="center"/>
    </xf>
    <xf numFmtId="2" fontId="12" fillId="20" borderId="1" xfId="0" applyNumberFormat="1" applyFont="1" applyFill="1" applyBorder="1" applyAlignment="1">
      <alignment horizontal="center" vertical="center"/>
    </xf>
    <xf numFmtId="165" fontId="18" fillId="0" borderId="3" xfId="0" applyNumberFormat="1" applyFont="1" applyBorder="1" applyAlignment="1">
      <alignment horizontal="center" vertical="center" wrapText="1"/>
    </xf>
    <xf numFmtId="164" fontId="18" fillId="3" borderId="3" xfId="0" applyNumberFormat="1" applyFont="1" applyFill="1" applyBorder="1" applyAlignment="1">
      <alignment horizontal="center" vertical="center" wrapText="1"/>
    </xf>
    <xf numFmtId="166" fontId="18" fillId="0" borderId="3" xfId="0" applyNumberFormat="1" applyFont="1" applyBorder="1" applyAlignment="1">
      <alignment horizontal="center" vertical="center" wrapText="1"/>
    </xf>
    <xf numFmtId="0" fontId="18" fillId="3" borderId="3" xfId="0" applyFont="1" applyFill="1" applyBorder="1" applyAlignment="1">
      <alignment horizontal="center" vertical="center" wrapText="1"/>
    </xf>
    <xf numFmtId="0" fontId="0" fillId="21" borderId="1" xfId="0" applyFill="1" applyBorder="1"/>
    <xf numFmtId="0" fontId="12" fillId="18" borderId="1" xfId="0" applyFont="1" applyFill="1" applyBorder="1"/>
    <xf numFmtId="1" fontId="12" fillId="30" borderId="1" xfId="1" applyNumberFormat="1" applyFont="1" applyFill="1" applyBorder="1" applyAlignment="1" applyProtection="1">
      <alignment horizontal="center" vertical="center" wrapText="1"/>
    </xf>
    <xf numFmtId="1" fontId="21" fillId="31" borderId="1" xfId="1" applyNumberFormat="1" applyFont="1" applyFill="1" applyBorder="1" applyAlignment="1" applyProtection="1">
      <alignment horizontal="center" vertical="center" wrapText="1"/>
    </xf>
    <xf numFmtId="1" fontId="12" fillId="32" borderId="1" xfId="1" applyNumberFormat="1" applyFont="1" applyFill="1" applyBorder="1" applyAlignment="1" applyProtection="1">
      <alignment horizontal="center" vertical="center" wrapText="1"/>
    </xf>
    <xf numFmtId="1" fontId="38" fillId="31" borderId="1" xfId="1" applyNumberFormat="1" applyFont="1" applyFill="1" applyBorder="1" applyAlignment="1" applyProtection="1">
      <alignment horizontal="center" vertical="center" wrapText="1"/>
    </xf>
    <xf numFmtId="1" fontId="12" fillId="33" borderId="1" xfId="1" applyNumberFormat="1" applyFont="1" applyFill="1" applyBorder="1" applyAlignment="1" applyProtection="1">
      <alignment horizontal="center" vertical="center" wrapText="1"/>
    </xf>
    <xf numFmtId="1" fontId="12" fillId="34" borderId="1" xfId="1" applyNumberFormat="1" applyFont="1" applyFill="1" applyBorder="1" applyAlignment="1" applyProtection="1">
      <alignment horizontal="center" vertical="center" wrapText="1"/>
    </xf>
    <xf numFmtId="0" fontId="10" fillId="0" borderId="0" xfId="3" applyFont="1" applyBorder="1"/>
    <xf numFmtId="0" fontId="0" fillId="0" borderId="7" xfId="0" applyBorder="1"/>
    <xf numFmtId="0" fontId="0" fillId="0" borderId="6" xfId="0" applyBorder="1"/>
    <xf numFmtId="0" fontId="9" fillId="0" borderId="12" xfId="3" applyFont="1" applyBorder="1"/>
    <xf numFmtId="1" fontId="12" fillId="33" borderId="1" xfId="1" applyNumberFormat="1" applyFont="1" applyFill="1" applyBorder="1" applyAlignment="1" applyProtection="1">
      <alignment horizontal="center" vertical="center"/>
    </xf>
    <xf numFmtId="0" fontId="8" fillId="0" borderId="0" xfId="3" applyFont="1" applyBorder="1"/>
    <xf numFmtId="0" fontId="8" fillId="0" borderId="12" xfId="3" applyFont="1" applyFill="1" applyBorder="1"/>
    <xf numFmtId="0" fontId="8" fillId="0" borderId="12" xfId="3" applyFont="1" applyBorder="1"/>
    <xf numFmtId="0" fontId="11" fillId="23" borderId="1" xfId="3" applyFill="1" applyBorder="1"/>
    <xf numFmtId="0" fontId="7" fillId="0" borderId="0" xfId="3" applyFont="1" applyBorder="1"/>
    <xf numFmtId="0" fontId="6" fillId="17" borderId="0" xfId="4" applyFill="1" applyBorder="1"/>
    <xf numFmtId="0" fontId="40" fillId="17" borderId="0" xfId="4" applyFont="1" applyFill="1" applyBorder="1" applyAlignment="1">
      <alignment horizontal="center" vertical="center" wrapText="1"/>
    </xf>
    <xf numFmtId="0" fontId="6" fillId="17" borderId="0" xfId="4" applyFill="1" applyBorder="1" applyAlignment="1">
      <alignment horizontal="center"/>
    </xf>
    <xf numFmtId="0" fontId="40" fillId="17" borderId="1" xfId="4" applyFont="1" applyFill="1" applyBorder="1" applyAlignment="1">
      <alignment horizontal="center" vertical="center" wrapText="1"/>
    </xf>
    <xf numFmtId="0" fontId="6" fillId="17" borderId="1" xfId="4" applyFill="1" applyBorder="1"/>
    <xf numFmtId="0" fontId="6" fillId="17" borderId="0" xfId="4" applyFill="1" applyBorder="1" applyAlignment="1">
      <alignment horizontal="left" vertical="center"/>
    </xf>
    <xf numFmtId="0" fontId="6" fillId="17" borderId="16" xfId="4" applyFill="1" applyBorder="1" applyAlignment="1">
      <alignment horizontal="center"/>
    </xf>
    <xf numFmtId="0" fontId="40" fillId="17" borderId="17" xfId="4" applyFont="1" applyFill="1" applyBorder="1" applyAlignment="1">
      <alignment horizontal="center" vertical="center" wrapText="1"/>
    </xf>
    <xf numFmtId="0" fontId="6" fillId="17" borderId="16" xfId="4" applyFill="1" applyBorder="1" applyAlignment="1">
      <alignment horizontal="center" vertical="center"/>
    </xf>
    <xf numFmtId="0" fontId="6" fillId="17" borderId="17" xfId="4" applyFill="1" applyBorder="1"/>
    <xf numFmtId="0" fontId="6" fillId="0" borderId="16" xfId="4" applyBorder="1" applyAlignment="1">
      <alignment horizontal="center" vertical="center"/>
    </xf>
    <xf numFmtId="0" fontId="6" fillId="17" borderId="3" xfId="4" applyFill="1" applyBorder="1"/>
    <xf numFmtId="0" fontId="6" fillId="0" borderId="21" xfId="4" applyBorder="1" applyAlignment="1">
      <alignment horizontal="center" vertical="center"/>
    </xf>
    <xf numFmtId="0" fontId="6" fillId="17" borderId="22" xfId="4" applyFill="1" applyBorder="1"/>
    <xf numFmtId="0" fontId="12" fillId="35" borderId="1" xfId="0" applyFont="1" applyFill="1" applyBorder="1" applyAlignment="1">
      <alignment horizontal="center" vertical="center" wrapText="1"/>
    </xf>
    <xf numFmtId="0" fontId="21" fillId="20" borderId="1" xfId="0" applyFont="1" applyFill="1" applyBorder="1" applyAlignment="1">
      <alignment horizontal="center" vertical="center" wrapText="1"/>
    </xf>
    <xf numFmtId="0" fontId="21" fillId="35" borderId="1" xfId="0" applyFont="1" applyFill="1" applyBorder="1" applyAlignment="1">
      <alignment horizontal="center" vertical="center" wrapText="1"/>
    </xf>
    <xf numFmtId="0" fontId="0" fillId="0" borderId="10" xfId="0" applyBorder="1"/>
    <xf numFmtId="0" fontId="0" fillId="0" borderId="9" xfId="0" applyBorder="1" applyAlignment="1">
      <alignment horizontal="right"/>
    </xf>
    <xf numFmtId="14" fontId="0" fillId="0" borderId="8" xfId="0" applyNumberFormat="1" applyBorder="1"/>
    <xf numFmtId="0" fontId="0" fillId="0" borderId="6" xfId="0" applyBorder="1" applyAlignment="1">
      <alignment horizontal="right"/>
    </xf>
    <xf numFmtId="0" fontId="41" fillId="36" borderId="5" xfId="0" applyFont="1" applyFill="1" applyBorder="1" applyAlignment="1">
      <alignment vertical="center"/>
    </xf>
    <xf numFmtId="0" fontId="11" fillId="36" borderId="1" xfId="3" applyFill="1" applyBorder="1"/>
    <xf numFmtId="0" fontId="11" fillId="36" borderId="2" xfId="3" applyFill="1" applyBorder="1"/>
    <xf numFmtId="165" fontId="0" fillId="0" borderId="0" xfId="0" applyNumberFormat="1"/>
    <xf numFmtId="165" fontId="0" fillId="4" borderId="0" xfId="0" applyNumberFormat="1" applyFill="1"/>
    <xf numFmtId="165" fontId="0" fillId="5" borderId="0" xfId="0" applyNumberFormat="1" applyFill="1"/>
    <xf numFmtId="165" fontId="12" fillId="6" borderId="0" xfId="0" applyNumberFormat="1" applyFont="1" applyFill="1" applyAlignment="1">
      <alignment horizontal="center" vertical="center" wrapText="1"/>
    </xf>
    <xf numFmtId="165" fontId="14" fillId="8" borderId="1" xfId="0" applyNumberFormat="1" applyFont="1" applyFill="1" applyBorder="1" applyAlignment="1">
      <alignment horizontal="center" vertical="center" wrapText="1"/>
    </xf>
    <xf numFmtId="165" fontId="14" fillId="3" borderId="1" xfId="0" applyNumberFormat="1" applyFont="1" applyFill="1" applyBorder="1" applyAlignment="1">
      <alignment horizontal="center" vertical="center" wrapText="1"/>
    </xf>
    <xf numFmtId="165" fontId="17" fillId="6" borderId="2" xfId="1" applyNumberFormat="1" applyFont="1" applyFill="1" applyBorder="1" applyAlignment="1" applyProtection="1">
      <alignment horizontal="center" vertical="center" wrapText="1"/>
    </xf>
    <xf numFmtId="165" fontId="17" fillId="3" borderId="2" xfId="1" applyNumberFormat="1" applyFont="1" applyFill="1" applyBorder="1" applyAlignment="1" applyProtection="1">
      <alignment horizontal="center" vertical="center" wrapText="1"/>
    </xf>
    <xf numFmtId="165" fontId="18" fillId="0" borderId="1" xfId="0" applyNumberFormat="1" applyFont="1" applyBorder="1" applyAlignment="1">
      <alignment horizontal="center" vertical="center" wrapText="1"/>
    </xf>
    <xf numFmtId="165" fontId="18" fillId="6" borderId="3" xfId="0" applyNumberFormat="1" applyFont="1" applyFill="1" applyBorder="1" applyAlignment="1">
      <alignment horizontal="center" vertical="center" wrapText="1"/>
    </xf>
    <xf numFmtId="165" fontId="18" fillId="3" borderId="3" xfId="0" applyNumberFormat="1" applyFont="1" applyFill="1" applyBorder="1" applyAlignment="1">
      <alignment horizontal="center" vertical="center" wrapText="1"/>
    </xf>
    <xf numFmtId="165" fontId="0" fillId="27" borderId="1" xfId="0" applyNumberFormat="1" applyFont="1" applyFill="1" applyBorder="1"/>
    <xf numFmtId="165" fontId="25" fillId="18" borderId="1" xfId="0" applyNumberFormat="1" applyFont="1" applyFill="1" applyBorder="1" applyAlignment="1">
      <alignment horizontal="center" vertical="center" wrapText="1"/>
    </xf>
    <xf numFmtId="165" fontId="13" fillId="28" borderId="1" xfId="0" applyNumberFormat="1" applyFont="1" applyFill="1" applyBorder="1" applyAlignment="1">
      <alignment horizontal="center" vertical="center" wrapText="1"/>
    </xf>
    <xf numFmtId="165" fontId="20" fillId="26" borderId="1" xfId="0" applyNumberFormat="1" applyFont="1" applyFill="1" applyBorder="1" applyAlignment="1">
      <alignment horizontal="center" vertical="center" wrapText="1"/>
    </xf>
    <xf numFmtId="165" fontId="20" fillId="27" borderId="1" xfId="0" applyNumberFormat="1" applyFont="1" applyFill="1" applyBorder="1" applyAlignment="1">
      <alignment horizontal="center" vertical="center" wrapText="1"/>
    </xf>
    <xf numFmtId="165" fontId="21" fillId="18" borderId="1" xfId="0" applyNumberFormat="1" applyFont="1" applyFill="1" applyBorder="1" applyAlignment="1">
      <alignment horizontal="center" vertical="center" wrapText="1"/>
    </xf>
    <xf numFmtId="165" fontId="15" fillId="27" borderId="1" xfId="0" applyNumberFormat="1" applyFont="1" applyFill="1" applyBorder="1" applyAlignment="1">
      <alignment horizontal="center" vertical="center" wrapText="1"/>
    </xf>
    <xf numFmtId="165" fontId="0" fillId="18" borderId="1" xfId="0" applyNumberFormat="1" applyFill="1" applyBorder="1"/>
    <xf numFmtId="165" fontId="12" fillId="22" borderId="1" xfId="0" applyNumberFormat="1" applyFont="1" applyFill="1" applyBorder="1" applyAlignment="1">
      <alignment horizontal="center" vertical="center" wrapText="1"/>
    </xf>
    <xf numFmtId="165" fontId="12" fillId="24" borderId="1" xfId="0" applyNumberFormat="1" applyFont="1" applyFill="1" applyBorder="1" applyAlignment="1">
      <alignment horizontal="center" vertical="center"/>
    </xf>
    <xf numFmtId="165" fontId="12" fillId="19" borderId="1" xfId="0" applyNumberFormat="1" applyFont="1" applyFill="1" applyBorder="1" applyAlignment="1">
      <alignment horizontal="center" vertical="center" wrapText="1"/>
    </xf>
    <xf numFmtId="165" fontId="12" fillId="22" borderId="1" xfId="0" applyNumberFormat="1" applyFont="1" applyFill="1" applyBorder="1" applyAlignment="1">
      <alignment horizontal="center" vertical="center"/>
    </xf>
    <xf numFmtId="165" fontId="12" fillId="2" borderId="1" xfId="0" applyNumberFormat="1" applyFont="1" applyFill="1" applyBorder="1" applyAlignment="1">
      <alignment horizontal="center" vertical="center" wrapText="1"/>
    </xf>
    <xf numFmtId="165" fontId="12" fillId="20" borderId="1" xfId="0" applyNumberFormat="1" applyFont="1" applyFill="1" applyBorder="1" applyAlignment="1">
      <alignment horizontal="left" vertical="center"/>
    </xf>
    <xf numFmtId="0" fontId="11" fillId="0" borderId="11" xfId="3" applyBorder="1" applyAlignment="1">
      <alignment horizontal="center"/>
    </xf>
    <xf numFmtId="0" fontId="5" fillId="0" borderId="11" xfId="3" applyFont="1" applyBorder="1" applyAlignment="1">
      <alignment horizontal="center"/>
    </xf>
    <xf numFmtId="0" fontId="11" fillId="0" borderId="5" xfId="3" applyBorder="1" applyAlignment="1">
      <alignment horizontal="center"/>
    </xf>
    <xf numFmtId="0" fontId="11" fillId="0" borderId="0" xfId="3" applyAlignment="1">
      <alignment horizontal="center"/>
    </xf>
    <xf numFmtId="0" fontId="0" fillId="0" borderId="1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Alignment="1">
      <alignment horizontal="center"/>
    </xf>
    <xf numFmtId="0" fontId="4" fillId="0" borderId="11" xfId="3" applyFont="1" applyBorder="1" applyAlignment="1">
      <alignment horizontal="center"/>
    </xf>
    <xf numFmtId="165" fontId="12" fillId="27" borderId="1" xfId="0" applyNumberFormat="1" applyFont="1" applyFill="1" applyBorder="1" applyAlignment="1">
      <alignment horizontal="center" vertical="center"/>
    </xf>
    <xf numFmtId="165" fontId="0" fillId="27" borderId="1" xfId="0" applyNumberFormat="1" applyFont="1" applyFill="1" applyBorder="1" applyAlignment="1">
      <alignment horizontal="center" vertical="center" wrapText="1"/>
    </xf>
    <xf numFmtId="0" fontId="3" fillId="0" borderId="0" xfId="3" applyFont="1" applyBorder="1"/>
    <xf numFmtId="17" fontId="0" fillId="0" borderId="0" xfId="0" applyNumberFormat="1"/>
    <xf numFmtId="0" fontId="28" fillId="21" borderId="0" xfId="0" applyFont="1" applyFill="1" applyBorder="1"/>
    <xf numFmtId="0" fontId="2" fillId="18" borderId="1" xfId="0" applyFont="1" applyFill="1" applyBorder="1" applyAlignment="1">
      <alignment horizontal="center" vertical="center" wrapText="1"/>
    </xf>
    <xf numFmtId="0" fontId="19" fillId="0" borderId="1" xfId="2" applyBorder="1" applyProtection="1"/>
    <xf numFmtId="0" fontId="1" fillId="18" borderId="1" xfId="0" applyFont="1" applyFill="1" applyBorder="1" applyAlignment="1">
      <alignment horizontal="center" vertical="center" wrapText="1"/>
    </xf>
    <xf numFmtId="0" fontId="12" fillId="14" borderId="1" xfId="0" applyFont="1" applyFill="1" applyBorder="1" applyAlignment="1">
      <alignment horizontal="center" vertical="center"/>
    </xf>
    <xf numFmtId="0" fontId="12" fillId="37" borderId="1" xfId="0" applyFont="1" applyFill="1" applyBorder="1" applyAlignment="1">
      <alignment horizontal="center" vertical="center" wrapText="1"/>
    </xf>
    <xf numFmtId="0" fontId="12" fillId="38" borderId="1" xfId="0" applyFont="1" applyFill="1" applyBorder="1" applyAlignment="1">
      <alignment horizontal="center" vertical="center" wrapText="1"/>
    </xf>
    <xf numFmtId="0" fontId="12" fillId="39" borderId="1" xfId="0" applyFont="1" applyFill="1" applyBorder="1" applyAlignment="1">
      <alignment horizontal="center" vertical="center" wrapText="1"/>
    </xf>
    <xf numFmtId="171" fontId="12" fillId="38" borderId="1" xfId="0" applyNumberFormat="1" applyFont="1" applyFill="1" applyBorder="1" applyAlignment="1">
      <alignment horizontal="center" vertical="center" wrapText="1"/>
    </xf>
    <xf numFmtId="0" fontId="12" fillId="40" borderId="1" xfId="0" applyFont="1" applyFill="1" applyBorder="1" applyAlignment="1">
      <alignment horizontal="center" vertical="center" wrapText="1"/>
    </xf>
    <xf numFmtId="0" fontId="0" fillId="23" borderId="0" xfId="0" applyFill="1"/>
    <xf numFmtId="0" fontId="0" fillId="0" borderId="0" xfId="0" applyFill="1"/>
    <xf numFmtId="14" fontId="17" fillId="4" borderId="2" xfId="1" applyNumberFormat="1" applyFont="1" applyFill="1" applyBorder="1" applyAlignment="1" applyProtection="1">
      <alignment horizontal="center" vertical="center" wrapText="1"/>
    </xf>
    <xf numFmtId="14" fontId="18" fillId="0" borderId="3" xfId="0" applyNumberFormat="1" applyFont="1" applyBorder="1" applyAlignment="1">
      <alignment horizontal="center" vertical="center" wrapText="1"/>
    </xf>
    <xf numFmtId="14" fontId="0" fillId="0" borderId="0" xfId="0" applyNumberFormat="1"/>
    <xf numFmtId="8" fontId="12" fillId="20" borderId="1" xfId="0" applyNumberFormat="1" applyFont="1" applyFill="1" applyBorder="1" applyAlignment="1">
      <alignment horizontal="center" vertical="center" wrapText="1"/>
    </xf>
    <xf numFmtId="0" fontId="19" fillId="18" borderId="1" xfId="2" applyFill="1" applyBorder="1" applyAlignment="1" applyProtection="1">
      <alignment horizontal="center" vertical="center" wrapText="1"/>
    </xf>
    <xf numFmtId="0" fontId="0" fillId="21" borderId="0" xfId="0" applyFill="1" applyBorder="1" applyAlignment="1">
      <alignment vertical="top" wrapText="1"/>
    </xf>
    <xf numFmtId="165" fontId="42" fillId="20" borderId="1" xfId="0" applyNumberFormat="1" applyFont="1" applyFill="1" applyBorder="1" applyAlignment="1">
      <alignment horizontal="center" vertical="center" wrapText="1"/>
    </xf>
    <xf numFmtId="0" fontId="12" fillId="21" borderId="1" xfId="0" applyFont="1" applyFill="1" applyBorder="1" applyAlignment="1">
      <alignment horizontal="center" vertical="center"/>
    </xf>
    <xf numFmtId="0" fontId="44" fillId="36" borderId="1" xfId="5" applyFont="1" applyFill="1" applyBorder="1" applyAlignment="1" applyProtection="1">
      <alignment horizontal="left" vertical="center"/>
    </xf>
    <xf numFmtId="0" fontId="44" fillId="36" borderId="1" xfId="5" applyFont="1" applyFill="1" applyBorder="1" applyAlignment="1" applyProtection="1">
      <alignment horizontal="center" vertical="center" wrapText="1"/>
    </xf>
    <xf numFmtId="0" fontId="44" fillId="36" borderId="1" xfId="5" applyFont="1" applyFill="1" applyBorder="1" applyAlignment="1" applyProtection="1">
      <alignment horizontal="center" vertical="center"/>
    </xf>
    <xf numFmtId="0" fontId="44" fillId="36" borderId="23" xfId="5" applyFont="1" applyFill="1" applyBorder="1" applyAlignment="1" applyProtection="1">
      <alignment horizontal="center" vertical="center"/>
    </xf>
    <xf numFmtId="0" fontId="43" fillId="0" borderId="0" xfId="5"/>
    <xf numFmtId="0" fontId="44" fillId="36" borderId="1" xfId="5" applyFont="1" applyFill="1" applyBorder="1" applyAlignment="1" applyProtection="1">
      <alignment vertical="center"/>
    </xf>
    <xf numFmtId="0" fontId="43" fillId="0" borderId="1" xfId="5" applyBorder="1" applyAlignment="1" applyProtection="1">
      <alignment vertical="center"/>
    </xf>
    <xf numFmtId="0" fontId="43" fillId="23" borderId="23" xfId="5" applyFill="1" applyBorder="1" applyAlignment="1" applyProtection="1">
      <alignment vertical="center"/>
      <protection locked="0"/>
    </xf>
    <xf numFmtId="0" fontId="43" fillId="23" borderId="1" xfId="5" applyFill="1" applyBorder="1" applyAlignment="1" applyProtection="1">
      <alignment vertical="center"/>
      <protection locked="0"/>
    </xf>
    <xf numFmtId="0" fontId="43" fillId="0" borderId="0" xfId="5" applyAlignment="1">
      <alignment horizontal="center"/>
    </xf>
    <xf numFmtId="0" fontId="39" fillId="0" borderId="10" xfId="3" applyFont="1" applyBorder="1" applyAlignment="1">
      <alignment horizontal="center"/>
    </xf>
    <xf numFmtId="0" fontId="39" fillId="0" borderId="9" xfId="3" applyFont="1" applyBorder="1" applyAlignment="1">
      <alignment horizontal="center"/>
    </xf>
    <xf numFmtId="0" fontId="39" fillId="0" borderId="8" xfId="3" applyFont="1" applyBorder="1" applyAlignment="1">
      <alignment horizontal="center"/>
    </xf>
    <xf numFmtId="0" fontId="35" fillId="17" borderId="7" xfId="0" applyFont="1" applyFill="1" applyBorder="1" applyAlignment="1">
      <alignment horizontal="center" vertical="center"/>
    </xf>
    <xf numFmtId="0" fontId="35" fillId="17" borderId="6" xfId="0" applyFont="1" applyFill="1" applyBorder="1" applyAlignment="1">
      <alignment horizontal="center" vertical="center"/>
    </xf>
    <xf numFmtId="0" fontId="35" fillId="17" borderId="5" xfId="0" applyFont="1" applyFill="1" applyBorder="1" applyAlignment="1">
      <alignment horizontal="center" vertical="center"/>
    </xf>
    <xf numFmtId="0" fontId="33" fillId="17" borderId="4" xfId="0" applyFont="1" applyFill="1" applyBorder="1" applyAlignment="1">
      <alignment horizontal="left" vertical="center"/>
    </xf>
    <xf numFmtId="0" fontId="31" fillId="17" borderId="0" xfId="0" applyFont="1" applyFill="1" applyBorder="1" applyAlignment="1">
      <alignment horizontal="center" wrapText="1"/>
    </xf>
    <xf numFmtId="0" fontId="36" fillId="17" borderId="10" xfId="0" applyFont="1" applyFill="1" applyBorder="1" applyAlignment="1">
      <alignment horizontal="center"/>
    </xf>
    <xf numFmtId="0" fontId="36" fillId="17" borderId="9" xfId="0" applyFont="1" applyFill="1" applyBorder="1" applyAlignment="1">
      <alignment horizontal="center"/>
    </xf>
    <xf numFmtId="0" fontId="36" fillId="17" borderId="8" xfId="0" applyFont="1" applyFill="1" applyBorder="1" applyAlignment="1">
      <alignment horizontal="center"/>
    </xf>
    <xf numFmtId="0" fontId="6" fillId="17" borderId="13" xfId="4" applyFill="1" applyBorder="1" applyAlignment="1">
      <alignment horizontal="center"/>
    </xf>
    <xf numFmtId="0" fontId="6" fillId="17" borderId="14" xfId="4" applyFill="1" applyBorder="1" applyAlignment="1">
      <alignment horizontal="center"/>
    </xf>
    <xf numFmtId="0" fontId="6" fillId="17" borderId="15" xfId="4" applyFill="1" applyBorder="1" applyAlignment="1">
      <alignment horizontal="center"/>
    </xf>
    <xf numFmtId="0" fontId="6" fillId="21" borderId="16" xfId="4" applyFill="1" applyBorder="1" applyAlignment="1">
      <alignment horizontal="left" vertical="center"/>
    </xf>
    <xf numFmtId="0" fontId="6" fillId="21" borderId="1" xfId="4" applyFill="1" applyBorder="1" applyAlignment="1">
      <alignment horizontal="left" vertical="center"/>
    </xf>
    <xf numFmtId="0" fontId="6" fillId="21" borderId="17" xfId="4" applyFill="1" applyBorder="1" applyAlignment="1">
      <alignment horizontal="left" vertical="center"/>
    </xf>
    <xf numFmtId="0" fontId="6" fillId="21" borderId="18" xfId="4" applyFill="1" applyBorder="1" applyAlignment="1">
      <alignment horizontal="left" vertical="center"/>
    </xf>
    <xf numFmtId="0" fontId="6" fillId="21" borderId="19" xfId="4" applyFill="1" applyBorder="1" applyAlignment="1">
      <alignment horizontal="left" vertical="center"/>
    </xf>
    <xf numFmtId="0" fontId="6" fillId="21" borderId="20" xfId="4" applyFill="1" applyBorder="1" applyAlignment="1">
      <alignment horizontal="left" vertical="center"/>
    </xf>
  </cellXfs>
  <cellStyles count="6">
    <cellStyle name="Lien hypertexte" xfId="2" builtinId="8"/>
    <cellStyle name="Normal" xfId="0" builtinId="0"/>
    <cellStyle name="Normal 2" xfId="4"/>
    <cellStyle name="Normal 2 2" xfId="5"/>
    <cellStyle name="Normal 35" xfId="3"/>
    <cellStyle name="Texte explicatif" xfId="1" builtinId="53"/>
  </cellStyles>
  <dxfs count="65">
    <dxf>
      <fill>
        <patternFill patternType="solid">
          <fgColor indexed="64"/>
          <bgColor rgb="FFFFFF00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</border>
      <protection locked="0" hidden="0"/>
    </dxf>
    <dxf>
      <fill>
        <patternFill patternType="solid">
          <fgColor indexed="64"/>
          <bgColor rgb="FFFFFF00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alignment horizontal="general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indexed="64"/>
          <bgColor theme="7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indexed="64"/>
          <bgColor theme="7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indexed="64"/>
          <bgColor theme="7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1" hidden="0"/>
    </dxf>
    <dxf>
      <protection locked="1" hidden="0"/>
    </dxf>
    <dxf>
      <border outline="0">
        <right style="thin">
          <color auto="1"/>
        </righ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>
          <bgColor rgb="FFFFF2CC"/>
        </patternFill>
      </fill>
    </dxf>
    <dxf>
      <fill>
        <patternFill>
          <bgColor rgb="FFFFF2CC"/>
        </patternFill>
      </fill>
    </dxf>
    <dxf>
      <fill>
        <patternFill>
          <bgColor rgb="FFFFF2CC"/>
        </patternFill>
      </fill>
    </dxf>
    <dxf>
      <fill>
        <patternFill>
          <bgColor rgb="FFFFF2CC"/>
        </patternFill>
      </fill>
    </dxf>
    <dxf>
      <fill>
        <patternFill>
          <bgColor rgb="FFFFF2CC"/>
        </patternFill>
      </fill>
    </dxf>
    <dxf>
      <fill>
        <patternFill>
          <bgColor rgb="FFFFF2CC"/>
        </patternFill>
      </fill>
    </dxf>
    <dxf>
      <fill>
        <patternFill>
          <bgColor rgb="FFFFF2CC"/>
        </patternFill>
      </fill>
    </dxf>
    <dxf>
      <fill>
        <patternFill>
          <bgColor rgb="FFFFF2CC"/>
        </patternFill>
      </fill>
    </dxf>
    <dxf>
      <fill>
        <patternFill>
          <bgColor rgb="FFFFF2CC"/>
        </patternFill>
      </fill>
    </dxf>
    <dxf>
      <fill>
        <patternFill>
          <bgColor rgb="FFFFF2CC"/>
        </patternFill>
      </fill>
    </dxf>
    <dxf>
      <fill>
        <patternFill>
          <bgColor rgb="FFFFF2CC"/>
        </patternFill>
      </fill>
    </dxf>
    <dxf>
      <fill>
        <patternFill>
          <bgColor rgb="FFFFF2CC"/>
        </patternFill>
      </fill>
    </dxf>
    <dxf>
      <fill>
        <patternFill>
          <bgColor rgb="FFFFF2CC"/>
        </patternFill>
      </fill>
    </dxf>
    <dxf>
      <fill>
        <patternFill>
          <bgColor rgb="FFFFF2CC"/>
        </patternFill>
      </fill>
    </dxf>
    <dxf>
      <fill>
        <patternFill>
          <bgColor rgb="FFFFF2CC"/>
        </patternFill>
      </fill>
    </dxf>
    <dxf>
      <fill>
        <patternFill>
          <bgColor rgb="FFFFF2CC"/>
        </patternFill>
      </fill>
    </dxf>
    <dxf>
      <fill>
        <patternFill>
          <bgColor rgb="FFFFF2CC"/>
        </patternFill>
      </fill>
    </dxf>
    <dxf>
      <fill>
        <patternFill>
          <bgColor rgb="FFFFF2CC"/>
        </patternFill>
      </fill>
    </dxf>
    <dxf>
      <fill>
        <patternFill>
          <bgColor rgb="FFFFF2CC"/>
        </patternFill>
      </fill>
    </dxf>
    <dxf>
      <fill>
        <patternFill>
          <bgColor rgb="FFFFF2CC"/>
        </patternFill>
      </fill>
    </dxf>
    <dxf>
      <fill>
        <patternFill>
          <bgColor rgb="FFFFF2CC"/>
        </patternFill>
      </fill>
    </dxf>
    <dxf>
      <fill>
        <patternFill>
          <bgColor rgb="FFFFF2CC"/>
        </patternFill>
      </fill>
    </dxf>
    <dxf>
      <fill>
        <patternFill>
          <bgColor rgb="FFFFF2CC"/>
        </patternFill>
      </fill>
    </dxf>
    <dxf>
      <fill>
        <patternFill>
          <bgColor rgb="FFFFF2CC"/>
        </patternFill>
      </fill>
    </dxf>
    <dxf>
      <fill>
        <patternFill>
          <bgColor rgb="FFFFF2CC"/>
        </patternFill>
      </fill>
    </dxf>
    <dxf>
      <fill>
        <patternFill>
          <bgColor rgb="FFFFF2CC"/>
        </patternFill>
      </fill>
    </dxf>
    <dxf>
      <fill>
        <patternFill>
          <bgColor rgb="FFFFF2CC"/>
        </patternFill>
      </fill>
    </dxf>
    <dxf>
      <fill>
        <patternFill>
          <bgColor rgb="FFFFF2CC"/>
        </patternFill>
      </fill>
    </dxf>
    <dxf>
      <fill>
        <patternFill>
          <bgColor rgb="FFFFF2CC"/>
        </patternFill>
      </fill>
    </dxf>
    <dxf>
      <fill>
        <patternFill>
          <bgColor rgb="FFFFF2CC"/>
        </patternFill>
      </fill>
    </dxf>
    <dxf>
      <fill>
        <patternFill>
          <bgColor rgb="FFFFF2CC"/>
        </patternFill>
      </fill>
    </dxf>
    <dxf>
      <fill>
        <patternFill>
          <bgColor rgb="FFFFF2CC"/>
        </patternFill>
      </fill>
    </dxf>
    <dxf>
      <fill>
        <patternFill>
          <bgColor rgb="FFFFF2CC"/>
        </patternFill>
      </fill>
    </dxf>
    <dxf>
      <fill>
        <patternFill>
          <bgColor rgb="FFFFF2CC"/>
        </patternFill>
      </fill>
    </dxf>
    <dxf>
      <fill>
        <patternFill>
          <bgColor rgb="FFFFF2CC"/>
        </patternFill>
      </fill>
    </dxf>
    <dxf>
      <fill>
        <patternFill>
          <bgColor rgb="FFFFF2CC"/>
        </patternFill>
      </fill>
    </dxf>
    <dxf>
      <fill>
        <patternFill>
          <bgColor rgb="FFFFF2CC"/>
        </patternFill>
      </fill>
    </dxf>
    <dxf>
      <fill>
        <patternFill>
          <bgColor rgb="FFFFF2CC"/>
        </patternFill>
      </fill>
    </dxf>
    <dxf>
      <fill>
        <patternFill>
          <bgColor rgb="FFFFF2CC"/>
        </patternFill>
      </fill>
    </dxf>
    <dxf>
      <fill>
        <patternFill>
          <bgColor rgb="FFFFF2CC"/>
        </patternFill>
      </fill>
    </dxf>
    <dxf>
      <fill>
        <patternFill>
          <bgColor rgb="FFFFF2CC"/>
        </patternFill>
      </fill>
    </dxf>
    <dxf>
      <fill>
        <patternFill>
          <bgColor rgb="FFFFF2CC"/>
        </patternFill>
      </fill>
    </dxf>
    <dxf>
      <fill>
        <patternFill>
          <bgColor rgb="FFFFF2CC"/>
        </patternFill>
      </fill>
    </dxf>
    <dxf>
      <fill>
        <patternFill>
          <bgColor rgb="FFFFF2CC"/>
        </patternFill>
      </fill>
    </dxf>
    <dxf>
      <fill>
        <patternFill>
          <bgColor rgb="FFFFF2CC"/>
        </patternFill>
      </fill>
    </dxf>
    <dxf>
      <fill>
        <patternFill>
          <bgColor rgb="FFFFF2CC"/>
        </patternFill>
      </fill>
    </dxf>
    <dxf>
      <fill>
        <patternFill>
          <bgColor rgb="FFFFF2CC"/>
        </patternFill>
      </fill>
    </dxf>
    <dxf>
      <fill>
        <patternFill>
          <bgColor rgb="FFFFF2CC"/>
        </patternFill>
      </fill>
    </dxf>
    <dxf>
      <fill>
        <patternFill>
          <bgColor rgb="FFFFF2CC"/>
        </patternFill>
      </fill>
    </dxf>
    <dxf>
      <fill>
        <patternFill>
          <bgColor rgb="FFFFF2CC"/>
        </patternFill>
      </fill>
    </dxf>
    <dxf>
      <fill>
        <patternFill>
          <bgColor rgb="FFFFF2CC"/>
        </patternFill>
      </fill>
    </dxf>
    <dxf>
      <fill>
        <patternFill>
          <bgColor rgb="FFFFF2CC"/>
        </patternFill>
      </fill>
    </dxf>
    <dxf>
      <fill>
        <patternFill>
          <bgColor rgb="FFFFF2CC"/>
        </patternFill>
      </fill>
    </dxf>
    <dxf>
      <fill>
        <patternFill>
          <bgColor rgb="FFFFF2CC"/>
        </patternFill>
      </fill>
    </dxf>
    <dxf>
      <fill>
        <patternFill>
          <bgColor rgb="FFFFF2CC"/>
        </patternFill>
      </fill>
    </dxf>
  </dxfs>
  <tableStyles count="0" defaultTableStyle="TableStyleMedium2" defaultPivotStyle="PivotStyleLight16"/>
  <colors>
    <mruColors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27000</xdr:colOff>
      <xdr:row>0</xdr:row>
      <xdr:rowOff>0</xdr:rowOff>
    </xdr:from>
    <xdr:ext cx="9794417" cy="8636400"/>
    <xdr:sp macro="" textlink="">
      <xdr:nvSpPr>
        <xdr:cNvPr id="2" name="CustomShape 1" hidden="1"/>
        <xdr:cNvSpPr/>
      </xdr:nvSpPr>
      <xdr:spPr>
        <a:xfrm>
          <a:off x="27000" y="0"/>
          <a:ext cx="9794417" cy="8636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oneCellAnchor>
  <xdr:oneCellAnchor>
    <xdr:from>
      <xdr:col>0</xdr:col>
      <xdr:colOff>27000</xdr:colOff>
      <xdr:row>0</xdr:row>
      <xdr:rowOff>0</xdr:rowOff>
    </xdr:from>
    <xdr:ext cx="9794417" cy="8636400"/>
    <xdr:sp macro="" textlink="">
      <xdr:nvSpPr>
        <xdr:cNvPr id="3" name="CustomShape 1" hidden="1"/>
        <xdr:cNvSpPr/>
      </xdr:nvSpPr>
      <xdr:spPr>
        <a:xfrm>
          <a:off x="27000" y="0"/>
          <a:ext cx="9794417" cy="8636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oneCellAnchor>
  <xdr:oneCellAnchor>
    <xdr:from>
      <xdr:col>0</xdr:col>
      <xdr:colOff>27000</xdr:colOff>
      <xdr:row>0</xdr:row>
      <xdr:rowOff>0</xdr:rowOff>
    </xdr:from>
    <xdr:ext cx="9794417" cy="8636400"/>
    <xdr:sp macro="" textlink="">
      <xdr:nvSpPr>
        <xdr:cNvPr id="4" name="CustomShape 1" hidden="1"/>
        <xdr:cNvSpPr/>
      </xdr:nvSpPr>
      <xdr:spPr>
        <a:xfrm>
          <a:off x="27000" y="0"/>
          <a:ext cx="9794417" cy="8636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oneCellAnchor>
  <xdr:oneCellAnchor>
    <xdr:from>
      <xdr:col>0</xdr:col>
      <xdr:colOff>27000</xdr:colOff>
      <xdr:row>0</xdr:row>
      <xdr:rowOff>0</xdr:rowOff>
    </xdr:from>
    <xdr:ext cx="9794417" cy="8636400"/>
    <xdr:sp macro="" textlink="">
      <xdr:nvSpPr>
        <xdr:cNvPr id="5" name="CustomShape 1" hidden="1"/>
        <xdr:cNvSpPr/>
      </xdr:nvSpPr>
      <xdr:spPr>
        <a:xfrm>
          <a:off x="27000" y="0"/>
          <a:ext cx="9794417" cy="8636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oneCellAnchor>
  <xdr:oneCellAnchor>
    <xdr:from>
      <xdr:col>0</xdr:col>
      <xdr:colOff>0</xdr:colOff>
      <xdr:row>0</xdr:row>
      <xdr:rowOff>0</xdr:rowOff>
    </xdr:from>
    <xdr:ext cx="10323960" cy="8050354"/>
    <xdr:sp macro="" textlink="">
      <xdr:nvSpPr>
        <xdr:cNvPr id="6" name="CustomShape 1" hidden="1"/>
        <xdr:cNvSpPr/>
      </xdr:nvSpPr>
      <xdr:spPr>
        <a:xfrm>
          <a:off x="0" y="0"/>
          <a:ext cx="10323960" cy="805035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oneCellAnchor>
  <xdr:oneCellAnchor>
    <xdr:from>
      <xdr:col>0</xdr:col>
      <xdr:colOff>0</xdr:colOff>
      <xdr:row>0</xdr:row>
      <xdr:rowOff>0</xdr:rowOff>
    </xdr:from>
    <xdr:ext cx="10323960" cy="8050354"/>
    <xdr:sp macro="" textlink="">
      <xdr:nvSpPr>
        <xdr:cNvPr id="7" name="CustomShape 1" hidden="1"/>
        <xdr:cNvSpPr/>
      </xdr:nvSpPr>
      <xdr:spPr>
        <a:xfrm>
          <a:off x="0" y="0"/>
          <a:ext cx="10323960" cy="805035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oneCellAnchor>
  <xdr:oneCellAnchor>
    <xdr:from>
      <xdr:col>0</xdr:col>
      <xdr:colOff>0</xdr:colOff>
      <xdr:row>0</xdr:row>
      <xdr:rowOff>0</xdr:rowOff>
    </xdr:from>
    <xdr:ext cx="10323960" cy="8050354"/>
    <xdr:sp macro="" textlink="">
      <xdr:nvSpPr>
        <xdr:cNvPr id="8" name="CustomShape 1" hidden="1"/>
        <xdr:cNvSpPr/>
      </xdr:nvSpPr>
      <xdr:spPr>
        <a:xfrm>
          <a:off x="0" y="0"/>
          <a:ext cx="10323960" cy="805035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oneCellAnchor>
  <xdr:oneCellAnchor>
    <xdr:from>
      <xdr:col>0</xdr:col>
      <xdr:colOff>0</xdr:colOff>
      <xdr:row>0</xdr:row>
      <xdr:rowOff>0</xdr:rowOff>
    </xdr:from>
    <xdr:ext cx="10323960" cy="8050354"/>
    <xdr:sp macro="" textlink="">
      <xdr:nvSpPr>
        <xdr:cNvPr id="9" name="CustomShape 1" hidden="1"/>
        <xdr:cNvSpPr/>
      </xdr:nvSpPr>
      <xdr:spPr>
        <a:xfrm>
          <a:off x="0" y="0"/>
          <a:ext cx="10323960" cy="805035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oneCellAnchor>
  <xdr:oneCellAnchor>
    <xdr:from>
      <xdr:col>0</xdr:col>
      <xdr:colOff>0</xdr:colOff>
      <xdr:row>0</xdr:row>
      <xdr:rowOff>0</xdr:rowOff>
    </xdr:from>
    <xdr:ext cx="9814217" cy="8991000"/>
    <xdr:sp macro="" textlink="">
      <xdr:nvSpPr>
        <xdr:cNvPr id="10" name="CustomShape 1" hidden="1"/>
        <xdr:cNvSpPr/>
      </xdr:nvSpPr>
      <xdr:spPr>
        <a:xfrm>
          <a:off x="0" y="0"/>
          <a:ext cx="9814217" cy="899100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oneCellAnchor>
  <xdr:oneCellAnchor>
    <xdr:from>
      <xdr:col>0</xdr:col>
      <xdr:colOff>0</xdr:colOff>
      <xdr:row>0</xdr:row>
      <xdr:rowOff>0</xdr:rowOff>
    </xdr:from>
    <xdr:ext cx="9814217" cy="8991000"/>
    <xdr:sp macro="" textlink="">
      <xdr:nvSpPr>
        <xdr:cNvPr id="11" name="CustomShape 1" hidden="1"/>
        <xdr:cNvSpPr/>
      </xdr:nvSpPr>
      <xdr:spPr>
        <a:xfrm>
          <a:off x="0" y="0"/>
          <a:ext cx="9814217" cy="899100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oneCellAnchor>
  <xdr:oneCellAnchor>
    <xdr:from>
      <xdr:col>0</xdr:col>
      <xdr:colOff>0</xdr:colOff>
      <xdr:row>0</xdr:row>
      <xdr:rowOff>0</xdr:rowOff>
    </xdr:from>
    <xdr:ext cx="9814577" cy="8614080"/>
    <xdr:sp macro="" textlink="">
      <xdr:nvSpPr>
        <xdr:cNvPr id="12" name="CustomShape 1" hidden="1"/>
        <xdr:cNvSpPr/>
      </xdr:nvSpPr>
      <xdr:spPr>
        <a:xfrm>
          <a:off x="0" y="0"/>
          <a:ext cx="9814577" cy="8614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oneCellAnchor>
  <xdr:oneCellAnchor>
    <xdr:from>
      <xdr:col>0</xdr:col>
      <xdr:colOff>0</xdr:colOff>
      <xdr:row>0</xdr:row>
      <xdr:rowOff>0</xdr:rowOff>
    </xdr:from>
    <xdr:ext cx="9814577" cy="8614080"/>
    <xdr:sp macro="" textlink="">
      <xdr:nvSpPr>
        <xdr:cNvPr id="13" name="CustomShape 1" hidden="1"/>
        <xdr:cNvSpPr/>
      </xdr:nvSpPr>
      <xdr:spPr>
        <a:xfrm>
          <a:off x="0" y="0"/>
          <a:ext cx="9814577" cy="8614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oneCellAnchor>
  <xdr:oneCellAnchor>
    <xdr:from>
      <xdr:col>19</xdr:col>
      <xdr:colOff>456480</xdr:colOff>
      <xdr:row>478</xdr:row>
      <xdr:rowOff>75240</xdr:rowOff>
    </xdr:from>
    <xdr:ext cx="0" cy="158760"/>
    <xdr:sp macro="" textlink="">
      <xdr:nvSpPr>
        <xdr:cNvPr id="14" name="CustomShape 1"/>
        <xdr:cNvSpPr/>
      </xdr:nvSpPr>
      <xdr:spPr>
        <a:xfrm>
          <a:off x="12153180" y="38251440"/>
          <a:ext cx="0" cy="1587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583920</xdr:colOff>
      <xdr:row>1</xdr:row>
      <xdr:rowOff>80280</xdr:rowOff>
    </xdr:from>
    <xdr:ext cx="2107260" cy="711480"/>
    <xdr:pic>
      <xdr:nvPicPr>
        <xdr:cNvPr id="2" name="Image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4332960" y="263160"/>
          <a:ext cx="2107260" cy="711480"/>
        </a:xfrm>
        <a:prstGeom prst="rect">
          <a:avLst/>
        </a:prstGeom>
        <a:ln>
          <a:noFill/>
        </a:ln>
      </xdr:spPr>
    </xdr:pic>
    <xdr:clientData/>
  </xdr:oneCellAnchor>
  <xdr:oneCellAnchor>
    <xdr:from>
      <xdr:col>0</xdr:col>
      <xdr:colOff>91440</xdr:colOff>
      <xdr:row>1</xdr:row>
      <xdr:rowOff>45720</xdr:rowOff>
    </xdr:from>
    <xdr:ext cx="1497540" cy="711480"/>
    <xdr:pic>
      <xdr:nvPicPr>
        <xdr:cNvPr id="3" name="Image 21"/>
        <xdr:cNvPicPr/>
      </xdr:nvPicPr>
      <xdr:blipFill>
        <a:blip xmlns:r="http://schemas.openxmlformats.org/officeDocument/2006/relationships" r:embed="rId2"/>
        <a:stretch/>
      </xdr:blipFill>
      <xdr:spPr>
        <a:xfrm>
          <a:off x="91440" y="228600"/>
          <a:ext cx="1497540" cy="711480"/>
        </a:xfrm>
        <a:prstGeom prst="rect">
          <a:avLst/>
        </a:prstGeom>
        <a:ln>
          <a:noFill/>
        </a:ln>
      </xdr:spPr>
    </xdr:pic>
    <xdr:clientData/>
  </xdr:oneCellAnchor>
  <xdr:oneCellAnchor>
    <xdr:from>
      <xdr:col>0</xdr:col>
      <xdr:colOff>68760</xdr:colOff>
      <xdr:row>18</xdr:row>
      <xdr:rowOff>30600</xdr:rowOff>
    </xdr:from>
    <xdr:ext cx="189360" cy="170280"/>
    <xdr:sp macro="" textlink="">
      <xdr:nvSpPr>
        <xdr:cNvPr id="4" name="CustomShape 1"/>
        <xdr:cNvSpPr/>
      </xdr:nvSpPr>
      <xdr:spPr>
        <a:xfrm>
          <a:off x="68760" y="2590920"/>
          <a:ext cx="189360" cy="170280"/>
        </a:xfrm>
        <a:prstGeom prst="rect">
          <a:avLst/>
        </a:prstGeom>
        <a:noFill/>
        <a:ln w="12600">
          <a:solidFill>
            <a:schemeClr val="tx1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oneCellAnchor>
  <xdr:oneCellAnchor>
    <xdr:from>
      <xdr:col>0</xdr:col>
      <xdr:colOff>68760</xdr:colOff>
      <xdr:row>25</xdr:row>
      <xdr:rowOff>0</xdr:rowOff>
    </xdr:from>
    <xdr:ext cx="189360" cy="170280"/>
    <xdr:sp macro="" textlink="">
      <xdr:nvSpPr>
        <xdr:cNvPr id="5" name="CustomShape 1"/>
        <xdr:cNvSpPr/>
      </xdr:nvSpPr>
      <xdr:spPr>
        <a:xfrm>
          <a:off x="68760" y="4236840"/>
          <a:ext cx="189360" cy="170280"/>
        </a:xfrm>
        <a:prstGeom prst="rect">
          <a:avLst/>
        </a:prstGeom>
        <a:noFill/>
        <a:ln w="12600">
          <a:solidFill>
            <a:schemeClr val="tx1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oneCellAnchor>
  <xdr:oneCellAnchor>
    <xdr:from>
      <xdr:col>0</xdr:col>
      <xdr:colOff>53280</xdr:colOff>
      <xdr:row>12</xdr:row>
      <xdr:rowOff>30600</xdr:rowOff>
    </xdr:from>
    <xdr:ext cx="189360" cy="170280"/>
    <xdr:sp macro="" textlink="">
      <xdr:nvSpPr>
        <xdr:cNvPr id="6" name="CustomShape 1"/>
        <xdr:cNvSpPr/>
      </xdr:nvSpPr>
      <xdr:spPr>
        <a:xfrm>
          <a:off x="53280" y="1859400"/>
          <a:ext cx="189360" cy="170280"/>
        </a:xfrm>
        <a:prstGeom prst="rect">
          <a:avLst/>
        </a:prstGeom>
        <a:noFill/>
        <a:ln w="12600">
          <a:solidFill>
            <a:schemeClr val="tx1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oneCellAnchor>
  <xdr:oneCellAnchor>
    <xdr:from>
      <xdr:col>0</xdr:col>
      <xdr:colOff>68760</xdr:colOff>
      <xdr:row>23</xdr:row>
      <xdr:rowOff>9720</xdr:rowOff>
    </xdr:from>
    <xdr:ext cx="189360" cy="162720"/>
    <xdr:sp macro="" textlink="">
      <xdr:nvSpPr>
        <xdr:cNvPr id="7" name="CustomShape 1"/>
        <xdr:cNvSpPr/>
      </xdr:nvSpPr>
      <xdr:spPr>
        <a:xfrm>
          <a:off x="68760" y="3850200"/>
          <a:ext cx="189360" cy="162720"/>
        </a:xfrm>
        <a:prstGeom prst="rect">
          <a:avLst/>
        </a:prstGeom>
        <a:noFill/>
        <a:ln w="12600">
          <a:solidFill>
            <a:schemeClr val="tx1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oneCellAnchor>
  <xdr:oneCellAnchor>
    <xdr:from>
      <xdr:col>0</xdr:col>
      <xdr:colOff>68760</xdr:colOff>
      <xdr:row>14</xdr:row>
      <xdr:rowOff>30600</xdr:rowOff>
    </xdr:from>
    <xdr:ext cx="189360" cy="170280"/>
    <xdr:sp macro="" textlink="">
      <xdr:nvSpPr>
        <xdr:cNvPr id="8" name="CustomShape 1"/>
        <xdr:cNvSpPr/>
      </xdr:nvSpPr>
      <xdr:spPr>
        <a:xfrm>
          <a:off x="68760" y="2225160"/>
          <a:ext cx="189360" cy="170280"/>
        </a:xfrm>
        <a:prstGeom prst="rect">
          <a:avLst/>
        </a:prstGeom>
        <a:noFill/>
        <a:ln w="12600">
          <a:solidFill>
            <a:schemeClr val="tx1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oneCellAnchor>
  <xdr:oneCellAnchor>
    <xdr:from>
      <xdr:col>2</xdr:col>
      <xdr:colOff>10080</xdr:colOff>
      <xdr:row>19</xdr:row>
      <xdr:rowOff>0</xdr:rowOff>
    </xdr:from>
    <xdr:ext cx="189360" cy="170280"/>
    <xdr:sp macro="" textlink="">
      <xdr:nvSpPr>
        <xdr:cNvPr id="9" name="CustomShape 1"/>
        <xdr:cNvSpPr/>
      </xdr:nvSpPr>
      <xdr:spPr>
        <a:xfrm>
          <a:off x="1259760" y="2743920"/>
          <a:ext cx="189360" cy="170280"/>
        </a:xfrm>
        <a:prstGeom prst="rect">
          <a:avLst/>
        </a:prstGeom>
        <a:noFill/>
        <a:ln w="12600">
          <a:solidFill>
            <a:schemeClr val="tx1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oneCellAnchor>
  <xdr:oneCellAnchor>
    <xdr:from>
      <xdr:col>2</xdr:col>
      <xdr:colOff>10080</xdr:colOff>
      <xdr:row>19</xdr:row>
      <xdr:rowOff>720</xdr:rowOff>
    </xdr:from>
    <xdr:ext cx="189360" cy="170280"/>
    <xdr:sp macro="" textlink="">
      <xdr:nvSpPr>
        <xdr:cNvPr id="10" name="CustomShape 1"/>
        <xdr:cNvSpPr/>
      </xdr:nvSpPr>
      <xdr:spPr>
        <a:xfrm>
          <a:off x="1259760" y="2926800"/>
          <a:ext cx="189360" cy="170280"/>
        </a:xfrm>
        <a:prstGeom prst="rect">
          <a:avLst/>
        </a:prstGeom>
        <a:noFill/>
        <a:ln w="12600">
          <a:solidFill>
            <a:schemeClr val="tx1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oneCellAnchor>
  <xdr:oneCellAnchor>
    <xdr:from>
      <xdr:col>2</xdr:col>
      <xdr:colOff>10080</xdr:colOff>
      <xdr:row>21</xdr:row>
      <xdr:rowOff>720</xdr:rowOff>
    </xdr:from>
    <xdr:ext cx="189360" cy="170280"/>
    <xdr:sp macro="" textlink="">
      <xdr:nvSpPr>
        <xdr:cNvPr id="11" name="CustomShape 1"/>
        <xdr:cNvSpPr/>
      </xdr:nvSpPr>
      <xdr:spPr>
        <a:xfrm>
          <a:off x="1259760" y="3475440"/>
          <a:ext cx="189360" cy="170280"/>
        </a:xfrm>
        <a:prstGeom prst="rect">
          <a:avLst/>
        </a:prstGeom>
        <a:noFill/>
        <a:ln w="12600">
          <a:solidFill>
            <a:schemeClr val="tx1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oneCellAnchor>
  <xdr:oneCellAnchor>
    <xdr:from>
      <xdr:col>2</xdr:col>
      <xdr:colOff>10080</xdr:colOff>
      <xdr:row>20</xdr:row>
      <xdr:rowOff>720</xdr:rowOff>
    </xdr:from>
    <xdr:ext cx="189360" cy="170280"/>
    <xdr:sp macro="" textlink="">
      <xdr:nvSpPr>
        <xdr:cNvPr id="12" name="CustomShape 1"/>
        <xdr:cNvSpPr/>
      </xdr:nvSpPr>
      <xdr:spPr>
        <a:xfrm>
          <a:off x="1259760" y="3109680"/>
          <a:ext cx="189360" cy="170280"/>
        </a:xfrm>
        <a:prstGeom prst="rect">
          <a:avLst/>
        </a:prstGeom>
        <a:noFill/>
        <a:ln w="12600">
          <a:solidFill>
            <a:schemeClr val="tx1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oneCellAnchor>
  <xdr:oneCellAnchor>
    <xdr:from>
      <xdr:col>0</xdr:col>
      <xdr:colOff>60840</xdr:colOff>
      <xdr:row>27</xdr:row>
      <xdr:rowOff>23040</xdr:rowOff>
    </xdr:from>
    <xdr:ext cx="189360" cy="170280"/>
    <xdr:sp macro="" textlink="">
      <xdr:nvSpPr>
        <xdr:cNvPr id="13" name="CustomShape 1"/>
        <xdr:cNvSpPr/>
      </xdr:nvSpPr>
      <xdr:spPr>
        <a:xfrm>
          <a:off x="60840" y="4960800"/>
          <a:ext cx="189360" cy="170280"/>
        </a:xfrm>
        <a:prstGeom prst="rect">
          <a:avLst/>
        </a:prstGeom>
        <a:noFill/>
        <a:ln w="12600">
          <a:solidFill>
            <a:schemeClr val="tx1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oneCellAnchor>
  <xdr:oneCellAnchor>
    <xdr:from>
      <xdr:col>0</xdr:col>
      <xdr:colOff>76320</xdr:colOff>
      <xdr:row>25</xdr:row>
      <xdr:rowOff>0</xdr:rowOff>
    </xdr:from>
    <xdr:ext cx="189360" cy="162720"/>
    <xdr:sp macro="" textlink="">
      <xdr:nvSpPr>
        <xdr:cNvPr id="14" name="CustomShape 1"/>
        <xdr:cNvSpPr/>
      </xdr:nvSpPr>
      <xdr:spPr>
        <a:xfrm>
          <a:off x="76320" y="4558680"/>
          <a:ext cx="189360" cy="162720"/>
        </a:xfrm>
        <a:prstGeom prst="rect">
          <a:avLst/>
        </a:prstGeom>
        <a:noFill/>
        <a:ln w="12600">
          <a:solidFill>
            <a:schemeClr val="tx1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oneCellAnchor>
  <xdr:oneCellAnchor>
    <xdr:from>
      <xdr:col>0</xdr:col>
      <xdr:colOff>38160</xdr:colOff>
      <xdr:row>29</xdr:row>
      <xdr:rowOff>23040</xdr:rowOff>
    </xdr:from>
    <xdr:ext cx="189360" cy="170280"/>
    <xdr:sp macro="" textlink="">
      <xdr:nvSpPr>
        <xdr:cNvPr id="15" name="CustomShape 1"/>
        <xdr:cNvSpPr/>
      </xdr:nvSpPr>
      <xdr:spPr>
        <a:xfrm>
          <a:off x="38160" y="5326560"/>
          <a:ext cx="189360" cy="170280"/>
        </a:xfrm>
        <a:prstGeom prst="rect">
          <a:avLst/>
        </a:prstGeom>
        <a:noFill/>
        <a:ln w="12600">
          <a:solidFill>
            <a:schemeClr val="tx1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oneCellAnchor>
  <xdr:oneCellAnchor>
    <xdr:from>
      <xdr:col>0</xdr:col>
      <xdr:colOff>53280</xdr:colOff>
      <xdr:row>33</xdr:row>
      <xdr:rowOff>0</xdr:rowOff>
    </xdr:from>
    <xdr:ext cx="189360" cy="177840"/>
    <xdr:sp macro="" textlink="">
      <xdr:nvSpPr>
        <xdr:cNvPr id="16" name="CustomShape 1"/>
        <xdr:cNvSpPr/>
      </xdr:nvSpPr>
      <xdr:spPr>
        <a:xfrm>
          <a:off x="53280" y="6035040"/>
          <a:ext cx="189360" cy="177840"/>
        </a:xfrm>
        <a:prstGeom prst="rect">
          <a:avLst/>
        </a:prstGeom>
        <a:noFill/>
        <a:ln w="1260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oneCellAnchor>
  <xdr:oneCellAnchor>
    <xdr:from>
      <xdr:col>0</xdr:col>
      <xdr:colOff>53280</xdr:colOff>
      <xdr:row>33</xdr:row>
      <xdr:rowOff>23040</xdr:rowOff>
    </xdr:from>
    <xdr:ext cx="189360" cy="170280"/>
    <xdr:sp macro="" textlink="">
      <xdr:nvSpPr>
        <xdr:cNvPr id="17" name="CustomShape 1"/>
        <xdr:cNvSpPr/>
      </xdr:nvSpPr>
      <xdr:spPr>
        <a:xfrm>
          <a:off x="53280" y="6058080"/>
          <a:ext cx="189360" cy="170280"/>
        </a:xfrm>
        <a:prstGeom prst="rect">
          <a:avLst/>
        </a:prstGeom>
        <a:noFill/>
        <a:ln w="12600">
          <a:solidFill>
            <a:schemeClr val="tx1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oneCellAnchor>
  <xdr:oneCellAnchor>
    <xdr:from>
      <xdr:col>0</xdr:col>
      <xdr:colOff>53280</xdr:colOff>
      <xdr:row>35</xdr:row>
      <xdr:rowOff>23040</xdr:rowOff>
    </xdr:from>
    <xdr:ext cx="189360" cy="170280"/>
    <xdr:sp macro="" textlink="">
      <xdr:nvSpPr>
        <xdr:cNvPr id="18" name="CustomShape 1"/>
        <xdr:cNvSpPr/>
      </xdr:nvSpPr>
      <xdr:spPr>
        <a:xfrm>
          <a:off x="53280" y="6423840"/>
          <a:ext cx="189360" cy="170280"/>
        </a:xfrm>
        <a:prstGeom prst="rect">
          <a:avLst/>
        </a:prstGeom>
        <a:noFill/>
        <a:ln w="12600">
          <a:solidFill>
            <a:schemeClr val="tx1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oneCellAnchor>
  <xdr:oneCellAnchor>
    <xdr:from>
      <xdr:col>0</xdr:col>
      <xdr:colOff>68760</xdr:colOff>
      <xdr:row>41</xdr:row>
      <xdr:rowOff>30600</xdr:rowOff>
    </xdr:from>
    <xdr:ext cx="189360" cy="170280"/>
    <xdr:sp macro="" textlink="">
      <xdr:nvSpPr>
        <xdr:cNvPr id="19" name="CustomShape 1"/>
        <xdr:cNvSpPr/>
      </xdr:nvSpPr>
      <xdr:spPr>
        <a:xfrm>
          <a:off x="68760" y="7528680"/>
          <a:ext cx="189360" cy="170280"/>
        </a:xfrm>
        <a:prstGeom prst="rect">
          <a:avLst/>
        </a:prstGeom>
        <a:noFill/>
        <a:ln w="12600">
          <a:solidFill>
            <a:schemeClr val="tx1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oneCellAnchor>
  <xdr:oneCellAnchor>
    <xdr:from>
      <xdr:col>0</xdr:col>
      <xdr:colOff>68760</xdr:colOff>
      <xdr:row>43</xdr:row>
      <xdr:rowOff>23040</xdr:rowOff>
    </xdr:from>
    <xdr:ext cx="189360" cy="170280"/>
    <xdr:sp macro="" textlink="">
      <xdr:nvSpPr>
        <xdr:cNvPr id="20" name="CustomShape 1"/>
        <xdr:cNvSpPr/>
      </xdr:nvSpPr>
      <xdr:spPr>
        <a:xfrm>
          <a:off x="68760" y="7886880"/>
          <a:ext cx="189360" cy="170280"/>
        </a:xfrm>
        <a:prstGeom prst="rect">
          <a:avLst/>
        </a:prstGeom>
        <a:noFill/>
        <a:ln w="12600">
          <a:solidFill>
            <a:schemeClr val="tx1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oneCellAnchor>
  <xdr:oneCellAnchor>
    <xdr:from>
      <xdr:col>0</xdr:col>
      <xdr:colOff>53280</xdr:colOff>
      <xdr:row>45</xdr:row>
      <xdr:rowOff>7560</xdr:rowOff>
    </xdr:from>
    <xdr:ext cx="189360" cy="170280"/>
    <xdr:sp macro="" textlink="">
      <xdr:nvSpPr>
        <xdr:cNvPr id="21" name="CustomShape 1"/>
        <xdr:cNvSpPr/>
      </xdr:nvSpPr>
      <xdr:spPr>
        <a:xfrm>
          <a:off x="53280" y="8237160"/>
          <a:ext cx="189360" cy="170280"/>
        </a:xfrm>
        <a:prstGeom prst="rect">
          <a:avLst/>
        </a:prstGeom>
        <a:noFill/>
        <a:ln w="12600">
          <a:solidFill>
            <a:schemeClr val="tx1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oneCellAnchor>
  <xdr:oneCellAnchor>
    <xdr:from>
      <xdr:col>0</xdr:col>
      <xdr:colOff>60840</xdr:colOff>
      <xdr:row>47</xdr:row>
      <xdr:rowOff>15120</xdr:rowOff>
    </xdr:from>
    <xdr:ext cx="189360" cy="170280"/>
    <xdr:sp macro="" textlink="">
      <xdr:nvSpPr>
        <xdr:cNvPr id="22" name="CustomShape 1"/>
        <xdr:cNvSpPr/>
      </xdr:nvSpPr>
      <xdr:spPr>
        <a:xfrm>
          <a:off x="60840" y="8610480"/>
          <a:ext cx="189360" cy="170280"/>
        </a:xfrm>
        <a:prstGeom prst="rect">
          <a:avLst/>
        </a:prstGeom>
        <a:noFill/>
        <a:ln w="12600">
          <a:solidFill>
            <a:schemeClr val="tx1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oneCellAnchor>
  <xdr:oneCellAnchor>
    <xdr:from>
      <xdr:col>2</xdr:col>
      <xdr:colOff>10080</xdr:colOff>
      <xdr:row>21</xdr:row>
      <xdr:rowOff>0</xdr:rowOff>
    </xdr:from>
    <xdr:ext cx="189360" cy="170280"/>
    <xdr:sp macro="" textlink="">
      <xdr:nvSpPr>
        <xdr:cNvPr id="23" name="CustomShape 1"/>
        <xdr:cNvSpPr/>
      </xdr:nvSpPr>
      <xdr:spPr>
        <a:xfrm>
          <a:off x="1259760" y="3292560"/>
          <a:ext cx="189360" cy="170280"/>
        </a:xfrm>
        <a:prstGeom prst="rect">
          <a:avLst/>
        </a:prstGeom>
        <a:noFill/>
        <a:ln w="12600">
          <a:solidFill>
            <a:schemeClr val="tx1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oneCellAnchor>
  <xdr:oneCellAnchor>
    <xdr:from>
      <xdr:col>0</xdr:col>
      <xdr:colOff>53280</xdr:colOff>
      <xdr:row>49</xdr:row>
      <xdr:rowOff>23040</xdr:rowOff>
    </xdr:from>
    <xdr:ext cx="189360" cy="177840"/>
    <xdr:sp macro="" textlink="">
      <xdr:nvSpPr>
        <xdr:cNvPr id="24" name="CustomShape 1"/>
        <xdr:cNvSpPr/>
      </xdr:nvSpPr>
      <xdr:spPr>
        <a:xfrm>
          <a:off x="53280" y="8984160"/>
          <a:ext cx="189360" cy="177840"/>
        </a:xfrm>
        <a:prstGeom prst="rect">
          <a:avLst/>
        </a:prstGeom>
        <a:noFill/>
        <a:ln w="12600">
          <a:solidFill>
            <a:schemeClr val="tx1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oneCellAnchor>
  <xdr:oneCellAnchor>
    <xdr:from>
      <xdr:col>0</xdr:col>
      <xdr:colOff>68760</xdr:colOff>
      <xdr:row>10</xdr:row>
      <xdr:rowOff>30600</xdr:rowOff>
    </xdr:from>
    <xdr:ext cx="189360" cy="170280"/>
    <xdr:sp macro="" textlink="">
      <xdr:nvSpPr>
        <xdr:cNvPr id="25" name="CustomShape 1"/>
        <xdr:cNvSpPr/>
      </xdr:nvSpPr>
      <xdr:spPr>
        <a:xfrm>
          <a:off x="68760" y="4955025"/>
          <a:ext cx="189360" cy="170280"/>
        </a:xfrm>
        <a:prstGeom prst="rect">
          <a:avLst/>
        </a:prstGeom>
        <a:noFill/>
        <a:ln w="12600">
          <a:solidFill>
            <a:schemeClr val="tx1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oneCellAnchor>
  <xdr:oneCellAnchor>
    <xdr:from>
      <xdr:col>0</xdr:col>
      <xdr:colOff>68760</xdr:colOff>
      <xdr:row>16</xdr:row>
      <xdr:rowOff>30600</xdr:rowOff>
    </xdr:from>
    <xdr:ext cx="189360" cy="170280"/>
    <xdr:sp macro="" textlink="">
      <xdr:nvSpPr>
        <xdr:cNvPr id="26" name="CustomShape 1"/>
        <xdr:cNvSpPr/>
      </xdr:nvSpPr>
      <xdr:spPr>
        <a:xfrm>
          <a:off x="68760" y="2979540"/>
          <a:ext cx="189360" cy="170280"/>
        </a:xfrm>
        <a:prstGeom prst="rect">
          <a:avLst/>
        </a:prstGeom>
        <a:noFill/>
        <a:ln w="12600">
          <a:solidFill>
            <a:schemeClr val="tx1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7875607" cy="28077494"/>
    <xdr:sp macro="" textlink="">
      <xdr:nvSpPr>
        <xdr:cNvPr id="2" name="CustomShape 1" hidden="1"/>
        <xdr:cNvSpPr/>
      </xdr:nvSpPr>
      <xdr:spPr>
        <a:xfrm>
          <a:off x="0" y="0"/>
          <a:ext cx="7875607" cy="2807749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oneCellAnchor>
  <xdr:oneCellAnchor>
    <xdr:from>
      <xdr:col>0</xdr:col>
      <xdr:colOff>0</xdr:colOff>
      <xdr:row>0</xdr:row>
      <xdr:rowOff>0</xdr:rowOff>
    </xdr:from>
    <xdr:ext cx="7875607" cy="28077494"/>
    <xdr:sp macro="" textlink="">
      <xdr:nvSpPr>
        <xdr:cNvPr id="3" name="CustomShape 1" hidden="1"/>
        <xdr:cNvSpPr/>
      </xdr:nvSpPr>
      <xdr:spPr>
        <a:xfrm>
          <a:off x="0" y="0"/>
          <a:ext cx="7875607" cy="2807749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oneCellAnchor>
  <xdr:oneCellAnchor>
    <xdr:from>
      <xdr:col>0</xdr:col>
      <xdr:colOff>0</xdr:colOff>
      <xdr:row>0</xdr:row>
      <xdr:rowOff>0</xdr:rowOff>
    </xdr:from>
    <xdr:ext cx="7875607" cy="28077494"/>
    <xdr:sp macro="" textlink="">
      <xdr:nvSpPr>
        <xdr:cNvPr id="4" name="CustomShape 1" hidden="1"/>
        <xdr:cNvSpPr/>
      </xdr:nvSpPr>
      <xdr:spPr>
        <a:xfrm>
          <a:off x="0" y="0"/>
          <a:ext cx="7875607" cy="2807749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oneCellAnchor>
  <xdr:oneCellAnchor>
    <xdr:from>
      <xdr:col>0</xdr:col>
      <xdr:colOff>0</xdr:colOff>
      <xdr:row>0</xdr:row>
      <xdr:rowOff>0</xdr:rowOff>
    </xdr:from>
    <xdr:ext cx="7875607" cy="28077494"/>
    <xdr:sp macro="" textlink="">
      <xdr:nvSpPr>
        <xdr:cNvPr id="5" name="CustomShape 1" hidden="1"/>
        <xdr:cNvSpPr/>
      </xdr:nvSpPr>
      <xdr:spPr>
        <a:xfrm>
          <a:off x="0" y="0"/>
          <a:ext cx="7875607" cy="2807749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oneCellAnchor>
</xdr:wsDr>
</file>

<file path=xl/tables/table1.xml><?xml version="1.0" encoding="utf-8"?>
<table xmlns="http://schemas.openxmlformats.org/spreadsheetml/2006/main" id="1" name="TabRFR" displayName="TabRFR" ref="A2:H23" totalsRowShown="0" headerRowDxfId="9" tableBorderDxfId="8">
  <autoFilter ref="A2:H23"/>
  <tableColumns count="8">
    <tableColumn id="1" name="Recherche RFR" dataDxfId="7">
      <calculatedColumnFormula>B3&amp;"-"&amp;C3</calculatedColumnFormula>
    </tableColumn>
    <tableColumn id="2" name="Nbre personnes" dataDxfId="6"/>
    <tableColumn id="3" name="Catégories de plafonds" dataDxfId="5"/>
    <tableColumn id="8" name="2021" dataDxfId="4" dataCellStyle="Normal 2"/>
    <tableColumn id="7" name="2022" dataDxfId="3" dataCellStyle="Normal 2"/>
    <tableColumn id="4" name="2023" dataDxfId="2"/>
    <tableColumn id="5" name="2024" dataDxfId="1"/>
    <tableColumn id="6" name="2025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moninplomberie@gmail.com" TargetMode="External"/><Relationship Id="rId299" Type="http://schemas.openxmlformats.org/officeDocument/2006/relationships/hyperlink" Target="mailto:contact@ecvoiron.fr" TargetMode="External"/><Relationship Id="rId21" Type="http://schemas.openxmlformats.org/officeDocument/2006/relationships/hyperlink" Target="mailto:f.carre@carre-f.com" TargetMode="External"/><Relationship Id="rId63" Type="http://schemas.openxmlformats.org/officeDocument/2006/relationships/hyperlink" Target="mailto:jcduo@orange.fr" TargetMode="External"/><Relationship Id="rId159" Type="http://schemas.openxmlformats.org/officeDocument/2006/relationships/hyperlink" Target="mailto:sarlpab@orange.fr" TargetMode="External"/><Relationship Id="rId324" Type="http://schemas.openxmlformats.org/officeDocument/2006/relationships/hyperlink" Target="mailto:infos38@atre-loisirs.fr" TargetMode="External"/><Relationship Id="rId366" Type="http://schemas.openxmlformats.org/officeDocument/2006/relationships/hyperlink" Target="mailto:accueil@carre-f.com" TargetMode="External"/><Relationship Id="rId170" Type="http://schemas.openxmlformats.org/officeDocument/2006/relationships/hyperlink" Target="mailto:f.carre@carre-f.com" TargetMode="External"/><Relationship Id="rId226" Type="http://schemas.openxmlformats.org/officeDocument/2006/relationships/hyperlink" Target="mailto:contact@ecvoiron.fr" TargetMode="External"/><Relationship Id="rId268" Type="http://schemas.openxmlformats.org/officeDocument/2006/relationships/hyperlink" Target="mailto:jlc.services@orange.fr" TargetMode="External"/><Relationship Id="rId32" Type="http://schemas.openxmlformats.org/officeDocument/2006/relationships/hyperlink" Target="mailto:jcduo@orange.fr" TargetMode="External"/><Relationship Id="rId74" Type="http://schemas.openxmlformats.org/officeDocument/2006/relationships/hyperlink" Target="mailto:jcduo@orange.fr" TargetMode="External"/><Relationship Id="rId128" Type="http://schemas.openxmlformats.org/officeDocument/2006/relationships/hyperlink" Target="mailto:marketing@carre-f.com" TargetMode="External"/><Relationship Id="rId335" Type="http://schemas.openxmlformats.org/officeDocument/2006/relationships/hyperlink" Target="mailto:jacques.faure24@wanadoo.fr" TargetMode="External"/><Relationship Id="rId377" Type="http://schemas.openxmlformats.org/officeDocument/2006/relationships/hyperlink" Target="mailto:grenoble@hase-boutique.fr" TargetMode="External"/><Relationship Id="rId5" Type="http://schemas.openxmlformats.org/officeDocument/2006/relationships/hyperlink" Target="mailto:enerlogis@orange.fr" TargetMode="External"/><Relationship Id="rId181" Type="http://schemas.openxmlformats.org/officeDocument/2006/relationships/hyperlink" Target="mailto:accueil@sbidaud.fr" TargetMode="External"/><Relationship Id="rId237" Type="http://schemas.openxmlformats.org/officeDocument/2006/relationships/hyperlink" Target="mailto:bois-soleil-chauffage@orange.fr" TargetMode="External"/><Relationship Id="rId402" Type="http://schemas.openxmlformats.org/officeDocument/2006/relationships/hyperlink" Target="mailto:jacques.faure24@wanadoo.fr" TargetMode="External"/><Relationship Id="rId279" Type="http://schemas.openxmlformats.org/officeDocument/2006/relationships/hyperlink" Target="mailto:contact@ecvoiron.fr" TargetMode="External"/><Relationship Id="rId43" Type="http://schemas.openxmlformats.org/officeDocument/2006/relationships/hyperlink" Target="mailto:f.carre@carre-f.com" TargetMode="External"/><Relationship Id="rId139" Type="http://schemas.openxmlformats.org/officeDocument/2006/relationships/hyperlink" Target="mailto:a.caruana@alp-confort.fr" TargetMode="External"/><Relationship Id="rId290" Type="http://schemas.openxmlformats.org/officeDocument/2006/relationships/hyperlink" Target="mailto:jlc.services@orange.fr" TargetMode="External"/><Relationship Id="rId304" Type="http://schemas.openxmlformats.org/officeDocument/2006/relationships/hyperlink" Target="mailto:godin-grenoble@orange.fr" TargetMode="External"/><Relationship Id="rId346" Type="http://schemas.openxmlformats.org/officeDocument/2006/relationships/hyperlink" Target="mailto:jlc.services@orange.fr" TargetMode="External"/><Relationship Id="rId388" Type="http://schemas.openxmlformats.org/officeDocument/2006/relationships/hyperlink" Target="mailto:contact@ecvoiron.fr" TargetMode="External"/><Relationship Id="rId85" Type="http://schemas.openxmlformats.org/officeDocument/2006/relationships/hyperlink" Target="mailto:contact@wattethome.com" TargetMode="External"/><Relationship Id="rId150" Type="http://schemas.openxmlformats.org/officeDocument/2006/relationships/hyperlink" Target="mailto:chemineescastan@orange.fr" TargetMode="External"/><Relationship Id="rId192" Type="http://schemas.openxmlformats.org/officeDocument/2006/relationships/hyperlink" Target="mailto:jcduo@orange.fr" TargetMode="External"/><Relationship Id="rId206" Type="http://schemas.openxmlformats.org/officeDocument/2006/relationships/hyperlink" Target="mailto:sarlpab@orange.fr" TargetMode="External"/><Relationship Id="rId413" Type="http://schemas.openxmlformats.org/officeDocument/2006/relationships/hyperlink" Target="mailto:voiron@techni-nature.com" TargetMode="External"/><Relationship Id="rId248" Type="http://schemas.openxmlformats.org/officeDocument/2006/relationships/hyperlink" Target="mailto:contact@ecvoiron.fr" TargetMode="External"/><Relationship Id="rId12" Type="http://schemas.openxmlformats.org/officeDocument/2006/relationships/hyperlink" Target="mailto:flammeiseroise@orange.fr" TargetMode="External"/><Relationship Id="rId108" Type="http://schemas.openxmlformats.org/officeDocument/2006/relationships/hyperlink" Target="mailto:contact@techni-nature.com" TargetMode="External"/><Relationship Id="rId315" Type="http://schemas.openxmlformats.org/officeDocument/2006/relationships/hyperlink" Target="mailto:jacques.faure24@wanadoo.fr" TargetMode="External"/><Relationship Id="rId357" Type="http://schemas.openxmlformats.org/officeDocument/2006/relationships/hyperlink" Target="mailto:jacques.faure24@wanadoo.fr" TargetMode="External"/><Relationship Id="rId54" Type="http://schemas.openxmlformats.org/officeDocument/2006/relationships/hyperlink" Target="mailto:moninplomberie@gmail.com" TargetMode="External"/><Relationship Id="rId96" Type="http://schemas.openxmlformats.org/officeDocument/2006/relationships/hyperlink" Target="mailto:jlc.services@orange.fr" TargetMode="External"/><Relationship Id="rId161" Type="http://schemas.openxmlformats.org/officeDocument/2006/relationships/hyperlink" Target="mailto:infos38@atre-loisirs.fr" TargetMode="External"/><Relationship Id="rId217" Type="http://schemas.openxmlformats.org/officeDocument/2006/relationships/hyperlink" Target="mailto:f.carre@carre-f.com" TargetMode="External"/><Relationship Id="rId399" Type="http://schemas.openxmlformats.org/officeDocument/2006/relationships/hyperlink" Target="mailto:contact@ecvoiron.fr" TargetMode="External"/><Relationship Id="rId259" Type="http://schemas.openxmlformats.org/officeDocument/2006/relationships/hyperlink" Target="mailto:pascal.brn@gmail.com" TargetMode="External"/><Relationship Id="rId23" Type="http://schemas.openxmlformats.org/officeDocument/2006/relationships/hyperlink" Target="mailto:sarlpab@orange.fr" TargetMode="External"/><Relationship Id="rId119" Type="http://schemas.openxmlformats.org/officeDocument/2006/relationships/hyperlink" Target="mailto:jacques.faure24@wanadoo.fr" TargetMode="External"/><Relationship Id="rId270" Type="http://schemas.openxmlformats.org/officeDocument/2006/relationships/hyperlink" Target="mailto:jacques.faure24@wanadoo.fr" TargetMode="External"/><Relationship Id="rId326" Type="http://schemas.openxmlformats.org/officeDocument/2006/relationships/hyperlink" Target="mailto:godin-grenoble@orange.fr" TargetMode="External"/><Relationship Id="rId65" Type="http://schemas.openxmlformats.org/officeDocument/2006/relationships/hyperlink" Target="mailto:sarlpab@orange.fr" TargetMode="External"/><Relationship Id="rId130" Type="http://schemas.openxmlformats.org/officeDocument/2006/relationships/hyperlink" Target="mailto:jlc.services@orange.fr" TargetMode="External"/><Relationship Id="rId368" Type="http://schemas.openxmlformats.org/officeDocument/2006/relationships/hyperlink" Target="mailto:contact@ecvoiron.fr" TargetMode="External"/><Relationship Id="rId172" Type="http://schemas.openxmlformats.org/officeDocument/2006/relationships/hyperlink" Target="mailto:pascal.brn@gmail.com" TargetMode="External"/><Relationship Id="rId228" Type="http://schemas.openxmlformats.org/officeDocument/2006/relationships/hyperlink" Target="mailto:jcduo@orange.fr" TargetMode="External"/><Relationship Id="rId281" Type="http://schemas.openxmlformats.org/officeDocument/2006/relationships/hyperlink" Target="mailto:jlc.services@orange.fr" TargetMode="External"/><Relationship Id="rId337" Type="http://schemas.openxmlformats.org/officeDocument/2006/relationships/hyperlink" Target="mailto:contact@ecvoiron.fr" TargetMode="External"/><Relationship Id="rId34" Type="http://schemas.openxmlformats.org/officeDocument/2006/relationships/hyperlink" Target="mailto:jcduo@orange.fr" TargetMode="External"/><Relationship Id="rId76" Type="http://schemas.openxmlformats.org/officeDocument/2006/relationships/hyperlink" Target="mailto:contactprojet@orange.fr" TargetMode="External"/><Relationship Id="rId141" Type="http://schemas.openxmlformats.org/officeDocument/2006/relationships/hyperlink" Target="mailto:godin-grenoble@orange.fr" TargetMode="External"/><Relationship Id="rId379" Type="http://schemas.openxmlformats.org/officeDocument/2006/relationships/hyperlink" Target="mailto:contact@ecvoiron.fr" TargetMode="External"/><Relationship Id="rId7" Type="http://schemas.openxmlformats.org/officeDocument/2006/relationships/hyperlink" Target="mailto:contact@ccm38.com" TargetMode="External"/><Relationship Id="rId183" Type="http://schemas.openxmlformats.org/officeDocument/2006/relationships/hyperlink" Target="mailto:contact@passion-flamme.fr" TargetMode="External"/><Relationship Id="rId239" Type="http://schemas.openxmlformats.org/officeDocument/2006/relationships/hyperlink" Target="mailto:bois-soleil-chauffage@orange.fr" TargetMode="External"/><Relationship Id="rId390" Type="http://schemas.openxmlformats.org/officeDocument/2006/relationships/hyperlink" Target="mailto:grenoble@hase-boutique.fr" TargetMode="External"/><Relationship Id="rId404" Type="http://schemas.openxmlformats.org/officeDocument/2006/relationships/hyperlink" Target="mailto:sarlpab@orange.fr" TargetMode="External"/><Relationship Id="rId250" Type="http://schemas.openxmlformats.org/officeDocument/2006/relationships/hyperlink" Target="mailto:jacques.faure24@wanadoo.fr" TargetMode="External"/><Relationship Id="rId292" Type="http://schemas.openxmlformats.org/officeDocument/2006/relationships/hyperlink" Target="mailto:f.carre@carre-f.com" TargetMode="External"/><Relationship Id="rId306" Type="http://schemas.openxmlformats.org/officeDocument/2006/relationships/hyperlink" Target="mailto:contact@ecvoiron.fr" TargetMode="External"/><Relationship Id="rId45" Type="http://schemas.openxmlformats.org/officeDocument/2006/relationships/hyperlink" Target="mailto:bois-soleil-chauffage@orange.fr" TargetMode="External"/><Relationship Id="rId87" Type="http://schemas.openxmlformats.org/officeDocument/2006/relationships/hyperlink" Target="mailto:fralor73@wanadoo.fr" TargetMode="External"/><Relationship Id="rId110" Type="http://schemas.openxmlformats.org/officeDocument/2006/relationships/hyperlink" Target="mailto:sarlpab@orange.fr" TargetMode="External"/><Relationship Id="rId348" Type="http://schemas.openxmlformats.org/officeDocument/2006/relationships/hyperlink" Target="mailto:grenoble@hase-boutique.fr" TargetMode="External"/><Relationship Id="rId152" Type="http://schemas.openxmlformats.org/officeDocument/2006/relationships/hyperlink" Target="mailto:chaleurbois38@orange.fr" TargetMode="External"/><Relationship Id="rId194" Type="http://schemas.openxmlformats.org/officeDocument/2006/relationships/hyperlink" Target="mailto:expertise.ramonage.paquet@gmail.com" TargetMode="External"/><Relationship Id="rId208" Type="http://schemas.openxmlformats.org/officeDocument/2006/relationships/hyperlink" Target="mailto:nessfrance38@hotmail.fr" TargetMode="External"/><Relationship Id="rId415" Type="http://schemas.openxmlformats.org/officeDocument/2006/relationships/hyperlink" Target="mailto:voiron@techni-nature.com" TargetMode="External"/><Relationship Id="rId261" Type="http://schemas.openxmlformats.org/officeDocument/2006/relationships/hyperlink" Target="mailto:jlc.services@orange.fr" TargetMode="External"/><Relationship Id="rId14" Type="http://schemas.openxmlformats.org/officeDocument/2006/relationships/hyperlink" Target="mailto:nessfrance38@hotmail.fr" TargetMode="External"/><Relationship Id="rId56" Type="http://schemas.openxmlformats.org/officeDocument/2006/relationships/hyperlink" Target="mailto:contact@ecvoiron.fr" TargetMode="External"/><Relationship Id="rId317" Type="http://schemas.openxmlformats.org/officeDocument/2006/relationships/hyperlink" Target="mailto:flammeiseroise@orange.fr" TargetMode="External"/><Relationship Id="rId359" Type="http://schemas.openxmlformats.org/officeDocument/2006/relationships/hyperlink" Target="mailto:jacques.faure24@wanadoo.fr" TargetMode="External"/><Relationship Id="rId98" Type="http://schemas.openxmlformats.org/officeDocument/2006/relationships/hyperlink" Target="mailto:grenoble@hase-boutique.fr" TargetMode="External"/><Relationship Id="rId121" Type="http://schemas.openxmlformats.org/officeDocument/2006/relationships/hyperlink" Target="mailto:contact@fer-et-feu.fr" TargetMode="External"/><Relationship Id="rId163" Type="http://schemas.openxmlformats.org/officeDocument/2006/relationships/hyperlink" Target="mailto:bois-soleil-chauffage@orange.fr" TargetMode="External"/><Relationship Id="rId219" Type="http://schemas.openxmlformats.org/officeDocument/2006/relationships/hyperlink" Target="mailto:jlc.services@orange.fr" TargetMode="External"/><Relationship Id="rId370" Type="http://schemas.openxmlformats.org/officeDocument/2006/relationships/hyperlink" Target="mailto:sarlpab@orange.fr" TargetMode="External"/><Relationship Id="rId230" Type="http://schemas.openxmlformats.org/officeDocument/2006/relationships/hyperlink" Target="mailto:jcduo@orange.fr" TargetMode="External"/><Relationship Id="rId25" Type="http://schemas.openxmlformats.org/officeDocument/2006/relationships/hyperlink" Target="mailto:cheminees.jay@orange.fr" TargetMode="External"/><Relationship Id="rId67" Type="http://schemas.openxmlformats.org/officeDocument/2006/relationships/hyperlink" Target="mailto:flammeiseroise@orange.fr" TargetMode="External"/><Relationship Id="rId272" Type="http://schemas.openxmlformats.org/officeDocument/2006/relationships/hyperlink" Target="mailto:jacques.faure24@wanadoo.fr" TargetMode="External"/><Relationship Id="rId328" Type="http://schemas.openxmlformats.org/officeDocument/2006/relationships/hyperlink" Target="mailto:f.carre@carre-f.com" TargetMode="External"/><Relationship Id="rId132" Type="http://schemas.openxmlformats.org/officeDocument/2006/relationships/hyperlink" Target="mailto:jlc.services@orange.fr" TargetMode="External"/><Relationship Id="rId174" Type="http://schemas.openxmlformats.org/officeDocument/2006/relationships/hyperlink" Target="mailto:nessfrance38@hotmail.fr" TargetMode="External"/><Relationship Id="rId381" Type="http://schemas.openxmlformats.org/officeDocument/2006/relationships/hyperlink" Target="mailto:susville@techni-nature.com" TargetMode="External"/><Relationship Id="rId241" Type="http://schemas.openxmlformats.org/officeDocument/2006/relationships/hyperlink" Target="mailto:godin-grenoble@orange.fr" TargetMode="External"/><Relationship Id="rId36" Type="http://schemas.openxmlformats.org/officeDocument/2006/relationships/hyperlink" Target="mailto:infos.38@atre-loisirs.fr" TargetMode="External"/><Relationship Id="rId283" Type="http://schemas.openxmlformats.org/officeDocument/2006/relationships/hyperlink" Target="mailto:jacques.faure24@wanadoo.fr" TargetMode="External"/><Relationship Id="rId339" Type="http://schemas.openxmlformats.org/officeDocument/2006/relationships/hyperlink" Target="mailto:jacques.faure24@wanadoo.fr" TargetMode="External"/><Relationship Id="rId78" Type="http://schemas.openxmlformats.org/officeDocument/2006/relationships/hyperlink" Target="mailto:jlc.services@orange.fr" TargetMode="External"/><Relationship Id="rId101" Type="http://schemas.openxmlformats.org/officeDocument/2006/relationships/hyperlink" Target="mailto:cheminees.bertola@wanadoo.fr" TargetMode="External"/><Relationship Id="rId143" Type="http://schemas.openxmlformats.org/officeDocument/2006/relationships/hyperlink" Target="mailto:eric.marguet@sbidaud.fr" TargetMode="External"/><Relationship Id="rId185" Type="http://schemas.openxmlformats.org/officeDocument/2006/relationships/hyperlink" Target="mailto:stylflamme@sfr.fr" TargetMode="External"/><Relationship Id="rId350" Type="http://schemas.openxmlformats.org/officeDocument/2006/relationships/hyperlink" Target="mailto:jcduo@orange.fr" TargetMode="External"/><Relationship Id="rId406" Type="http://schemas.openxmlformats.org/officeDocument/2006/relationships/hyperlink" Target="mailto:cheminees.jay@orange.fr" TargetMode="External"/><Relationship Id="rId9" Type="http://schemas.openxmlformats.org/officeDocument/2006/relationships/hyperlink" Target="mailto:f.carre@carre-f.com" TargetMode="External"/><Relationship Id="rId210" Type="http://schemas.openxmlformats.org/officeDocument/2006/relationships/hyperlink" Target="mailto:contactprojet@orange.fr" TargetMode="External"/><Relationship Id="rId392" Type="http://schemas.openxmlformats.org/officeDocument/2006/relationships/hyperlink" Target="mailto:contact@acvoiron.fr" TargetMode="External"/><Relationship Id="rId252" Type="http://schemas.openxmlformats.org/officeDocument/2006/relationships/hyperlink" Target="mailto:infos73@atre-loisirs.fr" TargetMode="External"/><Relationship Id="rId294" Type="http://schemas.openxmlformats.org/officeDocument/2006/relationships/hyperlink" Target="mailto:contact@wattethome.com" TargetMode="External"/><Relationship Id="rId308" Type="http://schemas.openxmlformats.org/officeDocument/2006/relationships/hyperlink" Target="mailto:f.carre@carre-f.com" TargetMode="External"/><Relationship Id="rId47" Type="http://schemas.openxmlformats.org/officeDocument/2006/relationships/hyperlink" Target="mailto:jcduo@orange.fr" TargetMode="External"/><Relationship Id="rId89" Type="http://schemas.openxmlformats.org/officeDocument/2006/relationships/hyperlink" Target="mailto:jcduo@orange.fr" TargetMode="External"/><Relationship Id="rId112" Type="http://schemas.openxmlformats.org/officeDocument/2006/relationships/hyperlink" Target="mailto:contact@sgee.fr" TargetMode="External"/><Relationship Id="rId154" Type="http://schemas.openxmlformats.org/officeDocument/2006/relationships/hyperlink" Target="mailto:sarlpab@orange.fr" TargetMode="External"/><Relationship Id="rId361" Type="http://schemas.openxmlformats.org/officeDocument/2006/relationships/hyperlink" Target="mailto:contact@ecvoiron.fr" TargetMode="External"/><Relationship Id="rId196" Type="http://schemas.openxmlformats.org/officeDocument/2006/relationships/hyperlink" Target="mailto:jlc.services@orange.fr" TargetMode="External"/><Relationship Id="rId417" Type="http://schemas.openxmlformats.org/officeDocument/2006/relationships/printerSettings" Target="../printerSettings/printerSettings1.bin"/><Relationship Id="rId16" Type="http://schemas.openxmlformats.org/officeDocument/2006/relationships/hyperlink" Target="mailto:grenoble@hase-boutique.fr" TargetMode="External"/><Relationship Id="rId221" Type="http://schemas.openxmlformats.org/officeDocument/2006/relationships/hyperlink" Target="mailto:cheminees.jay@orange.fr" TargetMode="External"/><Relationship Id="rId263" Type="http://schemas.openxmlformats.org/officeDocument/2006/relationships/hyperlink" Target="mailto:contact@poelesgranules.fr" TargetMode="External"/><Relationship Id="rId319" Type="http://schemas.openxmlformats.org/officeDocument/2006/relationships/hyperlink" Target="mailto:f.carre@carre-f.com" TargetMode="External"/><Relationship Id="rId58" Type="http://schemas.openxmlformats.org/officeDocument/2006/relationships/hyperlink" Target="mailto:contact@bois-soleil-chauffage,fr" TargetMode="External"/><Relationship Id="rId123" Type="http://schemas.openxmlformats.org/officeDocument/2006/relationships/hyperlink" Target="mailto:info@oliger.fr" TargetMode="External"/><Relationship Id="rId330" Type="http://schemas.openxmlformats.org/officeDocument/2006/relationships/hyperlink" Target="mailto:jlc.services@orange.fr" TargetMode="External"/><Relationship Id="rId165" Type="http://schemas.openxmlformats.org/officeDocument/2006/relationships/hyperlink" Target="mailto:f.carre@carre-f.com" TargetMode="External"/><Relationship Id="rId372" Type="http://schemas.openxmlformats.org/officeDocument/2006/relationships/hyperlink" Target="mailto:jacques.faure24@wanadoo.fr" TargetMode="External"/><Relationship Id="rId232" Type="http://schemas.openxmlformats.org/officeDocument/2006/relationships/hyperlink" Target="mailto:sarlpab@orange.fr" TargetMode="External"/><Relationship Id="rId274" Type="http://schemas.openxmlformats.org/officeDocument/2006/relationships/hyperlink" Target="mailto:nessfrance38@hotmail.fr" TargetMode="External"/><Relationship Id="rId27" Type="http://schemas.openxmlformats.org/officeDocument/2006/relationships/hyperlink" Target="mailto:cheminees.bertola@wanadoo.fr" TargetMode="External"/><Relationship Id="rId69" Type="http://schemas.openxmlformats.org/officeDocument/2006/relationships/hyperlink" Target="mailto:jacques.faure@wanadoo.fr" TargetMode="External"/><Relationship Id="rId134" Type="http://schemas.openxmlformats.org/officeDocument/2006/relationships/hyperlink" Target="mailto:jlc.services@orange.fr" TargetMode="External"/><Relationship Id="rId80" Type="http://schemas.openxmlformats.org/officeDocument/2006/relationships/hyperlink" Target="mailto:jlc.services@orange.fr" TargetMode="External"/><Relationship Id="rId176" Type="http://schemas.openxmlformats.org/officeDocument/2006/relationships/hyperlink" Target="mailto:contact@ecvoiron.fr" TargetMode="External"/><Relationship Id="rId341" Type="http://schemas.openxmlformats.org/officeDocument/2006/relationships/hyperlink" Target="mailto:jacques.faure24@wanadoo.fr" TargetMode="External"/><Relationship Id="rId383" Type="http://schemas.openxmlformats.org/officeDocument/2006/relationships/hyperlink" Target="mailto:contact@ecvoiron.fr" TargetMode="External"/><Relationship Id="rId201" Type="http://schemas.openxmlformats.org/officeDocument/2006/relationships/hyperlink" Target="mailto:jlc.services@orange.fr" TargetMode="External"/><Relationship Id="rId222" Type="http://schemas.openxmlformats.org/officeDocument/2006/relationships/hyperlink" Target="mailto:bois-soleil-chauffage@orange.fr" TargetMode="External"/><Relationship Id="rId243" Type="http://schemas.openxmlformats.org/officeDocument/2006/relationships/hyperlink" Target="mailto:lambert.cheminees@wanadoo.fr" TargetMode="External"/><Relationship Id="rId264" Type="http://schemas.openxmlformats.org/officeDocument/2006/relationships/hyperlink" Target="mailto:jlc.services@orange.fr" TargetMode="External"/><Relationship Id="rId285" Type="http://schemas.openxmlformats.org/officeDocument/2006/relationships/hyperlink" Target="mailto:jacques.faure24@wanadoo.fr" TargetMode="External"/><Relationship Id="rId17" Type="http://schemas.openxmlformats.org/officeDocument/2006/relationships/hyperlink" Target="mailto:serge.schroeder@wanadoo.fr" TargetMode="External"/><Relationship Id="rId38" Type="http://schemas.openxmlformats.org/officeDocument/2006/relationships/hyperlink" Target="mailto:pascal.brn@gmail.com" TargetMode="External"/><Relationship Id="rId59" Type="http://schemas.openxmlformats.org/officeDocument/2006/relationships/hyperlink" Target="mailto:contact@passion-flamme.fr" TargetMode="External"/><Relationship Id="rId103" Type="http://schemas.openxmlformats.org/officeDocument/2006/relationships/hyperlink" Target="mailto:cheminees.jay@orange.fr" TargetMode="External"/><Relationship Id="rId124" Type="http://schemas.openxmlformats.org/officeDocument/2006/relationships/hyperlink" Target="mailto:bois-soleil-chauffage@orange.fr" TargetMode="External"/><Relationship Id="rId310" Type="http://schemas.openxmlformats.org/officeDocument/2006/relationships/hyperlink" Target="mailto:contact@fer-et-feu.fr" TargetMode="External"/><Relationship Id="rId70" Type="http://schemas.openxmlformats.org/officeDocument/2006/relationships/hyperlink" Target="mailto:jacques.faure@wanadoo.fr" TargetMode="External"/><Relationship Id="rId91" Type="http://schemas.openxmlformats.org/officeDocument/2006/relationships/hyperlink" Target="mailto:flammeiseroise38@orange.fr" TargetMode="External"/><Relationship Id="rId145" Type="http://schemas.openxmlformats.org/officeDocument/2006/relationships/hyperlink" Target="mailto:thomas.morey@wattethome.com" TargetMode="External"/><Relationship Id="rId166" Type="http://schemas.openxmlformats.org/officeDocument/2006/relationships/hyperlink" Target="mailto:godin-grenoble@orange.fr" TargetMode="External"/><Relationship Id="rId187" Type="http://schemas.openxmlformats.org/officeDocument/2006/relationships/hyperlink" Target="mailto:contact@fer-et-feu.fr" TargetMode="External"/><Relationship Id="rId331" Type="http://schemas.openxmlformats.org/officeDocument/2006/relationships/hyperlink" Target="mailto:bois-soleil-chauffage@orange.fr" TargetMode="External"/><Relationship Id="rId352" Type="http://schemas.openxmlformats.org/officeDocument/2006/relationships/hyperlink" Target="mailto:accueil@carre-f.com" TargetMode="External"/><Relationship Id="rId373" Type="http://schemas.openxmlformats.org/officeDocument/2006/relationships/hyperlink" Target="mailto:expertise.ramonage.paquet@gmail.com" TargetMode="External"/><Relationship Id="rId394" Type="http://schemas.openxmlformats.org/officeDocument/2006/relationships/hyperlink" Target="mailto:jlc.services@orange.fr" TargetMode="External"/><Relationship Id="rId408" Type="http://schemas.openxmlformats.org/officeDocument/2006/relationships/hyperlink" Target="mailto:contact@poelesgranules.fr" TargetMode="External"/><Relationship Id="rId1" Type="http://schemas.openxmlformats.org/officeDocument/2006/relationships/hyperlink" Target="mailto:sarlpab@orange.fr" TargetMode="External"/><Relationship Id="rId212" Type="http://schemas.openxmlformats.org/officeDocument/2006/relationships/hyperlink" Target="mailto:bois-soleil-chauffage@orange.fr" TargetMode="External"/><Relationship Id="rId233" Type="http://schemas.openxmlformats.org/officeDocument/2006/relationships/hyperlink" Target="mailto:f.carre@carre-f.com" TargetMode="External"/><Relationship Id="rId254" Type="http://schemas.openxmlformats.org/officeDocument/2006/relationships/hyperlink" Target="mailto:sarlpab@orange.fr" TargetMode="External"/><Relationship Id="rId28" Type="http://schemas.openxmlformats.org/officeDocument/2006/relationships/hyperlink" Target="mailto:jcduo@orange.fr" TargetMode="External"/><Relationship Id="rId49" Type="http://schemas.openxmlformats.org/officeDocument/2006/relationships/hyperlink" Target="mailto:bois-soleil-chauffage@orange.fr" TargetMode="External"/><Relationship Id="rId114" Type="http://schemas.openxmlformats.org/officeDocument/2006/relationships/hyperlink" Target="mailto:steyo.energie@gmail.com" TargetMode="External"/><Relationship Id="rId275" Type="http://schemas.openxmlformats.org/officeDocument/2006/relationships/hyperlink" Target="mailto:f.carre@carre-f.com" TargetMode="External"/><Relationship Id="rId296" Type="http://schemas.openxmlformats.org/officeDocument/2006/relationships/hyperlink" Target="mailto:jlc.services@orange.fr" TargetMode="External"/><Relationship Id="rId300" Type="http://schemas.openxmlformats.org/officeDocument/2006/relationships/hyperlink" Target="mailto:a.caruana@alp-confort.fr" TargetMode="External"/><Relationship Id="rId60" Type="http://schemas.openxmlformats.org/officeDocument/2006/relationships/hyperlink" Target="mailto:jacques.faure24@wanadoo.fr" TargetMode="External"/><Relationship Id="rId81" Type="http://schemas.openxmlformats.org/officeDocument/2006/relationships/hyperlink" Target="mailto:jcduo@orange.fr" TargetMode="External"/><Relationship Id="rId135" Type="http://schemas.openxmlformats.org/officeDocument/2006/relationships/hyperlink" Target="mailto:jcduo@orange.fr" TargetMode="External"/><Relationship Id="rId156" Type="http://schemas.openxmlformats.org/officeDocument/2006/relationships/hyperlink" Target="mailto:contact@ecvoiron.fr" TargetMode="External"/><Relationship Id="rId177" Type="http://schemas.openxmlformats.org/officeDocument/2006/relationships/hyperlink" Target="mailto:contact@ecvoiron.fr" TargetMode="External"/><Relationship Id="rId198" Type="http://schemas.openxmlformats.org/officeDocument/2006/relationships/hyperlink" Target="mailto:jlc.services@orange.fr" TargetMode="External"/><Relationship Id="rId321" Type="http://schemas.openxmlformats.org/officeDocument/2006/relationships/hyperlink" Target="mailto:bois-soleil-chauffage@orange.fr" TargetMode="External"/><Relationship Id="rId342" Type="http://schemas.openxmlformats.org/officeDocument/2006/relationships/hyperlink" Target="mailto:contact@ecvoiron.fr" TargetMode="External"/><Relationship Id="rId363" Type="http://schemas.openxmlformats.org/officeDocument/2006/relationships/hyperlink" Target="mailto:cheminees.jay@orange.fr" TargetMode="External"/><Relationship Id="rId384" Type="http://schemas.openxmlformats.org/officeDocument/2006/relationships/hyperlink" Target="mailto:jlc.services@orange.fr" TargetMode="External"/><Relationship Id="rId419" Type="http://schemas.openxmlformats.org/officeDocument/2006/relationships/vmlDrawing" Target="../drawings/vmlDrawing1.vml"/><Relationship Id="rId202" Type="http://schemas.openxmlformats.org/officeDocument/2006/relationships/hyperlink" Target="mailto:godin-grenoble@orange.fr" TargetMode="External"/><Relationship Id="rId223" Type="http://schemas.openxmlformats.org/officeDocument/2006/relationships/hyperlink" Target="mailto:contact@fer-et-feu.fr" TargetMode="External"/><Relationship Id="rId244" Type="http://schemas.openxmlformats.org/officeDocument/2006/relationships/hyperlink" Target="mailto:contact@ecvoiron.fr" TargetMode="External"/><Relationship Id="rId18" Type="http://schemas.openxmlformats.org/officeDocument/2006/relationships/hyperlink" Target="mailto:cheminees.bertola@wanadoo.fr" TargetMode="External"/><Relationship Id="rId39" Type="http://schemas.openxmlformats.org/officeDocument/2006/relationships/hyperlink" Target="mailto:f.carre@carre-f.com" TargetMode="External"/><Relationship Id="rId265" Type="http://schemas.openxmlformats.org/officeDocument/2006/relationships/hyperlink" Target="mailto:infos38@atre-loisirs.fr" TargetMode="External"/><Relationship Id="rId286" Type="http://schemas.openxmlformats.org/officeDocument/2006/relationships/hyperlink" Target="mailto:contact@poelegranules.fr" TargetMode="External"/><Relationship Id="rId50" Type="http://schemas.openxmlformats.org/officeDocument/2006/relationships/hyperlink" Target="mailto:bois-soleil-chauffage@orange.fr" TargetMode="External"/><Relationship Id="rId104" Type="http://schemas.openxmlformats.org/officeDocument/2006/relationships/hyperlink" Target="mailto:jcduo@orange.fr" TargetMode="External"/><Relationship Id="rId125" Type="http://schemas.openxmlformats.org/officeDocument/2006/relationships/hyperlink" Target="mailto:sarlpab@orange.fr" TargetMode="External"/><Relationship Id="rId146" Type="http://schemas.openxmlformats.org/officeDocument/2006/relationships/hyperlink" Target="mailto:commercial-godin@orange.fr" TargetMode="External"/><Relationship Id="rId167" Type="http://schemas.openxmlformats.org/officeDocument/2006/relationships/hyperlink" Target="mailto:grenoble@hase-boutique.fr" TargetMode="External"/><Relationship Id="rId188" Type="http://schemas.openxmlformats.org/officeDocument/2006/relationships/hyperlink" Target="mailto:cheminees.jay@orange.fr" TargetMode="External"/><Relationship Id="rId311" Type="http://schemas.openxmlformats.org/officeDocument/2006/relationships/hyperlink" Target="mailto:contact@ecvoiron.fr" TargetMode="External"/><Relationship Id="rId332" Type="http://schemas.openxmlformats.org/officeDocument/2006/relationships/hyperlink" Target="mailto:contact@ecvoiron.fr" TargetMode="External"/><Relationship Id="rId353" Type="http://schemas.openxmlformats.org/officeDocument/2006/relationships/hyperlink" Target="mailto:jacques.faure24@wanadoo.fr" TargetMode="External"/><Relationship Id="rId374" Type="http://schemas.openxmlformats.org/officeDocument/2006/relationships/hyperlink" Target="mailto:jlc.services@orange.fr" TargetMode="External"/><Relationship Id="rId395" Type="http://schemas.openxmlformats.org/officeDocument/2006/relationships/hyperlink" Target="mailto:grenoble@hase-boutique.fr" TargetMode="External"/><Relationship Id="rId409" Type="http://schemas.openxmlformats.org/officeDocument/2006/relationships/hyperlink" Target="mailto:cheminees.jay@orange.fr" TargetMode="External"/><Relationship Id="rId71" Type="http://schemas.openxmlformats.org/officeDocument/2006/relationships/hyperlink" Target="mailto:chemin&#233;es.bertola@wanadoo.fr" TargetMode="External"/><Relationship Id="rId92" Type="http://schemas.openxmlformats.org/officeDocument/2006/relationships/hyperlink" Target="mailto:contact@wattethome.com" TargetMode="External"/><Relationship Id="rId213" Type="http://schemas.openxmlformats.org/officeDocument/2006/relationships/hyperlink" Target="mailto:contact@ecvoiron.fr" TargetMode="External"/><Relationship Id="rId234" Type="http://schemas.openxmlformats.org/officeDocument/2006/relationships/hyperlink" Target="mailto:contact@ecvoiron.fr" TargetMode="External"/><Relationship Id="rId420" Type="http://schemas.openxmlformats.org/officeDocument/2006/relationships/comments" Target="../comments1.xml"/><Relationship Id="rId2" Type="http://schemas.openxmlformats.org/officeDocument/2006/relationships/hyperlink" Target="mailto:contact@ecvoiron.fr" TargetMode="External"/><Relationship Id="rId29" Type="http://schemas.openxmlformats.org/officeDocument/2006/relationships/hyperlink" Target="mailto:jlc.services@orange.fr" TargetMode="External"/><Relationship Id="rId255" Type="http://schemas.openxmlformats.org/officeDocument/2006/relationships/hyperlink" Target="mailto:f.carre@carre-f.com" TargetMode="External"/><Relationship Id="rId276" Type="http://schemas.openxmlformats.org/officeDocument/2006/relationships/hyperlink" Target="mailto:aucoindufeu38@gmail.com" TargetMode="External"/><Relationship Id="rId297" Type="http://schemas.openxmlformats.org/officeDocument/2006/relationships/hyperlink" Target="mailto:bois-soleil-chauffage@orange.fr" TargetMode="External"/><Relationship Id="rId40" Type="http://schemas.openxmlformats.org/officeDocument/2006/relationships/hyperlink" Target="mailto:contact@poelegranules.fr" TargetMode="External"/><Relationship Id="rId115" Type="http://schemas.openxmlformats.org/officeDocument/2006/relationships/hyperlink" Target="mailto:jlc.services@orange.fr" TargetMode="External"/><Relationship Id="rId136" Type="http://schemas.openxmlformats.org/officeDocument/2006/relationships/hyperlink" Target="mailto:cheminees.jay@orange.fr" TargetMode="External"/><Relationship Id="rId157" Type="http://schemas.openxmlformats.org/officeDocument/2006/relationships/hyperlink" Target="mailto:jlc.services@orange.fr" TargetMode="External"/><Relationship Id="rId178" Type="http://schemas.openxmlformats.org/officeDocument/2006/relationships/hyperlink" Target="mailto:cheminees.jay@orange.fr" TargetMode="External"/><Relationship Id="rId301" Type="http://schemas.openxmlformats.org/officeDocument/2006/relationships/hyperlink" Target="mailto:jacques.faure24@wanadoo.fr" TargetMode="External"/><Relationship Id="rId322" Type="http://schemas.openxmlformats.org/officeDocument/2006/relationships/hyperlink" Target="mailto:jlc.services@orange.fr" TargetMode="External"/><Relationship Id="rId343" Type="http://schemas.openxmlformats.org/officeDocument/2006/relationships/hyperlink" Target="mailto:jacques.faure24@wanadoo.fr" TargetMode="External"/><Relationship Id="rId364" Type="http://schemas.openxmlformats.org/officeDocument/2006/relationships/hyperlink" Target="mailto:grenoble@hase-boutique.fr" TargetMode="External"/><Relationship Id="rId61" Type="http://schemas.openxmlformats.org/officeDocument/2006/relationships/hyperlink" Target="mailto:contact@passion-flamme.fr" TargetMode="External"/><Relationship Id="rId82" Type="http://schemas.openxmlformats.org/officeDocument/2006/relationships/hyperlink" Target="mailto:jlc.services@orange.fr" TargetMode="External"/><Relationship Id="rId199" Type="http://schemas.openxmlformats.org/officeDocument/2006/relationships/hyperlink" Target="mailto:jlc.services@orange.fr" TargetMode="External"/><Relationship Id="rId203" Type="http://schemas.openxmlformats.org/officeDocument/2006/relationships/hyperlink" Target="mailto:flammeiseroise@orange.fr" TargetMode="External"/><Relationship Id="rId385" Type="http://schemas.openxmlformats.org/officeDocument/2006/relationships/hyperlink" Target="mailto:godin-grenoble@orange.fr" TargetMode="External"/><Relationship Id="rId19" Type="http://schemas.openxmlformats.org/officeDocument/2006/relationships/hyperlink" Target="mailto:godin-grenoble@orange.fr" TargetMode="External"/><Relationship Id="rId224" Type="http://schemas.openxmlformats.org/officeDocument/2006/relationships/hyperlink" Target="mailto:f.carre@carre-f.com" TargetMode="External"/><Relationship Id="rId245" Type="http://schemas.openxmlformats.org/officeDocument/2006/relationships/hyperlink" Target="mailto:jlc.services@orange.fr" TargetMode="External"/><Relationship Id="rId266" Type="http://schemas.openxmlformats.org/officeDocument/2006/relationships/hyperlink" Target="mailto:jacques.faure24@wanadoo.fr" TargetMode="External"/><Relationship Id="rId287" Type="http://schemas.openxmlformats.org/officeDocument/2006/relationships/hyperlink" Target="mailto:jlc.services@orange.fr" TargetMode="External"/><Relationship Id="rId410" Type="http://schemas.openxmlformats.org/officeDocument/2006/relationships/hyperlink" Target="mailto:nessfrance38@hotmail.fr" TargetMode="External"/><Relationship Id="rId30" Type="http://schemas.openxmlformats.org/officeDocument/2006/relationships/hyperlink" Target="mailto:bois-soleil-chauffage@orange.fr" TargetMode="External"/><Relationship Id="rId105" Type="http://schemas.openxmlformats.org/officeDocument/2006/relationships/hyperlink" Target="mailto:pascal.brn@gmail.com" TargetMode="External"/><Relationship Id="rId126" Type="http://schemas.openxmlformats.org/officeDocument/2006/relationships/hyperlink" Target="mailto:bois-soleil-chauffage@orange.fr" TargetMode="External"/><Relationship Id="rId147" Type="http://schemas.openxmlformats.org/officeDocument/2006/relationships/hyperlink" Target="mailto:accueil@carre-f.com" TargetMode="External"/><Relationship Id="rId168" Type="http://schemas.openxmlformats.org/officeDocument/2006/relationships/hyperlink" Target="mailto:contact.echirolles@alp-confort.fr" TargetMode="External"/><Relationship Id="rId312" Type="http://schemas.openxmlformats.org/officeDocument/2006/relationships/hyperlink" Target="mailto:sarlpab@orange.fr" TargetMode="External"/><Relationship Id="rId333" Type="http://schemas.openxmlformats.org/officeDocument/2006/relationships/hyperlink" Target="mailto:contact@ecvoiron.fr" TargetMode="External"/><Relationship Id="rId354" Type="http://schemas.openxmlformats.org/officeDocument/2006/relationships/hyperlink" Target="mailto:cheminees.jay@orange.fr" TargetMode="External"/><Relationship Id="rId51" Type="http://schemas.openxmlformats.org/officeDocument/2006/relationships/hyperlink" Target="mailto:contact@chauffage-sanitaire-service.com" TargetMode="External"/><Relationship Id="rId72" Type="http://schemas.openxmlformats.org/officeDocument/2006/relationships/hyperlink" Target="mailto:bois-soleil-chauffage@orange.fr" TargetMode="External"/><Relationship Id="rId93" Type="http://schemas.openxmlformats.org/officeDocument/2006/relationships/hyperlink" Target="mailto:jlc.services@orange.fr" TargetMode="External"/><Relationship Id="rId189" Type="http://schemas.openxmlformats.org/officeDocument/2006/relationships/hyperlink" Target="mailto:jacques.faure24@wanadoo.fr" TargetMode="External"/><Relationship Id="rId375" Type="http://schemas.openxmlformats.org/officeDocument/2006/relationships/hyperlink" Target="mailto:a.caruana@alp-confort.fr" TargetMode="External"/><Relationship Id="rId396" Type="http://schemas.openxmlformats.org/officeDocument/2006/relationships/hyperlink" Target="mailto:grenoble@hase-boutique.fr" TargetMode="External"/><Relationship Id="rId3" Type="http://schemas.openxmlformats.org/officeDocument/2006/relationships/hyperlink" Target="mailto:contact@fer-et-feu.fr" TargetMode="External"/><Relationship Id="rId214" Type="http://schemas.openxmlformats.org/officeDocument/2006/relationships/hyperlink" Target="mailto:contact@ecvoiron.fr" TargetMode="External"/><Relationship Id="rId235" Type="http://schemas.openxmlformats.org/officeDocument/2006/relationships/hyperlink" Target="mailto:contact@fer-et-feu.fr" TargetMode="External"/><Relationship Id="rId256" Type="http://schemas.openxmlformats.org/officeDocument/2006/relationships/hyperlink" Target="mailto:bois-soleil-chauffage@orange.fr" TargetMode="External"/><Relationship Id="rId277" Type="http://schemas.openxmlformats.org/officeDocument/2006/relationships/hyperlink" Target="mailto:enerlogis@orange.fr" TargetMode="External"/><Relationship Id="rId298" Type="http://schemas.openxmlformats.org/officeDocument/2006/relationships/hyperlink" Target="mailto:expertise.ramonage.paquet@gmail.com" TargetMode="External"/><Relationship Id="rId400" Type="http://schemas.openxmlformats.org/officeDocument/2006/relationships/hyperlink" Target="mailto:jcduo@orange.fr" TargetMode="External"/><Relationship Id="rId116" Type="http://schemas.openxmlformats.org/officeDocument/2006/relationships/hyperlink" Target="mailto:thomas.morey@wattethome.com" TargetMode="External"/><Relationship Id="rId137" Type="http://schemas.openxmlformats.org/officeDocument/2006/relationships/hyperlink" Target="mailto:godin-grenoble@orange.fr" TargetMode="External"/><Relationship Id="rId158" Type="http://schemas.openxmlformats.org/officeDocument/2006/relationships/hyperlink" Target="mailto:sandra@alp-confort.fr" TargetMode="External"/><Relationship Id="rId302" Type="http://schemas.openxmlformats.org/officeDocument/2006/relationships/hyperlink" Target="mailto:godin-grenoble@orange.fr" TargetMode="External"/><Relationship Id="rId323" Type="http://schemas.openxmlformats.org/officeDocument/2006/relationships/hyperlink" Target="mailto:info@antheus-concept.fr" TargetMode="External"/><Relationship Id="rId344" Type="http://schemas.openxmlformats.org/officeDocument/2006/relationships/hyperlink" Target="mailto:carrelageetc@gmail.com" TargetMode="External"/><Relationship Id="rId20" Type="http://schemas.openxmlformats.org/officeDocument/2006/relationships/hyperlink" Target="mailto:contact@fer-et-feu.fr" TargetMode="External"/><Relationship Id="rId41" Type="http://schemas.openxmlformats.org/officeDocument/2006/relationships/hyperlink" Target="mailto:grenoble@hase-boutique.fr" TargetMode="External"/><Relationship Id="rId62" Type="http://schemas.openxmlformats.org/officeDocument/2006/relationships/hyperlink" Target="mailto:aucoindufeu38@gmail.com" TargetMode="External"/><Relationship Id="rId83" Type="http://schemas.openxmlformats.org/officeDocument/2006/relationships/hyperlink" Target="mailto:accueil@carre.f.com" TargetMode="External"/><Relationship Id="rId179" Type="http://schemas.openxmlformats.org/officeDocument/2006/relationships/hyperlink" Target="mailto:contact@fer-et-feu.fr" TargetMode="External"/><Relationship Id="rId365" Type="http://schemas.openxmlformats.org/officeDocument/2006/relationships/hyperlink" Target="mailto:godin-grenoble@orange.fr" TargetMode="External"/><Relationship Id="rId386" Type="http://schemas.openxmlformats.org/officeDocument/2006/relationships/hyperlink" Target="mailto:jacques.faure24@wanadoo.fr" TargetMode="External"/><Relationship Id="rId190" Type="http://schemas.openxmlformats.org/officeDocument/2006/relationships/hyperlink" Target="mailto:jacques.faure24@wanadoo.fr" TargetMode="External"/><Relationship Id="rId204" Type="http://schemas.openxmlformats.org/officeDocument/2006/relationships/hyperlink" Target="mailto:jacques.faure24@wanadoo.fr" TargetMode="External"/><Relationship Id="rId225" Type="http://schemas.openxmlformats.org/officeDocument/2006/relationships/hyperlink" Target="mailto:flammeiseroise38300@orange.fr" TargetMode="External"/><Relationship Id="rId246" Type="http://schemas.openxmlformats.org/officeDocument/2006/relationships/hyperlink" Target="mailto:jacques.faure24@wanadoo.fr" TargetMode="External"/><Relationship Id="rId267" Type="http://schemas.openxmlformats.org/officeDocument/2006/relationships/hyperlink" Target="mailto:pascal.brn@gmail.com" TargetMode="External"/><Relationship Id="rId288" Type="http://schemas.openxmlformats.org/officeDocument/2006/relationships/hyperlink" Target="mailto:cheminees-jay@orange.fr" TargetMode="External"/><Relationship Id="rId411" Type="http://schemas.openxmlformats.org/officeDocument/2006/relationships/hyperlink" Target="mailto:pascal.brn@gmail.com" TargetMode="External"/><Relationship Id="rId106" Type="http://schemas.openxmlformats.org/officeDocument/2006/relationships/hyperlink" Target="mailto:godin-grenoble@orange.fr" TargetMode="External"/><Relationship Id="rId127" Type="http://schemas.openxmlformats.org/officeDocument/2006/relationships/hyperlink" Target="mailto:contact@ecovesta.fr" TargetMode="External"/><Relationship Id="rId313" Type="http://schemas.openxmlformats.org/officeDocument/2006/relationships/hyperlink" Target="mailto:contact@ecvoiron.fr" TargetMode="External"/><Relationship Id="rId10" Type="http://schemas.openxmlformats.org/officeDocument/2006/relationships/hyperlink" Target="mailto:chemineescastan@orange.fr" TargetMode="External"/><Relationship Id="rId31" Type="http://schemas.openxmlformats.org/officeDocument/2006/relationships/hyperlink" Target="mailto:bois-soleil-chauffage@orange.fr" TargetMode="External"/><Relationship Id="rId52" Type="http://schemas.openxmlformats.org/officeDocument/2006/relationships/hyperlink" Target="mailto:jcduo@orange.fr" TargetMode="External"/><Relationship Id="rId73" Type="http://schemas.openxmlformats.org/officeDocument/2006/relationships/hyperlink" Target="mailto:bois-soleil-chauffage@orange.fr" TargetMode="External"/><Relationship Id="rId94" Type="http://schemas.openxmlformats.org/officeDocument/2006/relationships/hyperlink" Target="mailto:jacques.faure@wanadoo.fr" TargetMode="External"/><Relationship Id="rId148" Type="http://schemas.openxmlformats.org/officeDocument/2006/relationships/hyperlink" Target="mailto:cheminees.jay@orange.fr" TargetMode="External"/><Relationship Id="rId169" Type="http://schemas.openxmlformats.org/officeDocument/2006/relationships/hyperlink" Target="mailto:aucoindufeu38@gmail.com" TargetMode="External"/><Relationship Id="rId334" Type="http://schemas.openxmlformats.org/officeDocument/2006/relationships/hyperlink" Target="mailto:ambiance.flamme.chazelles@gmail.com" TargetMode="External"/><Relationship Id="rId355" Type="http://schemas.openxmlformats.org/officeDocument/2006/relationships/hyperlink" Target="mailto:bois-soleil-chauffage@orange.fr" TargetMode="External"/><Relationship Id="rId376" Type="http://schemas.openxmlformats.org/officeDocument/2006/relationships/hyperlink" Target="mailto:grenoble@hase-boutique.fr" TargetMode="External"/><Relationship Id="rId397" Type="http://schemas.openxmlformats.org/officeDocument/2006/relationships/hyperlink" Target="mailto:contact@fer-et-feu.fr" TargetMode="External"/><Relationship Id="rId4" Type="http://schemas.openxmlformats.org/officeDocument/2006/relationships/hyperlink" Target="mailto:info@oliger.fr" TargetMode="External"/><Relationship Id="rId180" Type="http://schemas.openxmlformats.org/officeDocument/2006/relationships/hyperlink" Target="mailto:jacques.faure24@wanadoo.fr" TargetMode="External"/><Relationship Id="rId215" Type="http://schemas.openxmlformats.org/officeDocument/2006/relationships/hyperlink" Target="mailto:fralor73@wanadoo.fr" TargetMode="External"/><Relationship Id="rId236" Type="http://schemas.openxmlformats.org/officeDocument/2006/relationships/hyperlink" Target="mailto:bois-soleil-chauffage@orange.fr" TargetMode="External"/><Relationship Id="rId257" Type="http://schemas.openxmlformats.org/officeDocument/2006/relationships/hyperlink" Target="mailto:jcduo@orange.fr" TargetMode="External"/><Relationship Id="rId278" Type="http://schemas.openxmlformats.org/officeDocument/2006/relationships/hyperlink" Target="mailto:jlc.services@orange.fr" TargetMode="External"/><Relationship Id="rId401" Type="http://schemas.openxmlformats.org/officeDocument/2006/relationships/hyperlink" Target="mailto:cheminees.jay@orange.fr" TargetMode="External"/><Relationship Id="rId303" Type="http://schemas.openxmlformats.org/officeDocument/2006/relationships/hyperlink" Target="mailto:f.carre@carre-f.com" TargetMode="External"/><Relationship Id="rId42" Type="http://schemas.openxmlformats.org/officeDocument/2006/relationships/hyperlink" Target="mailto:grenoble@hase-boutique.fr" TargetMode="External"/><Relationship Id="rId84" Type="http://schemas.openxmlformats.org/officeDocument/2006/relationships/hyperlink" Target="mailto:flammeiseroise@orange.fr" TargetMode="External"/><Relationship Id="rId138" Type="http://schemas.openxmlformats.org/officeDocument/2006/relationships/hyperlink" Target="mailto:sarlpab@orange.fr" TargetMode="External"/><Relationship Id="rId345" Type="http://schemas.openxmlformats.org/officeDocument/2006/relationships/hyperlink" Target="mailto:jlc.services@orange.fr" TargetMode="External"/><Relationship Id="rId387" Type="http://schemas.openxmlformats.org/officeDocument/2006/relationships/hyperlink" Target="mailto:godin-grenoble@orange.fr" TargetMode="External"/><Relationship Id="rId191" Type="http://schemas.openxmlformats.org/officeDocument/2006/relationships/hyperlink" Target="mailto:jacques.faure24@wanadoo.fr" TargetMode="External"/><Relationship Id="rId205" Type="http://schemas.openxmlformats.org/officeDocument/2006/relationships/hyperlink" Target="mailto:alby-eco@sfr.fr" TargetMode="External"/><Relationship Id="rId247" Type="http://schemas.openxmlformats.org/officeDocument/2006/relationships/hyperlink" Target="mailto:contact@poelesgranules.fr" TargetMode="External"/><Relationship Id="rId412" Type="http://schemas.openxmlformats.org/officeDocument/2006/relationships/hyperlink" Target="mailto:cheminees.jay@orange.fr" TargetMode="External"/><Relationship Id="rId107" Type="http://schemas.openxmlformats.org/officeDocument/2006/relationships/hyperlink" Target="mailto:jlc.services@orange.fr" TargetMode="External"/><Relationship Id="rId289" Type="http://schemas.openxmlformats.org/officeDocument/2006/relationships/hyperlink" Target="mailto:contact@wattethome.com" TargetMode="External"/><Relationship Id="rId11" Type="http://schemas.openxmlformats.org/officeDocument/2006/relationships/hyperlink" Target="mailto:contact@gaz-services.net" TargetMode="External"/><Relationship Id="rId53" Type="http://schemas.openxmlformats.org/officeDocument/2006/relationships/hyperlink" Target="mailto:accueil@carre-f.com" TargetMode="External"/><Relationship Id="rId149" Type="http://schemas.openxmlformats.org/officeDocument/2006/relationships/hyperlink" Target="mailto:commercial-godin@orange.fr" TargetMode="External"/><Relationship Id="rId314" Type="http://schemas.openxmlformats.org/officeDocument/2006/relationships/hyperlink" Target="mailto:contact@wattethome.com" TargetMode="External"/><Relationship Id="rId356" Type="http://schemas.openxmlformats.org/officeDocument/2006/relationships/hyperlink" Target="mailto:jcduo@orange.fr" TargetMode="External"/><Relationship Id="rId398" Type="http://schemas.openxmlformats.org/officeDocument/2006/relationships/hyperlink" Target="mailto:flammeiseroise@orange.fr" TargetMode="External"/><Relationship Id="rId95" Type="http://schemas.openxmlformats.org/officeDocument/2006/relationships/hyperlink" Target="mailto:contact@ecvoiron.fr" TargetMode="External"/><Relationship Id="rId160" Type="http://schemas.openxmlformats.org/officeDocument/2006/relationships/hyperlink" Target="mailto:bois-soleil-chauffage@orange.fr" TargetMode="External"/><Relationship Id="rId216" Type="http://schemas.openxmlformats.org/officeDocument/2006/relationships/hyperlink" Target="mailto:contact@wattethome.com" TargetMode="External"/><Relationship Id="rId258" Type="http://schemas.openxmlformats.org/officeDocument/2006/relationships/hyperlink" Target="mailto:contact@ecvoiron.fr" TargetMode="External"/><Relationship Id="rId22" Type="http://schemas.openxmlformats.org/officeDocument/2006/relationships/hyperlink" Target="mailto:jlc.services@orange.fr" TargetMode="External"/><Relationship Id="rId64" Type="http://schemas.openxmlformats.org/officeDocument/2006/relationships/hyperlink" Target="mailto:contact@ecvoiron.fr" TargetMode="External"/><Relationship Id="rId118" Type="http://schemas.openxmlformats.org/officeDocument/2006/relationships/hyperlink" Target="mailto:jcduo@orange.fr" TargetMode="External"/><Relationship Id="rId325" Type="http://schemas.openxmlformats.org/officeDocument/2006/relationships/hyperlink" Target="mailto:sarlpab@orange.fr" TargetMode="External"/><Relationship Id="rId367" Type="http://schemas.openxmlformats.org/officeDocument/2006/relationships/hyperlink" Target="mailto:frederic@passionflamme.fr" TargetMode="External"/><Relationship Id="rId171" Type="http://schemas.openxmlformats.org/officeDocument/2006/relationships/hyperlink" Target="mailto:contact@wattethome.com" TargetMode="External"/><Relationship Id="rId227" Type="http://schemas.openxmlformats.org/officeDocument/2006/relationships/hyperlink" Target="mailto:contact@ecvoiron.fr" TargetMode="External"/><Relationship Id="rId269" Type="http://schemas.openxmlformats.org/officeDocument/2006/relationships/hyperlink" Target="mailto:cheminees-jay@orange.fr" TargetMode="External"/><Relationship Id="rId33" Type="http://schemas.openxmlformats.org/officeDocument/2006/relationships/hyperlink" Target="mailto:jcduo@orange.fr" TargetMode="External"/><Relationship Id="rId129" Type="http://schemas.openxmlformats.org/officeDocument/2006/relationships/hyperlink" Target="mailto:accueil@carre-f.com" TargetMode="External"/><Relationship Id="rId280" Type="http://schemas.openxmlformats.org/officeDocument/2006/relationships/hyperlink" Target="mailto:jacques.faure24@wanadoo.fr" TargetMode="External"/><Relationship Id="rId336" Type="http://schemas.openxmlformats.org/officeDocument/2006/relationships/hyperlink" Target="mailto:contactprojet@orange.fr" TargetMode="External"/><Relationship Id="rId75" Type="http://schemas.openxmlformats.org/officeDocument/2006/relationships/hyperlink" Target="mailto:sarlpab@orange.fr" TargetMode="External"/><Relationship Id="rId140" Type="http://schemas.openxmlformats.org/officeDocument/2006/relationships/hyperlink" Target="mailto:accueil@carre-f.com" TargetMode="External"/><Relationship Id="rId182" Type="http://schemas.openxmlformats.org/officeDocument/2006/relationships/hyperlink" Target="mailto:jacques.faure24@wanadoo.fr" TargetMode="External"/><Relationship Id="rId378" Type="http://schemas.openxmlformats.org/officeDocument/2006/relationships/hyperlink" Target="mailto:jlc.services@orange.fr" TargetMode="External"/><Relationship Id="rId403" Type="http://schemas.openxmlformats.org/officeDocument/2006/relationships/hyperlink" Target="mailto:contact@ecvoiron.fr" TargetMode="External"/><Relationship Id="rId6" Type="http://schemas.openxmlformats.org/officeDocument/2006/relationships/hyperlink" Target="mailto:nessfrance38@hotmail.fr" TargetMode="External"/><Relationship Id="rId238" Type="http://schemas.openxmlformats.org/officeDocument/2006/relationships/hyperlink" Target="mailto:fralor73@wanadoo.fr" TargetMode="External"/><Relationship Id="rId291" Type="http://schemas.openxmlformats.org/officeDocument/2006/relationships/hyperlink" Target="mailto:grenoble@hase-boutique.fr" TargetMode="External"/><Relationship Id="rId305" Type="http://schemas.openxmlformats.org/officeDocument/2006/relationships/hyperlink" Target="mailto:jacques.faure24@wanadoo.fr" TargetMode="External"/><Relationship Id="rId347" Type="http://schemas.openxmlformats.org/officeDocument/2006/relationships/hyperlink" Target="mailto:jlc.services@orange.fr" TargetMode="External"/><Relationship Id="rId44" Type="http://schemas.openxmlformats.org/officeDocument/2006/relationships/hyperlink" Target="mailto:bois-soleil-chauffage@orange.fr" TargetMode="External"/><Relationship Id="rId86" Type="http://schemas.openxmlformats.org/officeDocument/2006/relationships/hyperlink" Target="mailto:infos73@atre-loisirs.fr" TargetMode="External"/><Relationship Id="rId151" Type="http://schemas.openxmlformats.org/officeDocument/2006/relationships/hyperlink" Target="mailto:jacques.faure24@wanadoo.fr" TargetMode="External"/><Relationship Id="rId389" Type="http://schemas.openxmlformats.org/officeDocument/2006/relationships/hyperlink" Target="mailto:contact@fer-et-feu.fr" TargetMode="External"/><Relationship Id="rId193" Type="http://schemas.openxmlformats.org/officeDocument/2006/relationships/hyperlink" Target="mailto:contact@ecvoiron.fr" TargetMode="External"/><Relationship Id="rId207" Type="http://schemas.openxmlformats.org/officeDocument/2006/relationships/hyperlink" Target="mailto:jacques.faure24@wanadoo.fr" TargetMode="External"/><Relationship Id="rId249" Type="http://schemas.openxmlformats.org/officeDocument/2006/relationships/hyperlink" Target="mailto:cheminees.jay@orange.fr" TargetMode="External"/><Relationship Id="rId414" Type="http://schemas.openxmlformats.org/officeDocument/2006/relationships/hyperlink" Target="mailto:commercial-godin@orange.fr" TargetMode="External"/><Relationship Id="rId13" Type="http://schemas.openxmlformats.org/officeDocument/2006/relationships/hyperlink" Target="mailto:contact-hase26@orange.fr" TargetMode="External"/><Relationship Id="rId109" Type="http://schemas.openxmlformats.org/officeDocument/2006/relationships/hyperlink" Target="mailto:contact@ecvoiron.fr" TargetMode="External"/><Relationship Id="rId260" Type="http://schemas.openxmlformats.org/officeDocument/2006/relationships/hyperlink" Target="mailto:bois-soleil-chauffage@orange.fr" TargetMode="External"/><Relationship Id="rId316" Type="http://schemas.openxmlformats.org/officeDocument/2006/relationships/hyperlink" Target="mailto:fdeplomberie@yahoo.fr" TargetMode="External"/><Relationship Id="rId55" Type="http://schemas.openxmlformats.org/officeDocument/2006/relationships/hyperlink" Target="mailto:contact@nordiflam.com" TargetMode="External"/><Relationship Id="rId97" Type="http://schemas.openxmlformats.org/officeDocument/2006/relationships/hyperlink" Target="mailto:contact@sgee.fr" TargetMode="External"/><Relationship Id="rId120" Type="http://schemas.openxmlformats.org/officeDocument/2006/relationships/hyperlink" Target="mailto:jacques.faure24@wanadoo.fr" TargetMode="External"/><Relationship Id="rId358" Type="http://schemas.openxmlformats.org/officeDocument/2006/relationships/hyperlink" Target="mailto:sarlpab@orange.fr" TargetMode="External"/><Relationship Id="rId162" Type="http://schemas.openxmlformats.org/officeDocument/2006/relationships/hyperlink" Target="mailto:contact@fer-et-feu.fr" TargetMode="External"/><Relationship Id="rId218" Type="http://schemas.openxmlformats.org/officeDocument/2006/relationships/hyperlink" Target="mailto:contact@ecvoiron.fr" TargetMode="External"/><Relationship Id="rId271" Type="http://schemas.openxmlformats.org/officeDocument/2006/relationships/hyperlink" Target="mailto:jcduo@orange.fr" TargetMode="External"/><Relationship Id="rId24" Type="http://schemas.openxmlformats.org/officeDocument/2006/relationships/hyperlink" Target="mailto:jcduo@orange.fr" TargetMode="External"/><Relationship Id="rId66" Type="http://schemas.openxmlformats.org/officeDocument/2006/relationships/hyperlink" Target="mailto:jacques.faure@wanadoo.fr" TargetMode="External"/><Relationship Id="rId131" Type="http://schemas.openxmlformats.org/officeDocument/2006/relationships/hyperlink" Target="mailto:cheminees.jay@orange.fr" TargetMode="External"/><Relationship Id="rId327" Type="http://schemas.openxmlformats.org/officeDocument/2006/relationships/hyperlink" Target="mailto:infos38@atre-loisirs.fr" TargetMode="External"/><Relationship Id="rId369" Type="http://schemas.openxmlformats.org/officeDocument/2006/relationships/hyperlink" Target="mailto:contact@ecvoiron.fr" TargetMode="External"/><Relationship Id="rId173" Type="http://schemas.openxmlformats.org/officeDocument/2006/relationships/hyperlink" Target="mailto:pascale.energies@gmail.com" TargetMode="External"/><Relationship Id="rId229" Type="http://schemas.openxmlformats.org/officeDocument/2006/relationships/hyperlink" Target="mailto:bois-soleil-chauffage@orange.fr" TargetMode="External"/><Relationship Id="rId380" Type="http://schemas.openxmlformats.org/officeDocument/2006/relationships/hyperlink" Target="mailto:jacques.faure24@wanadoo.fr" TargetMode="External"/><Relationship Id="rId240" Type="http://schemas.openxmlformats.org/officeDocument/2006/relationships/hyperlink" Target="mailto:jacques.faure24@wanadoo.fr" TargetMode="External"/><Relationship Id="rId35" Type="http://schemas.openxmlformats.org/officeDocument/2006/relationships/hyperlink" Target="mailto:bois-soleil-chauffage@orange.fr" TargetMode="External"/><Relationship Id="rId77" Type="http://schemas.openxmlformats.org/officeDocument/2006/relationships/hyperlink" Target="mailto:cheminees.jay@orange.fr" TargetMode="External"/><Relationship Id="rId100" Type="http://schemas.openxmlformats.org/officeDocument/2006/relationships/hyperlink" Target="mailto:nessfrance38@hotmail.fr" TargetMode="External"/><Relationship Id="rId282" Type="http://schemas.openxmlformats.org/officeDocument/2006/relationships/hyperlink" Target="mailto:cheminees-jay@orange.fr" TargetMode="External"/><Relationship Id="rId338" Type="http://schemas.openxmlformats.org/officeDocument/2006/relationships/hyperlink" Target="mailto:laglacetlefeu38@gmail.com" TargetMode="External"/><Relationship Id="rId8" Type="http://schemas.openxmlformats.org/officeDocument/2006/relationships/hyperlink" Target="mailto:jcduo@orange.fr" TargetMode="External"/><Relationship Id="rId142" Type="http://schemas.openxmlformats.org/officeDocument/2006/relationships/hyperlink" Target="mailto:cheminees.jay@orange.fr" TargetMode="External"/><Relationship Id="rId184" Type="http://schemas.openxmlformats.org/officeDocument/2006/relationships/hyperlink" Target="mailto:accueil@carre-f.com" TargetMode="External"/><Relationship Id="rId391" Type="http://schemas.openxmlformats.org/officeDocument/2006/relationships/hyperlink" Target="mailto:contact@ecuvoiron.fr" TargetMode="External"/><Relationship Id="rId405" Type="http://schemas.openxmlformats.org/officeDocument/2006/relationships/hyperlink" Target="mailto:jacques.faure24@wanadoo.fr" TargetMode="External"/><Relationship Id="rId251" Type="http://schemas.openxmlformats.org/officeDocument/2006/relationships/hyperlink" Target="mailto:f.carre@carre-f.com" TargetMode="External"/><Relationship Id="rId46" Type="http://schemas.openxmlformats.org/officeDocument/2006/relationships/hyperlink" Target="mailto:f.carre@carre-f.com" TargetMode="External"/><Relationship Id="rId293" Type="http://schemas.openxmlformats.org/officeDocument/2006/relationships/hyperlink" Target="mailto:laglacetlefeu38@gmail.com" TargetMode="External"/><Relationship Id="rId307" Type="http://schemas.openxmlformats.org/officeDocument/2006/relationships/hyperlink" Target="mailto:bois-soleil-chauffage@orange.fr" TargetMode="External"/><Relationship Id="rId349" Type="http://schemas.openxmlformats.org/officeDocument/2006/relationships/hyperlink" Target="mailto:contact@fer-et-feu.fr" TargetMode="External"/><Relationship Id="rId88" Type="http://schemas.openxmlformats.org/officeDocument/2006/relationships/hyperlink" Target="mailto:jlc.services@orange.fr" TargetMode="External"/><Relationship Id="rId111" Type="http://schemas.openxmlformats.org/officeDocument/2006/relationships/hyperlink" Target="mailto:f.carre@carre-f.com" TargetMode="External"/><Relationship Id="rId153" Type="http://schemas.openxmlformats.org/officeDocument/2006/relationships/hyperlink" Target="mailto:jlc.services@orange.fr" TargetMode="External"/><Relationship Id="rId195" Type="http://schemas.openxmlformats.org/officeDocument/2006/relationships/hyperlink" Target="mailto:cheminees.jay@orange.fr" TargetMode="External"/><Relationship Id="rId209" Type="http://schemas.openxmlformats.org/officeDocument/2006/relationships/hyperlink" Target="mailto:jlc.services@orange.fr" TargetMode="External"/><Relationship Id="rId360" Type="http://schemas.openxmlformats.org/officeDocument/2006/relationships/hyperlink" Target="mailto:grenoble@hase-boutique.fr" TargetMode="External"/><Relationship Id="rId416" Type="http://schemas.openxmlformats.org/officeDocument/2006/relationships/hyperlink" Target="mailto:jcduo@orange.fr" TargetMode="External"/><Relationship Id="rId220" Type="http://schemas.openxmlformats.org/officeDocument/2006/relationships/hyperlink" Target="mailto:a.caruana@alp-confort.fr" TargetMode="External"/><Relationship Id="rId15" Type="http://schemas.openxmlformats.org/officeDocument/2006/relationships/hyperlink" Target="mailto:jlc.services@orange.fr" TargetMode="External"/><Relationship Id="rId57" Type="http://schemas.openxmlformats.org/officeDocument/2006/relationships/hyperlink" Target="mailto:cheminees.jay@orange.fr" TargetMode="External"/><Relationship Id="rId262" Type="http://schemas.openxmlformats.org/officeDocument/2006/relationships/hyperlink" Target="mailto:contact@wattethome.com" TargetMode="External"/><Relationship Id="rId318" Type="http://schemas.openxmlformats.org/officeDocument/2006/relationships/hyperlink" Target="mailto:jacques.faure24@wanadoo.fr" TargetMode="External"/><Relationship Id="rId99" Type="http://schemas.openxmlformats.org/officeDocument/2006/relationships/hyperlink" Target="mailto:flammeiseroise@orange.fr" TargetMode="External"/><Relationship Id="rId122" Type="http://schemas.openxmlformats.org/officeDocument/2006/relationships/hyperlink" Target="mailto:bois-soleil-chauffage@orange.fr" TargetMode="External"/><Relationship Id="rId164" Type="http://schemas.openxmlformats.org/officeDocument/2006/relationships/hyperlink" Target="mailto:contact@ecvoiron.fr" TargetMode="External"/><Relationship Id="rId371" Type="http://schemas.openxmlformats.org/officeDocument/2006/relationships/hyperlink" Target="mailto:jacques.faure24@wanadoo.fr" TargetMode="External"/><Relationship Id="rId26" Type="http://schemas.openxmlformats.org/officeDocument/2006/relationships/hyperlink" Target="mailto:grenoble@hase-boutique.fr" TargetMode="External"/><Relationship Id="rId231" Type="http://schemas.openxmlformats.org/officeDocument/2006/relationships/hyperlink" Target="mailto:godin-grenoble@orange.fr" TargetMode="External"/><Relationship Id="rId273" Type="http://schemas.openxmlformats.org/officeDocument/2006/relationships/hyperlink" Target="mailto:info@antheus-concept.fr" TargetMode="External"/><Relationship Id="rId329" Type="http://schemas.openxmlformats.org/officeDocument/2006/relationships/hyperlink" Target="mailto:jlc.services@orange.fr" TargetMode="External"/><Relationship Id="rId68" Type="http://schemas.openxmlformats.org/officeDocument/2006/relationships/hyperlink" Target="mailto:jacques.faure@wanadoo.fr" TargetMode="External"/><Relationship Id="rId133" Type="http://schemas.openxmlformats.org/officeDocument/2006/relationships/hyperlink" Target="mailto:sasc2denergie@gmail.com" TargetMode="External"/><Relationship Id="rId175" Type="http://schemas.openxmlformats.org/officeDocument/2006/relationships/hyperlink" Target="mailto:jlc.services@orange.fr" TargetMode="External"/><Relationship Id="rId340" Type="http://schemas.openxmlformats.org/officeDocument/2006/relationships/hyperlink" Target="mailto:godin-grenoble@orange.fr" TargetMode="External"/><Relationship Id="rId200" Type="http://schemas.openxmlformats.org/officeDocument/2006/relationships/hyperlink" Target="mailto:expertise.ramonage.paquet@gmail.com" TargetMode="External"/><Relationship Id="rId382" Type="http://schemas.openxmlformats.org/officeDocument/2006/relationships/hyperlink" Target="mailto:contact@ecvoiron.fr" TargetMode="External"/><Relationship Id="rId242" Type="http://schemas.openxmlformats.org/officeDocument/2006/relationships/hyperlink" Target="mailto:energie.trieves@orange.fr" TargetMode="External"/><Relationship Id="rId284" Type="http://schemas.openxmlformats.org/officeDocument/2006/relationships/hyperlink" Target="mailto:remiriondet@yahoo.fr" TargetMode="External"/><Relationship Id="rId37" Type="http://schemas.openxmlformats.org/officeDocument/2006/relationships/hyperlink" Target="mailto:chemineescastan@orange.fr" TargetMode="External"/><Relationship Id="rId79" Type="http://schemas.openxmlformats.org/officeDocument/2006/relationships/hyperlink" Target="mailto:jlc.services@orange.fr" TargetMode="External"/><Relationship Id="rId102" Type="http://schemas.openxmlformats.org/officeDocument/2006/relationships/hyperlink" Target="mailto:s.clement@atre-loisirs.fr" TargetMode="External"/><Relationship Id="rId144" Type="http://schemas.openxmlformats.org/officeDocument/2006/relationships/hyperlink" Target="mailto:contact@fer-et-feu.fr" TargetMode="External"/><Relationship Id="rId90" Type="http://schemas.openxmlformats.org/officeDocument/2006/relationships/hyperlink" Target="mailto:jlc.services@orange.fr" TargetMode="External"/><Relationship Id="rId186" Type="http://schemas.openxmlformats.org/officeDocument/2006/relationships/hyperlink" Target="mailto:accueil@carre-f.com" TargetMode="External"/><Relationship Id="rId351" Type="http://schemas.openxmlformats.org/officeDocument/2006/relationships/hyperlink" Target="mailto:godin-grenoble@orange.fr" TargetMode="External"/><Relationship Id="rId393" Type="http://schemas.openxmlformats.org/officeDocument/2006/relationships/hyperlink" Target="mailto:laglacetlefeu38@gmail.com" TargetMode="External"/><Relationship Id="rId407" Type="http://schemas.openxmlformats.org/officeDocument/2006/relationships/hyperlink" Target="mailto:contact@ecvoiron.fr" TargetMode="External"/><Relationship Id="rId211" Type="http://schemas.openxmlformats.org/officeDocument/2006/relationships/hyperlink" Target="mailto:jacques.faure24@wanadoo.fr" TargetMode="External"/><Relationship Id="rId253" Type="http://schemas.openxmlformats.org/officeDocument/2006/relationships/hyperlink" Target="mailto:jlc.services@orange.fr" TargetMode="External"/><Relationship Id="rId295" Type="http://schemas.openxmlformats.org/officeDocument/2006/relationships/hyperlink" Target="mailto:contact@ecvoiron.fr" TargetMode="External"/><Relationship Id="rId309" Type="http://schemas.openxmlformats.org/officeDocument/2006/relationships/hyperlink" Target="mailto:contact@wattethome.com" TargetMode="External"/><Relationship Id="rId48" Type="http://schemas.openxmlformats.org/officeDocument/2006/relationships/hyperlink" Target="mailto:richouxdidier@laposte.net" TargetMode="External"/><Relationship Id="rId113" Type="http://schemas.openxmlformats.org/officeDocument/2006/relationships/hyperlink" Target="mailto:bois-soleil-chauffage@orange.fr" TargetMode="External"/><Relationship Id="rId320" Type="http://schemas.openxmlformats.org/officeDocument/2006/relationships/hyperlink" Target="mailto:f.carre@carre-f.com" TargetMode="External"/><Relationship Id="rId155" Type="http://schemas.openxmlformats.org/officeDocument/2006/relationships/hyperlink" Target="mailto:jacques.faure24@wanadoo.fr" TargetMode="External"/><Relationship Id="rId197" Type="http://schemas.openxmlformats.org/officeDocument/2006/relationships/hyperlink" Target="mailto:chauffage.pesenti@gmail.com" TargetMode="External"/><Relationship Id="rId362" Type="http://schemas.openxmlformats.org/officeDocument/2006/relationships/hyperlink" Target="mailto:contact@ecvoiron.fr" TargetMode="External"/><Relationship Id="rId418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17" Type="http://schemas.openxmlformats.org/officeDocument/2006/relationships/hyperlink" Target="mailto:gilbert.jay@orange.fr" TargetMode="External"/><Relationship Id="rId21" Type="http://schemas.openxmlformats.org/officeDocument/2006/relationships/hyperlink" Target="mailto:yves.isabelle.hirschauer@wanadoo.fr" TargetMode="External"/><Relationship Id="rId42" Type="http://schemas.openxmlformats.org/officeDocument/2006/relationships/hyperlink" Target="mailto:francis.baillet38@gmail.com" TargetMode="External"/><Relationship Id="rId63" Type="http://schemas.openxmlformats.org/officeDocument/2006/relationships/hyperlink" Target="mailto:jpcaruso@orange.fr" TargetMode="External"/><Relationship Id="rId84" Type="http://schemas.openxmlformats.org/officeDocument/2006/relationships/hyperlink" Target="mailto:b.perroux@gmail.com" TargetMode="External"/><Relationship Id="rId138" Type="http://schemas.openxmlformats.org/officeDocument/2006/relationships/hyperlink" Target="mailto:jocelyne.cebola@ameg.fr" TargetMode="External"/><Relationship Id="rId107" Type="http://schemas.openxmlformats.org/officeDocument/2006/relationships/hyperlink" Target="mailto:elisa.diaz@orange.fr" TargetMode="External"/><Relationship Id="rId11" Type="http://schemas.openxmlformats.org/officeDocument/2006/relationships/hyperlink" Target="mailto:hlachaise@nge.fr" TargetMode="External"/><Relationship Id="rId32" Type="http://schemas.openxmlformats.org/officeDocument/2006/relationships/hyperlink" Target="mailto:laurencetreves@yahoo.fr" TargetMode="External"/><Relationship Id="rId37" Type="http://schemas.openxmlformats.org/officeDocument/2006/relationships/hyperlink" Target="mailto:hubsuz.bret@orange.fr" TargetMode="External"/><Relationship Id="rId53" Type="http://schemas.openxmlformats.org/officeDocument/2006/relationships/hyperlink" Target="mailto:kahl.emeline@wanadoo.fr" TargetMode="External"/><Relationship Id="rId58" Type="http://schemas.openxmlformats.org/officeDocument/2006/relationships/hyperlink" Target="mailto:sandrine.bortolato@orange.fr" TargetMode="External"/><Relationship Id="rId74" Type="http://schemas.openxmlformats.org/officeDocument/2006/relationships/hyperlink" Target="mailto:fabien.ceccaldi@orange.fr" TargetMode="External"/><Relationship Id="rId79" Type="http://schemas.openxmlformats.org/officeDocument/2006/relationships/hyperlink" Target="mailto:giroud.franck@wanadoo.fr" TargetMode="External"/><Relationship Id="rId102" Type="http://schemas.openxmlformats.org/officeDocument/2006/relationships/hyperlink" Target="mailto:lperd@hotmail.com" TargetMode="External"/><Relationship Id="rId123" Type="http://schemas.openxmlformats.org/officeDocument/2006/relationships/hyperlink" Target="mailto:joel.auvergne@gmail.com" TargetMode="External"/><Relationship Id="rId128" Type="http://schemas.openxmlformats.org/officeDocument/2006/relationships/hyperlink" Target="mailto:rival.christian@wanadoo.fr" TargetMode="External"/><Relationship Id="rId5" Type="http://schemas.openxmlformats.org/officeDocument/2006/relationships/hyperlink" Target="mailto:melanie.vaudray@hotmail.fr" TargetMode="External"/><Relationship Id="rId90" Type="http://schemas.openxmlformats.org/officeDocument/2006/relationships/hyperlink" Target="mailto:letellierchirens@free.fr" TargetMode="External"/><Relationship Id="rId95" Type="http://schemas.openxmlformats.org/officeDocument/2006/relationships/hyperlink" Target="mailto:florian.chataing@gmail.com" TargetMode="External"/><Relationship Id="rId22" Type="http://schemas.openxmlformats.org/officeDocument/2006/relationships/hyperlink" Target="mailto:stephanie.orgeas@gmail.com" TargetMode="External"/><Relationship Id="rId27" Type="http://schemas.openxmlformats.org/officeDocument/2006/relationships/hyperlink" Target="mailto:arnaud.menguy@gmail.com" TargetMode="External"/><Relationship Id="rId43" Type="http://schemas.openxmlformats.org/officeDocument/2006/relationships/hyperlink" Target="mailto:philippe.holliger@yahoo.fr" TargetMode="External"/><Relationship Id="rId48" Type="http://schemas.openxmlformats.org/officeDocument/2006/relationships/hyperlink" Target="mailto:christophe.hatton.13@gmail.com" TargetMode="External"/><Relationship Id="rId64" Type="http://schemas.openxmlformats.org/officeDocument/2006/relationships/hyperlink" Target="mailto:rleroy38@laposte.net" TargetMode="External"/><Relationship Id="rId69" Type="http://schemas.openxmlformats.org/officeDocument/2006/relationships/hyperlink" Target="mailto:geraldine.ferronato@gmail.com" TargetMode="External"/><Relationship Id="rId113" Type="http://schemas.openxmlformats.org/officeDocument/2006/relationships/hyperlink" Target="mailto:moinecarolle@gmail.com" TargetMode="External"/><Relationship Id="rId118" Type="http://schemas.openxmlformats.org/officeDocument/2006/relationships/hyperlink" Target="mailto:familleadamski@neuf.fr" TargetMode="External"/><Relationship Id="rId134" Type="http://schemas.openxmlformats.org/officeDocument/2006/relationships/hyperlink" Target="mailto:domi.putelat@free.fr" TargetMode="External"/><Relationship Id="rId139" Type="http://schemas.openxmlformats.org/officeDocument/2006/relationships/hyperlink" Target="mailto:alpesimmobilier38@gmail.com" TargetMode="External"/><Relationship Id="rId80" Type="http://schemas.openxmlformats.org/officeDocument/2006/relationships/hyperlink" Target="mailto:a.brindani@laposte.net" TargetMode="External"/><Relationship Id="rId85" Type="http://schemas.openxmlformats.org/officeDocument/2006/relationships/hyperlink" Target="mailto:c_genton@orange.fr" TargetMode="External"/><Relationship Id="rId12" Type="http://schemas.openxmlformats.org/officeDocument/2006/relationships/hyperlink" Target="mailto:flo.loeser@gmail.com" TargetMode="External"/><Relationship Id="rId17" Type="http://schemas.openxmlformats.org/officeDocument/2006/relationships/hyperlink" Target="mailto:bibi.fabry@orange.fr" TargetMode="External"/><Relationship Id="rId33" Type="http://schemas.openxmlformats.org/officeDocument/2006/relationships/hyperlink" Target="mailto:fredericfath@yahoo.fr" TargetMode="External"/><Relationship Id="rId38" Type="http://schemas.openxmlformats.org/officeDocument/2006/relationships/hyperlink" Target="mailto:gregoire.jouan@gmail.com" TargetMode="External"/><Relationship Id="rId59" Type="http://schemas.openxmlformats.org/officeDocument/2006/relationships/hyperlink" Target="mailto:j.nemoz@aliceadsl.fr" TargetMode="External"/><Relationship Id="rId103" Type="http://schemas.openxmlformats.org/officeDocument/2006/relationships/hyperlink" Target="mailto:blm.entreprise38@orange.fr" TargetMode="External"/><Relationship Id="rId108" Type="http://schemas.openxmlformats.org/officeDocument/2006/relationships/hyperlink" Target="mailto:jean-claude_mondon@orange.fr" TargetMode="External"/><Relationship Id="rId124" Type="http://schemas.openxmlformats.org/officeDocument/2006/relationships/hyperlink" Target="mailto:mathieu.battail@wanadoo.fr" TargetMode="External"/><Relationship Id="rId129" Type="http://schemas.openxmlformats.org/officeDocument/2006/relationships/hyperlink" Target="mailto:ludovic.barrot@wanadoo.fr" TargetMode="External"/><Relationship Id="rId54" Type="http://schemas.openxmlformats.org/officeDocument/2006/relationships/hyperlink" Target="mailto:verdaguer.laura@yahoo.fr" TargetMode="External"/><Relationship Id="rId70" Type="http://schemas.openxmlformats.org/officeDocument/2006/relationships/hyperlink" Target="mailto:sebastien.knockaert@orange.fr" TargetMode="External"/><Relationship Id="rId75" Type="http://schemas.openxmlformats.org/officeDocument/2006/relationships/hyperlink" Target="mailto:gilbert.sillon@orange.fr" TargetMode="External"/><Relationship Id="rId91" Type="http://schemas.openxmlformats.org/officeDocument/2006/relationships/hyperlink" Target="mailto:veronique.perez@wanadoo.fr" TargetMode="External"/><Relationship Id="rId96" Type="http://schemas.openxmlformats.org/officeDocument/2006/relationships/hyperlink" Target="mailto:dimitri_ktenas@hotmail.com" TargetMode="External"/><Relationship Id="rId140" Type="http://schemas.openxmlformats.org/officeDocument/2006/relationships/hyperlink" Target="mailto:lauga@ill.fr" TargetMode="External"/><Relationship Id="rId1" Type="http://schemas.openxmlformats.org/officeDocument/2006/relationships/hyperlink" Target="mailto:bobgrang@gmail.com" TargetMode="External"/><Relationship Id="rId6" Type="http://schemas.openxmlformats.org/officeDocument/2006/relationships/hyperlink" Target="mailto:christine.chassiboud@orange.fr" TargetMode="External"/><Relationship Id="rId23" Type="http://schemas.openxmlformats.org/officeDocument/2006/relationships/hyperlink" Target="mailto:clementnathalie239@yahoo.fr" TargetMode="External"/><Relationship Id="rId28" Type="http://schemas.openxmlformats.org/officeDocument/2006/relationships/hyperlink" Target="mailto:chuper38@gmail.com" TargetMode="External"/><Relationship Id="rId49" Type="http://schemas.openxmlformats.org/officeDocument/2006/relationships/hyperlink" Target="mailto:l.scappaticci@wanadoo.fr" TargetMode="External"/><Relationship Id="rId114" Type="http://schemas.openxmlformats.org/officeDocument/2006/relationships/hyperlink" Target="mailto:berger.christophe@bbox.fr" TargetMode="External"/><Relationship Id="rId119" Type="http://schemas.openxmlformats.org/officeDocument/2006/relationships/hyperlink" Target="mailto:e.berg@hotmail.fr" TargetMode="External"/><Relationship Id="rId44" Type="http://schemas.openxmlformats.org/officeDocument/2006/relationships/hyperlink" Target="mailto:carine.borgesgourdol@gmail.com" TargetMode="External"/><Relationship Id="rId60" Type="http://schemas.openxmlformats.org/officeDocument/2006/relationships/hyperlink" Target="mailto:s.mercent@yahoo.fr" TargetMode="External"/><Relationship Id="rId65" Type="http://schemas.openxmlformats.org/officeDocument/2006/relationships/hyperlink" Target="mailto:gui_re8_b16a@hotmail.fr" TargetMode="External"/><Relationship Id="rId81" Type="http://schemas.openxmlformats.org/officeDocument/2006/relationships/hyperlink" Target="mailto:zala.ninon@orange.fr" TargetMode="External"/><Relationship Id="rId86" Type="http://schemas.openxmlformats.org/officeDocument/2006/relationships/hyperlink" Target="mailto:beatrice.ci@wanadoo.fr" TargetMode="External"/><Relationship Id="rId130" Type="http://schemas.openxmlformats.org/officeDocument/2006/relationships/hyperlink" Target="mailto:christiane.servant@manpower.fr" TargetMode="External"/><Relationship Id="rId135" Type="http://schemas.openxmlformats.org/officeDocument/2006/relationships/hyperlink" Target="mailto:sebastien.buffat@gmail.com" TargetMode="External"/><Relationship Id="rId13" Type="http://schemas.openxmlformats.org/officeDocument/2006/relationships/hyperlink" Target="mailto:kw.halo@wanadoo.fr" TargetMode="External"/><Relationship Id="rId18" Type="http://schemas.openxmlformats.org/officeDocument/2006/relationships/hyperlink" Target="mailto:olivier_deschamps@hotmail.com" TargetMode="External"/><Relationship Id="rId39" Type="http://schemas.openxmlformats.org/officeDocument/2006/relationships/hyperlink" Target="mailto:vrogier@gmail.com" TargetMode="External"/><Relationship Id="rId109" Type="http://schemas.openxmlformats.org/officeDocument/2006/relationships/hyperlink" Target="mailto:anne-laure.barra@lncmi.cnrs.fr" TargetMode="External"/><Relationship Id="rId34" Type="http://schemas.openxmlformats.org/officeDocument/2006/relationships/hyperlink" Target="mailto:jean-marc.foulon0717@orange.fr" TargetMode="External"/><Relationship Id="rId50" Type="http://schemas.openxmlformats.org/officeDocument/2006/relationships/hyperlink" Target="mailto:richard.petri@orange.fr" TargetMode="External"/><Relationship Id="rId55" Type="http://schemas.openxmlformats.org/officeDocument/2006/relationships/hyperlink" Target="mailto:michel.termozboulaton@orange.fr" TargetMode="External"/><Relationship Id="rId76" Type="http://schemas.openxmlformats.org/officeDocument/2006/relationships/hyperlink" Target="mailto:laurent.benoit33@orange.fr" TargetMode="External"/><Relationship Id="rId97" Type="http://schemas.openxmlformats.org/officeDocument/2006/relationships/hyperlink" Target="mailto:sandrine.bonnefond@neuf.fr" TargetMode="External"/><Relationship Id="rId104" Type="http://schemas.openxmlformats.org/officeDocument/2006/relationships/hyperlink" Target="mailto:alexandrine.fernandez02@gmail.com" TargetMode="External"/><Relationship Id="rId120" Type="http://schemas.openxmlformats.org/officeDocument/2006/relationships/hyperlink" Target="mailto:ludovic.fortoul@orange.fr" TargetMode="External"/><Relationship Id="rId125" Type="http://schemas.openxmlformats.org/officeDocument/2006/relationships/hyperlink" Target="mailto:m.farabet@gmail.com" TargetMode="External"/><Relationship Id="rId141" Type="http://schemas.openxmlformats.org/officeDocument/2006/relationships/hyperlink" Target="mailto:verolefiblec@free.fr" TargetMode="External"/><Relationship Id="rId7" Type="http://schemas.openxmlformats.org/officeDocument/2006/relationships/hyperlink" Target="mailto:martine.r.delubac@gsk.com" TargetMode="External"/><Relationship Id="rId71" Type="http://schemas.openxmlformats.org/officeDocument/2006/relationships/hyperlink" Target="mailto:mlj.monti@gmail.com" TargetMode="External"/><Relationship Id="rId92" Type="http://schemas.openxmlformats.org/officeDocument/2006/relationships/hyperlink" Target="mailto:berard.guillaume@yahoo.fr" TargetMode="External"/><Relationship Id="rId2" Type="http://schemas.openxmlformats.org/officeDocument/2006/relationships/hyperlink" Target="mailto:nurain.catherine@cegetel.net" TargetMode="External"/><Relationship Id="rId29" Type="http://schemas.openxmlformats.org/officeDocument/2006/relationships/hyperlink" Target="mailto:lisecarre3@gmail.com" TargetMode="External"/><Relationship Id="rId24" Type="http://schemas.openxmlformats.org/officeDocument/2006/relationships/hyperlink" Target="mailto:cplms38@free.fr" TargetMode="External"/><Relationship Id="rId40" Type="http://schemas.openxmlformats.org/officeDocument/2006/relationships/hyperlink" Target="mailto:michel.carisio@orange.fr" TargetMode="External"/><Relationship Id="rId45" Type="http://schemas.openxmlformats.org/officeDocument/2006/relationships/hyperlink" Target="mailto:deborde.henri-charles@orange.fr" TargetMode="External"/><Relationship Id="rId66" Type="http://schemas.openxmlformats.org/officeDocument/2006/relationships/hyperlink" Target="mailto:jmjema@wanadoo.fr" TargetMode="External"/><Relationship Id="rId87" Type="http://schemas.openxmlformats.org/officeDocument/2006/relationships/hyperlink" Target="mailto:senaize@bbox.fr" TargetMode="External"/><Relationship Id="rId110" Type="http://schemas.openxmlformats.org/officeDocument/2006/relationships/hyperlink" Target="mailto:marionmc@sfr.fr" TargetMode="External"/><Relationship Id="rId115" Type="http://schemas.openxmlformats.org/officeDocument/2006/relationships/hyperlink" Target="mailto:alexandra.egger@neuf.fr" TargetMode="External"/><Relationship Id="rId131" Type="http://schemas.openxmlformats.org/officeDocument/2006/relationships/hyperlink" Target="mailto:georges.stretti@wanadoo.fr" TargetMode="External"/><Relationship Id="rId136" Type="http://schemas.openxmlformats.org/officeDocument/2006/relationships/hyperlink" Target="mailto:maillot.fab@aliceadsl.fr" TargetMode="External"/><Relationship Id="rId61" Type="http://schemas.openxmlformats.org/officeDocument/2006/relationships/hyperlink" Target="mailto:patou1244@hotmail.fr" TargetMode="External"/><Relationship Id="rId82" Type="http://schemas.openxmlformats.org/officeDocument/2006/relationships/hyperlink" Target="mailto:alain.mosca@yahoo.fr" TargetMode="External"/><Relationship Id="rId19" Type="http://schemas.openxmlformats.org/officeDocument/2006/relationships/hyperlink" Target="mailto:michel.38.arnould@gmail.com" TargetMode="External"/><Relationship Id="rId14" Type="http://schemas.openxmlformats.org/officeDocument/2006/relationships/hyperlink" Target="mailto:mikexcoff@free.fr" TargetMode="External"/><Relationship Id="rId30" Type="http://schemas.openxmlformats.org/officeDocument/2006/relationships/hyperlink" Target="mailto:colette.kubiak@orange.fr" TargetMode="External"/><Relationship Id="rId35" Type="http://schemas.openxmlformats.org/officeDocument/2006/relationships/hyperlink" Target="mailto:netgi@orange.fr" TargetMode="External"/><Relationship Id="rId56" Type="http://schemas.openxmlformats.org/officeDocument/2006/relationships/hyperlink" Target="mailto:stellemie@hotmail.fr" TargetMode="External"/><Relationship Id="rId77" Type="http://schemas.openxmlformats.org/officeDocument/2006/relationships/hyperlink" Target="mailto:jerome.collion@gmail.com" TargetMode="External"/><Relationship Id="rId100" Type="http://schemas.openxmlformats.org/officeDocument/2006/relationships/hyperlink" Target="mailto:sandrine.poulicet@gmail.com" TargetMode="External"/><Relationship Id="rId105" Type="http://schemas.openxmlformats.org/officeDocument/2006/relationships/hyperlink" Target="mailto:helo.bossuyt@gmail.com" TargetMode="External"/><Relationship Id="rId126" Type="http://schemas.openxmlformats.org/officeDocument/2006/relationships/hyperlink" Target="mailto:brunetoc@free.fr" TargetMode="External"/><Relationship Id="rId8" Type="http://schemas.openxmlformats.org/officeDocument/2006/relationships/hyperlink" Target="mailto:mireille-sylvain@orange.fr" TargetMode="External"/><Relationship Id="rId51" Type="http://schemas.openxmlformats.org/officeDocument/2006/relationships/hyperlink" Target="mailto:jacquelinemt@neuf.fr" TargetMode="External"/><Relationship Id="rId72" Type="http://schemas.openxmlformats.org/officeDocument/2006/relationships/hyperlink" Target="mailto:tomas.guillet@gmail.com" TargetMode="External"/><Relationship Id="rId93" Type="http://schemas.openxmlformats.org/officeDocument/2006/relationships/hyperlink" Target="mailto:chtiot38@gmail.com" TargetMode="External"/><Relationship Id="rId98" Type="http://schemas.openxmlformats.org/officeDocument/2006/relationships/hyperlink" Target="mailto:mjglayere94@gmail.com" TargetMode="External"/><Relationship Id="rId121" Type="http://schemas.openxmlformats.org/officeDocument/2006/relationships/hyperlink" Target="mailto:stephane.molinari@free.fr" TargetMode="External"/><Relationship Id="rId142" Type="http://schemas.openxmlformats.org/officeDocument/2006/relationships/drawing" Target="../drawings/drawing3.xml"/><Relationship Id="rId3" Type="http://schemas.openxmlformats.org/officeDocument/2006/relationships/hyperlink" Target="mailto:chantoiseau.alexis@gmail.com" TargetMode="External"/><Relationship Id="rId25" Type="http://schemas.openxmlformats.org/officeDocument/2006/relationships/hyperlink" Target="mailto:emmanuelle.radzyner@orange.fr" TargetMode="External"/><Relationship Id="rId46" Type="http://schemas.openxmlformats.org/officeDocument/2006/relationships/hyperlink" Target="mailto:dvandeweeghe@orange.fr" TargetMode="External"/><Relationship Id="rId67" Type="http://schemas.openxmlformats.org/officeDocument/2006/relationships/hyperlink" Target="mailto:perret-christian@orange.fr" TargetMode="External"/><Relationship Id="rId116" Type="http://schemas.openxmlformats.org/officeDocument/2006/relationships/hyperlink" Target="mailto:pm.moulin@orange.fr" TargetMode="External"/><Relationship Id="rId137" Type="http://schemas.openxmlformats.org/officeDocument/2006/relationships/hyperlink" Target="mailto:sylvieruzzin@yahoo.fr" TargetMode="External"/><Relationship Id="rId20" Type="http://schemas.openxmlformats.org/officeDocument/2006/relationships/hyperlink" Target="mailto:bmd@clouet@wanadoo.fr" TargetMode="External"/><Relationship Id="rId41" Type="http://schemas.openxmlformats.org/officeDocument/2006/relationships/hyperlink" Target="mailto:piaggio38@hotmail.fr" TargetMode="External"/><Relationship Id="rId62" Type="http://schemas.openxmlformats.org/officeDocument/2006/relationships/hyperlink" Target="mailto:jerem.blain@gmail.com" TargetMode="External"/><Relationship Id="rId83" Type="http://schemas.openxmlformats.org/officeDocument/2006/relationships/hyperlink" Target="mailto:veduclos@free.fr" TargetMode="External"/><Relationship Id="rId88" Type="http://schemas.openxmlformats.org/officeDocument/2006/relationships/hyperlink" Target="mailto:bernard.rolando@wanadoo.fr" TargetMode="External"/><Relationship Id="rId111" Type="http://schemas.openxmlformats.org/officeDocument/2006/relationships/hyperlink" Target="mailto:yann.garnier9@wanadoo.fr" TargetMode="External"/><Relationship Id="rId132" Type="http://schemas.openxmlformats.org/officeDocument/2006/relationships/hyperlink" Target="mailto:clement.jeanpaul@neuf.fr" TargetMode="External"/><Relationship Id="rId15" Type="http://schemas.openxmlformats.org/officeDocument/2006/relationships/hyperlink" Target="mailto:gerald.fantinel@orange.fr" TargetMode="External"/><Relationship Id="rId36" Type="http://schemas.openxmlformats.org/officeDocument/2006/relationships/hyperlink" Target="mailto:couleurs.du.jour@gmail.com" TargetMode="External"/><Relationship Id="rId57" Type="http://schemas.openxmlformats.org/officeDocument/2006/relationships/hyperlink" Target="mailto:romain.madonia@orange.fr" TargetMode="External"/><Relationship Id="rId106" Type="http://schemas.openxmlformats.org/officeDocument/2006/relationships/hyperlink" Target="mailto:isavalfort@gmail.com" TargetMode="External"/><Relationship Id="rId127" Type="http://schemas.openxmlformats.org/officeDocument/2006/relationships/hyperlink" Target="mailto:flooo23@yahoo.fr" TargetMode="External"/><Relationship Id="rId10" Type="http://schemas.openxmlformats.org/officeDocument/2006/relationships/hyperlink" Target="mailto:nadegesv@gmail.com" TargetMode="External"/><Relationship Id="rId31" Type="http://schemas.openxmlformats.org/officeDocument/2006/relationships/hyperlink" Target="mailto:serggrai@aol.com" TargetMode="External"/><Relationship Id="rId52" Type="http://schemas.openxmlformats.org/officeDocument/2006/relationships/hyperlink" Target="mailto:oliveira.alan@aliceadsl.fr" TargetMode="External"/><Relationship Id="rId73" Type="http://schemas.openxmlformats.org/officeDocument/2006/relationships/hyperlink" Target="mailto:barbier.eric91@gmail.com" TargetMode="External"/><Relationship Id="rId78" Type="http://schemas.openxmlformats.org/officeDocument/2006/relationships/hyperlink" Target="mailto:alain.le-perron@orange.fr" TargetMode="External"/><Relationship Id="rId94" Type="http://schemas.openxmlformats.org/officeDocument/2006/relationships/hyperlink" Target="mailto:alpesconcept@gmail.com" TargetMode="External"/><Relationship Id="rId99" Type="http://schemas.openxmlformats.org/officeDocument/2006/relationships/hyperlink" Target="mailto:blanc.jerome@cegetel.net" TargetMode="External"/><Relationship Id="rId101" Type="http://schemas.openxmlformats.org/officeDocument/2006/relationships/hyperlink" Target="mailto:jean.bonzi@cegetel.net" TargetMode="External"/><Relationship Id="rId122" Type="http://schemas.openxmlformats.org/officeDocument/2006/relationships/hyperlink" Target="mailto:chollatfabienne@gmail.com" TargetMode="External"/><Relationship Id="rId4" Type="http://schemas.openxmlformats.org/officeDocument/2006/relationships/hyperlink" Target="mailto:liviamarie.cercle@yahoo.fr" TargetMode="External"/><Relationship Id="rId9" Type="http://schemas.openxmlformats.org/officeDocument/2006/relationships/hyperlink" Target="mailto:jpcrodriguez38@gmail.com" TargetMode="External"/><Relationship Id="rId26" Type="http://schemas.openxmlformats.org/officeDocument/2006/relationships/hyperlink" Target="mailto:pascal.cornet38@gmail.com" TargetMode="External"/><Relationship Id="rId47" Type="http://schemas.openxmlformats.org/officeDocument/2006/relationships/hyperlink" Target="mailto:briere.florence@orange.fr" TargetMode="External"/><Relationship Id="rId68" Type="http://schemas.openxmlformats.org/officeDocument/2006/relationships/hyperlink" Target="mailto:guivernein.38@gmail.com" TargetMode="External"/><Relationship Id="rId89" Type="http://schemas.openxmlformats.org/officeDocument/2006/relationships/hyperlink" Target="mailto:mireille.chaugne@gmail.com" TargetMode="External"/><Relationship Id="rId112" Type="http://schemas.openxmlformats.org/officeDocument/2006/relationships/hyperlink" Target="mailto:maudlurin@hotmail.fr" TargetMode="External"/><Relationship Id="rId133" Type="http://schemas.openxmlformats.org/officeDocument/2006/relationships/hyperlink" Target="mailto:jeanmariegaillat@hotmail.fr" TargetMode="External"/><Relationship Id="rId16" Type="http://schemas.openxmlformats.org/officeDocument/2006/relationships/hyperlink" Target="mailto:m.bouvierpatron@orange.fr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U695"/>
  <sheetViews>
    <sheetView tabSelected="1" topLeftCell="A4" workbookViewId="0">
      <pane xSplit="4" ySplit="2" topLeftCell="E659" activePane="bottomRight" state="frozenSplit"/>
      <selection activeCell="A4" sqref="A4"/>
      <selection pane="topRight" activeCell="G4" sqref="G4"/>
      <selection pane="bottomLeft" activeCell="A9" sqref="A9"/>
      <selection pane="bottomRight" activeCell="AD660" sqref="AD660"/>
    </sheetView>
  </sheetViews>
  <sheetFormatPr baseColWidth="10" defaultRowHeight="15" x14ac:dyDescent="0.25"/>
  <cols>
    <col min="3" max="3" width="11.5703125" style="2"/>
    <col min="4" max="4" width="11.5703125" style="199"/>
    <col min="5" max="5" width="11.5703125" style="199" customWidth="1"/>
    <col min="6" max="6" width="11.5703125" style="199"/>
    <col min="7" max="7" width="12.5703125" style="199" bestFit="1" customWidth="1"/>
    <col min="8" max="10" width="11.5703125" style="199"/>
    <col min="11" max="11" width="0" style="199" hidden="1" customWidth="1"/>
    <col min="12" max="17" width="11.5703125" style="199"/>
    <col min="18" max="18" width="11.5703125" hidden="1" customWidth="1"/>
    <col min="19" max="19" width="11.5703125" style="199"/>
    <col min="30" max="30" width="12.85546875" customWidth="1"/>
    <col min="32" max="32" width="10.7109375" customWidth="1"/>
    <col min="33" max="34" width="11.5703125" hidden="1" customWidth="1"/>
    <col min="35" max="35" width="9" customWidth="1"/>
    <col min="36" max="36" width="8.7109375" customWidth="1"/>
    <col min="37" max="37" width="6" bestFit="1" customWidth="1"/>
    <col min="38" max="38" width="8.28515625" bestFit="1" customWidth="1"/>
    <col min="44" max="44" width="11.5703125" style="250"/>
    <col min="46" max="46" width="17.28515625" customWidth="1"/>
    <col min="58" max="58" width="0" hidden="1" customWidth="1"/>
    <col min="60" max="62" width="0" hidden="1" customWidth="1"/>
    <col min="63" max="63" width="9.7109375" customWidth="1"/>
    <col min="64" max="64" width="11.85546875" customWidth="1"/>
    <col min="71" max="71" width="0" hidden="1" customWidth="1"/>
  </cols>
  <sheetData>
    <row r="1" spans="1:73" hidden="1" x14ac:dyDescent="0.25">
      <c r="B1" s="1"/>
      <c r="C1" s="2" t="s">
        <v>0</v>
      </c>
      <c r="E1" s="200"/>
      <c r="F1" s="199" t="s">
        <v>1</v>
      </c>
      <c r="I1" s="201"/>
      <c r="J1" s="199" t="s">
        <v>4</v>
      </c>
      <c r="M1" s="202"/>
      <c r="N1" s="199" t="s">
        <v>7</v>
      </c>
      <c r="AR1"/>
    </row>
    <row r="2" spans="1:73" hidden="1" x14ac:dyDescent="0.25">
      <c r="A2" s="4"/>
      <c r="AL2" s="3"/>
      <c r="AM2" s="3"/>
      <c r="AO2" s="3"/>
      <c r="AP2" s="3"/>
      <c r="AR2"/>
    </row>
    <row r="3" spans="1:73" ht="25.5" hidden="1" x14ac:dyDescent="0.25">
      <c r="A3" s="4"/>
      <c r="C3" s="6"/>
      <c r="D3" s="203" t="s">
        <v>10</v>
      </c>
      <c r="E3" s="203"/>
      <c r="F3" s="203"/>
      <c r="G3" s="203"/>
      <c r="H3" s="203"/>
      <c r="I3" s="203"/>
      <c r="J3" s="203"/>
      <c r="K3" s="204"/>
      <c r="L3" s="203"/>
      <c r="M3" s="203"/>
      <c r="N3" s="203"/>
      <c r="O3" s="203"/>
      <c r="P3" s="203"/>
      <c r="Q3" s="203"/>
      <c r="R3" s="8"/>
      <c r="S3" s="203"/>
      <c r="T3" s="7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9" t="s">
        <v>11</v>
      </c>
      <c r="AV3" s="9"/>
      <c r="AW3" s="9"/>
      <c r="AX3" s="9"/>
      <c r="AY3" s="9"/>
      <c r="AZ3" s="9"/>
      <c r="BA3" s="9"/>
      <c r="BB3" s="9"/>
      <c r="BC3" s="9"/>
      <c r="BD3" s="9"/>
      <c r="BE3" s="9"/>
      <c r="BF3" s="10" t="s">
        <v>12</v>
      </c>
      <c r="BG3" s="10" t="s">
        <v>12</v>
      </c>
      <c r="BH3" s="11"/>
      <c r="BI3" s="11"/>
      <c r="BJ3" s="11"/>
      <c r="BK3" s="10"/>
      <c r="BL3" s="10"/>
      <c r="BM3" s="10"/>
      <c r="BN3" s="10"/>
      <c r="BO3" s="12" t="s">
        <v>13</v>
      </c>
    </row>
    <row r="4" spans="1:73" ht="61.15" customHeight="1" x14ac:dyDescent="0.25">
      <c r="A4" s="13" t="s">
        <v>14</v>
      </c>
      <c r="B4" s="13" t="s">
        <v>15</v>
      </c>
      <c r="C4" s="14" t="s">
        <v>16</v>
      </c>
      <c r="D4" s="15" t="s">
        <v>17</v>
      </c>
      <c r="E4" s="15" t="s">
        <v>17</v>
      </c>
      <c r="F4" s="15" t="s">
        <v>18</v>
      </c>
      <c r="G4" s="15" t="s">
        <v>19</v>
      </c>
      <c r="H4" s="15" t="s">
        <v>20</v>
      </c>
      <c r="I4" s="15" t="s">
        <v>21</v>
      </c>
      <c r="J4" s="205" t="s">
        <v>22</v>
      </c>
      <c r="K4" s="206"/>
      <c r="L4" s="15" t="s">
        <v>23</v>
      </c>
      <c r="M4" s="15" t="s">
        <v>24</v>
      </c>
      <c r="N4" s="15" t="s">
        <v>25</v>
      </c>
      <c r="O4" s="15" t="s">
        <v>26</v>
      </c>
      <c r="P4" s="15" t="s">
        <v>27</v>
      </c>
      <c r="Q4" s="205" t="s">
        <v>28</v>
      </c>
      <c r="R4" s="16"/>
      <c r="S4" s="15" t="s">
        <v>29</v>
      </c>
      <c r="T4" s="17" t="s">
        <v>30</v>
      </c>
      <c r="U4" s="18"/>
      <c r="V4" s="18"/>
      <c r="W4" s="18" t="s">
        <v>33</v>
      </c>
      <c r="X4" s="19" t="s">
        <v>34</v>
      </c>
      <c r="Y4" s="19"/>
      <c r="Z4" s="18"/>
      <c r="AA4" s="18" t="s">
        <v>36</v>
      </c>
      <c r="AB4" s="18" t="s">
        <v>37</v>
      </c>
      <c r="AC4" s="18" t="s">
        <v>38</v>
      </c>
      <c r="AD4" s="20"/>
      <c r="AE4" s="18"/>
      <c r="AF4" s="18" t="s">
        <v>41</v>
      </c>
      <c r="AG4" s="18" t="s">
        <v>42</v>
      </c>
      <c r="AH4" s="18" t="s">
        <v>43</v>
      </c>
      <c r="AI4" s="18" t="s">
        <v>44</v>
      </c>
      <c r="AJ4" s="18" t="s">
        <v>45</v>
      </c>
      <c r="AK4" s="18" t="s">
        <v>46</v>
      </c>
      <c r="AL4" s="18" t="s">
        <v>47</v>
      </c>
      <c r="AM4" s="18" t="s">
        <v>48</v>
      </c>
      <c r="AN4" s="18" t="s">
        <v>49</v>
      </c>
      <c r="AO4" s="18" t="s">
        <v>50</v>
      </c>
      <c r="AP4" s="18" t="s">
        <v>4188</v>
      </c>
      <c r="AQ4" s="18" t="s">
        <v>51</v>
      </c>
      <c r="AR4" s="248" t="s">
        <v>52</v>
      </c>
      <c r="AS4" s="18" t="s">
        <v>53</v>
      </c>
      <c r="AT4" s="20" t="s">
        <v>54</v>
      </c>
      <c r="AU4" s="21" t="s">
        <v>55</v>
      </c>
      <c r="AV4" s="21" t="s">
        <v>56</v>
      </c>
      <c r="AW4" s="21" t="s">
        <v>57</v>
      </c>
      <c r="AX4" s="21" t="s">
        <v>58</v>
      </c>
      <c r="AY4" s="21" t="s">
        <v>59</v>
      </c>
      <c r="AZ4" s="21" t="s">
        <v>60</v>
      </c>
      <c r="BA4" s="21" t="s">
        <v>61</v>
      </c>
      <c r="BB4" s="21" t="s">
        <v>62</v>
      </c>
      <c r="BC4" s="21" t="s">
        <v>63</v>
      </c>
      <c r="BD4" s="21" t="s">
        <v>64</v>
      </c>
      <c r="BE4" s="21" t="s">
        <v>65</v>
      </c>
      <c r="BF4" s="22" t="s">
        <v>66</v>
      </c>
      <c r="BG4" s="22" t="s">
        <v>67</v>
      </c>
      <c r="BH4" s="23"/>
      <c r="BI4" s="23" t="s">
        <v>68</v>
      </c>
      <c r="BJ4" s="23"/>
      <c r="BK4" s="22" t="s">
        <v>69</v>
      </c>
      <c r="BL4" s="22" t="s">
        <v>70</v>
      </c>
      <c r="BM4" s="22" t="s">
        <v>71</v>
      </c>
      <c r="BN4" s="22" t="s">
        <v>72</v>
      </c>
      <c r="BO4" s="22" t="s">
        <v>72</v>
      </c>
      <c r="BP4" s="24" t="s">
        <v>73</v>
      </c>
      <c r="BQ4" s="24" t="s">
        <v>74</v>
      </c>
      <c r="BR4" s="25" t="s">
        <v>75</v>
      </c>
      <c r="BS4" s="85" t="s">
        <v>3628</v>
      </c>
      <c r="BT4" s="85" t="s">
        <v>3962</v>
      </c>
      <c r="BU4" s="85" t="s">
        <v>4422</v>
      </c>
    </row>
    <row r="5" spans="1:73" ht="63.6" customHeight="1" x14ac:dyDescent="0.25">
      <c r="A5" s="26" t="s">
        <v>76</v>
      </c>
      <c r="B5" s="26" t="s">
        <v>77</v>
      </c>
      <c r="C5" s="5"/>
      <c r="D5" s="207" t="s">
        <v>78</v>
      </c>
      <c r="E5" s="153" t="s">
        <v>79</v>
      </c>
      <c r="F5" s="153" t="s">
        <v>80</v>
      </c>
      <c r="G5" s="153" t="s">
        <v>81</v>
      </c>
      <c r="H5" s="153" t="s">
        <v>82</v>
      </c>
      <c r="I5" s="153" t="s">
        <v>4247</v>
      </c>
      <c r="J5" s="208" t="s">
        <v>83</v>
      </c>
      <c r="K5" s="209"/>
      <c r="L5" s="153" t="s">
        <v>84</v>
      </c>
      <c r="M5" s="153" t="s">
        <v>85</v>
      </c>
      <c r="N5" s="153" t="s">
        <v>86</v>
      </c>
      <c r="O5" s="153" t="s">
        <v>87</v>
      </c>
      <c r="P5" s="153" t="s">
        <v>4248</v>
      </c>
      <c r="Q5" s="208" t="s">
        <v>83</v>
      </c>
      <c r="R5" s="154"/>
      <c r="S5" s="153" t="s">
        <v>88</v>
      </c>
      <c r="T5" s="44" t="s">
        <v>9</v>
      </c>
      <c r="U5" s="87"/>
      <c r="V5" s="87"/>
      <c r="W5" s="44"/>
      <c r="X5" s="44"/>
      <c r="Y5" s="44"/>
      <c r="Z5" s="87"/>
      <c r="AA5" s="87"/>
      <c r="AB5" s="87"/>
      <c r="AC5" s="87"/>
      <c r="AD5" s="155"/>
      <c r="AE5" s="87"/>
      <c r="AF5" s="87"/>
      <c r="AG5" s="87"/>
      <c r="AH5" s="87"/>
      <c r="AI5" s="87"/>
      <c r="AJ5" s="87"/>
      <c r="AK5" s="87"/>
      <c r="AL5" s="87"/>
      <c r="AM5" s="87"/>
      <c r="AN5" s="87"/>
      <c r="AO5" s="87"/>
      <c r="AP5" s="87"/>
      <c r="AQ5" s="87"/>
      <c r="AR5" s="249"/>
      <c r="AS5" s="87"/>
      <c r="AT5" s="155"/>
      <c r="AU5" s="87"/>
      <c r="AV5" s="87"/>
      <c r="AW5" s="87"/>
      <c r="AX5" s="87"/>
      <c r="AY5" s="87"/>
      <c r="AZ5" s="87"/>
      <c r="BA5" s="87"/>
      <c r="BB5" s="87"/>
      <c r="BC5" s="87"/>
      <c r="BD5" s="87" t="s">
        <v>3848</v>
      </c>
      <c r="BE5" s="87" t="s">
        <v>89</v>
      </c>
      <c r="BF5" s="87"/>
      <c r="BG5" s="87"/>
      <c r="BH5" s="156"/>
      <c r="BI5" s="156"/>
      <c r="BJ5" s="156"/>
      <c r="BK5" s="87"/>
      <c r="BL5" s="87"/>
      <c r="BM5" s="87"/>
      <c r="BN5" s="87"/>
      <c r="BO5" s="87"/>
      <c r="BP5" s="87"/>
      <c r="BQ5" s="28"/>
      <c r="BR5" s="28"/>
    </row>
    <row r="6" spans="1:73" ht="43.15" customHeight="1" x14ac:dyDescent="0.25">
      <c r="A6" s="242" t="s">
        <v>1824</v>
      </c>
      <c r="B6" s="242" t="s">
        <v>2590</v>
      </c>
      <c r="C6" s="159">
        <v>800</v>
      </c>
      <c r="D6" s="114">
        <v>42390</v>
      </c>
      <c r="E6" s="114" t="s">
        <v>9</v>
      </c>
      <c r="F6" s="114">
        <v>42409</v>
      </c>
      <c r="G6" s="114">
        <v>42429</v>
      </c>
      <c r="H6" s="114">
        <v>42430</v>
      </c>
      <c r="I6" s="114">
        <v>42431</v>
      </c>
      <c r="J6" s="114">
        <v>42443</v>
      </c>
      <c r="K6" s="76"/>
      <c r="L6" s="114">
        <v>42657</v>
      </c>
      <c r="M6" s="114">
        <v>42650</v>
      </c>
      <c r="N6" s="114"/>
      <c r="O6" s="114">
        <v>42667</v>
      </c>
      <c r="P6" s="114">
        <v>42667</v>
      </c>
      <c r="Q6" s="114">
        <v>42678</v>
      </c>
      <c r="R6" s="81"/>
      <c r="S6" s="114"/>
      <c r="T6" s="75"/>
      <c r="U6" s="75"/>
      <c r="V6" s="75"/>
      <c r="W6" s="75">
        <v>2</v>
      </c>
      <c r="X6" s="75">
        <v>15092</v>
      </c>
      <c r="Y6" s="75" t="str">
        <f ca="1">IF(I6="",IF(D6="","",IF(W6+X6&lt;15,"Données Nb pers ou RFR manquantes",IF(COUNTA(INDIRECT("TabRFR["&amp;YEAR(D6)&amp;"]"))&lt;&gt;COUNTA(TabRFR[Recherche RFR]),"Data RFR manquantes", IF(X6&lt;=INDEX(TabRFR[[2021]:[2025]],MATCH(BD!W6&amp;"-Très modestes",TabRFR[Recherche RFR],0),MATCH(TEXT(YEAR(BD!D6),"Standard"),TabRFR[[#Headers],[2021]:[2025]],0)),"Très Modeste",IF(X6&lt;=INDEX(TabRFR[[2021]:[2025]],MATCH(BD!W6&amp;"-modestes",TabRFR[Recherche RFR],0),MATCH(TEXT(YEAR(BD!D6),"Standard"),TabRFR[[#Headers],[2021]:[2025]],0)),"Modeste",IF(X6&lt;=INDEX(TabRFR[[2021]:[2025]],MATCH(BD!W6&amp;"-Intermédiaire",TabRFR[Recherche RFR],0),MATCH(TEXT(YEAR(BD!D6),"Standard"),TabRFR[[#Headers],[2021]:[2025]],0)),"Intermédiaire","Supérieur")))))),IF(D6="","",IF(W6+X6&lt;15,"Données Nb pers ou RFR manquantes",IF(COUNTA(INDIRECT("TabRFR["&amp;YEAR(I6)&amp;"]"))&lt;&gt;COUNTA(TabRFR[Recherche RFR]),"Data RFR manquantes", IF(X6&lt;=INDEX(TabRFR[[2021]:[2025]],MATCH(BD!W6&amp;"-Très modestes",TabRFR[Recherche RFR],0),MATCH(TEXT(YEAR(BD!I6),"Standard"),TabRFR[[#Headers],[2021]:[2025]],0)),"Très Modeste",IF(X6&lt;=INDEX(TabRFR[[2021]:[2025]],MATCH(BD!W6&amp;"-modestes",TabRFR[Recherche RFR],0),MATCH(TEXT(YEAR(BD!I6),"Standard"),TabRFR[[#Headers],[2021]:[2025]],0)),"Modeste",IF(X6&lt;=INDEX(TabRFR[[2021]:[2025]],MATCH(BD!W6&amp;"-Intermédiaire",TabRFR[Recherche RFR],0),MATCH(TEXT(YEAR(BD!I6),"Standard"),TabRFR[[#Headers],[2021]:[2025]],0)),"Intermédiaire","Supérieur")))))))</f>
        <v>Data RFR manquantes</v>
      </c>
      <c r="Z6" s="75"/>
      <c r="AA6" s="75" t="s">
        <v>2588</v>
      </c>
      <c r="AB6" s="75">
        <v>38210</v>
      </c>
      <c r="AC6" s="75" t="s">
        <v>445</v>
      </c>
      <c r="AD6" s="101"/>
      <c r="AE6" s="102"/>
      <c r="AF6" s="75" t="s">
        <v>95</v>
      </c>
      <c r="AG6" s="75"/>
      <c r="AH6" s="75">
        <v>1999</v>
      </c>
      <c r="AI6" s="75"/>
      <c r="AJ6" s="75"/>
      <c r="AK6" s="75"/>
      <c r="AL6" s="75"/>
      <c r="AM6" s="75" t="s">
        <v>1886</v>
      </c>
      <c r="AN6" s="75" t="s">
        <v>195</v>
      </c>
      <c r="AO6" s="75" t="s">
        <v>196</v>
      </c>
      <c r="AP6" s="75" t="s">
        <v>97</v>
      </c>
      <c r="AQ6" s="75"/>
      <c r="AR6" s="75"/>
      <c r="AS6" s="102" t="s">
        <v>2283</v>
      </c>
      <c r="AT6" s="101">
        <v>786422481</v>
      </c>
      <c r="AU6" s="75" t="s">
        <v>111</v>
      </c>
      <c r="AV6" s="75" t="s">
        <v>2586</v>
      </c>
      <c r="AW6" s="75" t="s">
        <v>100</v>
      </c>
      <c r="AX6" s="75" t="s">
        <v>2071</v>
      </c>
      <c r="AY6" s="75" t="s">
        <v>2363</v>
      </c>
      <c r="AZ6" s="75" t="s">
        <v>2585</v>
      </c>
      <c r="BA6" s="75">
        <v>6</v>
      </c>
      <c r="BB6" s="75">
        <v>9</v>
      </c>
      <c r="BC6" s="75">
        <v>90</v>
      </c>
      <c r="BD6" s="75">
        <v>0</v>
      </c>
      <c r="BE6" s="75" t="s">
        <v>97</v>
      </c>
      <c r="BF6" s="75"/>
      <c r="BG6" s="75">
        <v>5460</v>
      </c>
      <c r="BH6" s="77"/>
      <c r="BI6" s="77"/>
      <c r="BJ6" s="77"/>
      <c r="BK6" s="75">
        <v>640</v>
      </c>
      <c r="BL6" s="75">
        <f t="shared" ref="BL6:BL69" si="0">BG6+BK6</f>
        <v>6100</v>
      </c>
      <c r="BM6" s="103">
        <f t="shared" ref="BM6:BM69" si="1">BL6*0.055</f>
        <v>335.5</v>
      </c>
      <c r="BN6" s="103">
        <f t="shared" ref="BN6:BN69" si="2">BL6+BM6</f>
        <v>6435.5</v>
      </c>
      <c r="BO6" s="103">
        <v>6435.5</v>
      </c>
      <c r="BP6" s="75" t="s">
        <v>97</v>
      </c>
      <c r="BQ6" s="75"/>
      <c r="BR6" s="75"/>
      <c r="BS6" s="157">
        <v>2016</v>
      </c>
      <c r="BU6">
        <v>2016</v>
      </c>
    </row>
    <row r="7" spans="1:73" ht="43.15" customHeight="1" x14ac:dyDescent="0.25">
      <c r="A7" s="242" t="s">
        <v>1824</v>
      </c>
      <c r="B7" s="242" t="s">
        <v>2584</v>
      </c>
      <c r="C7" s="159">
        <v>400</v>
      </c>
      <c r="D7" s="114">
        <v>42391</v>
      </c>
      <c r="E7" s="114" t="s">
        <v>9</v>
      </c>
      <c r="F7" s="114" t="s">
        <v>9</v>
      </c>
      <c r="G7" s="114" t="s">
        <v>9</v>
      </c>
      <c r="H7" s="114">
        <v>42409</v>
      </c>
      <c r="I7" s="114">
        <v>42409</v>
      </c>
      <c r="J7" s="114">
        <v>42419</v>
      </c>
      <c r="K7" s="76"/>
      <c r="L7" s="114">
        <v>42436</v>
      </c>
      <c r="M7" s="114">
        <v>42429</v>
      </c>
      <c r="N7" s="114" t="s">
        <v>9</v>
      </c>
      <c r="O7" s="114" t="s">
        <v>9</v>
      </c>
      <c r="P7" s="114">
        <v>42443</v>
      </c>
      <c r="Q7" s="114">
        <v>42444</v>
      </c>
      <c r="R7" s="80"/>
      <c r="S7" s="114"/>
      <c r="T7" s="75"/>
      <c r="U7" s="75"/>
      <c r="V7" s="75"/>
      <c r="W7" s="75">
        <v>2</v>
      </c>
      <c r="X7" s="75">
        <v>67609</v>
      </c>
      <c r="Y7" s="75" t="str">
        <f ca="1">IF(I7="",IF(D7="","",IF(W7+X7&lt;15,"Données Nb pers ou RFR manquantes",IF(COUNTA(INDIRECT("TabRFR["&amp;YEAR(D7)&amp;"]"))&lt;&gt;COUNTA(TabRFR[Recherche RFR]),"Data RFR manquantes", IF(X7&lt;=INDEX(TabRFR[[2021]:[2025]],MATCH(BD!W7&amp;"-Très modestes",TabRFR[Recherche RFR],0),MATCH(TEXT(YEAR(BD!D7),"Standard"),TabRFR[[#Headers],[2021]:[2025]],0)),"Très Modeste",IF(X7&lt;=INDEX(TabRFR[[2021]:[2025]],MATCH(BD!W7&amp;"-modestes",TabRFR[Recherche RFR],0),MATCH(TEXT(YEAR(BD!D7),"Standard"),TabRFR[[#Headers],[2021]:[2025]],0)),"Modeste",IF(X7&lt;=INDEX(TabRFR[[2021]:[2025]],MATCH(BD!W7&amp;"-Intermédiaire",TabRFR[Recherche RFR],0),MATCH(TEXT(YEAR(BD!D7),"Standard"),TabRFR[[#Headers],[2021]:[2025]],0)),"Intermédiaire","Supérieur")))))),IF(D7="","",IF(W7+X7&lt;15,"Données Nb pers ou RFR manquantes",IF(COUNTA(INDIRECT("TabRFR["&amp;YEAR(I7)&amp;"]"))&lt;&gt;COUNTA(TabRFR[Recherche RFR]),"Data RFR manquantes", IF(X7&lt;=INDEX(TabRFR[[2021]:[2025]],MATCH(BD!W7&amp;"-Très modestes",TabRFR[Recherche RFR],0),MATCH(TEXT(YEAR(BD!I7),"Standard"),TabRFR[[#Headers],[2021]:[2025]],0)),"Très Modeste",IF(X7&lt;=INDEX(TabRFR[[2021]:[2025]],MATCH(BD!W7&amp;"-modestes",TabRFR[Recherche RFR],0),MATCH(TEXT(YEAR(BD!I7),"Standard"),TabRFR[[#Headers],[2021]:[2025]],0)),"Modeste",IF(X7&lt;=INDEX(TabRFR[[2021]:[2025]],MATCH(BD!W7&amp;"-Intermédiaire",TabRFR[Recherche RFR],0),MATCH(TEXT(YEAR(BD!I7),"Standard"),TabRFR[[#Headers],[2021]:[2025]],0)),"Intermédiaire","Supérieur")))))))</f>
        <v>Data RFR manquantes</v>
      </c>
      <c r="Z7" s="75"/>
      <c r="AA7" s="75" t="s">
        <v>2582</v>
      </c>
      <c r="AB7" s="75">
        <v>38500</v>
      </c>
      <c r="AC7" s="75" t="s">
        <v>96</v>
      </c>
      <c r="AD7" s="101"/>
      <c r="AE7" s="102"/>
      <c r="AF7" s="75" t="s">
        <v>95</v>
      </c>
      <c r="AG7" s="75"/>
      <c r="AH7" s="75">
        <v>2008</v>
      </c>
      <c r="AI7" s="75"/>
      <c r="AJ7" s="75"/>
      <c r="AK7" s="75"/>
      <c r="AL7" s="75"/>
      <c r="AM7" s="75" t="s">
        <v>4348</v>
      </c>
      <c r="AN7" s="75" t="s">
        <v>96</v>
      </c>
      <c r="AO7" s="75"/>
      <c r="AP7" s="75" t="s">
        <v>97</v>
      </c>
      <c r="AQ7" s="75"/>
      <c r="AR7" s="75"/>
      <c r="AS7" s="102" t="s">
        <v>1571</v>
      </c>
      <c r="AT7" s="101">
        <v>476323235</v>
      </c>
      <c r="AU7" s="75" t="s">
        <v>430</v>
      </c>
      <c r="AV7" s="75">
        <v>1975</v>
      </c>
      <c r="AW7" s="75" t="s">
        <v>399</v>
      </c>
      <c r="AX7" s="75" t="s">
        <v>112</v>
      </c>
      <c r="AY7" s="75" t="s">
        <v>2155</v>
      </c>
      <c r="AZ7" s="75" t="s">
        <v>1453</v>
      </c>
      <c r="BA7" s="75">
        <v>4</v>
      </c>
      <c r="BB7" s="75">
        <v>7</v>
      </c>
      <c r="BC7" s="75">
        <v>78</v>
      </c>
      <c r="BD7" s="75">
        <v>0.06</v>
      </c>
      <c r="BE7" s="75" t="s">
        <v>97</v>
      </c>
      <c r="BF7" s="75"/>
      <c r="BG7" s="75">
        <v>3130</v>
      </c>
      <c r="BH7" s="77"/>
      <c r="BI7" s="77"/>
      <c r="BJ7" s="77"/>
      <c r="BK7" s="75">
        <v>915</v>
      </c>
      <c r="BL7" s="75">
        <f t="shared" si="0"/>
        <v>4045</v>
      </c>
      <c r="BM7" s="103">
        <f t="shared" si="1"/>
        <v>222.47499999999999</v>
      </c>
      <c r="BN7" s="103">
        <f t="shared" si="2"/>
        <v>4267.4750000000004</v>
      </c>
      <c r="BO7" s="103">
        <v>4056.48</v>
      </c>
      <c r="BP7" s="75" t="s">
        <v>97</v>
      </c>
      <c r="BQ7" s="75"/>
      <c r="BR7" s="75"/>
      <c r="BS7" s="157">
        <v>2016</v>
      </c>
      <c r="BT7">
        <v>2020</v>
      </c>
      <c r="BU7">
        <v>2016</v>
      </c>
    </row>
    <row r="8" spans="1:73" ht="43.15" customHeight="1" x14ac:dyDescent="0.25">
      <c r="A8" s="242" t="s">
        <v>1824</v>
      </c>
      <c r="B8" s="242" t="s">
        <v>2580</v>
      </c>
      <c r="C8" s="159">
        <v>400</v>
      </c>
      <c r="D8" s="114">
        <v>42391</v>
      </c>
      <c r="E8" s="114" t="s">
        <v>9</v>
      </c>
      <c r="F8" s="114" t="s">
        <v>9</v>
      </c>
      <c r="G8" s="114" t="s">
        <v>9</v>
      </c>
      <c r="H8" s="114">
        <v>42409</v>
      </c>
      <c r="I8" s="114">
        <v>42409</v>
      </c>
      <c r="J8" s="114">
        <v>42419</v>
      </c>
      <c r="K8" s="76"/>
      <c r="L8" s="114">
        <v>42459</v>
      </c>
      <c r="M8" s="114">
        <v>42445</v>
      </c>
      <c r="N8" s="114" t="s">
        <v>9</v>
      </c>
      <c r="O8" s="114" t="s">
        <v>9</v>
      </c>
      <c r="P8" s="114">
        <v>42473</v>
      </c>
      <c r="Q8" s="114">
        <v>42487</v>
      </c>
      <c r="R8" s="80"/>
      <c r="S8" s="114"/>
      <c r="T8" s="75"/>
      <c r="U8" s="75"/>
      <c r="V8" s="75"/>
      <c r="W8" s="75">
        <v>8</v>
      </c>
      <c r="X8" s="75">
        <v>61913</v>
      </c>
      <c r="Y8" s="75" t="str">
        <f ca="1">IF(I8="",IF(D8="","",IF(W8+X8&lt;15,"Données Nb pers ou RFR manquantes",IF(COUNTA(INDIRECT("TabRFR["&amp;YEAR(D8)&amp;"]"))&lt;&gt;COUNTA(TabRFR[Recherche RFR]),"Data RFR manquantes", IF(X8&lt;=INDEX(TabRFR[[2021]:[2025]],MATCH(BD!W8&amp;"-Très modestes",TabRFR[Recherche RFR],0),MATCH(TEXT(YEAR(BD!D8),"Standard"),TabRFR[[#Headers],[2021]:[2025]],0)),"Très Modeste",IF(X8&lt;=INDEX(TabRFR[[2021]:[2025]],MATCH(BD!W8&amp;"-modestes",TabRFR[Recherche RFR],0),MATCH(TEXT(YEAR(BD!D8),"Standard"),TabRFR[[#Headers],[2021]:[2025]],0)),"Modeste",IF(X8&lt;=INDEX(TabRFR[[2021]:[2025]],MATCH(BD!W8&amp;"-Intermédiaire",TabRFR[Recherche RFR],0),MATCH(TEXT(YEAR(BD!D8),"Standard"),TabRFR[[#Headers],[2021]:[2025]],0)),"Intermédiaire","Supérieur")))))),IF(D8="","",IF(W8+X8&lt;15,"Données Nb pers ou RFR manquantes",IF(COUNTA(INDIRECT("TabRFR["&amp;YEAR(I8)&amp;"]"))&lt;&gt;COUNTA(TabRFR[Recherche RFR]),"Data RFR manquantes", IF(X8&lt;=INDEX(TabRFR[[2021]:[2025]],MATCH(BD!W8&amp;"-Très modestes",TabRFR[Recherche RFR],0),MATCH(TEXT(YEAR(BD!I8),"Standard"),TabRFR[[#Headers],[2021]:[2025]],0)),"Très Modeste",IF(X8&lt;=INDEX(TabRFR[[2021]:[2025]],MATCH(BD!W8&amp;"-modestes",TabRFR[Recherche RFR],0),MATCH(TEXT(YEAR(BD!I8),"Standard"),TabRFR[[#Headers],[2021]:[2025]],0)),"Modeste",IF(X8&lt;=INDEX(TabRFR[[2021]:[2025]],MATCH(BD!W8&amp;"-Intermédiaire",TabRFR[Recherche RFR],0),MATCH(TEXT(YEAR(BD!I8),"Standard"),TabRFR[[#Headers],[2021]:[2025]],0)),"Intermédiaire","Supérieur")))))))</f>
        <v>Data RFR manquantes</v>
      </c>
      <c r="Z8" s="75"/>
      <c r="AA8" s="75" t="s">
        <v>2517</v>
      </c>
      <c r="AB8" s="75">
        <v>38850</v>
      </c>
      <c r="AC8" s="75" t="s">
        <v>148</v>
      </c>
      <c r="AD8" s="101"/>
      <c r="AE8" s="102"/>
      <c r="AF8" s="75" t="s">
        <v>95</v>
      </c>
      <c r="AG8" s="75"/>
      <c r="AH8" s="75"/>
      <c r="AI8" s="75"/>
      <c r="AJ8" s="75"/>
      <c r="AK8" s="75"/>
      <c r="AL8" s="75"/>
      <c r="AM8" s="75" t="s">
        <v>4348</v>
      </c>
      <c r="AN8" s="75" t="s">
        <v>96</v>
      </c>
      <c r="AO8" s="75"/>
      <c r="AP8" s="75" t="s">
        <v>97</v>
      </c>
      <c r="AQ8" s="75"/>
      <c r="AR8" s="75"/>
      <c r="AS8" s="102" t="s">
        <v>1571</v>
      </c>
      <c r="AT8" s="101">
        <v>476323235</v>
      </c>
      <c r="AU8" s="75" t="s">
        <v>100</v>
      </c>
      <c r="AV8" s="75"/>
      <c r="AW8" s="75" t="s">
        <v>100</v>
      </c>
      <c r="AX8" s="75" t="s">
        <v>112</v>
      </c>
      <c r="AY8" s="75" t="s">
        <v>2155</v>
      </c>
      <c r="AZ8" s="75" t="s">
        <v>474</v>
      </c>
      <c r="BA8" s="75">
        <v>7</v>
      </c>
      <c r="BB8" s="75">
        <v>7.5</v>
      </c>
      <c r="BC8" s="75">
        <v>79</v>
      </c>
      <c r="BD8" s="75">
        <v>0.06</v>
      </c>
      <c r="BE8" s="75" t="s">
        <v>97</v>
      </c>
      <c r="BF8" s="75"/>
      <c r="BG8" s="75">
        <v>1790</v>
      </c>
      <c r="BH8" s="77"/>
      <c r="BI8" s="77"/>
      <c r="BJ8" s="77"/>
      <c r="BK8" s="75">
        <v>210</v>
      </c>
      <c r="BL8" s="75">
        <f t="shared" si="0"/>
        <v>2000</v>
      </c>
      <c r="BM8" s="103">
        <f t="shared" si="1"/>
        <v>110</v>
      </c>
      <c r="BN8" s="103">
        <f t="shared" si="2"/>
        <v>2110</v>
      </c>
      <c r="BO8" s="103">
        <v>4362</v>
      </c>
      <c r="BP8" s="75" t="s">
        <v>97</v>
      </c>
      <c r="BQ8" s="75"/>
      <c r="BR8" s="75"/>
      <c r="BS8" s="157">
        <v>2016</v>
      </c>
      <c r="BT8">
        <v>2020</v>
      </c>
      <c r="BU8">
        <v>2016</v>
      </c>
    </row>
    <row r="9" spans="1:73" ht="43.15" customHeight="1" x14ac:dyDescent="0.25">
      <c r="A9" s="242" t="s">
        <v>1824</v>
      </c>
      <c r="B9" s="242" t="s">
        <v>2576</v>
      </c>
      <c r="C9" s="159">
        <v>800</v>
      </c>
      <c r="D9" s="114">
        <v>42396</v>
      </c>
      <c r="E9" s="114" t="s">
        <v>9</v>
      </c>
      <c r="F9" s="114" t="s">
        <v>9</v>
      </c>
      <c r="G9" s="114" t="s">
        <v>9</v>
      </c>
      <c r="H9" s="114">
        <v>42409</v>
      </c>
      <c r="I9" s="114">
        <v>42409</v>
      </c>
      <c r="J9" s="114">
        <v>42419</v>
      </c>
      <c r="K9" s="76"/>
      <c r="L9" s="114">
        <v>42488</v>
      </c>
      <c r="M9" s="114">
        <v>42480</v>
      </c>
      <c r="N9" s="114"/>
      <c r="O9" s="114"/>
      <c r="P9" s="114">
        <v>42515</v>
      </c>
      <c r="Q9" s="114">
        <v>42520</v>
      </c>
      <c r="R9" s="81"/>
      <c r="S9" s="114"/>
      <c r="T9" s="75"/>
      <c r="U9" s="75"/>
      <c r="V9" s="75"/>
      <c r="W9" s="75">
        <v>1</v>
      </c>
      <c r="X9" s="75">
        <v>12233</v>
      </c>
      <c r="Y9" s="75" t="str">
        <f ca="1">IF(I9="",IF(D9="","",IF(W9+X9&lt;15,"Données Nb pers ou RFR manquantes",IF(COUNTA(INDIRECT("TabRFR["&amp;YEAR(D9)&amp;"]"))&lt;&gt;COUNTA(TabRFR[Recherche RFR]),"Data RFR manquantes", IF(X9&lt;=INDEX(TabRFR[[2021]:[2025]],MATCH(BD!W9&amp;"-Très modestes",TabRFR[Recherche RFR],0),MATCH(TEXT(YEAR(BD!D9),"Standard"),TabRFR[[#Headers],[2021]:[2025]],0)),"Très Modeste",IF(X9&lt;=INDEX(TabRFR[[2021]:[2025]],MATCH(BD!W9&amp;"-modestes",TabRFR[Recherche RFR],0),MATCH(TEXT(YEAR(BD!D9),"Standard"),TabRFR[[#Headers],[2021]:[2025]],0)),"Modeste",IF(X9&lt;=INDEX(TabRFR[[2021]:[2025]],MATCH(BD!W9&amp;"-Intermédiaire",TabRFR[Recherche RFR],0),MATCH(TEXT(YEAR(BD!D9),"Standard"),TabRFR[[#Headers],[2021]:[2025]],0)),"Intermédiaire","Supérieur")))))),IF(D9="","",IF(W9+X9&lt;15,"Données Nb pers ou RFR manquantes",IF(COUNTA(INDIRECT("TabRFR["&amp;YEAR(I9)&amp;"]"))&lt;&gt;COUNTA(TabRFR[Recherche RFR]),"Data RFR manquantes", IF(X9&lt;=INDEX(TabRFR[[2021]:[2025]],MATCH(BD!W9&amp;"-Très modestes",TabRFR[Recherche RFR],0),MATCH(TEXT(YEAR(BD!I9),"Standard"),TabRFR[[#Headers],[2021]:[2025]],0)),"Très Modeste",IF(X9&lt;=INDEX(TabRFR[[2021]:[2025]],MATCH(BD!W9&amp;"-modestes",TabRFR[Recherche RFR],0),MATCH(TEXT(YEAR(BD!I9),"Standard"),TabRFR[[#Headers],[2021]:[2025]],0)),"Modeste",IF(X9&lt;=INDEX(TabRFR[[2021]:[2025]],MATCH(BD!W9&amp;"-Intermédiaire",TabRFR[Recherche RFR],0),MATCH(TEXT(YEAR(BD!I9),"Standard"),TabRFR[[#Headers],[2021]:[2025]],0)),"Intermédiaire","Supérieur")))))))</f>
        <v>Data RFR manquantes</v>
      </c>
      <c r="Z9" s="75"/>
      <c r="AA9" s="75" t="s">
        <v>2573</v>
      </c>
      <c r="AB9" s="75">
        <v>38500</v>
      </c>
      <c r="AC9" s="75" t="s">
        <v>2572</v>
      </c>
      <c r="AD9" s="101"/>
      <c r="AE9" s="102"/>
      <c r="AF9" s="75" t="s">
        <v>95</v>
      </c>
      <c r="AG9" s="75"/>
      <c r="AH9" s="75">
        <v>1972</v>
      </c>
      <c r="AI9" s="75"/>
      <c r="AJ9" s="75"/>
      <c r="AK9" s="75"/>
      <c r="AL9" s="75"/>
      <c r="AM9" s="75" t="s">
        <v>4348</v>
      </c>
      <c r="AN9" s="75" t="s">
        <v>96</v>
      </c>
      <c r="AO9" s="75" t="s">
        <v>238</v>
      </c>
      <c r="AP9" s="75" t="s">
        <v>97</v>
      </c>
      <c r="AQ9" s="75"/>
      <c r="AR9" s="75"/>
      <c r="AS9" s="102" t="s">
        <v>1571</v>
      </c>
      <c r="AT9" s="101">
        <v>476323235</v>
      </c>
      <c r="AU9" s="75" t="s">
        <v>430</v>
      </c>
      <c r="AV9" s="75">
        <v>1980</v>
      </c>
      <c r="AW9" s="75" t="s">
        <v>100</v>
      </c>
      <c r="AX9" s="75" t="s">
        <v>112</v>
      </c>
      <c r="AY9" s="75" t="s">
        <v>2155</v>
      </c>
      <c r="AZ9" s="75" t="s">
        <v>2570</v>
      </c>
      <c r="BA9" s="75">
        <v>20</v>
      </c>
      <c r="BB9" s="75">
        <v>5</v>
      </c>
      <c r="BC9" s="75">
        <v>83</v>
      </c>
      <c r="BD9" s="75">
        <v>0.06</v>
      </c>
      <c r="BE9" s="75" t="s">
        <v>97</v>
      </c>
      <c r="BF9" s="75"/>
      <c r="BG9" s="75">
        <v>2355</v>
      </c>
      <c r="BH9" s="77"/>
      <c r="BI9" s="77"/>
      <c r="BJ9" s="77"/>
      <c r="BK9" s="75">
        <v>1025</v>
      </c>
      <c r="BL9" s="75">
        <f t="shared" si="0"/>
        <v>3380</v>
      </c>
      <c r="BM9" s="103">
        <f t="shared" si="1"/>
        <v>185.9</v>
      </c>
      <c r="BN9" s="103">
        <f t="shared" si="2"/>
        <v>3565.9</v>
      </c>
      <c r="BO9" s="103">
        <v>2612.62</v>
      </c>
      <c r="BP9" s="75" t="s">
        <v>104</v>
      </c>
      <c r="BQ9" s="75"/>
      <c r="BR9" s="75"/>
      <c r="BS9" s="157">
        <v>2016</v>
      </c>
      <c r="BT9">
        <v>2020</v>
      </c>
      <c r="BU9">
        <v>2016</v>
      </c>
    </row>
    <row r="10" spans="1:73" ht="43.15" customHeight="1" x14ac:dyDescent="0.25">
      <c r="A10" s="242" t="s">
        <v>1824</v>
      </c>
      <c r="B10" s="242" t="s">
        <v>2569</v>
      </c>
      <c r="C10" s="159">
        <v>400</v>
      </c>
      <c r="D10" s="114">
        <v>42397</v>
      </c>
      <c r="E10" s="114" t="s">
        <v>9</v>
      </c>
      <c r="F10" s="114" t="s">
        <v>9</v>
      </c>
      <c r="G10" s="114" t="s">
        <v>9</v>
      </c>
      <c r="H10" s="114">
        <v>42409</v>
      </c>
      <c r="I10" s="114">
        <v>42409</v>
      </c>
      <c r="J10" s="114">
        <v>42419</v>
      </c>
      <c r="K10" s="76"/>
      <c r="L10" s="114">
        <v>42513</v>
      </c>
      <c r="M10" s="114">
        <v>42501</v>
      </c>
      <c r="N10" s="114"/>
      <c r="O10" s="114"/>
      <c r="P10" s="114">
        <v>42521</v>
      </c>
      <c r="Q10" s="114">
        <v>42549</v>
      </c>
      <c r="R10" s="80"/>
      <c r="S10" s="114"/>
      <c r="T10" s="75"/>
      <c r="U10" s="75"/>
      <c r="V10" s="75"/>
      <c r="W10" s="75">
        <v>2</v>
      </c>
      <c r="X10" s="75">
        <v>45051</v>
      </c>
      <c r="Y10" s="75" t="str">
        <f ca="1">IF(I10="",IF(D10="","",IF(W10+X10&lt;15,"Données Nb pers ou RFR manquantes",IF(COUNTA(INDIRECT("TabRFR["&amp;YEAR(D10)&amp;"]"))&lt;&gt;COUNTA(TabRFR[Recherche RFR]),"Data RFR manquantes", IF(X10&lt;=INDEX(TabRFR[[2021]:[2025]],MATCH(BD!W10&amp;"-Très modestes",TabRFR[Recherche RFR],0),MATCH(TEXT(YEAR(BD!D10),"Standard"),TabRFR[[#Headers],[2021]:[2025]],0)),"Très Modeste",IF(X10&lt;=INDEX(TabRFR[[2021]:[2025]],MATCH(BD!W10&amp;"-modestes",TabRFR[Recherche RFR],0),MATCH(TEXT(YEAR(BD!D10),"Standard"),TabRFR[[#Headers],[2021]:[2025]],0)),"Modeste",IF(X10&lt;=INDEX(TabRFR[[2021]:[2025]],MATCH(BD!W10&amp;"-Intermédiaire",TabRFR[Recherche RFR],0),MATCH(TEXT(YEAR(BD!D10),"Standard"),TabRFR[[#Headers],[2021]:[2025]],0)),"Intermédiaire","Supérieur")))))),IF(D10="","",IF(W10+X10&lt;15,"Données Nb pers ou RFR manquantes",IF(COUNTA(INDIRECT("TabRFR["&amp;YEAR(I10)&amp;"]"))&lt;&gt;COUNTA(TabRFR[Recherche RFR]),"Data RFR manquantes", IF(X10&lt;=INDEX(TabRFR[[2021]:[2025]],MATCH(BD!W10&amp;"-Très modestes",TabRFR[Recherche RFR],0),MATCH(TEXT(YEAR(BD!I10),"Standard"),TabRFR[[#Headers],[2021]:[2025]],0)),"Très Modeste",IF(X10&lt;=INDEX(TabRFR[[2021]:[2025]],MATCH(BD!W10&amp;"-modestes",TabRFR[Recherche RFR],0),MATCH(TEXT(YEAR(BD!I10),"Standard"),TabRFR[[#Headers],[2021]:[2025]],0)),"Modeste",IF(X10&lt;=INDEX(TabRFR[[2021]:[2025]],MATCH(BD!W10&amp;"-Intermédiaire",TabRFR[Recherche RFR],0),MATCH(TEXT(YEAR(BD!I10),"Standard"),TabRFR[[#Headers],[2021]:[2025]],0)),"Intermédiaire","Supérieur")))))))</f>
        <v>Data RFR manquantes</v>
      </c>
      <c r="Z10" s="75"/>
      <c r="AA10" s="75" t="s">
        <v>2567</v>
      </c>
      <c r="AB10" s="75">
        <v>38500</v>
      </c>
      <c r="AC10" s="75" t="s">
        <v>2873</v>
      </c>
      <c r="AD10" s="101"/>
      <c r="AE10" s="102"/>
      <c r="AF10" s="75" t="s">
        <v>95</v>
      </c>
      <c r="AG10" s="75"/>
      <c r="AH10" s="75">
        <v>2000</v>
      </c>
      <c r="AI10" s="75"/>
      <c r="AJ10" s="75"/>
      <c r="AK10" s="75"/>
      <c r="AL10" s="75"/>
      <c r="AM10" s="75" t="s">
        <v>4035</v>
      </c>
      <c r="AN10" s="75" t="s">
        <v>108</v>
      </c>
      <c r="AO10" s="75" t="s">
        <v>1392</v>
      </c>
      <c r="AP10" s="75" t="s">
        <v>97</v>
      </c>
      <c r="AQ10" s="75"/>
      <c r="AR10" s="75"/>
      <c r="AS10" s="102" t="s">
        <v>110</v>
      </c>
      <c r="AT10" s="101">
        <v>476500550</v>
      </c>
      <c r="AU10" s="75" t="s">
        <v>100</v>
      </c>
      <c r="AV10" s="75">
        <v>2001</v>
      </c>
      <c r="AW10" s="75" t="s">
        <v>100</v>
      </c>
      <c r="AX10" s="75" t="s">
        <v>112</v>
      </c>
      <c r="AY10" s="75" t="s">
        <v>1958</v>
      </c>
      <c r="AZ10" s="75" t="s">
        <v>2565</v>
      </c>
      <c r="BA10" s="75">
        <v>25</v>
      </c>
      <c r="BB10" s="75">
        <v>9</v>
      </c>
      <c r="BC10" s="75">
        <v>79</v>
      </c>
      <c r="BD10" s="75">
        <v>0.12</v>
      </c>
      <c r="BE10" s="75" t="s">
        <v>97</v>
      </c>
      <c r="BF10" s="75"/>
      <c r="BG10" s="75">
        <v>2775</v>
      </c>
      <c r="BH10" s="77"/>
      <c r="BI10" s="77"/>
      <c r="BJ10" s="77"/>
      <c r="BK10" s="75">
        <v>540</v>
      </c>
      <c r="BL10" s="75">
        <f t="shared" si="0"/>
        <v>3315</v>
      </c>
      <c r="BM10" s="103">
        <f t="shared" si="1"/>
        <v>182.32499999999999</v>
      </c>
      <c r="BN10" s="103">
        <f t="shared" si="2"/>
        <v>3497.3249999999998</v>
      </c>
      <c r="BO10" s="103">
        <v>1081.1500000000001</v>
      </c>
      <c r="BP10" s="75" t="s">
        <v>104</v>
      </c>
      <c r="BQ10" s="75"/>
      <c r="BR10" s="75"/>
      <c r="BS10" s="157">
        <v>2016</v>
      </c>
      <c r="BT10">
        <v>2020</v>
      </c>
      <c r="BU10">
        <v>2016</v>
      </c>
    </row>
    <row r="11" spans="1:73" ht="43.15" customHeight="1" x14ac:dyDescent="0.25">
      <c r="A11" s="86" t="s">
        <v>1824</v>
      </c>
      <c r="B11" s="86" t="s">
        <v>2564</v>
      </c>
      <c r="C11" s="160" t="s">
        <v>9</v>
      </c>
      <c r="D11" s="105">
        <v>42397</v>
      </c>
      <c r="E11" s="105" t="s">
        <v>9</v>
      </c>
      <c r="F11" s="105" t="s">
        <v>2563</v>
      </c>
      <c r="G11" s="105"/>
      <c r="H11" s="105"/>
      <c r="I11" s="105"/>
      <c r="J11" s="105">
        <v>42727</v>
      </c>
      <c r="K11" s="105"/>
      <c r="L11" s="105"/>
      <c r="M11" s="105"/>
      <c r="N11" s="105"/>
      <c r="O11" s="105"/>
      <c r="P11" s="105"/>
      <c r="Q11" s="105"/>
      <c r="R11" s="104"/>
      <c r="S11" s="105">
        <v>42727</v>
      </c>
      <c r="T11" s="106" t="s">
        <v>2562</v>
      </c>
      <c r="U11" s="106"/>
      <c r="V11" s="106"/>
      <c r="W11" s="106">
        <v>1</v>
      </c>
      <c r="X11" s="106">
        <v>21975</v>
      </c>
      <c r="Y11" s="75" t="str">
        <f ca="1">IF(I11="",IF(D11="","",IF(W11+X11&lt;15,"Données Nb pers ou RFR manquantes",IF(COUNTA(INDIRECT("TabRFR["&amp;YEAR(D11)&amp;"]"))&lt;&gt;COUNTA(TabRFR[Recherche RFR]),"Data RFR manquantes", IF(X11&lt;=INDEX(TabRFR[[2021]:[2025]],MATCH(BD!W11&amp;"-Très modestes",TabRFR[Recherche RFR],0),MATCH(TEXT(YEAR(BD!D11),"Standard"),TabRFR[[#Headers],[2021]:[2025]],0)),"Très Modeste",IF(X11&lt;=INDEX(TabRFR[[2021]:[2025]],MATCH(BD!W11&amp;"-modestes",TabRFR[Recherche RFR],0),MATCH(TEXT(YEAR(BD!D11),"Standard"),TabRFR[[#Headers],[2021]:[2025]],0)),"Modeste",IF(X11&lt;=INDEX(TabRFR[[2021]:[2025]],MATCH(BD!W11&amp;"-Intermédiaire",TabRFR[Recherche RFR],0),MATCH(TEXT(YEAR(BD!D11),"Standard"),TabRFR[[#Headers],[2021]:[2025]],0)),"Intermédiaire","Supérieur")))))),IF(D11="","",IF(W11+X11&lt;15,"Données Nb pers ou RFR manquantes",IF(COUNTA(INDIRECT("TabRFR["&amp;YEAR(I11)&amp;"]"))&lt;&gt;COUNTA(TabRFR[Recherche RFR]),"Data RFR manquantes", IF(X11&lt;=INDEX(TabRFR[[2021]:[2025]],MATCH(BD!W11&amp;"-Très modestes",TabRFR[Recherche RFR],0),MATCH(TEXT(YEAR(BD!I11),"Standard"),TabRFR[[#Headers],[2021]:[2025]],0)),"Très Modeste",IF(X11&lt;=INDEX(TabRFR[[2021]:[2025]],MATCH(BD!W11&amp;"-modestes",TabRFR[Recherche RFR],0),MATCH(TEXT(YEAR(BD!I11),"Standard"),TabRFR[[#Headers],[2021]:[2025]],0)),"Modeste",IF(X11&lt;=INDEX(TabRFR[[2021]:[2025]],MATCH(BD!W11&amp;"-Intermédiaire",TabRFR[Recherche RFR],0),MATCH(TEXT(YEAR(BD!I11),"Standard"),TabRFR[[#Headers],[2021]:[2025]],0)),"Intermédiaire","Supérieur")))))))</f>
        <v>Data RFR manquantes</v>
      </c>
      <c r="Z11" s="106"/>
      <c r="AA11" s="106" t="s">
        <v>2561</v>
      </c>
      <c r="AB11" s="106">
        <v>38210</v>
      </c>
      <c r="AC11" s="106" t="s">
        <v>195</v>
      </c>
      <c r="AD11" s="107"/>
      <c r="AE11" s="102"/>
      <c r="AF11" s="106" t="s">
        <v>95</v>
      </c>
      <c r="AG11" s="106"/>
      <c r="AH11" s="106"/>
      <c r="AI11" s="106"/>
      <c r="AJ11" s="106"/>
      <c r="AK11" s="106"/>
      <c r="AL11" s="106"/>
      <c r="AM11" s="106" t="s">
        <v>3973</v>
      </c>
      <c r="AN11" s="106" t="s">
        <v>96</v>
      </c>
      <c r="AO11" s="106"/>
      <c r="AP11" s="106" t="s">
        <v>97</v>
      </c>
      <c r="AQ11" s="106"/>
      <c r="AR11" s="106"/>
      <c r="AS11" s="102" t="s">
        <v>141</v>
      </c>
      <c r="AT11" s="107">
        <v>476069938</v>
      </c>
      <c r="AU11" s="106" t="s">
        <v>111</v>
      </c>
      <c r="AV11" s="106"/>
      <c r="AW11" s="106" t="s">
        <v>111</v>
      </c>
      <c r="AX11" s="106" t="s">
        <v>112</v>
      </c>
      <c r="AY11" s="106" t="s">
        <v>1807</v>
      </c>
      <c r="AZ11" s="106" t="s">
        <v>1816</v>
      </c>
      <c r="BA11" s="106"/>
      <c r="BB11" s="106">
        <v>11</v>
      </c>
      <c r="BC11" s="106">
        <v>84.7</v>
      </c>
      <c r="BD11" s="106">
        <v>5.5E-2</v>
      </c>
      <c r="BE11" s="106"/>
      <c r="BF11" s="106"/>
      <c r="BG11" s="106">
        <v>2988</v>
      </c>
      <c r="BH11" s="106"/>
      <c r="BI11" s="106"/>
      <c r="BJ11" s="106"/>
      <c r="BK11" s="106">
        <v>833</v>
      </c>
      <c r="BL11" s="75">
        <f t="shared" si="0"/>
        <v>3821</v>
      </c>
      <c r="BM11" s="103">
        <f t="shared" si="1"/>
        <v>210.155</v>
      </c>
      <c r="BN11" s="103">
        <f t="shared" si="2"/>
        <v>4031.1550000000002</v>
      </c>
      <c r="BO11" s="108"/>
      <c r="BP11" s="106" t="s">
        <v>97</v>
      </c>
      <c r="BQ11" s="106"/>
      <c r="BR11" s="125"/>
      <c r="BS11" s="157">
        <v>2016</v>
      </c>
      <c r="BU11" t="s">
        <v>4180</v>
      </c>
    </row>
    <row r="12" spans="1:73" ht="43.15" customHeight="1" x14ac:dyDescent="0.25">
      <c r="A12" s="242" t="s">
        <v>1824</v>
      </c>
      <c r="B12" s="242" t="s">
        <v>2560</v>
      </c>
      <c r="C12" s="159">
        <v>400</v>
      </c>
      <c r="D12" s="114">
        <v>42404</v>
      </c>
      <c r="E12" s="114" t="s">
        <v>9</v>
      </c>
      <c r="F12" s="114" t="s">
        <v>9</v>
      </c>
      <c r="G12" s="114" t="s">
        <v>9</v>
      </c>
      <c r="H12" s="114">
        <v>42409</v>
      </c>
      <c r="I12" s="114">
        <v>42409</v>
      </c>
      <c r="J12" s="114">
        <v>42419</v>
      </c>
      <c r="K12" s="76"/>
      <c r="L12" s="114">
        <v>42436</v>
      </c>
      <c r="M12" s="114">
        <v>42405</v>
      </c>
      <c r="N12" s="114"/>
      <c r="O12" s="114"/>
      <c r="P12" s="114">
        <v>42451</v>
      </c>
      <c r="Q12" s="114">
        <v>42465</v>
      </c>
      <c r="R12" s="80"/>
      <c r="S12" s="114"/>
      <c r="T12" s="75"/>
      <c r="U12" s="75"/>
      <c r="V12" s="75"/>
      <c r="W12" s="75">
        <v>2</v>
      </c>
      <c r="X12" s="75">
        <v>70891</v>
      </c>
      <c r="Y12" s="75" t="str">
        <f ca="1">IF(I12="",IF(D12="","",IF(W12+X12&lt;15,"Données Nb pers ou RFR manquantes",IF(COUNTA(INDIRECT("TabRFR["&amp;YEAR(D12)&amp;"]"))&lt;&gt;COUNTA(TabRFR[Recherche RFR]),"Data RFR manquantes", IF(X12&lt;=INDEX(TabRFR[[2021]:[2025]],MATCH(BD!W12&amp;"-Très modestes",TabRFR[Recherche RFR],0),MATCH(TEXT(YEAR(BD!D12),"Standard"),TabRFR[[#Headers],[2021]:[2025]],0)),"Très Modeste",IF(X12&lt;=INDEX(TabRFR[[2021]:[2025]],MATCH(BD!W12&amp;"-modestes",TabRFR[Recherche RFR],0),MATCH(TEXT(YEAR(BD!D12),"Standard"),TabRFR[[#Headers],[2021]:[2025]],0)),"Modeste",IF(X12&lt;=INDEX(TabRFR[[2021]:[2025]],MATCH(BD!W12&amp;"-Intermédiaire",TabRFR[Recherche RFR],0),MATCH(TEXT(YEAR(BD!D12),"Standard"),TabRFR[[#Headers],[2021]:[2025]],0)),"Intermédiaire","Supérieur")))))),IF(D12="","",IF(W12+X12&lt;15,"Données Nb pers ou RFR manquantes",IF(COUNTA(INDIRECT("TabRFR["&amp;YEAR(I12)&amp;"]"))&lt;&gt;COUNTA(TabRFR[Recherche RFR]),"Data RFR manquantes", IF(X12&lt;=INDEX(TabRFR[[2021]:[2025]],MATCH(BD!W12&amp;"-Très modestes",TabRFR[Recherche RFR],0),MATCH(TEXT(YEAR(BD!I12),"Standard"),TabRFR[[#Headers],[2021]:[2025]],0)),"Très Modeste",IF(X12&lt;=INDEX(TabRFR[[2021]:[2025]],MATCH(BD!W12&amp;"-modestes",TabRFR[Recherche RFR],0),MATCH(TEXT(YEAR(BD!I12),"Standard"),TabRFR[[#Headers],[2021]:[2025]],0)),"Modeste",IF(X12&lt;=INDEX(TabRFR[[2021]:[2025]],MATCH(BD!W12&amp;"-Intermédiaire",TabRFR[Recherche RFR],0),MATCH(TEXT(YEAR(BD!I12),"Standard"),TabRFR[[#Headers],[2021]:[2025]],0)),"Intermédiaire","Supérieur")))))))</f>
        <v>Data RFR manquantes</v>
      </c>
      <c r="Z12" s="75"/>
      <c r="AA12" s="75" t="s">
        <v>2557</v>
      </c>
      <c r="AB12" s="75">
        <v>38620</v>
      </c>
      <c r="AC12" s="75" t="s">
        <v>851</v>
      </c>
      <c r="AD12" s="101"/>
      <c r="AE12" s="102"/>
      <c r="AF12" s="75" t="s">
        <v>95</v>
      </c>
      <c r="AG12" s="75"/>
      <c r="AH12" s="75">
        <v>2008</v>
      </c>
      <c r="AI12" s="75"/>
      <c r="AJ12" s="75"/>
      <c r="AK12" s="75"/>
      <c r="AL12" s="75"/>
      <c r="AM12" s="75" t="s">
        <v>4035</v>
      </c>
      <c r="AN12" s="75" t="s">
        <v>108</v>
      </c>
      <c r="AO12" s="75"/>
      <c r="AP12" s="75" t="s">
        <v>97</v>
      </c>
      <c r="AQ12" s="75"/>
      <c r="AR12" s="75"/>
      <c r="AS12" s="102" t="s">
        <v>110</v>
      </c>
      <c r="AT12" s="101">
        <v>476500550</v>
      </c>
      <c r="AU12" s="75" t="s">
        <v>111</v>
      </c>
      <c r="AV12" s="75">
        <v>1987</v>
      </c>
      <c r="AW12" s="75" t="s">
        <v>111</v>
      </c>
      <c r="AX12" s="75" t="s">
        <v>112</v>
      </c>
      <c r="AY12" s="75" t="s">
        <v>1958</v>
      </c>
      <c r="AZ12" s="75" t="s">
        <v>2555</v>
      </c>
      <c r="BA12" s="75">
        <v>37</v>
      </c>
      <c r="BB12" s="75">
        <v>6</v>
      </c>
      <c r="BC12" s="75">
        <v>81</v>
      </c>
      <c r="BD12" s="75">
        <v>0.1</v>
      </c>
      <c r="BE12" s="75" t="s">
        <v>97</v>
      </c>
      <c r="BF12" s="75"/>
      <c r="BG12" s="75">
        <v>3149</v>
      </c>
      <c r="BH12" s="77"/>
      <c r="BI12" s="77"/>
      <c r="BJ12" s="77"/>
      <c r="BK12" s="75">
        <v>1759.6</v>
      </c>
      <c r="BL12" s="75">
        <f t="shared" si="0"/>
        <v>4908.6000000000004</v>
      </c>
      <c r="BM12" s="103">
        <f t="shared" si="1"/>
        <v>269.97300000000001</v>
      </c>
      <c r="BN12" s="103">
        <f t="shared" si="2"/>
        <v>5178.5730000000003</v>
      </c>
      <c r="BO12" s="103">
        <v>6200</v>
      </c>
      <c r="BP12" s="75" t="s">
        <v>97</v>
      </c>
      <c r="BQ12" s="75"/>
      <c r="BR12" s="75"/>
      <c r="BS12" s="157">
        <v>2016</v>
      </c>
      <c r="BT12">
        <v>2020</v>
      </c>
      <c r="BU12">
        <v>2016</v>
      </c>
    </row>
    <row r="13" spans="1:73" ht="43.15" customHeight="1" x14ac:dyDescent="0.25">
      <c r="A13" s="242" t="s">
        <v>2526</v>
      </c>
      <c r="B13" s="242" t="s">
        <v>2554</v>
      </c>
      <c r="C13" s="159">
        <v>400</v>
      </c>
      <c r="D13" s="114">
        <v>42404</v>
      </c>
      <c r="E13" s="114" t="s">
        <v>9</v>
      </c>
      <c r="F13" s="114" t="s">
        <v>9</v>
      </c>
      <c r="G13" s="114" t="s">
        <v>9</v>
      </c>
      <c r="H13" s="114">
        <v>42416</v>
      </c>
      <c r="I13" s="114">
        <v>42416</v>
      </c>
      <c r="J13" s="114">
        <v>42419</v>
      </c>
      <c r="K13" s="76"/>
      <c r="L13" s="114">
        <v>42501</v>
      </c>
      <c r="M13" s="114">
        <v>42496</v>
      </c>
      <c r="N13" s="114"/>
      <c r="O13" s="114"/>
      <c r="P13" s="114">
        <v>42515</v>
      </c>
      <c r="Q13" s="114">
        <v>42520</v>
      </c>
      <c r="R13" s="80"/>
      <c r="S13" s="114"/>
      <c r="T13" s="75"/>
      <c r="U13" s="75"/>
      <c r="V13" s="75"/>
      <c r="W13" s="75">
        <v>2</v>
      </c>
      <c r="X13" s="75">
        <v>61617</v>
      </c>
      <c r="Y13" s="75" t="str">
        <f ca="1">IF(I13="",IF(D13="","",IF(W13+X13&lt;15,"Données Nb pers ou RFR manquantes",IF(COUNTA(INDIRECT("TabRFR["&amp;YEAR(D13)&amp;"]"))&lt;&gt;COUNTA(TabRFR[Recherche RFR]),"Data RFR manquantes", IF(X13&lt;=INDEX(TabRFR[[2021]:[2025]],MATCH(BD!W13&amp;"-Très modestes",TabRFR[Recherche RFR],0),MATCH(TEXT(YEAR(BD!D13),"Standard"),TabRFR[[#Headers],[2021]:[2025]],0)),"Très Modeste",IF(X13&lt;=INDEX(TabRFR[[2021]:[2025]],MATCH(BD!W13&amp;"-modestes",TabRFR[Recherche RFR],0),MATCH(TEXT(YEAR(BD!D13),"Standard"),TabRFR[[#Headers],[2021]:[2025]],0)),"Modeste",IF(X13&lt;=INDEX(TabRFR[[2021]:[2025]],MATCH(BD!W13&amp;"-Intermédiaire",TabRFR[Recherche RFR],0),MATCH(TEXT(YEAR(BD!D13),"Standard"),TabRFR[[#Headers],[2021]:[2025]],0)),"Intermédiaire","Supérieur")))))),IF(D13="","",IF(W13+X13&lt;15,"Données Nb pers ou RFR manquantes",IF(COUNTA(INDIRECT("TabRFR["&amp;YEAR(I13)&amp;"]"))&lt;&gt;COUNTA(TabRFR[Recherche RFR]),"Data RFR manquantes", IF(X13&lt;=INDEX(TabRFR[[2021]:[2025]],MATCH(BD!W13&amp;"-Très modestes",TabRFR[Recherche RFR],0),MATCH(TEXT(YEAR(BD!I13),"Standard"),TabRFR[[#Headers],[2021]:[2025]],0)),"Très Modeste",IF(X13&lt;=INDEX(TabRFR[[2021]:[2025]],MATCH(BD!W13&amp;"-modestes",TabRFR[Recherche RFR],0),MATCH(TEXT(YEAR(BD!I13),"Standard"),TabRFR[[#Headers],[2021]:[2025]],0)),"Modeste",IF(X13&lt;=INDEX(TabRFR[[2021]:[2025]],MATCH(BD!W13&amp;"-Intermédiaire",TabRFR[Recherche RFR],0),MATCH(TEXT(YEAR(BD!I13),"Standard"),TabRFR[[#Headers],[2021]:[2025]],0)),"Intermédiaire","Supérieur")))))))</f>
        <v>Data RFR manquantes</v>
      </c>
      <c r="Z13" s="75"/>
      <c r="AA13" s="75" t="s">
        <v>2552</v>
      </c>
      <c r="AB13" s="75">
        <v>38500</v>
      </c>
      <c r="AC13" s="75" t="s">
        <v>96</v>
      </c>
      <c r="AD13" s="101"/>
      <c r="AE13" s="102"/>
      <c r="AF13" s="75" t="s">
        <v>95</v>
      </c>
      <c r="AG13" s="75"/>
      <c r="AH13" s="75">
        <v>1971</v>
      </c>
      <c r="AI13" s="75"/>
      <c r="AJ13" s="75"/>
      <c r="AK13" s="75"/>
      <c r="AL13" s="75"/>
      <c r="AM13" s="75" t="s">
        <v>4348</v>
      </c>
      <c r="AN13" s="75" t="s">
        <v>96</v>
      </c>
      <c r="AO13" s="75" t="s">
        <v>238</v>
      </c>
      <c r="AP13" s="75" t="s">
        <v>97</v>
      </c>
      <c r="AQ13" s="75"/>
      <c r="AR13" s="75"/>
      <c r="AS13" s="102" t="s">
        <v>1571</v>
      </c>
      <c r="AT13" s="101">
        <v>476323235</v>
      </c>
      <c r="AU13" s="75" t="s">
        <v>430</v>
      </c>
      <c r="AV13" s="75">
        <v>1971</v>
      </c>
      <c r="AW13" s="75" t="s">
        <v>100</v>
      </c>
      <c r="AX13" s="75" t="s">
        <v>112</v>
      </c>
      <c r="AY13" s="75" t="s">
        <v>2155</v>
      </c>
      <c r="AZ13" s="75" t="s">
        <v>1453</v>
      </c>
      <c r="BA13" s="75">
        <v>4</v>
      </c>
      <c r="BB13" s="75">
        <v>7</v>
      </c>
      <c r="BC13" s="75">
        <v>78</v>
      </c>
      <c r="BD13" s="75">
        <v>0.06</v>
      </c>
      <c r="BE13" s="75" t="s">
        <v>97</v>
      </c>
      <c r="BF13" s="75"/>
      <c r="BG13" s="75">
        <v>2713</v>
      </c>
      <c r="BH13" s="77"/>
      <c r="BI13" s="77"/>
      <c r="BJ13" s="77"/>
      <c r="BK13" s="75">
        <v>675</v>
      </c>
      <c r="BL13" s="75">
        <f t="shared" si="0"/>
        <v>3388</v>
      </c>
      <c r="BM13" s="103">
        <f t="shared" si="1"/>
        <v>186.34</v>
      </c>
      <c r="BN13" s="103">
        <f t="shared" si="2"/>
        <v>3574.34</v>
      </c>
      <c r="BO13" s="103">
        <v>3574.34</v>
      </c>
      <c r="BP13" s="75" t="s">
        <v>97</v>
      </c>
      <c r="BQ13" s="75"/>
      <c r="BR13" s="75"/>
      <c r="BS13" s="157">
        <v>2016</v>
      </c>
      <c r="BT13">
        <v>2020</v>
      </c>
      <c r="BU13">
        <v>2016</v>
      </c>
    </row>
    <row r="14" spans="1:73" ht="43.15" customHeight="1" x14ac:dyDescent="0.25">
      <c r="A14" s="242" t="s">
        <v>2526</v>
      </c>
      <c r="B14" s="242" t="s">
        <v>2550</v>
      </c>
      <c r="C14" s="159">
        <v>400</v>
      </c>
      <c r="D14" s="114">
        <v>42410</v>
      </c>
      <c r="E14" s="114" t="s">
        <v>9</v>
      </c>
      <c r="F14" s="114" t="s">
        <v>9</v>
      </c>
      <c r="G14" s="114" t="s">
        <v>9</v>
      </c>
      <c r="H14" s="114">
        <v>42416</v>
      </c>
      <c r="I14" s="114">
        <v>42416</v>
      </c>
      <c r="J14" s="114">
        <v>42419</v>
      </c>
      <c r="K14" s="76"/>
      <c r="L14" s="114">
        <v>42466</v>
      </c>
      <c r="M14" s="114">
        <v>42426</v>
      </c>
      <c r="N14" s="114" t="s">
        <v>9</v>
      </c>
      <c r="O14" s="114" t="s">
        <v>9</v>
      </c>
      <c r="P14" s="114">
        <v>42489</v>
      </c>
      <c r="Q14" s="114">
        <v>42510</v>
      </c>
      <c r="R14" s="80"/>
      <c r="S14" s="114"/>
      <c r="T14" s="75"/>
      <c r="U14" s="75"/>
      <c r="V14" s="75"/>
      <c r="W14" s="75">
        <v>5</v>
      </c>
      <c r="X14" s="75">
        <v>47374</v>
      </c>
      <c r="Y14" s="75" t="str">
        <f ca="1">IF(I14="",IF(D14="","",IF(W14+X14&lt;15,"Données Nb pers ou RFR manquantes",IF(COUNTA(INDIRECT("TabRFR["&amp;YEAR(D14)&amp;"]"))&lt;&gt;COUNTA(TabRFR[Recherche RFR]),"Data RFR manquantes", IF(X14&lt;=INDEX(TabRFR[[2021]:[2025]],MATCH(BD!W14&amp;"-Très modestes",TabRFR[Recherche RFR],0),MATCH(TEXT(YEAR(BD!D14),"Standard"),TabRFR[[#Headers],[2021]:[2025]],0)),"Très Modeste",IF(X14&lt;=INDEX(TabRFR[[2021]:[2025]],MATCH(BD!W14&amp;"-modestes",TabRFR[Recherche RFR],0),MATCH(TEXT(YEAR(BD!D14),"Standard"),TabRFR[[#Headers],[2021]:[2025]],0)),"Modeste",IF(X14&lt;=INDEX(TabRFR[[2021]:[2025]],MATCH(BD!W14&amp;"-Intermédiaire",TabRFR[Recherche RFR],0),MATCH(TEXT(YEAR(BD!D14),"Standard"),TabRFR[[#Headers],[2021]:[2025]],0)),"Intermédiaire","Supérieur")))))),IF(D14="","",IF(W14+X14&lt;15,"Données Nb pers ou RFR manquantes",IF(COUNTA(INDIRECT("TabRFR["&amp;YEAR(I14)&amp;"]"))&lt;&gt;COUNTA(TabRFR[Recherche RFR]),"Data RFR manquantes", IF(X14&lt;=INDEX(TabRFR[[2021]:[2025]],MATCH(BD!W14&amp;"-Très modestes",TabRFR[Recherche RFR],0),MATCH(TEXT(YEAR(BD!I14),"Standard"),TabRFR[[#Headers],[2021]:[2025]],0)),"Très Modeste",IF(X14&lt;=INDEX(TabRFR[[2021]:[2025]],MATCH(BD!W14&amp;"-modestes",TabRFR[Recherche RFR],0),MATCH(TEXT(YEAR(BD!I14),"Standard"),TabRFR[[#Headers],[2021]:[2025]],0)),"Modeste",IF(X14&lt;=INDEX(TabRFR[[2021]:[2025]],MATCH(BD!W14&amp;"-Intermédiaire",TabRFR[Recherche RFR],0),MATCH(TEXT(YEAR(BD!I14),"Standard"),TabRFR[[#Headers],[2021]:[2025]],0)),"Intermédiaire","Supérieur")))))))</f>
        <v>Data RFR manquantes</v>
      </c>
      <c r="Z14" s="75"/>
      <c r="AA14" s="75" t="s">
        <v>2547</v>
      </c>
      <c r="AB14" s="75">
        <v>38340</v>
      </c>
      <c r="AC14" s="75" t="s">
        <v>3129</v>
      </c>
      <c r="AD14" s="101"/>
      <c r="AE14" s="102"/>
      <c r="AF14" s="75" t="s">
        <v>95</v>
      </c>
      <c r="AG14" s="75"/>
      <c r="AH14" s="75">
        <v>2001</v>
      </c>
      <c r="AI14" s="75"/>
      <c r="AJ14" s="75"/>
      <c r="AK14" s="75"/>
      <c r="AL14" s="75"/>
      <c r="AM14" s="75" t="s">
        <v>350</v>
      </c>
      <c r="AN14" s="75" t="s">
        <v>451</v>
      </c>
      <c r="AO14" s="75" t="s">
        <v>2545</v>
      </c>
      <c r="AP14" s="75" t="s">
        <v>97</v>
      </c>
      <c r="AQ14" s="75"/>
      <c r="AR14" s="75"/>
      <c r="AS14" s="102" t="s">
        <v>2544</v>
      </c>
      <c r="AT14" s="101">
        <v>437030090</v>
      </c>
      <c r="AU14" s="75" t="s">
        <v>399</v>
      </c>
      <c r="AV14" s="75">
        <v>2001</v>
      </c>
      <c r="AW14" s="75" t="s">
        <v>100</v>
      </c>
      <c r="AX14" s="75" t="s">
        <v>112</v>
      </c>
      <c r="AY14" s="75" t="s">
        <v>2155</v>
      </c>
      <c r="AZ14" s="75" t="s">
        <v>474</v>
      </c>
      <c r="BA14" s="75">
        <v>7</v>
      </c>
      <c r="BB14" s="75">
        <v>7.5</v>
      </c>
      <c r="BC14" s="75">
        <v>79</v>
      </c>
      <c r="BD14" s="75">
        <v>0.06</v>
      </c>
      <c r="BE14" s="75" t="s">
        <v>97</v>
      </c>
      <c r="BF14" s="75"/>
      <c r="BG14" s="75">
        <v>2103</v>
      </c>
      <c r="BH14" s="77"/>
      <c r="BI14" s="77"/>
      <c r="BJ14" s="77"/>
      <c r="BK14" s="75">
        <v>1688.48</v>
      </c>
      <c r="BL14" s="75">
        <f t="shared" si="0"/>
        <v>3791.48</v>
      </c>
      <c r="BM14" s="103">
        <f t="shared" si="1"/>
        <v>208.53139999999999</v>
      </c>
      <c r="BN14" s="103">
        <f t="shared" si="2"/>
        <v>4000.0113999999999</v>
      </c>
      <c r="BO14" s="103">
        <v>4000</v>
      </c>
      <c r="BP14" s="75" t="s">
        <v>97</v>
      </c>
      <c r="BQ14" s="75"/>
      <c r="BR14" s="75"/>
      <c r="BS14" s="157">
        <v>2016</v>
      </c>
      <c r="BT14">
        <v>2020</v>
      </c>
      <c r="BU14">
        <v>2016</v>
      </c>
    </row>
    <row r="15" spans="1:73" ht="43.15" customHeight="1" x14ac:dyDescent="0.25">
      <c r="A15" s="242" t="s">
        <v>2526</v>
      </c>
      <c r="B15" s="242" t="s">
        <v>2543</v>
      </c>
      <c r="C15" s="159">
        <v>400</v>
      </c>
      <c r="D15" s="114">
        <v>42410</v>
      </c>
      <c r="E15" s="114" t="s">
        <v>9</v>
      </c>
      <c r="F15" s="114" t="s">
        <v>2542</v>
      </c>
      <c r="G15" s="114" t="s">
        <v>9</v>
      </c>
      <c r="H15" s="114">
        <v>42528</v>
      </c>
      <c r="I15" s="114">
        <v>42528</v>
      </c>
      <c r="J15" s="114">
        <v>42542</v>
      </c>
      <c r="K15" s="76"/>
      <c r="L15" s="114">
        <v>42569</v>
      </c>
      <c r="M15" s="114">
        <v>42551</v>
      </c>
      <c r="N15" s="114"/>
      <c r="O15" s="114"/>
      <c r="P15" s="114">
        <v>42578</v>
      </c>
      <c r="Q15" s="114">
        <v>42579</v>
      </c>
      <c r="R15" s="80"/>
      <c r="S15" s="114"/>
      <c r="T15" s="75"/>
      <c r="U15" s="75"/>
      <c r="V15" s="75"/>
      <c r="W15" s="75">
        <v>2</v>
      </c>
      <c r="X15" s="75">
        <v>76069</v>
      </c>
      <c r="Y15" s="75" t="str">
        <f ca="1">IF(I15="",IF(D15="","",IF(W15+X15&lt;15,"Données Nb pers ou RFR manquantes",IF(COUNTA(INDIRECT("TabRFR["&amp;YEAR(D15)&amp;"]"))&lt;&gt;COUNTA(TabRFR[Recherche RFR]),"Data RFR manquantes", IF(X15&lt;=INDEX(TabRFR[[2021]:[2025]],MATCH(BD!W15&amp;"-Très modestes",TabRFR[Recherche RFR],0),MATCH(TEXT(YEAR(BD!D15),"Standard"),TabRFR[[#Headers],[2021]:[2025]],0)),"Très Modeste",IF(X15&lt;=INDEX(TabRFR[[2021]:[2025]],MATCH(BD!W15&amp;"-modestes",TabRFR[Recherche RFR],0),MATCH(TEXT(YEAR(BD!D15),"Standard"),TabRFR[[#Headers],[2021]:[2025]],0)),"Modeste",IF(X15&lt;=INDEX(TabRFR[[2021]:[2025]],MATCH(BD!W15&amp;"-Intermédiaire",TabRFR[Recherche RFR],0),MATCH(TEXT(YEAR(BD!D15),"Standard"),TabRFR[[#Headers],[2021]:[2025]],0)),"Intermédiaire","Supérieur")))))),IF(D15="","",IF(W15+X15&lt;15,"Données Nb pers ou RFR manquantes",IF(COUNTA(INDIRECT("TabRFR["&amp;YEAR(I15)&amp;"]"))&lt;&gt;COUNTA(TabRFR[Recherche RFR]),"Data RFR manquantes", IF(X15&lt;=INDEX(TabRFR[[2021]:[2025]],MATCH(BD!W15&amp;"-Très modestes",TabRFR[Recherche RFR],0),MATCH(TEXT(YEAR(BD!I15),"Standard"),TabRFR[[#Headers],[2021]:[2025]],0)),"Très Modeste",IF(X15&lt;=INDEX(TabRFR[[2021]:[2025]],MATCH(BD!W15&amp;"-modestes",TabRFR[Recherche RFR],0),MATCH(TEXT(YEAR(BD!I15),"Standard"),TabRFR[[#Headers],[2021]:[2025]],0)),"Modeste",IF(X15&lt;=INDEX(TabRFR[[2021]:[2025]],MATCH(BD!W15&amp;"-Intermédiaire",TabRFR[Recherche RFR],0),MATCH(TEXT(YEAR(BD!I15),"Standard"),TabRFR[[#Headers],[2021]:[2025]],0)),"Intermédiaire","Supérieur")))))))</f>
        <v>Data RFR manquantes</v>
      </c>
      <c r="Z15" s="75"/>
      <c r="AA15" s="75" t="s">
        <v>2539</v>
      </c>
      <c r="AB15" s="75">
        <v>38850</v>
      </c>
      <c r="AC15" s="75" t="s">
        <v>242</v>
      </c>
      <c r="AD15" s="101"/>
      <c r="AE15" s="102"/>
      <c r="AF15" s="75" t="s">
        <v>95</v>
      </c>
      <c r="AG15" s="75"/>
      <c r="AH15" s="75">
        <v>1998</v>
      </c>
      <c r="AI15" s="75"/>
      <c r="AJ15" s="75"/>
      <c r="AK15" s="75"/>
      <c r="AL15" s="75"/>
      <c r="AM15" s="75" t="s">
        <v>3973</v>
      </c>
      <c r="AN15" s="75" t="s">
        <v>96</v>
      </c>
      <c r="AO15" s="75" t="s">
        <v>789</v>
      </c>
      <c r="AP15" s="75" t="s">
        <v>97</v>
      </c>
      <c r="AQ15" s="75"/>
      <c r="AR15" s="75"/>
      <c r="AS15" s="102" t="s">
        <v>141</v>
      </c>
      <c r="AT15" s="101">
        <v>476069938</v>
      </c>
      <c r="AU15" s="75" t="s">
        <v>111</v>
      </c>
      <c r="AV15" s="75">
        <v>1983</v>
      </c>
      <c r="AW15" s="75" t="s">
        <v>100</v>
      </c>
      <c r="AX15" s="75" t="s">
        <v>112</v>
      </c>
      <c r="AY15" s="75" t="s">
        <v>1859</v>
      </c>
      <c r="AZ15" s="75" t="s">
        <v>547</v>
      </c>
      <c r="BA15" s="75"/>
      <c r="BB15" s="75">
        <v>4</v>
      </c>
      <c r="BC15" s="75">
        <v>80</v>
      </c>
      <c r="BD15" s="75">
        <v>0.08</v>
      </c>
      <c r="BE15" s="75" t="s">
        <v>374</v>
      </c>
      <c r="BF15" s="75"/>
      <c r="BG15" s="75">
        <v>1976</v>
      </c>
      <c r="BH15" s="77"/>
      <c r="BI15" s="77"/>
      <c r="BJ15" s="77"/>
      <c r="BK15" s="75">
        <v>1832</v>
      </c>
      <c r="BL15" s="75">
        <f t="shared" si="0"/>
        <v>3808</v>
      </c>
      <c r="BM15" s="103">
        <f t="shared" si="1"/>
        <v>209.44</v>
      </c>
      <c r="BN15" s="103">
        <f t="shared" si="2"/>
        <v>4017.44</v>
      </c>
      <c r="BO15" s="103">
        <v>3800</v>
      </c>
      <c r="BP15" s="75" t="s">
        <v>97</v>
      </c>
      <c r="BQ15" s="75"/>
      <c r="BR15" s="75"/>
      <c r="BS15" s="157">
        <v>2016</v>
      </c>
      <c r="BT15">
        <v>2020</v>
      </c>
      <c r="BU15">
        <v>2016</v>
      </c>
    </row>
    <row r="16" spans="1:73" ht="43.15" customHeight="1" x14ac:dyDescent="0.25">
      <c r="A16" s="242" t="s">
        <v>2526</v>
      </c>
      <c r="B16" s="242" t="s">
        <v>2537</v>
      </c>
      <c r="C16" s="159">
        <v>400</v>
      </c>
      <c r="D16" s="114">
        <v>42411</v>
      </c>
      <c r="E16" s="114">
        <v>42416</v>
      </c>
      <c r="F16" s="114" t="s">
        <v>2536</v>
      </c>
      <c r="G16" s="114"/>
      <c r="H16" s="114">
        <v>42542</v>
      </c>
      <c r="I16" s="114">
        <v>42542</v>
      </c>
      <c r="J16" s="114">
        <v>42544</v>
      </c>
      <c r="K16" s="76"/>
      <c r="L16" s="114">
        <v>42556</v>
      </c>
      <c r="M16" s="114">
        <v>42186</v>
      </c>
      <c r="N16" s="114"/>
      <c r="O16" s="114"/>
      <c r="P16" s="114">
        <v>42562</v>
      </c>
      <c r="Q16" s="114">
        <v>42573</v>
      </c>
      <c r="R16" s="80"/>
      <c r="S16" s="114"/>
      <c r="T16" s="75"/>
      <c r="U16" s="75"/>
      <c r="V16" s="75"/>
      <c r="W16" s="75">
        <v>2</v>
      </c>
      <c r="X16" s="75">
        <v>49878</v>
      </c>
      <c r="Y16" s="75" t="str">
        <f ca="1">IF(I16="",IF(D16="","",IF(W16+X16&lt;15,"Données Nb pers ou RFR manquantes",IF(COUNTA(INDIRECT("TabRFR["&amp;YEAR(D16)&amp;"]"))&lt;&gt;COUNTA(TabRFR[Recherche RFR]),"Data RFR manquantes", IF(X16&lt;=INDEX(TabRFR[[2021]:[2025]],MATCH(BD!W16&amp;"-Très modestes",TabRFR[Recherche RFR],0),MATCH(TEXT(YEAR(BD!D16),"Standard"),TabRFR[[#Headers],[2021]:[2025]],0)),"Très Modeste",IF(X16&lt;=INDEX(TabRFR[[2021]:[2025]],MATCH(BD!W16&amp;"-modestes",TabRFR[Recherche RFR],0),MATCH(TEXT(YEAR(BD!D16),"Standard"),TabRFR[[#Headers],[2021]:[2025]],0)),"Modeste",IF(X16&lt;=INDEX(TabRFR[[2021]:[2025]],MATCH(BD!W16&amp;"-Intermédiaire",TabRFR[Recherche RFR],0),MATCH(TEXT(YEAR(BD!D16),"Standard"),TabRFR[[#Headers],[2021]:[2025]],0)),"Intermédiaire","Supérieur")))))),IF(D16="","",IF(W16+X16&lt;15,"Données Nb pers ou RFR manquantes",IF(COUNTA(INDIRECT("TabRFR["&amp;YEAR(I16)&amp;"]"))&lt;&gt;COUNTA(TabRFR[Recherche RFR]),"Data RFR manquantes", IF(X16&lt;=INDEX(TabRFR[[2021]:[2025]],MATCH(BD!W16&amp;"-Très modestes",TabRFR[Recherche RFR],0),MATCH(TEXT(YEAR(BD!I16),"Standard"),TabRFR[[#Headers],[2021]:[2025]],0)),"Très Modeste",IF(X16&lt;=INDEX(TabRFR[[2021]:[2025]],MATCH(BD!W16&amp;"-modestes",TabRFR[Recherche RFR],0),MATCH(TEXT(YEAR(BD!I16),"Standard"),TabRFR[[#Headers],[2021]:[2025]],0)),"Modeste",IF(X16&lt;=INDEX(TabRFR[[2021]:[2025]],MATCH(BD!W16&amp;"-Intermédiaire",TabRFR[Recherche RFR],0),MATCH(TEXT(YEAR(BD!I16),"Standard"),TabRFR[[#Headers],[2021]:[2025]],0)),"Intermédiaire","Supérieur")))))))</f>
        <v>Data RFR manquantes</v>
      </c>
      <c r="Z16" s="75"/>
      <c r="AA16" s="75" t="s">
        <v>2534</v>
      </c>
      <c r="AB16" s="75">
        <v>38850</v>
      </c>
      <c r="AC16" s="75" t="s">
        <v>148</v>
      </c>
      <c r="AD16" s="101"/>
      <c r="AE16" s="102"/>
      <c r="AF16" s="75" t="s">
        <v>95</v>
      </c>
      <c r="AG16" s="75"/>
      <c r="AH16" s="75"/>
      <c r="AI16" s="75"/>
      <c r="AJ16" s="75"/>
      <c r="AK16" s="75"/>
      <c r="AL16" s="75"/>
      <c r="AM16" s="75" t="s">
        <v>4236</v>
      </c>
      <c r="AN16" s="75" t="s">
        <v>4091</v>
      </c>
      <c r="AO16" s="75" t="s">
        <v>163</v>
      </c>
      <c r="AP16" s="75" t="s">
        <v>97</v>
      </c>
      <c r="AQ16" s="75"/>
      <c r="AR16" s="75"/>
      <c r="AS16" s="102" t="s">
        <v>164</v>
      </c>
      <c r="AT16" s="101">
        <v>476370350</v>
      </c>
      <c r="AU16" s="75" t="s">
        <v>430</v>
      </c>
      <c r="AV16" s="75">
        <v>2001</v>
      </c>
      <c r="AW16" s="75" t="s">
        <v>100</v>
      </c>
      <c r="AX16" s="75" t="s">
        <v>2071</v>
      </c>
      <c r="AY16" s="75" t="s">
        <v>2363</v>
      </c>
      <c r="AZ16" s="75" t="s">
        <v>2527</v>
      </c>
      <c r="BA16" s="75">
        <v>11</v>
      </c>
      <c r="BB16" s="75">
        <v>12</v>
      </c>
      <c r="BC16" s="75">
        <v>89</v>
      </c>
      <c r="BD16" s="75">
        <v>0.01</v>
      </c>
      <c r="BE16" s="75" t="s">
        <v>97</v>
      </c>
      <c r="BF16" s="75"/>
      <c r="BG16" s="75">
        <v>5255.98</v>
      </c>
      <c r="BH16" s="77"/>
      <c r="BI16" s="77"/>
      <c r="BJ16" s="77"/>
      <c r="BK16" s="75">
        <v>590</v>
      </c>
      <c r="BL16" s="75">
        <f t="shared" si="0"/>
        <v>5845.98</v>
      </c>
      <c r="BM16" s="103">
        <f t="shared" si="1"/>
        <v>321.52889999999996</v>
      </c>
      <c r="BN16" s="103">
        <f t="shared" si="2"/>
        <v>6167.5088999999998</v>
      </c>
      <c r="BO16" s="103">
        <v>6135.86</v>
      </c>
      <c r="BP16" s="75" t="s">
        <v>97</v>
      </c>
      <c r="BQ16" s="75"/>
      <c r="BR16" s="75"/>
      <c r="BS16" s="157">
        <v>2016</v>
      </c>
      <c r="BU16">
        <v>2016</v>
      </c>
    </row>
    <row r="17" spans="1:73" ht="43.15" customHeight="1" x14ac:dyDescent="0.25">
      <c r="A17" s="242" t="s">
        <v>2526</v>
      </c>
      <c r="B17" s="242" t="s">
        <v>2532</v>
      </c>
      <c r="C17" s="159">
        <v>400</v>
      </c>
      <c r="D17" s="114">
        <v>42411</v>
      </c>
      <c r="E17" s="114">
        <v>42416</v>
      </c>
      <c r="F17" s="114" t="s">
        <v>2531</v>
      </c>
      <c r="G17" s="114"/>
      <c r="H17" s="114">
        <v>42542</v>
      </c>
      <c r="I17" s="114">
        <v>42542</v>
      </c>
      <c r="J17" s="114">
        <v>42544</v>
      </c>
      <c r="K17" s="76"/>
      <c r="L17" s="114">
        <v>42697</v>
      </c>
      <c r="M17" s="114">
        <v>42689</v>
      </c>
      <c r="N17" s="114"/>
      <c r="O17" s="114"/>
      <c r="P17" s="114">
        <v>42697</v>
      </c>
      <c r="Q17" s="114">
        <v>42706</v>
      </c>
      <c r="R17" s="80"/>
      <c r="S17" s="114"/>
      <c r="T17" s="75"/>
      <c r="U17" s="75"/>
      <c r="V17" s="75"/>
      <c r="W17" s="75">
        <v>2</v>
      </c>
      <c r="X17" s="75">
        <v>37603</v>
      </c>
      <c r="Y17" s="75" t="str">
        <f ca="1">IF(I17="",IF(D17="","",IF(W17+X17&lt;15,"Données Nb pers ou RFR manquantes",IF(COUNTA(INDIRECT("TabRFR["&amp;YEAR(D17)&amp;"]"))&lt;&gt;COUNTA(TabRFR[Recherche RFR]),"Data RFR manquantes", IF(X17&lt;=INDEX(TabRFR[[2021]:[2025]],MATCH(BD!W17&amp;"-Très modestes",TabRFR[Recherche RFR],0),MATCH(TEXT(YEAR(BD!D17),"Standard"),TabRFR[[#Headers],[2021]:[2025]],0)),"Très Modeste",IF(X17&lt;=INDEX(TabRFR[[2021]:[2025]],MATCH(BD!W17&amp;"-modestes",TabRFR[Recherche RFR],0),MATCH(TEXT(YEAR(BD!D17),"Standard"),TabRFR[[#Headers],[2021]:[2025]],0)),"Modeste",IF(X17&lt;=INDEX(TabRFR[[2021]:[2025]],MATCH(BD!W17&amp;"-Intermédiaire",TabRFR[Recherche RFR],0),MATCH(TEXT(YEAR(BD!D17),"Standard"),TabRFR[[#Headers],[2021]:[2025]],0)),"Intermédiaire","Supérieur")))))),IF(D17="","",IF(W17+X17&lt;15,"Données Nb pers ou RFR manquantes",IF(COUNTA(INDIRECT("TabRFR["&amp;YEAR(I17)&amp;"]"))&lt;&gt;COUNTA(TabRFR[Recherche RFR]),"Data RFR manquantes", IF(X17&lt;=INDEX(TabRFR[[2021]:[2025]],MATCH(BD!W17&amp;"-Très modestes",TabRFR[Recherche RFR],0),MATCH(TEXT(YEAR(BD!I17),"Standard"),TabRFR[[#Headers],[2021]:[2025]],0)),"Très Modeste",IF(X17&lt;=INDEX(TabRFR[[2021]:[2025]],MATCH(BD!W17&amp;"-modestes",TabRFR[Recherche RFR],0),MATCH(TEXT(YEAR(BD!I17),"Standard"),TabRFR[[#Headers],[2021]:[2025]],0)),"Modeste",IF(X17&lt;=INDEX(TabRFR[[2021]:[2025]],MATCH(BD!W17&amp;"-Intermédiaire",TabRFR[Recherche RFR],0),MATCH(TEXT(YEAR(BD!I17),"Standard"),TabRFR[[#Headers],[2021]:[2025]],0)),"Intermédiaire","Supérieur")))))))</f>
        <v>Data RFR manquantes</v>
      </c>
      <c r="Z17" s="75"/>
      <c r="AA17" s="75" t="s">
        <v>2529</v>
      </c>
      <c r="AB17" s="75">
        <v>38140</v>
      </c>
      <c r="AC17" s="75" t="s">
        <v>2357</v>
      </c>
      <c r="AD17" s="101"/>
      <c r="AE17" s="102"/>
      <c r="AF17" s="75" t="s">
        <v>95</v>
      </c>
      <c r="AG17" s="75"/>
      <c r="AH17" s="75">
        <v>1976</v>
      </c>
      <c r="AI17" s="75"/>
      <c r="AJ17" s="75"/>
      <c r="AK17" s="75"/>
      <c r="AL17" s="75"/>
      <c r="AM17" s="75" t="s">
        <v>4236</v>
      </c>
      <c r="AN17" s="75" t="s">
        <v>4091</v>
      </c>
      <c r="AO17" s="75" t="s">
        <v>163</v>
      </c>
      <c r="AP17" s="75" t="s">
        <v>97</v>
      </c>
      <c r="AQ17" s="75"/>
      <c r="AR17" s="75"/>
      <c r="AS17" s="102" t="s">
        <v>164</v>
      </c>
      <c r="AT17" s="101">
        <v>476370350</v>
      </c>
      <c r="AU17" s="75" t="s">
        <v>111</v>
      </c>
      <c r="AV17" s="75">
        <v>1989</v>
      </c>
      <c r="AW17" s="75" t="s">
        <v>100</v>
      </c>
      <c r="AX17" s="75" t="s">
        <v>2071</v>
      </c>
      <c r="AY17" s="75" t="s">
        <v>2363</v>
      </c>
      <c r="AZ17" s="75" t="s">
        <v>2527</v>
      </c>
      <c r="BA17" s="75">
        <v>11</v>
      </c>
      <c r="BB17" s="75">
        <v>12</v>
      </c>
      <c r="BC17" s="75">
        <v>89</v>
      </c>
      <c r="BD17" s="75">
        <v>0.01</v>
      </c>
      <c r="BE17" s="75" t="s">
        <v>97</v>
      </c>
      <c r="BF17" s="75"/>
      <c r="BG17" s="75">
        <v>5709</v>
      </c>
      <c r="BH17" s="77"/>
      <c r="BI17" s="77"/>
      <c r="BJ17" s="77"/>
      <c r="BK17" s="75">
        <v>590</v>
      </c>
      <c r="BL17" s="75">
        <f t="shared" si="0"/>
        <v>6299</v>
      </c>
      <c r="BM17" s="103">
        <f t="shared" si="1"/>
        <v>346.44499999999999</v>
      </c>
      <c r="BN17" s="103">
        <f t="shared" si="2"/>
        <v>6645.4449999999997</v>
      </c>
      <c r="BO17" s="103">
        <v>6666.54</v>
      </c>
      <c r="BP17" s="75" t="s">
        <v>97</v>
      </c>
      <c r="BQ17" s="75"/>
      <c r="BR17" s="75"/>
      <c r="BS17" s="157">
        <v>2016</v>
      </c>
      <c r="BU17">
        <v>2016</v>
      </c>
    </row>
    <row r="18" spans="1:73" ht="43.15" customHeight="1" x14ac:dyDescent="0.25">
      <c r="A18" s="242" t="s">
        <v>2526</v>
      </c>
      <c r="B18" s="242" t="s">
        <v>2525</v>
      </c>
      <c r="C18" s="159">
        <v>400</v>
      </c>
      <c r="D18" s="114">
        <v>42412</v>
      </c>
      <c r="E18" s="114" t="s">
        <v>9</v>
      </c>
      <c r="F18" s="114" t="s">
        <v>9</v>
      </c>
      <c r="G18" s="114" t="s">
        <v>9</v>
      </c>
      <c r="H18" s="114">
        <v>42416</v>
      </c>
      <c r="I18" s="114">
        <v>42416</v>
      </c>
      <c r="J18" s="114">
        <v>42419</v>
      </c>
      <c r="K18" s="76"/>
      <c r="L18" s="114">
        <v>42480</v>
      </c>
      <c r="M18" s="114">
        <v>42439</v>
      </c>
      <c r="N18" s="114" t="s">
        <v>9</v>
      </c>
      <c r="O18" s="114" t="s">
        <v>9</v>
      </c>
      <c r="P18" s="114">
        <v>42500</v>
      </c>
      <c r="Q18" s="114">
        <v>42510</v>
      </c>
      <c r="R18" s="80"/>
      <c r="S18" s="114"/>
      <c r="T18" s="75"/>
      <c r="U18" s="75"/>
      <c r="V18" s="75"/>
      <c r="W18" s="75">
        <v>2</v>
      </c>
      <c r="X18" s="75">
        <v>52705</v>
      </c>
      <c r="Y18" s="75" t="str">
        <f ca="1">IF(I18="",IF(D18="","",IF(W18+X18&lt;15,"Données Nb pers ou RFR manquantes",IF(COUNTA(INDIRECT("TabRFR["&amp;YEAR(D18)&amp;"]"))&lt;&gt;COUNTA(TabRFR[Recherche RFR]),"Data RFR manquantes", IF(X18&lt;=INDEX(TabRFR[[2021]:[2025]],MATCH(BD!W18&amp;"-Très modestes",TabRFR[Recherche RFR],0),MATCH(TEXT(YEAR(BD!D18),"Standard"),TabRFR[[#Headers],[2021]:[2025]],0)),"Très Modeste",IF(X18&lt;=INDEX(TabRFR[[2021]:[2025]],MATCH(BD!W18&amp;"-modestes",TabRFR[Recherche RFR],0),MATCH(TEXT(YEAR(BD!D18),"Standard"),TabRFR[[#Headers],[2021]:[2025]],0)),"Modeste",IF(X18&lt;=INDEX(TabRFR[[2021]:[2025]],MATCH(BD!W18&amp;"-Intermédiaire",TabRFR[Recherche RFR],0),MATCH(TEXT(YEAR(BD!D18),"Standard"),TabRFR[[#Headers],[2021]:[2025]],0)),"Intermédiaire","Supérieur")))))),IF(D18="","",IF(W18+X18&lt;15,"Données Nb pers ou RFR manquantes",IF(COUNTA(INDIRECT("TabRFR["&amp;YEAR(I18)&amp;"]"))&lt;&gt;COUNTA(TabRFR[Recherche RFR]),"Data RFR manquantes", IF(X18&lt;=INDEX(TabRFR[[2021]:[2025]],MATCH(BD!W18&amp;"-Très modestes",TabRFR[Recherche RFR],0),MATCH(TEXT(YEAR(BD!I18),"Standard"),TabRFR[[#Headers],[2021]:[2025]],0)),"Très Modeste",IF(X18&lt;=INDEX(TabRFR[[2021]:[2025]],MATCH(BD!W18&amp;"-modestes",TabRFR[Recherche RFR],0),MATCH(TEXT(YEAR(BD!I18),"Standard"),TabRFR[[#Headers],[2021]:[2025]],0)),"Modeste",IF(X18&lt;=INDEX(TabRFR[[2021]:[2025]],MATCH(BD!W18&amp;"-Intermédiaire",TabRFR[Recherche RFR],0),MATCH(TEXT(YEAR(BD!I18),"Standard"),TabRFR[[#Headers],[2021]:[2025]],0)),"Intermédiaire","Supérieur")))))))</f>
        <v>Data RFR manquantes</v>
      </c>
      <c r="Z18" s="75"/>
      <c r="AA18" s="75" t="s">
        <v>2523</v>
      </c>
      <c r="AB18" s="75">
        <v>38850</v>
      </c>
      <c r="AC18" s="75" t="s">
        <v>242</v>
      </c>
      <c r="AD18" s="101"/>
      <c r="AE18" s="102"/>
      <c r="AF18" s="75" t="s">
        <v>95</v>
      </c>
      <c r="AG18" s="75"/>
      <c r="AH18" s="75">
        <v>1984</v>
      </c>
      <c r="AI18" s="75"/>
      <c r="AJ18" s="75"/>
      <c r="AK18" s="75"/>
      <c r="AL18" s="75"/>
      <c r="AM18" s="75" t="s">
        <v>4130</v>
      </c>
      <c r="AN18" s="75" t="s">
        <v>4349</v>
      </c>
      <c r="AO18" s="75" t="s">
        <v>336</v>
      </c>
      <c r="AP18" s="75" t="s">
        <v>97</v>
      </c>
      <c r="AQ18" s="75"/>
      <c r="AR18" s="75"/>
      <c r="AS18" s="102" t="s">
        <v>337</v>
      </c>
      <c r="AT18" s="101">
        <v>438021901</v>
      </c>
      <c r="AU18" s="75" t="s">
        <v>430</v>
      </c>
      <c r="AV18" s="75">
        <v>1984</v>
      </c>
      <c r="AW18" s="75" t="s">
        <v>111</v>
      </c>
      <c r="AX18" s="75" t="s">
        <v>112</v>
      </c>
      <c r="AY18" s="75" t="s">
        <v>2521</v>
      </c>
      <c r="AZ18" s="75">
        <v>757</v>
      </c>
      <c r="BA18" s="75">
        <v>25</v>
      </c>
      <c r="BB18" s="75">
        <v>14</v>
      </c>
      <c r="BC18" s="75">
        <v>76</v>
      </c>
      <c r="BD18" s="75">
        <v>0.09</v>
      </c>
      <c r="BE18" s="75" t="s">
        <v>97</v>
      </c>
      <c r="BF18" s="75"/>
      <c r="BG18" s="75">
        <v>3038</v>
      </c>
      <c r="BH18" s="77"/>
      <c r="BI18" s="77"/>
      <c r="BJ18" s="77"/>
      <c r="BK18" s="75">
        <v>1182</v>
      </c>
      <c r="BL18" s="75">
        <f t="shared" si="0"/>
        <v>4220</v>
      </c>
      <c r="BM18" s="103">
        <f t="shared" si="1"/>
        <v>232.1</v>
      </c>
      <c r="BN18" s="103">
        <f t="shared" si="2"/>
        <v>4452.1000000000004</v>
      </c>
      <c r="BO18" s="103">
        <v>8070</v>
      </c>
      <c r="BP18" s="75" t="s">
        <v>97</v>
      </c>
      <c r="BQ18" s="75"/>
      <c r="BR18" s="75"/>
      <c r="BS18" s="157">
        <v>2016</v>
      </c>
      <c r="BT18">
        <v>2020</v>
      </c>
      <c r="BU18">
        <v>2016</v>
      </c>
    </row>
    <row r="19" spans="1:73" ht="43.15" customHeight="1" x14ac:dyDescent="0.25">
      <c r="A19" s="242" t="s">
        <v>1824</v>
      </c>
      <c r="B19" s="242" t="s">
        <v>2520</v>
      </c>
      <c r="C19" s="159">
        <v>400</v>
      </c>
      <c r="D19" s="114">
        <v>42422</v>
      </c>
      <c r="E19" s="114" t="s">
        <v>9</v>
      </c>
      <c r="F19" s="114" t="s">
        <v>9</v>
      </c>
      <c r="G19" s="114" t="s">
        <v>9</v>
      </c>
      <c r="H19" s="114">
        <v>42431</v>
      </c>
      <c r="I19" s="114">
        <v>42431</v>
      </c>
      <c r="J19" s="114">
        <v>42443</v>
      </c>
      <c r="K19" s="76"/>
      <c r="L19" s="114">
        <v>42493</v>
      </c>
      <c r="M19" s="114" t="s">
        <v>2519</v>
      </c>
      <c r="N19" s="114"/>
      <c r="O19" s="114">
        <v>42542</v>
      </c>
      <c r="P19" s="114">
        <v>42542</v>
      </c>
      <c r="Q19" s="114">
        <v>42549</v>
      </c>
      <c r="R19" s="80"/>
      <c r="S19" s="114"/>
      <c r="T19" s="75"/>
      <c r="U19" s="75"/>
      <c r="V19" s="75"/>
      <c r="W19" s="75">
        <v>2</v>
      </c>
      <c r="X19" s="75">
        <v>78729</v>
      </c>
      <c r="Y19" s="75" t="str">
        <f ca="1">IF(I19="",IF(D19="","",IF(W19+X19&lt;15,"Données Nb pers ou RFR manquantes",IF(COUNTA(INDIRECT("TabRFR["&amp;YEAR(D19)&amp;"]"))&lt;&gt;COUNTA(TabRFR[Recherche RFR]),"Data RFR manquantes", IF(X19&lt;=INDEX(TabRFR[[2021]:[2025]],MATCH(BD!W19&amp;"-Très modestes",TabRFR[Recherche RFR],0),MATCH(TEXT(YEAR(BD!D19),"Standard"),TabRFR[[#Headers],[2021]:[2025]],0)),"Très Modeste",IF(X19&lt;=INDEX(TabRFR[[2021]:[2025]],MATCH(BD!W19&amp;"-modestes",TabRFR[Recherche RFR],0),MATCH(TEXT(YEAR(BD!D19),"Standard"),TabRFR[[#Headers],[2021]:[2025]],0)),"Modeste",IF(X19&lt;=INDEX(TabRFR[[2021]:[2025]],MATCH(BD!W19&amp;"-Intermédiaire",TabRFR[Recherche RFR],0),MATCH(TEXT(YEAR(BD!D19),"Standard"),TabRFR[[#Headers],[2021]:[2025]],0)),"Intermédiaire","Supérieur")))))),IF(D19="","",IF(W19+X19&lt;15,"Données Nb pers ou RFR manquantes",IF(COUNTA(INDIRECT("TabRFR["&amp;YEAR(I19)&amp;"]"))&lt;&gt;COUNTA(TabRFR[Recherche RFR]),"Data RFR manquantes", IF(X19&lt;=INDEX(TabRFR[[2021]:[2025]],MATCH(BD!W19&amp;"-Très modestes",TabRFR[Recherche RFR],0),MATCH(TEXT(YEAR(BD!I19),"Standard"),TabRFR[[#Headers],[2021]:[2025]],0)),"Très Modeste",IF(X19&lt;=INDEX(TabRFR[[2021]:[2025]],MATCH(BD!W19&amp;"-modestes",TabRFR[Recherche RFR],0),MATCH(TEXT(YEAR(BD!I19),"Standard"),TabRFR[[#Headers],[2021]:[2025]],0)),"Modeste",IF(X19&lt;=INDEX(TabRFR[[2021]:[2025]],MATCH(BD!W19&amp;"-Intermédiaire",TabRFR[Recherche RFR],0),MATCH(TEXT(YEAR(BD!I19),"Standard"),TabRFR[[#Headers],[2021]:[2025]],0)),"Intermédiaire","Supérieur")))))))</f>
        <v>Data RFR manquantes</v>
      </c>
      <c r="Z19" s="75"/>
      <c r="AA19" s="75" t="s">
        <v>2517</v>
      </c>
      <c r="AB19" s="75">
        <v>38850</v>
      </c>
      <c r="AC19" s="75" t="s">
        <v>148</v>
      </c>
      <c r="AD19" s="101"/>
      <c r="AE19" s="102"/>
      <c r="AF19" s="75" t="s">
        <v>95</v>
      </c>
      <c r="AG19" s="75"/>
      <c r="AH19" s="75"/>
      <c r="AI19" s="75"/>
      <c r="AJ19" s="75"/>
      <c r="AK19" s="75"/>
      <c r="AL19" s="75"/>
      <c r="AM19" s="75" t="s">
        <v>4350</v>
      </c>
      <c r="AN19" s="75" t="s">
        <v>3333</v>
      </c>
      <c r="AO19" s="75" t="s">
        <v>2239</v>
      </c>
      <c r="AP19" s="75" t="s">
        <v>97</v>
      </c>
      <c r="AQ19" s="75"/>
      <c r="AR19" s="75"/>
      <c r="AS19" s="102" t="s">
        <v>962</v>
      </c>
      <c r="AT19" s="101">
        <v>476251477</v>
      </c>
      <c r="AU19" s="75" t="s">
        <v>111</v>
      </c>
      <c r="AV19" s="75">
        <v>1993</v>
      </c>
      <c r="AW19" s="75" t="s">
        <v>111</v>
      </c>
      <c r="AX19" s="75" t="s">
        <v>112</v>
      </c>
      <c r="AY19" s="75" t="s">
        <v>2370</v>
      </c>
      <c r="AZ19" s="75" t="s">
        <v>960</v>
      </c>
      <c r="BA19" s="75">
        <v>32</v>
      </c>
      <c r="BB19" s="75">
        <v>11</v>
      </c>
      <c r="BC19" s="75">
        <v>77</v>
      </c>
      <c r="BD19" s="75">
        <v>0.06</v>
      </c>
      <c r="BE19" s="75" t="s">
        <v>97</v>
      </c>
      <c r="BF19" s="75"/>
      <c r="BG19" s="75">
        <v>3670.3</v>
      </c>
      <c r="BH19" s="77"/>
      <c r="BI19" s="77"/>
      <c r="BJ19" s="77"/>
      <c r="BK19" s="75">
        <v>1845</v>
      </c>
      <c r="BL19" s="75">
        <f t="shared" si="0"/>
        <v>5515.3</v>
      </c>
      <c r="BM19" s="103">
        <f t="shared" si="1"/>
        <v>303.3415</v>
      </c>
      <c r="BN19" s="103">
        <f t="shared" si="2"/>
        <v>5818.6414999999997</v>
      </c>
      <c r="BO19" s="103">
        <v>5776.86</v>
      </c>
      <c r="BP19" s="75" t="s">
        <v>104</v>
      </c>
      <c r="BQ19" s="75"/>
      <c r="BR19" s="75"/>
      <c r="BS19" s="157">
        <v>2016</v>
      </c>
      <c r="BT19">
        <v>2020</v>
      </c>
      <c r="BU19">
        <v>2016</v>
      </c>
    </row>
    <row r="20" spans="1:73" ht="43.15" customHeight="1" x14ac:dyDescent="0.25">
      <c r="A20" s="29" t="s">
        <v>1824</v>
      </c>
      <c r="B20" s="29" t="s">
        <v>2515</v>
      </c>
      <c r="C20" s="161" t="s">
        <v>9</v>
      </c>
      <c r="D20" s="110">
        <v>42423</v>
      </c>
      <c r="E20" s="110" t="s">
        <v>9</v>
      </c>
      <c r="F20" s="110" t="s">
        <v>2514</v>
      </c>
      <c r="G20" s="110"/>
      <c r="H20" s="110"/>
      <c r="I20" s="110"/>
      <c r="J20" s="110">
        <v>42727</v>
      </c>
      <c r="K20" s="76"/>
      <c r="L20" s="110"/>
      <c r="M20" s="110"/>
      <c r="N20" s="110"/>
      <c r="O20" s="110"/>
      <c r="P20" s="110"/>
      <c r="Q20" s="110"/>
      <c r="R20" s="81"/>
      <c r="S20" s="110">
        <v>42611</v>
      </c>
      <c r="T20" s="111" t="s">
        <v>2513</v>
      </c>
      <c r="U20" s="111"/>
      <c r="V20" s="111"/>
      <c r="W20" s="111">
        <v>6</v>
      </c>
      <c r="X20" s="111">
        <v>101261</v>
      </c>
      <c r="Y20" s="75" t="str">
        <f ca="1">IF(I20="",IF(D20="","",IF(W20+X20&lt;15,"Données Nb pers ou RFR manquantes",IF(COUNTA(INDIRECT("TabRFR["&amp;YEAR(D20)&amp;"]"))&lt;&gt;COUNTA(TabRFR[Recherche RFR]),"Data RFR manquantes", IF(X20&lt;=INDEX(TabRFR[[2021]:[2025]],MATCH(BD!W20&amp;"-Très modestes",TabRFR[Recherche RFR],0),MATCH(TEXT(YEAR(BD!D20),"Standard"),TabRFR[[#Headers],[2021]:[2025]],0)),"Très Modeste",IF(X20&lt;=INDEX(TabRFR[[2021]:[2025]],MATCH(BD!W20&amp;"-modestes",TabRFR[Recherche RFR],0),MATCH(TEXT(YEAR(BD!D20),"Standard"),TabRFR[[#Headers],[2021]:[2025]],0)),"Modeste",IF(X20&lt;=INDEX(TabRFR[[2021]:[2025]],MATCH(BD!W20&amp;"-Intermédiaire",TabRFR[Recherche RFR],0),MATCH(TEXT(YEAR(BD!D20),"Standard"),TabRFR[[#Headers],[2021]:[2025]],0)),"Intermédiaire","Supérieur")))))),IF(D20="","",IF(W20+X20&lt;15,"Données Nb pers ou RFR manquantes",IF(COUNTA(INDIRECT("TabRFR["&amp;YEAR(I20)&amp;"]"))&lt;&gt;COUNTA(TabRFR[Recherche RFR]),"Data RFR manquantes", IF(X20&lt;=INDEX(TabRFR[[2021]:[2025]],MATCH(BD!W20&amp;"-Très modestes",TabRFR[Recherche RFR],0),MATCH(TEXT(YEAR(BD!I20),"Standard"),TabRFR[[#Headers],[2021]:[2025]],0)),"Très Modeste",IF(X20&lt;=INDEX(TabRFR[[2021]:[2025]],MATCH(BD!W20&amp;"-modestes",TabRFR[Recherche RFR],0),MATCH(TEXT(YEAR(BD!I20),"Standard"),TabRFR[[#Headers],[2021]:[2025]],0)),"Modeste",IF(X20&lt;=INDEX(TabRFR[[2021]:[2025]],MATCH(BD!W20&amp;"-Intermédiaire",TabRFR[Recherche RFR],0),MATCH(TEXT(YEAR(BD!I20),"Standard"),TabRFR[[#Headers],[2021]:[2025]],0)),"Intermédiaire","Supérieur")))))))</f>
        <v>Data RFR manquantes</v>
      </c>
      <c r="Z20" s="111"/>
      <c r="AA20" s="111" t="s">
        <v>2511</v>
      </c>
      <c r="AB20" s="111">
        <v>38210</v>
      </c>
      <c r="AC20" s="111" t="s">
        <v>445</v>
      </c>
      <c r="AD20" s="112"/>
      <c r="AE20" s="102"/>
      <c r="AF20" s="111" t="s">
        <v>95</v>
      </c>
      <c r="AG20" s="111"/>
      <c r="AH20" s="111">
        <v>2001</v>
      </c>
      <c r="AI20" s="111"/>
      <c r="AJ20" s="111"/>
      <c r="AK20" s="111"/>
      <c r="AL20" s="111"/>
      <c r="AM20" s="111" t="s">
        <v>4351</v>
      </c>
      <c r="AN20" s="111" t="s">
        <v>2510</v>
      </c>
      <c r="AO20" s="111" t="s">
        <v>2509</v>
      </c>
      <c r="AP20" s="111" t="s">
        <v>97</v>
      </c>
      <c r="AQ20" s="111"/>
      <c r="AR20" s="111"/>
      <c r="AS20" s="102" t="s">
        <v>2508</v>
      </c>
      <c r="AT20" s="112">
        <v>476479232</v>
      </c>
      <c r="AU20" s="111" t="s">
        <v>430</v>
      </c>
      <c r="AV20" s="111">
        <v>1962</v>
      </c>
      <c r="AW20" s="111" t="s">
        <v>111</v>
      </c>
      <c r="AX20" s="111" t="s">
        <v>112</v>
      </c>
      <c r="AY20" s="111" t="s">
        <v>2507</v>
      </c>
      <c r="AZ20" s="111" t="s">
        <v>2506</v>
      </c>
      <c r="BA20" s="111"/>
      <c r="BB20" s="111">
        <v>18</v>
      </c>
      <c r="BC20" s="111">
        <v>82</v>
      </c>
      <c r="BD20" s="111">
        <v>0.13</v>
      </c>
      <c r="BE20" s="111" t="s">
        <v>2436</v>
      </c>
      <c r="BF20" s="111"/>
      <c r="BG20" s="111">
        <v>5910</v>
      </c>
      <c r="BH20" s="77"/>
      <c r="BI20" s="77"/>
      <c r="BJ20" s="77"/>
      <c r="BK20" s="111">
        <v>4960</v>
      </c>
      <c r="BL20" s="75">
        <f t="shared" si="0"/>
        <v>10870</v>
      </c>
      <c r="BM20" s="103">
        <f t="shared" si="1"/>
        <v>597.85</v>
      </c>
      <c r="BN20" s="103">
        <f t="shared" si="2"/>
        <v>11467.85</v>
      </c>
      <c r="BO20" s="113"/>
      <c r="BP20" s="111" t="s">
        <v>104</v>
      </c>
      <c r="BQ20" s="111"/>
      <c r="BR20" s="111"/>
      <c r="BS20" s="157">
        <v>2016</v>
      </c>
      <c r="BU20" t="s">
        <v>4180</v>
      </c>
    </row>
    <row r="21" spans="1:73" ht="43.15" customHeight="1" x14ac:dyDescent="0.25">
      <c r="A21" s="242" t="s">
        <v>1824</v>
      </c>
      <c r="B21" s="242" t="s">
        <v>2505</v>
      </c>
      <c r="C21" s="159">
        <v>400</v>
      </c>
      <c r="D21" s="114">
        <v>42425</v>
      </c>
      <c r="E21" s="114" t="s">
        <v>9</v>
      </c>
      <c r="F21" s="114" t="s">
        <v>2504</v>
      </c>
      <c r="G21" s="114">
        <v>42494</v>
      </c>
      <c r="H21" s="114">
        <v>42500</v>
      </c>
      <c r="I21" s="114">
        <v>42500</v>
      </c>
      <c r="J21" s="114">
        <v>42507</v>
      </c>
      <c r="K21" s="76"/>
      <c r="L21" s="114">
        <v>42579</v>
      </c>
      <c r="M21" s="114">
        <v>42552</v>
      </c>
      <c r="N21" s="114"/>
      <c r="O21" s="114">
        <v>42641</v>
      </c>
      <c r="P21" s="114">
        <v>42641</v>
      </c>
      <c r="Q21" s="114">
        <v>42643</v>
      </c>
      <c r="R21" s="80"/>
      <c r="S21" s="114"/>
      <c r="T21" s="75"/>
      <c r="U21" s="75"/>
      <c r="V21" s="75"/>
      <c r="W21" s="75">
        <v>5</v>
      </c>
      <c r="X21" s="75">
        <v>72315</v>
      </c>
      <c r="Y21" s="75" t="str">
        <f ca="1">IF(I21="",IF(D21="","",IF(W21+X21&lt;15,"Données Nb pers ou RFR manquantes",IF(COUNTA(INDIRECT("TabRFR["&amp;YEAR(D21)&amp;"]"))&lt;&gt;COUNTA(TabRFR[Recherche RFR]),"Data RFR manquantes", IF(X21&lt;=INDEX(TabRFR[[2021]:[2025]],MATCH(BD!W21&amp;"-Très modestes",TabRFR[Recherche RFR],0),MATCH(TEXT(YEAR(BD!D21),"Standard"),TabRFR[[#Headers],[2021]:[2025]],0)),"Très Modeste",IF(X21&lt;=INDEX(TabRFR[[2021]:[2025]],MATCH(BD!W21&amp;"-modestes",TabRFR[Recherche RFR],0),MATCH(TEXT(YEAR(BD!D21),"Standard"),TabRFR[[#Headers],[2021]:[2025]],0)),"Modeste",IF(X21&lt;=INDEX(TabRFR[[2021]:[2025]],MATCH(BD!W21&amp;"-Intermédiaire",TabRFR[Recherche RFR],0),MATCH(TEXT(YEAR(BD!D21),"Standard"),TabRFR[[#Headers],[2021]:[2025]],0)),"Intermédiaire","Supérieur")))))),IF(D21="","",IF(W21+X21&lt;15,"Données Nb pers ou RFR manquantes",IF(COUNTA(INDIRECT("TabRFR["&amp;YEAR(I21)&amp;"]"))&lt;&gt;COUNTA(TabRFR[Recherche RFR]),"Data RFR manquantes", IF(X21&lt;=INDEX(TabRFR[[2021]:[2025]],MATCH(BD!W21&amp;"-Très modestes",TabRFR[Recherche RFR],0),MATCH(TEXT(YEAR(BD!I21),"Standard"),TabRFR[[#Headers],[2021]:[2025]],0)),"Très Modeste",IF(X21&lt;=INDEX(TabRFR[[2021]:[2025]],MATCH(BD!W21&amp;"-modestes",TabRFR[Recherche RFR],0),MATCH(TEXT(YEAR(BD!I21),"Standard"),TabRFR[[#Headers],[2021]:[2025]],0)),"Modeste",IF(X21&lt;=INDEX(TabRFR[[2021]:[2025]],MATCH(BD!W21&amp;"-Intermédiaire",TabRFR[Recherche RFR],0),MATCH(TEXT(YEAR(BD!I21),"Standard"),TabRFR[[#Headers],[2021]:[2025]],0)),"Intermédiaire","Supérieur")))))))</f>
        <v>Data RFR manquantes</v>
      </c>
      <c r="Z21" s="75"/>
      <c r="AA21" s="75" t="s">
        <v>2502</v>
      </c>
      <c r="AB21" s="75">
        <v>38140</v>
      </c>
      <c r="AC21" s="75" t="s">
        <v>321</v>
      </c>
      <c r="AD21" s="101"/>
      <c r="AE21" s="102"/>
      <c r="AF21" s="75" t="s">
        <v>95</v>
      </c>
      <c r="AG21" s="75"/>
      <c r="AH21" s="75">
        <v>2015</v>
      </c>
      <c r="AI21" s="75"/>
      <c r="AJ21" s="75"/>
      <c r="AK21" s="75"/>
      <c r="AL21" s="75"/>
      <c r="AM21" s="75" t="s">
        <v>4352</v>
      </c>
      <c r="AN21" s="75" t="s">
        <v>4353</v>
      </c>
      <c r="AO21" s="75"/>
      <c r="AP21" s="75" t="s">
        <v>97</v>
      </c>
      <c r="AQ21" s="75"/>
      <c r="AR21" s="75"/>
      <c r="AS21" s="102"/>
      <c r="AT21" s="101">
        <v>476307456</v>
      </c>
      <c r="AU21" s="75" t="s">
        <v>111</v>
      </c>
      <c r="AV21" s="75">
        <v>1990</v>
      </c>
      <c r="AW21" s="75" t="s">
        <v>100</v>
      </c>
      <c r="AX21" s="75" t="s">
        <v>112</v>
      </c>
      <c r="AY21" s="75" t="s">
        <v>2363</v>
      </c>
      <c r="AZ21" s="75" t="s">
        <v>2500</v>
      </c>
      <c r="BA21" s="75">
        <v>33</v>
      </c>
      <c r="BB21" s="75">
        <v>8.4</v>
      </c>
      <c r="BC21" s="75">
        <v>77</v>
      </c>
      <c r="BD21" s="75">
        <v>0.11</v>
      </c>
      <c r="BE21" s="75" t="s">
        <v>97</v>
      </c>
      <c r="BF21" s="75"/>
      <c r="BG21" s="75">
        <v>2690</v>
      </c>
      <c r="BH21" s="77"/>
      <c r="BI21" s="77"/>
      <c r="BJ21" s="77"/>
      <c r="BK21" s="75">
        <v>595</v>
      </c>
      <c r="BL21" s="75">
        <f t="shared" si="0"/>
        <v>3285</v>
      </c>
      <c r="BM21" s="103">
        <f t="shared" si="1"/>
        <v>180.67500000000001</v>
      </c>
      <c r="BN21" s="103">
        <f t="shared" si="2"/>
        <v>3465.6750000000002</v>
      </c>
      <c r="BO21" s="103">
        <v>4060</v>
      </c>
      <c r="BP21" s="75" t="s">
        <v>97</v>
      </c>
      <c r="BQ21" s="75"/>
      <c r="BR21" s="75"/>
      <c r="BS21" s="157">
        <v>2016</v>
      </c>
      <c r="BT21">
        <v>2020</v>
      </c>
      <c r="BU21">
        <v>2016</v>
      </c>
    </row>
    <row r="22" spans="1:73" ht="43.15" customHeight="1" x14ac:dyDescent="0.25">
      <c r="A22" s="242" t="s">
        <v>1824</v>
      </c>
      <c r="B22" s="242" t="s">
        <v>2499</v>
      </c>
      <c r="C22" s="159">
        <v>400</v>
      </c>
      <c r="D22" s="114">
        <v>42430</v>
      </c>
      <c r="E22" s="114" t="s">
        <v>9</v>
      </c>
      <c r="F22" s="114" t="s">
        <v>2498</v>
      </c>
      <c r="G22" s="114" t="s">
        <v>2497</v>
      </c>
      <c r="H22" s="114">
        <v>42473</v>
      </c>
      <c r="I22" s="114">
        <v>42473</v>
      </c>
      <c r="J22" s="114">
        <v>42489</v>
      </c>
      <c r="K22" s="76"/>
      <c r="L22" s="114">
        <v>42507</v>
      </c>
      <c r="M22" s="114">
        <v>42501</v>
      </c>
      <c r="N22" s="114" t="s">
        <v>2496</v>
      </c>
      <c r="O22" s="114">
        <v>42528</v>
      </c>
      <c r="P22" s="114">
        <v>42528</v>
      </c>
      <c r="Q22" s="114">
        <v>42549</v>
      </c>
      <c r="R22" s="80"/>
      <c r="S22" s="114"/>
      <c r="T22" s="75"/>
      <c r="U22" s="75"/>
      <c r="V22" s="75"/>
      <c r="W22" s="75">
        <v>2</v>
      </c>
      <c r="X22" s="75">
        <v>34911</v>
      </c>
      <c r="Y22" s="75" t="str">
        <f ca="1">IF(I22="",IF(D22="","",IF(W22+X22&lt;15,"Données Nb pers ou RFR manquantes",IF(COUNTA(INDIRECT("TabRFR["&amp;YEAR(D22)&amp;"]"))&lt;&gt;COUNTA(TabRFR[Recherche RFR]),"Data RFR manquantes", IF(X22&lt;=INDEX(TabRFR[[2021]:[2025]],MATCH(BD!W22&amp;"-Très modestes",TabRFR[Recherche RFR],0),MATCH(TEXT(YEAR(BD!D22),"Standard"),TabRFR[[#Headers],[2021]:[2025]],0)),"Très Modeste",IF(X22&lt;=INDEX(TabRFR[[2021]:[2025]],MATCH(BD!W22&amp;"-modestes",TabRFR[Recherche RFR],0),MATCH(TEXT(YEAR(BD!D22),"Standard"),TabRFR[[#Headers],[2021]:[2025]],0)),"Modeste",IF(X22&lt;=INDEX(TabRFR[[2021]:[2025]],MATCH(BD!W22&amp;"-Intermédiaire",TabRFR[Recherche RFR],0),MATCH(TEXT(YEAR(BD!D22),"Standard"),TabRFR[[#Headers],[2021]:[2025]],0)),"Intermédiaire","Supérieur")))))),IF(D22="","",IF(W22+X22&lt;15,"Données Nb pers ou RFR manquantes",IF(COUNTA(INDIRECT("TabRFR["&amp;YEAR(I22)&amp;"]"))&lt;&gt;COUNTA(TabRFR[Recherche RFR]),"Data RFR manquantes", IF(X22&lt;=INDEX(TabRFR[[2021]:[2025]],MATCH(BD!W22&amp;"-Très modestes",TabRFR[Recherche RFR],0),MATCH(TEXT(YEAR(BD!I22),"Standard"),TabRFR[[#Headers],[2021]:[2025]],0)),"Très Modeste",IF(X22&lt;=INDEX(TabRFR[[2021]:[2025]],MATCH(BD!W22&amp;"-modestes",TabRFR[Recherche RFR],0),MATCH(TEXT(YEAR(BD!I22),"Standard"),TabRFR[[#Headers],[2021]:[2025]],0)),"Modeste",IF(X22&lt;=INDEX(TabRFR[[2021]:[2025]],MATCH(BD!W22&amp;"-Intermédiaire",TabRFR[Recherche RFR],0),MATCH(TEXT(YEAR(BD!I22),"Standard"),TabRFR[[#Headers],[2021]:[2025]],0)),"Intermédiaire","Supérieur")))))))</f>
        <v>Data RFR manquantes</v>
      </c>
      <c r="Z22" s="75"/>
      <c r="AA22" s="75" t="s">
        <v>2494</v>
      </c>
      <c r="AB22" s="75">
        <v>38960</v>
      </c>
      <c r="AC22" s="75" t="s">
        <v>2403</v>
      </c>
      <c r="AD22" s="101"/>
      <c r="AE22" s="102"/>
      <c r="AF22" s="75" t="s">
        <v>95</v>
      </c>
      <c r="AG22" s="75"/>
      <c r="AH22" s="75">
        <v>2015</v>
      </c>
      <c r="AI22" s="75"/>
      <c r="AJ22" s="75"/>
      <c r="AK22" s="75"/>
      <c r="AL22" s="75"/>
      <c r="AM22" s="75" t="s">
        <v>4348</v>
      </c>
      <c r="AN22" s="75" t="s">
        <v>96</v>
      </c>
      <c r="AO22" s="75" t="s">
        <v>238</v>
      </c>
      <c r="AP22" s="75" t="s">
        <v>97</v>
      </c>
      <c r="AQ22" s="75"/>
      <c r="AR22" s="75"/>
      <c r="AS22" s="102" t="s">
        <v>1571</v>
      </c>
      <c r="AT22" s="101">
        <v>476323235</v>
      </c>
      <c r="AU22" s="75" t="s">
        <v>399</v>
      </c>
      <c r="AV22" s="75">
        <v>1990</v>
      </c>
      <c r="AW22" s="75" t="s">
        <v>100</v>
      </c>
      <c r="AX22" s="75" t="s">
        <v>112</v>
      </c>
      <c r="AY22" s="75" t="s">
        <v>2492</v>
      </c>
      <c r="AZ22" s="75" t="s">
        <v>2491</v>
      </c>
      <c r="BA22" s="75"/>
      <c r="BB22" s="75">
        <v>7.5</v>
      </c>
      <c r="BC22" s="75">
        <v>82</v>
      </c>
      <c r="BD22" s="75">
        <v>7.1999999999999995E-2</v>
      </c>
      <c r="BE22" s="75" t="s">
        <v>374</v>
      </c>
      <c r="BF22" s="75"/>
      <c r="BG22" s="75">
        <v>2399</v>
      </c>
      <c r="BH22" s="77"/>
      <c r="BI22" s="77"/>
      <c r="BJ22" s="77"/>
      <c r="BK22" s="75">
        <v>973</v>
      </c>
      <c r="BL22" s="75">
        <f t="shared" si="0"/>
        <v>3372</v>
      </c>
      <c r="BM22" s="103">
        <f t="shared" si="1"/>
        <v>185.46</v>
      </c>
      <c r="BN22" s="103">
        <f t="shared" si="2"/>
        <v>3557.46</v>
      </c>
      <c r="BO22" s="103">
        <v>3470.95</v>
      </c>
      <c r="BP22" s="75" t="s">
        <v>104</v>
      </c>
      <c r="BQ22" s="75"/>
      <c r="BR22" s="75"/>
      <c r="BS22" s="157">
        <v>2016</v>
      </c>
      <c r="BT22">
        <v>2020</v>
      </c>
      <c r="BU22">
        <v>2016</v>
      </c>
    </row>
    <row r="23" spans="1:73" ht="43.15" customHeight="1" x14ac:dyDescent="0.25">
      <c r="A23" s="242" t="s">
        <v>1824</v>
      </c>
      <c r="B23" s="242" t="s">
        <v>2490</v>
      </c>
      <c r="C23" s="159">
        <v>400</v>
      </c>
      <c r="D23" s="114">
        <v>42432</v>
      </c>
      <c r="E23" s="114" t="s">
        <v>9</v>
      </c>
      <c r="F23" s="114" t="s">
        <v>9</v>
      </c>
      <c r="G23" s="114" t="s">
        <v>9</v>
      </c>
      <c r="H23" s="114">
        <v>42443</v>
      </c>
      <c r="I23" s="114">
        <v>42443</v>
      </c>
      <c r="J23" s="114">
        <v>42444</v>
      </c>
      <c r="K23" s="76"/>
      <c r="L23" s="114">
        <v>42508</v>
      </c>
      <c r="M23" s="114">
        <v>42485</v>
      </c>
      <c r="N23" s="114"/>
      <c r="O23" s="114"/>
      <c r="P23" s="114">
        <v>42521</v>
      </c>
      <c r="Q23" s="114">
        <v>42549</v>
      </c>
      <c r="R23" s="80"/>
      <c r="S23" s="114"/>
      <c r="T23" s="75"/>
      <c r="U23" s="75"/>
      <c r="V23" s="75"/>
      <c r="W23" s="75">
        <v>3</v>
      </c>
      <c r="X23" s="75">
        <v>89613</v>
      </c>
      <c r="Y23" s="75" t="str">
        <f ca="1">IF(I23="",IF(D23="","",IF(W23+X23&lt;15,"Données Nb pers ou RFR manquantes",IF(COUNTA(INDIRECT("TabRFR["&amp;YEAR(D23)&amp;"]"))&lt;&gt;COUNTA(TabRFR[Recherche RFR]),"Data RFR manquantes", IF(X23&lt;=INDEX(TabRFR[[2021]:[2025]],MATCH(BD!W23&amp;"-Très modestes",TabRFR[Recherche RFR],0),MATCH(TEXT(YEAR(BD!D23),"Standard"),TabRFR[[#Headers],[2021]:[2025]],0)),"Très Modeste",IF(X23&lt;=INDEX(TabRFR[[2021]:[2025]],MATCH(BD!W23&amp;"-modestes",TabRFR[Recherche RFR],0),MATCH(TEXT(YEAR(BD!D23),"Standard"),TabRFR[[#Headers],[2021]:[2025]],0)),"Modeste",IF(X23&lt;=INDEX(TabRFR[[2021]:[2025]],MATCH(BD!W23&amp;"-Intermédiaire",TabRFR[Recherche RFR],0),MATCH(TEXT(YEAR(BD!D23),"Standard"),TabRFR[[#Headers],[2021]:[2025]],0)),"Intermédiaire","Supérieur")))))),IF(D23="","",IF(W23+X23&lt;15,"Données Nb pers ou RFR manquantes",IF(COUNTA(INDIRECT("TabRFR["&amp;YEAR(I23)&amp;"]"))&lt;&gt;COUNTA(TabRFR[Recherche RFR]),"Data RFR manquantes", IF(X23&lt;=INDEX(TabRFR[[2021]:[2025]],MATCH(BD!W23&amp;"-Très modestes",TabRFR[Recherche RFR],0),MATCH(TEXT(YEAR(BD!I23),"Standard"),TabRFR[[#Headers],[2021]:[2025]],0)),"Très Modeste",IF(X23&lt;=INDEX(TabRFR[[2021]:[2025]],MATCH(BD!W23&amp;"-modestes",TabRFR[Recherche RFR],0),MATCH(TEXT(YEAR(BD!I23),"Standard"),TabRFR[[#Headers],[2021]:[2025]],0)),"Modeste",IF(X23&lt;=INDEX(TabRFR[[2021]:[2025]],MATCH(BD!W23&amp;"-Intermédiaire",TabRFR[Recherche RFR],0),MATCH(TEXT(YEAR(BD!I23),"Standard"),TabRFR[[#Headers],[2021]:[2025]],0)),"Intermédiaire","Supérieur")))))))</f>
        <v>Data RFR manquantes</v>
      </c>
      <c r="Z23" s="75"/>
      <c r="AA23" s="75" t="s">
        <v>2488</v>
      </c>
      <c r="AB23" s="75">
        <v>38340</v>
      </c>
      <c r="AC23" s="75" t="s">
        <v>108</v>
      </c>
      <c r="AD23" s="101"/>
      <c r="AE23" s="102"/>
      <c r="AF23" s="75" t="s">
        <v>95</v>
      </c>
      <c r="AG23" s="75"/>
      <c r="AH23" s="75">
        <v>2009</v>
      </c>
      <c r="AI23" s="75"/>
      <c r="AJ23" s="75"/>
      <c r="AK23" s="75"/>
      <c r="AL23" s="75"/>
      <c r="AM23" s="75" t="s">
        <v>4348</v>
      </c>
      <c r="AN23" s="75" t="s">
        <v>96</v>
      </c>
      <c r="AO23" s="75" t="s">
        <v>238</v>
      </c>
      <c r="AP23" s="75" t="s">
        <v>97</v>
      </c>
      <c r="AQ23" s="75"/>
      <c r="AR23" s="75"/>
      <c r="AS23" s="102" t="s">
        <v>1571</v>
      </c>
      <c r="AT23" s="101">
        <v>476323235</v>
      </c>
      <c r="AU23" s="75" t="s">
        <v>430</v>
      </c>
      <c r="AV23" s="75"/>
      <c r="AW23" s="75" t="s">
        <v>100</v>
      </c>
      <c r="AX23" s="75" t="s">
        <v>112</v>
      </c>
      <c r="AY23" s="75" t="s">
        <v>2486</v>
      </c>
      <c r="AZ23" s="75" t="s">
        <v>2485</v>
      </c>
      <c r="BA23" s="75">
        <v>23</v>
      </c>
      <c r="BB23" s="75">
        <v>79</v>
      </c>
      <c r="BC23" s="75">
        <v>79</v>
      </c>
      <c r="BD23" s="75">
        <v>7.0000000000000007E-2</v>
      </c>
      <c r="BE23" s="75" t="s">
        <v>97</v>
      </c>
      <c r="BF23" s="75"/>
      <c r="BG23" s="75">
        <v>2580</v>
      </c>
      <c r="BH23" s="77"/>
      <c r="BI23" s="77"/>
      <c r="BJ23" s="77"/>
      <c r="BK23" s="75">
        <v>1138</v>
      </c>
      <c r="BL23" s="75">
        <f t="shared" si="0"/>
        <v>3718</v>
      </c>
      <c r="BM23" s="103">
        <f t="shared" si="1"/>
        <v>204.49</v>
      </c>
      <c r="BN23" s="103">
        <f t="shared" si="2"/>
        <v>3922.49</v>
      </c>
      <c r="BO23" s="103">
        <v>4067.55</v>
      </c>
      <c r="BP23" s="75" t="s">
        <v>97</v>
      </c>
      <c r="BQ23" s="75"/>
      <c r="BR23" s="75"/>
      <c r="BS23" s="157">
        <v>2016</v>
      </c>
      <c r="BT23">
        <v>2020</v>
      </c>
      <c r="BU23">
        <v>2016</v>
      </c>
    </row>
    <row r="24" spans="1:73" ht="43.15" customHeight="1" x14ac:dyDescent="0.25">
      <c r="A24" s="242" t="s">
        <v>1824</v>
      </c>
      <c r="B24" s="242" t="s">
        <v>2484</v>
      </c>
      <c r="C24" s="159">
        <v>400</v>
      </c>
      <c r="D24" s="114">
        <v>42433</v>
      </c>
      <c r="E24" s="114" t="s">
        <v>9</v>
      </c>
      <c r="F24" s="114" t="s">
        <v>9</v>
      </c>
      <c r="G24" s="114" t="s">
        <v>9</v>
      </c>
      <c r="H24" s="114">
        <v>42443</v>
      </c>
      <c r="I24" s="114">
        <v>42443</v>
      </c>
      <c r="J24" s="114">
        <v>42444</v>
      </c>
      <c r="K24" s="76"/>
      <c r="L24" s="114">
        <v>42471</v>
      </c>
      <c r="M24" s="114">
        <v>42453</v>
      </c>
      <c r="N24" s="114" t="s">
        <v>9</v>
      </c>
      <c r="O24" s="114" t="s">
        <v>9</v>
      </c>
      <c r="P24" s="114">
        <v>42473</v>
      </c>
      <c r="Q24" s="114">
        <v>42487</v>
      </c>
      <c r="R24" s="80"/>
      <c r="S24" s="114"/>
      <c r="T24" s="75"/>
      <c r="U24" s="75"/>
      <c r="V24" s="75"/>
      <c r="W24" s="75">
        <v>2</v>
      </c>
      <c r="X24" s="75">
        <v>37583</v>
      </c>
      <c r="Y24" s="75" t="str">
        <f ca="1">IF(I24="",IF(D24="","",IF(W24+X24&lt;15,"Données Nb pers ou RFR manquantes",IF(COUNTA(INDIRECT("TabRFR["&amp;YEAR(D24)&amp;"]"))&lt;&gt;COUNTA(TabRFR[Recherche RFR]),"Data RFR manquantes", IF(X24&lt;=INDEX(TabRFR[[2021]:[2025]],MATCH(BD!W24&amp;"-Très modestes",TabRFR[Recherche RFR],0),MATCH(TEXT(YEAR(BD!D24),"Standard"),TabRFR[[#Headers],[2021]:[2025]],0)),"Très Modeste",IF(X24&lt;=INDEX(TabRFR[[2021]:[2025]],MATCH(BD!W24&amp;"-modestes",TabRFR[Recherche RFR],0),MATCH(TEXT(YEAR(BD!D24),"Standard"),TabRFR[[#Headers],[2021]:[2025]],0)),"Modeste",IF(X24&lt;=INDEX(TabRFR[[2021]:[2025]],MATCH(BD!W24&amp;"-Intermédiaire",TabRFR[Recherche RFR],0),MATCH(TEXT(YEAR(BD!D24),"Standard"),TabRFR[[#Headers],[2021]:[2025]],0)),"Intermédiaire","Supérieur")))))),IF(D24="","",IF(W24+X24&lt;15,"Données Nb pers ou RFR manquantes",IF(COUNTA(INDIRECT("TabRFR["&amp;YEAR(I24)&amp;"]"))&lt;&gt;COUNTA(TabRFR[Recherche RFR]),"Data RFR manquantes", IF(X24&lt;=INDEX(TabRFR[[2021]:[2025]],MATCH(BD!W24&amp;"-Très modestes",TabRFR[Recherche RFR],0),MATCH(TEXT(YEAR(BD!I24),"Standard"),TabRFR[[#Headers],[2021]:[2025]],0)),"Très Modeste",IF(X24&lt;=INDEX(TabRFR[[2021]:[2025]],MATCH(BD!W24&amp;"-modestes",TabRFR[Recherche RFR],0),MATCH(TEXT(YEAR(BD!I24),"Standard"),TabRFR[[#Headers],[2021]:[2025]],0)),"Modeste",IF(X24&lt;=INDEX(TabRFR[[2021]:[2025]],MATCH(BD!W24&amp;"-Intermédiaire",TabRFR[Recherche RFR],0),MATCH(TEXT(YEAR(BD!I24),"Standard"),TabRFR[[#Headers],[2021]:[2025]],0)),"Intermédiaire","Supérieur")))))))</f>
        <v>Data RFR manquantes</v>
      </c>
      <c r="Z24" s="75"/>
      <c r="AA24" s="75" t="s">
        <v>2482</v>
      </c>
      <c r="AB24" s="75">
        <v>38140</v>
      </c>
      <c r="AC24" s="75" t="s">
        <v>3048</v>
      </c>
      <c r="AD24" s="101"/>
      <c r="AE24" s="102"/>
      <c r="AF24" s="75" t="s">
        <v>95</v>
      </c>
      <c r="AG24" s="75"/>
      <c r="AH24" s="75">
        <v>1997</v>
      </c>
      <c r="AI24" s="75"/>
      <c r="AJ24" s="75"/>
      <c r="AK24" s="75"/>
      <c r="AL24" s="75"/>
      <c r="AM24" s="75" t="s">
        <v>3973</v>
      </c>
      <c r="AN24" s="75" t="s">
        <v>96</v>
      </c>
      <c r="AO24" s="75" t="s">
        <v>789</v>
      </c>
      <c r="AP24" s="75" t="s">
        <v>97</v>
      </c>
      <c r="AQ24" s="75"/>
      <c r="AR24" s="75"/>
      <c r="AS24" s="102" t="s">
        <v>141</v>
      </c>
      <c r="AT24" s="101">
        <v>476069938</v>
      </c>
      <c r="AU24" s="75" t="s">
        <v>430</v>
      </c>
      <c r="AV24" s="75"/>
      <c r="AW24" s="75" t="s">
        <v>100</v>
      </c>
      <c r="AX24" s="75" t="s">
        <v>112</v>
      </c>
      <c r="AY24" s="75" t="s">
        <v>1859</v>
      </c>
      <c r="AZ24" s="75" t="s">
        <v>547</v>
      </c>
      <c r="BA24" s="75"/>
      <c r="BB24" s="75">
        <v>4</v>
      </c>
      <c r="BC24" s="75">
        <v>80</v>
      </c>
      <c r="BD24" s="75">
        <v>0.08</v>
      </c>
      <c r="BE24" s="75" t="s">
        <v>374</v>
      </c>
      <c r="BF24" s="75"/>
      <c r="BG24" s="75">
        <v>2470</v>
      </c>
      <c r="BH24" s="77"/>
      <c r="BI24" s="77"/>
      <c r="BJ24" s="77"/>
      <c r="BK24" s="75">
        <v>650</v>
      </c>
      <c r="BL24" s="75">
        <f t="shared" si="0"/>
        <v>3120</v>
      </c>
      <c r="BM24" s="103">
        <f t="shared" si="1"/>
        <v>171.6</v>
      </c>
      <c r="BN24" s="103">
        <f t="shared" si="2"/>
        <v>3291.6</v>
      </c>
      <c r="BO24" s="103">
        <v>4700</v>
      </c>
      <c r="BP24" s="75" t="s">
        <v>97</v>
      </c>
      <c r="BQ24" s="75"/>
      <c r="BR24" s="75"/>
      <c r="BS24" s="157">
        <v>2016</v>
      </c>
      <c r="BT24">
        <v>2020</v>
      </c>
      <c r="BU24">
        <v>2016</v>
      </c>
    </row>
    <row r="25" spans="1:73" ht="43.15" customHeight="1" x14ac:dyDescent="0.25">
      <c r="A25" s="242" t="s">
        <v>1824</v>
      </c>
      <c r="B25" s="242" t="s">
        <v>2479</v>
      </c>
      <c r="C25" s="159">
        <v>400</v>
      </c>
      <c r="D25" s="114">
        <v>42438</v>
      </c>
      <c r="E25" s="114" t="s">
        <v>9</v>
      </c>
      <c r="F25" s="114" t="s">
        <v>9</v>
      </c>
      <c r="G25" s="114" t="s">
        <v>9</v>
      </c>
      <c r="H25" s="114">
        <v>42454</v>
      </c>
      <c r="I25" s="114">
        <v>42454</v>
      </c>
      <c r="J25" s="114">
        <v>42464</v>
      </c>
      <c r="K25" s="76"/>
      <c r="L25" s="114">
        <v>42621</v>
      </c>
      <c r="M25" s="114">
        <v>42469</v>
      </c>
      <c r="N25" s="114"/>
      <c r="O25" s="114" t="s">
        <v>2478</v>
      </c>
      <c r="P25" s="114">
        <v>42640</v>
      </c>
      <c r="Q25" s="114">
        <v>42640</v>
      </c>
      <c r="R25" s="80"/>
      <c r="S25" s="114"/>
      <c r="T25" s="75"/>
      <c r="U25" s="75"/>
      <c r="V25" s="75"/>
      <c r="W25" s="75">
        <v>4</v>
      </c>
      <c r="X25" s="75">
        <v>43049</v>
      </c>
      <c r="Y25" s="75" t="str">
        <f ca="1">IF(I25="",IF(D25="","",IF(W25+X25&lt;15,"Données Nb pers ou RFR manquantes",IF(COUNTA(INDIRECT("TabRFR["&amp;YEAR(D25)&amp;"]"))&lt;&gt;COUNTA(TabRFR[Recherche RFR]),"Data RFR manquantes", IF(X25&lt;=INDEX(TabRFR[[2021]:[2025]],MATCH(BD!W25&amp;"-Très modestes",TabRFR[Recherche RFR],0),MATCH(TEXT(YEAR(BD!D25),"Standard"),TabRFR[[#Headers],[2021]:[2025]],0)),"Très Modeste",IF(X25&lt;=INDEX(TabRFR[[2021]:[2025]],MATCH(BD!W25&amp;"-modestes",TabRFR[Recherche RFR],0),MATCH(TEXT(YEAR(BD!D25),"Standard"),TabRFR[[#Headers],[2021]:[2025]],0)),"Modeste",IF(X25&lt;=INDEX(TabRFR[[2021]:[2025]],MATCH(BD!W25&amp;"-Intermédiaire",TabRFR[Recherche RFR],0),MATCH(TEXT(YEAR(BD!D25),"Standard"),TabRFR[[#Headers],[2021]:[2025]],0)),"Intermédiaire","Supérieur")))))),IF(D25="","",IF(W25+X25&lt;15,"Données Nb pers ou RFR manquantes",IF(COUNTA(INDIRECT("TabRFR["&amp;YEAR(I25)&amp;"]"))&lt;&gt;COUNTA(TabRFR[Recherche RFR]),"Data RFR manquantes", IF(X25&lt;=INDEX(TabRFR[[2021]:[2025]],MATCH(BD!W25&amp;"-Très modestes",TabRFR[Recherche RFR],0),MATCH(TEXT(YEAR(BD!I25),"Standard"),TabRFR[[#Headers],[2021]:[2025]],0)),"Très Modeste",IF(X25&lt;=INDEX(TabRFR[[2021]:[2025]],MATCH(BD!W25&amp;"-modestes",TabRFR[Recherche RFR],0),MATCH(TEXT(YEAR(BD!I25),"Standard"),TabRFR[[#Headers],[2021]:[2025]],0)),"Modeste",IF(X25&lt;=INDEX(TabRFR[[2021]:[2025]],MATCH(BD!W25&amp;"-Intermédiaire",TabRFR[Recherche RFR],0),MATCH(TEXT(YEAR(BD!I25),"Standard"),TabRFR[[#Headers],[2021]:[2025]],0)),"Intermédiaire","Supérieur")))))))</f>
        <v>Data RFR manquantes</v>
      </c>
      <c r="Z25" s="75"/>
      <c r="AA25" s="75" t="s">
        <v>2476</v>
      </c>
      <c r="AB25" s="75">
        <v>38430</v>
      </c>
      <c r="AC25" s="75" t="s">
        <v>217</v>
      </c>
      <c r="AD25" s="101"/>
      <c r="AE25" s="102"/>
      <c r="AF25" s="75" t="s">
        <v>95</v>
      </c>
      <c r="AG25" s="75"/>
      <c r="AH25" s="75">
        <v>2014</v>
      </c>
      <c r="AI25" s="75"/>
      <c r="AJ25" s="75"/>
      <c r="AK25" s="75"/>
      <c r="AL25" s="75"/>
      <c r="AM25" s="75" t="s">
        <v>4348</v>
      </c>
      <c r="AN25" s="75" t="s">
        <v>96</v>
      </c>
      <c r="AO25" s="75" t="s">
        <v>238</v>
      </c>
      <c r="AP25" s="75" t="s">
        <v>97</v>
      </c>
      <c r="AQ25" s="75"/>
      <c r="AR25" s="75"/>
      <c r="AS25" s="102" t="s">
        <v>1571</v>
      </c>
      <c r="AT25" s="101">
        <v>476323235</v>
      </c>
      <c r="AU25" s="75" t="s">
        <v>430</v>
      </c>
      <c r="AV25" s="75">
        <v>1978</v>
      </c>
      <c r="AW25" s="75" t="s">
        <v>100</v>
      </c>
      <c r="AX25" s="75" t="s">
        <v>2071</v>
      </c>
      <c r="AY25" s="75" t="s">
        <v>2155</v>
      </c>
      <c r="AZ25" s="75" t="s">
        <v>2474</v>
      </c>
      <c r="BA25" s="75">
        <v>8</v>
      </c>
      <c r="BB25" s="75">
        <v>9</v>
      </c>
      <c r="BC25" s="75">
        <v>92</v>
      </c>
      <c r="BD25" s="75">
        <v>0.01</v>
      </c>
      <c r="BE25" s="75" t="s">
        <v>97</v>
      </c>
      <c r="BF25" s="75"/>
      <c r="BG25" s="75">
        <v>3990</v>
      </c>
      <c r="BH25" s="77"/>
      <c r="BI25" s="77"/>
      <c r="BJ25" s="77"/>
      <c r="BK25" s="75">
        <v>1773</v>
      </c>
      <c r="BL25" s="75">
        <f t="shared" si="0"/>
        <v>5763</v>
      </c>
      <c r="BM25" s="103">
        <f t="shared" si="1"/>
        <v>316.96499999999997</v>
      </c>
      <c r="BN25" s="103">
        <f t="shared" si="2"/>
        <v>6079.9650000000001</v>
      </c>
      <c r="BO25" s="103">
        <v>6067.97</v>
      </c>
      <c r="BP25" s="75" t="s">
        <v>104</v>
      </c>
      <c r="BQ25" s="75"/>
      <c r="BR25" s="75"/>
      <c r="BS25" s="157">
        <v>2016</v>
      </c>
      <c r="BU25">
        <v>2016</v>
      </c>
    </row>
    <row r="26" spans="1:73" ht="43.15" customHeight="1" x14ac:dyDescent="0.25">
      <c r="A26" s="242" t="s">
        <v>1824</v>
      </c>
      <c r="B26" s="242" t="s">
        <v>2473</v>
      </c>
      <c r="C26" s="159">
        <v>400</v>
      </c>
      <c r="D26" s="114">
        <v>42439</v>
      </c>
      <c r="E26" s="114" t="s">
        <v>9</v>
      </c>
      <c r="F26" s="114" t="s">
        <v>9</v>
      </c>
      <c r="G26" s="114" t="s">
        <v>9</v>
      </c>
      <c r="H26" s="114">
        <v>42454</v>
      </c>
      <c r="I26" s="114">
        <v>42454</v>
      </c>
      <c r="J26" s="114">
        <v>42464</v>
      </c>
      <c r="K26" s="76"/>
      <c r="L26" s="114">
        <v>42551</v>
      </c>
      <c r="M26" s="114">
        <v>42458</v>
      </c>
      <c r="N26" s="114"/>
      <c r="O26" s="114"/>
      <c r="P26" s="114">
        <v>42552</v>
      </c>
      <c r="Q26" s="114">
        <v>42564</v>
      </c>
      <c r="R26" s="80"/>
      <c r="S26" s="114"/>
      <c r="T26" s="75"/>
      <c r="U26" s="75"/>
      <c r="V26" s="75"/>
      <c r="W26" s="75">
        <v>4</v>
      </c>
      <c r="X26" s="75">
        <v>46082</v>
      </c>
      <c r="Y26" s="75" t="str">
        <f ca="1">IF(I26="",IF(D26="","",IF(W26+X26&lt;15,"Données Nb pers ou RFR manquantes",IF(COUNTA(INDIRECT("TabRFR["&amp;YEAR(D26)&amp;"]"))&lt;&gt;COUNTA(TabRFR[Recherche RFR]),"Data RFR manquantes", IF(X26&lt;=INDEX(TabRFR[[2021]:[2025]],MATCH(BD!W26&amp;"-Très modestes",TabRFR[Recherche RFR],0),MATCH(TEXT(YEAR(BD!D26),"Standard"),TabRFR[[#Headers],[2021]:[2025]],0)),"Très Modeste",IF(X26&lt;=INDEX(TabRFR[[2021]:[2025]],MATCH(BD!W26&amp;"-modestes",TabRFR[Recherche RFR],0),MATCH(TEXT(YEAR(BD!D26),"Standard"),TabRFR[[#Headers],[2021]:[2025]],0)),"Modeste",IF(X26&lt;=INDEX(TabRFR[[2021]:[2025]],MATCH(BD!W26&amp;"-Intermédiaire",TabRFR[Recherche RFR],0),MATCH(TEXT(YEAR(BD!D26),"Standard"),TabRFR[[#Headers],[2021]:[2025]],0)),"Intermédiaire","Supérieur")))))),IF(D26="","",IF(W26+X26&lt;15,"Données Nb pers ou RFR manquantes",IF(COUNTA(INDIRECT("TabRFR["&amp;YEAR(I26)&amp;"]"))&lt;&gt;COUNTA(TabRFR[Recherche RFR]),"Data RFR manquantes", IF(X26&lt;=INDEX(TabRFR[[2021]:[2025]],MATCH(BD!W26&amp;"-Très modestes",TabRFR[Recherche RFR],0),MATCH(TEXT(YEAR(BD!I26),"Standard"),TabRFR[[#Headers],[2021]:[2025]],0)),"Très Modeste",IF(X26&lt;=INDEX(TabRFR[[2021]:[2025]],MATCH(BD!W26&amp;"-modestes",TabRFR[Recherche RFR],0),MATCH(TEXT(YEAR(BD!I26),"Standard"),TabRFR[[#Headers],[2021]:[2025]],0)),"Modeste",IF(X26&lt;=INDEX(TabRFR[[2021]:[2025]],MATCH(BD!W26&amp;"-Intermédiaire",TabRFR[Recherche RFR],0),MATCH(TEXT(YEAR(BD!I26),"Standard"),TabRFR[[#Headers],[2021]:[2025]],0)),"Intermédiaire","Supérieur")))))))</f>
        <v>Data RFR manquantes</v>
      </c>
      <c r="Z26" s="75"/>
      <c r="AA26" s="75" t="s">
        <v>2471</v>
      </c>
      <c r="AB26" s="75">
        <v>38340</v>
      </c>
      <c r="AC26" s="75" t="s">
        <v>108</v>
      </c>
      <c r="AD26" s="101"/>
      <c r="AE26" s="102"/>
      <c r="AF26" s="75" t="s">
        <v>95</v>
      </c>
      <c r="AG26" s="75"/>
      <c r="AH26" s="75">
        <v>2010</v>
      </c>
      <c r="AI26" s="75"/>
      <c r="AJ26" s="75"/>
      <c r="AK26" s="75"/>
      <c r="AL26" s="75"/>
      <c r="AM26" s="75" t="s">
        <v>4233</v>
      </c>
      <c r="AN26" s="75" t="s">
        <v>829</v>
      </c>
      <c r="AO26" s="75" t="s">
        <v>325</v>
      </c>
      <c r="AP26" s="75" t="s">
        <v>97</v>
      </c>
      <c r="AQ26" s="75"/>
      <c r="AR26" s="75"/>
      <c r="AS26" s="102" t="s">
        <v>211</v>
      </c>
      <c r="AT26" s="101">
        <v>438019038</v>
      </c>
      <c r="AU26" s="75" t="s">
        <v>111</v>
      </c>
      <c r="AV26" s="75" t="s">
        <v>2469</v>
      </c>
      <c r="AW26" s="75" t="s">
        <v>100</v>
      </c>
      <c r="AX26" s="75" t="s">
        <v>112</v>
      </c>
      <c r="AY26" s="75" t="s">
        <v>2046</v>
      </c>
      <c r="AZ26" s="75">
        <v>790</v>
      </c>
      <c r="BA26" s="75">
        <v>23</v>
      </c>
      <c r="BB26" s="75">
        <v>5.3</v>
      </c>
      <c r="BC26" s="75">
        <v>80</v>
      </c>
      <c r="BD26" s="75">
        <v>0.1</v>
      </c>
      <c r="BE26" s="75" t="s">
        <v>97</v>
      </c>
      <c r="BF26" s="75"/>
      <c r="BG26" s="75">
        <v>4423</v>
      </c>
      <c r="BH26" s="77"/>
      <c r="BI26" s="77"/>
      <c r="BJ26" s="77"/>
      <c r="BK26" s="75">
        <v>560</v>
      </c>
      <c r="BL26" s="75">
        <f t="shared" si="0"/>
        <v>4983</v>
      </c>
      <c r="BM26" s="103">
        <f t="shared" si="1"/>
        <v>274.065</v>
      </c>
      <c r="BN26" s="103">
        <f t="shared" si="2"/>
        <v>5257.0649999999996</v>
      </c>
      <c r="BO26" s="103">
        <v>4850</v>
      </c>
      <c r="BP26" s="75" t="s">
        <v>97</v>
      </c>
      <c r="BQ26" s="75"/>
      <c r="BR26" s="75"/>
      <c r="BS26" s="157">
        <v>2016</v>
      </c>
      <c r="BT26">
        <v>2020</v>
      </c>
      <c r="BU26">
        <v>2016</v>
      </c>
    </row>
    <row r="27" spans="1:73" ht="43.15" customHeight="1" x14ac:dyDescent="0.25">
      <c r="A27" s="242" t="s">
        <v>1824</v>
      </c>
      <c r="B27" s="242" t="s">
        <v>2468</v>
      </c>
      <c r="C27" s="159">
        <v>400</v>
      </c>
      <c r="D27" s="114">
        <v>42440</v>
      </c>
      <c r="E27" s="114" t="s">
        <v>9</v>
      </c>
      <c r="F27" s="114" t="s">
        <v>9</v>
      </c>
      <c r="G27" s="114" t="s">
        <v>9</v>
      </c>
      <c r="H27" s="114">
        <v>42454</v>
      </c>
      <c r="I27" s="114">
        <v>42454</v>
      </c>
      <c r="J27" s="114">
        <v>42464</v>
      </c>
      <c r="K27" s="76"/>
      <c r="L27" s="114">
        <v>42530</v>
      </c>
      <c r="M27" s="114">
        <v>42493</v>
      </c>
      <c r="N27" s="114"/>
      <c r="O27" s="114"/>
      <c r="P27" s="114">
        <v>42531</v>
      </c>
      <c r="Q27" s="114">
        <v>42549</v>
      </c>
      <c r="R27" s="80"/>
      <c r="S27" s="114"/>
      <c r="T27" s="75"/>
      <c r="U27" s="75"/>
      <c r="V27" s="75"/>
      <c r="W27" s="75">
        <v>4</v>
      </c>
      <c r="X27" s="75">
        <v>56999</v>
      </c>
      <c r="Y27" s="75" t="str">
        <f ca="1">IF(I27="",IF(D27="","",IF(W27+X27&lt;15,"Données Nb pers ou RFR manquantes",IF(COUNTA(INDIRECT("TabRFR["&amp;YEAR(D27)&amp;"]"))&lt;&gt;COUNTA(TabRFR[Recherche RFR]),"Data RFR manquantes", IF(X27&lt;=INDEX(TabRFR[[2021]:[2025]],MATCH(BD!W27&amp;"-Très modestes",TabRFR[Recherche RFR],0),MATCH(TEXT(YEAR(BD!D27),"Standard"),TabRFR[[#Headers],[2021]:[2025]],0)),"Très Modeste",IF(X27&lt;=INDEX(TabRFR[[2021]:[2025]],MATCH(BD!W27&amp;"-modestes",TabRFR[Recherche RFR],0),MATCH(TEXT(YEAR(BD!D27),"Standard"),TabRFR[[#Headers],[2021]:[2025]],0)),"Modeste",IF(X27&lt;=INDEX(TabRFR[[2021]:[2025]],MATCH(BD!W27&amp;"-Intermédiaire",TabRFR[Recherche RFR],0),MATCH(TEXT(YEAR(BD!D27),"Standard"),TabRFR[[#Headers],[2021]:[2025]],0)),"Intermédiaire","Supérieur")))))),IF(D27="","",IF(W27+X27&lt;15,"Données Nb pers ou RFR manquantes",IF(COUNTA(INDIRECT("TabRFR["&amp;YEAR(I27)&amp;"]"))&lt;&gt;COUNTA(TabRFR[Recherche RFR]),"Data RFR manquantes", IF(X27&lt;=INDEX(TabRFR[[2021]:[2025]],MATCH(BD!W27&amp;"-Très modestes",TabRFR[Recherche RFR],0),MATCH(TEXT(YEAR(BD!I27),"Standard"),TabRFR[[#Headers],[2021]:[2025]],0)),"Très Modeste",IF(X27&lt;=INDEX(TabRFR[[2021]:[2025]],MATCH(BD!W27&amp;"-modestes",TabRFR[Recherche RFR],0),MATCH(TEXT(YEAR(BD!I27),"Standard"),TabRFR[[#Headers],[2021]:[2025]],0)),"Modeste",IF(X27&lt;=INDEX(TabRFR[[2021]:[2025]],MATCH(BD!W27&amp;"-Intermédiaire",TabRFR[Recherche RFR],0),MATCH(TEXT(YEAR(BD!I27),"Standard"),TabRFR[[#Headers],[2021]:[2025]],0)),"Intermédiaire","Supérieur")))))))</f>
        <v>Data RFR manquantes</v>
      </c>
      <c r="Z27" s="75"/>
      <c r="AA27" s="75" t="s">
        <v>2466</v>
      </c>
      <c r="AB27" s="75">
        <v>38340</v>
      </c>
      <c r="AC27" s="75" t="s">
        <v>108</v>
      </c>
      <c r="AD27" s="101"/>
      <c r="AE27" s="102"/>
      <c r="AF27" s="75" t="s">
        <v>95</v>
      </c>
      <c r="AG27" s="75"/>
      <c r="AH27" s="75">
        <v>2015</v>
      </c>
      <c r="AI27" s="75"/>
      <c r="AJ27" s="75"/>
      <c r="AK27" s="75"/>
      <c r="AL27" s="75"/>
      <c r="AM27" s="75" t="s">
        <v>4233</v>
      </c>
      <c r="AN27" s="75" t="s">
        <v>829</v>
      </c>
      <c r="AO27" s="75" t="s">
        <v>325</v>
      </c>
      <c r="AP27" s="75" t="s">
        <v>97</v>
      </c>
      <c r="AQ27" s="75"/>
      <c r="AR27" s="75"/>
      <c r="AS27" s="102" t="s">
        <v>211</v>
      </c>
      <c r="AT27" s="101">
        <v>438019038</v>
      </c>
      <c r="AU27" s="75" t="s">
        <v>430</v>
      </c>
      <c r="AV27" s="75">
        <v>1969</v>
      </c>
      <c r="AW27" s="75" t="s">
        <v>111</v>
      </c>
      <c r="AX27" s="75" t="s">
        <v>112</v>
      </c>
      <c r="AY27" s="75" t="s">
        <v>2348</v>
      </c>
      <c r="AZ27" s="75" t="s">
        <v>2464</v>
      </c>
      <c r="BA27" s="75">
        <v>35</v>
      </c>
      <c r="BB27" s="75">
        <v>11</v>
      </c>
      <c r="BC27" s="75">
        <v>80</v>
      </c>
      <c r="BD27" s="75">
        <v>0.06</v>
      </c>
      <c r="BE27" s="75" t="s">
        <v>97</v>
      </c>
      <c r="BF27" s="75"/>
      <c r="BG27" s="75">
        <v>2290</v>
      </c>
      <c r="BH27" s="77"/>
      <c r="BI27" s="77"/>
      <c r="BJ27" s="77"/>
      <c r="BK27" s="75">
        <v>872</v>
      </c>
      <c r="BL27" s="75">
        <f t="shared" si="0"/>
        <v>3162</v>
      </c>
      <c r="BM27" s="103">
        <f t="shared" si="1"/>
        <v>173.91</v>
      </c>
      <c r="BN27" s="103">
        <f t="shared" si="2"/>
        <v>3335.91</v>
      </c>
      <c r="BO27" s="103">
        <v>5050</v>
      </c>
      <c r="BP27" s="75" t="s">
        <v>97</v>
      </c>
      <c r="BQ27" s="75"/>
      <c r="BR27" s="75"/>
      <c r="BS27" s="157">
        <v>2016</v>
      </c>
      <c r="BT27">
        <v>2020</v>
      </c>
      <c r="BU27">
        <v>2016</v>
      </c>
    </row>
    <row r="28" spans="1:73" ht="43.15" customHeight="1" x14ac:dyDescent="0.25">
      <c r="A28" s="242" t="s">
        <v>1824</v>
      </c>
      <c r="B28" s="242" t="s">
        <v>2463</v>
      </c>
      <c r="C28" s="159">
        <v>800</v>
      </c>
      <c r="D28" s="114">
        <v>42440</v>
      </c>
      <c r="E28" s="114" t="s">
        <v>9</v>
      </c>
      <c r="F28" s="114" t="s">
        <v>9</v>
      </c>
      <c r="G28" s="114" t="s">
        <v>9</v>
      </c>
      <c r="H28" s="114">
        <v>42454</v>
      </c>
      <c r="I28" s="114">
        <v>42454</v>
      </c>
      <c r="J28" s="114">
        <v>42464</v>
      </c>
      <c r="K28" s="76"/>
      <c r="L28" s="114">
        <v>42591</v>
      </c>
      <c r="M28" s="114">
        <v>42564</v>
      </c>
      <c r="N28" s="114"/>
      <c r="O28" s="114">
        <v>42599</v>
      </c>
      <c r="P28" s="114">
        <v>42599</v>
      </c>
      <c r="Q28" s="114">
        <v>42622</v>
      </c>
      <c r="R28" s="81"/>
      <c r="S28" s="114"/>
      <c r="T28" s="75"/>
      <c r="U28" s="75"/>
      <c r="V28" s="75"/>
      <c r="W28" s="75">
        <v>2</v>
      </c>
      <c r="X28" s="75">
        <v>25651</v>
      </c>
      <c r="Y28" s="75" t="str">
        <f ca="1">IF(I28="",IF(D28="","",IF(W28+X28&lt;15,"Données Nb pers ou RFR manquantes",IF(COUNTA(INDIRECT("TabRFR["&amp;YEAR(D28)&amp;"]"))&lt;&gt;COUNTA(TabRFR[Recherche RFR]),"Data RFR manquantes", IF(X28&lt;=INDEX(TabRFR[[2021]:[2025]],MATCH(BD!W28&amp;"-Très modestes",TabRFR[Recherche RFR],0),MATCH(TEXT(YEAR(BD!D28),"Standard"),TabRFR[[#Headers],[2021]:[2025]],0)),"Très Modeste",IF(X28&lt;=INDEX(TabRFR[[2021]:[2025]],MATCH(BD!W28&amp;"-modestes",TabRFR[Recherche RFR],0),MATCH(TEXT(YEAR(BD!D28),"Standard"),TabRFR[[#Headers],[2021]:[2025]],0)),"Modeste",IF(X28&lt;=INDEX(TabRFR[[2021]:[2025]],MATCH(BD!W28&amp;"-Intermédiaire",TabRFR[Recherche RFR],0),MATCH(TEXT(YEAR(BD!D28),"Standard"),TabRFR[[#Headers],[2021]:[2025]],0)),"Intermédiaire","Supérieur")))))),IF(D28="","",IF(W28+X28&lt;15,"Données Nb pers ou RFR manquantes",IF(COUNTA(INDIRECT("TabRFR["&amp;YEAR(I28)&amp;"]"))&lt;&gt;COUNTA(TabRFR[Recherche RFR]),"Data RFR manquantes", IF(X28&lt;=INDEX(TabRFR[[2021]:[2025]],MATCH(BD!W28&amp;"-Très modestes",TabRFR[Recherche RFR],0),MATCH(TEXT(YEAR(BD!I28),"Standard"),TabRFR[[#Headers],[2021]:[2025]],0)),"Très Modeste",IF(X28&lt;=INDEX(TabRFR[[2021]:[2025]],MATCH(BD!W28&amp;"-modestes",TabRFR[Recherche RFR],0),MATCH(TEXT(YEAR(BD!I28),"Standard"),TabRFR[[#Headers],[2021]:[2025]],0)),"Modeste",IF(X28&lt;=INDEX(TabRFR[[2021]:[2025]],MATCH(BD!W28&amp;"-Intermédiaire",TabRFR[Recherche RFR],0),MATCH(TEXT(YEAR(BD!I28),"Standard"),TabRFR[[#Headers],[2021]:[2025]],0)),"Intermédiaire","Supérieur")))))))</f>
        <v>Data RFR manquantes</v>
      </c>
      <c r="Z28" s="75"/>
      <c r="AA28" s="75" t="s">
        <v>2461</v>
      </c>
      <c r="AB28" s="75">
        <v>38620</v>
      </c>
      <c r="AC28" s="75" t="s">
        <v>857</v>
      </c>
      <c r="AD28" s="101"/>
      <c r="AE28" s="102"/>
      <c r="AF28" s="75" t="s">
        <v>95</v>
      </c>
      <c r="AG28" s="75"/>
      <c r="AH28" s="75">
        <v>1991</v>
      </c>
      <c r="AI28" s="75"/>
      <c r="AJ28" s="75"/>
      <c r="AK28" s="75"/>
      <c r="AL28" s="75"/>
      <c r="AM28" s="75" t="s">
        <v>4258</v>
      </c>
      <c r="AN28" s="75" t="s">
        <v>451</v>
      </c>
      <c r="AO28" s="75"/>
      <c r="AP28" s="75" t="s">
        <v>97</v>
      </c>
      <c r="AQ28" s="75"/>
      <c r="AR28" s="75"/>
      <c r="AS28" s="102" t="s">
        <v>698</v>
      </c>
      <c r="AT28" s="101">
        <v>474430411</v>
      </c>
      <c r="AU28" s="75" t="s">
        <v>111</v>
      </c>
      <c r="AV28" s="75">
        <v>1991</v>
      </c>
      <c r="AW28" s="75" t="s">
        <v>100</v>
      </c>
      <c r="AX28" s="75" t="s">
        <v>2071</v>
      </c>
      <c r="AY28" s="75" t="s">
        <v>2459</v>
      </c>
      <c r="AZ28" s="75" t="s">
        <v>2458</v>
      </c>
      <c r="BA28" s="75">
        <v>17</v>
      </c>
      <c r="BB28" s="75">
        <v>11</v>
      </c>
      <c r="BC28" s="75">
        <v>90</v>
      </c>
      <c r="BD28" s="75">
        <v>0.02</v>
      </c>
      <c r="BE28" s="75" t="s">
        <v>97</v>
      </c>
      <c r="BF28" s="75"/>
      <c r="BG28" s="75">
        <v>3565</v>
      </c>
      <c r="BH28" s="77"/>
      <c r="BI28" s="77"/>
      <c r="BJ28" s="77"/>
      <c r="BK28" s="75">
        <v>550</v>
      </c>
      <c r="BL28" s="75">
        <f t="shared" si="0"/>
        <v>4115</v>
      </c>
      <c r="BM28" s="103">
        <f t="shared" si="1"/>
        <v>226.32499999999999</v>
      </c>
      <c r="BN28" s="103">
        <f t="shared" si="2"/>
        <v>4341.3249999999998</v>
      </c>
      <c r="BO28" s="103">
        <v>3041.33</v>
      </c>
      <c r="BP28" s="75" t="s">
        <v>97</v>
      </c>
      <c r="BQ28" s="75"/>
      <c r="BR28" s="75"/>
      <c r="BS28" s="157">
        <v>2016</v>
      </c>
      <c r="BU28">
        <v>2016</v>
      </c>
    </row>
    <row r="29" spans="1:73" ht="43.15" customHeight="1" x14ac:dyDescent="0.25">
      <c r="A29" s="29" t="s">
        <v>1824</v>
      </c>
      <c r="B29" s="29" t="s">
        <v>2457</v>
      </c>
      <c r="C29" s="161" t="s">
        <v>9</v>
      </c>
      <c r="D29" s="110">
        <v>42440</v>
      </c>
      <c r="E29" s="110" t="s">
        <v>9</v>
      </c>
      <c r="F29" s="110" t="s">
        <v>9</v>
      </c>
      <c r="G29" s="110" t="s">
        <v>9</v>
      </c>
      <c r="H29" s="110" t="s">
        <v>9</v>
      </c>
      <c r="I29" s="110" t="s">
        <v>9</v>
      </c>
      <c r="J29" s="110">
        <v>42727</v>
      </c>
      <c r="K29" s="76"/>
      <c r="L29" s="110"/>
      <c r="M29" s="110"/>
      <c r="N29" s="110"/>
      <c r="O29" s="110"/>
      <c r="P29" s="110"/>
      <c r="Q29" s="110"/>
      <c r="R29" s="81"/>
      <c r="S29" s="110">
        <v>42454</v>
      </c>
      <c r="T29" s="111" t="s">
        <v>3899</v>
      </c>
      <c r="U29" s="111"/>
      <c r="V29" s="111"/>
      <c r="W29" s="111">
        <v>4</v>
      </c>
      <c r="X29" s="111">
        <v>42713</v>
      </c>
      <c r="Y29" s="75" t="str">
        <f ca="1">IF(I29="",IF(D29="","",IF(W29+X29&lt;15,"Données Nb pers ou RFR manquantes",IF(COUNTA(INDIRECT("TabRFR["&amp;YEAR(D29)&amp;"]"))&lt;&gt;COUNTA(TabRFR[Recherche RFR]),"Data RFR manquantes", IF(X29&lt;=INDEX(TabRFR[[2021]:[2025]],MATCH(BD!W29&amp;"-Très modestes",TabRFR[Recherche RFR],0),MATCH(TEXT(YEAR(BD!D29),"Standard"),TabRFR[[#Headers],[2021]:[2025]],0)),"Très Modeste",IF(X29&lt;=INDEX(TabRFR[[2021]:[2025]],MATCH(BD!W29&amp;"-modestes",TabRFR[Recherche RFR],0),MATCH(TEXT(YEAR(BD!D29),"Standard"),TabRFR[[#Headers],[2021]:[2025]],0)),"Modeste",IF(X29&lt;=INDEX(TabRFR[[2021]:[2025]],MATCH(BD!W29&amp;"-Intermédiaire",TabRFR[Recherche RFR],0),MATCH(TEXT(YEAR(BD!D29),"Standard"),TabRFR[[#Headers],[2021]:[2025]],0)),"Intermédiaire","Supérieur")))))),IF(D29="","",IF(W29+X29&lt;15,"Données Nb pers ou RFR manquantes",IF(COUNTA(INDIRECT("TabRFR["&amp;YEAR(I29)&amp;"]"))&lt;&gt;COUNTA(TabRFR[Recherche RFR]),"Data RFR manquantes", IF(X29&lt;=INDEX(TabRFR[[2021]:[2025]],MATCH(BD!W29&amp;"-Très modestes",TabRFR[Recherche RFR],0),MATCH(TEXT(YEAR(BD!I29),"Standard"),TabRFR[[#Headers],[2021]:[2025]],0)),"Très Modeste",IF(X29&lt;=INDEX(TabRFR[[2021]:[2025]],MATCH(BD!W29&amp;"-modestes",TabRFR[Recherche RFR],0),MATCH(TEXT(YEAR(BD!I29),"Standard"),TabRFR[[#Headers],[2021]:[2025]],0)),"Modeste",IF(X29&lt;=INDEX(TabRFR[[2021]:[2025]],MATCH(BD!W29&amp;"-Intermédiaire",TabRFR[Recherche RFR],0),MATCH(TEXT(YEAR(BD!I29),"Standard"),TabRFR[[#Headers],[2021]:[2025]],0)),"Intermédiaire","Supérieur")))))))</f>
        <v>Data RFR manquantes</v>
      </c>
      <c r="Z29" s="111"/>
      <c r="AA29" s="111" t="s">
        <v>2456</v>
      </c>
      <c r="AB29" s="111">
        <v>38140</v>
      </c>
      <c r="AC29" s="111" t="s">
        <v>363</v>
      </c>
      <c r="AD29" s="112"/>
      <c r="AE29" s="102"/>
      <c r="AF29" s="111" t="s">
        <v>95</v>
      </c>
      <c r="AG29" s="111"/>
      <c r="AH29" s="111">
        <v>2009</v>
      </c>
      <c r="AI29" s="111"/>
      <c r="AJ29" s="111"/>
      <c r="AK29" s="111"/>
      <c r="AL29" s="111"/>
      <c r="AM29" s="111" t="s">
        <v>4354</v>
      </c>
      <c r="AN29" s="111" t="s">
        <v>1056</v>
      </c>
      <c r="AO29" s="111"/>
      <c r="AP29" s="111" t="s">
        <v>97</v>
      </c>
      <c r="AQ29" s="111"/>
      <c r="AR29" s="111"/>
      <c r="AS29" s="102" t="s">
        <v>2455</v>
      </c>
      <c r="AT29" s="112">
        <v>479842535</v>
      </c>
      <c r="AU29" s="111" t="s">
        <v>111</v>
      </c>
      <c r="AV29" s="111">
        <v>2008</v>
      </c>
      <c r="AW29" s="111" t="s">
        <v>111</v>
      </c>
      <c r="AX29" s="75" t="s">
        <v>2071</v>
      </c>
      <c r="AY29" s="111" t="s">
        <v>2454</v>
      </c>
      <c r="AZ29" s="111" t="s">
        <v>2453</v>
      </c>
      <c r="BA29" s="111"/>
      <c r="BB29" s="111">
        <v>10</v>
      </c>
      <c r="BC29" s="111">
        <v>70</v>
      </c>
      <c r="BD29" s="111">
        <v>0.3</v>
      </c>
      <c r="BE29" s="111" t="s">
        <v>104</v>
      </c>
      <c r="BF29" s="111"/>
      <c r="BG29" s="111">
        <v>4100</v>
      </c>
      <c r="BH29" s="77"/>
      <c r="BI29" s="77"/>
      <c r="BJ29" s="77"/>
      <c r="BK29" s="111">
        <v>1250</v>
      </c>
      <c r="BL29" s="75">
        <f t="shared" si="0"/>
        <v>5350</v>
      </c>
      <c r="BM29" s="103">
        <f t="shared" si="1"/>
        <v>294.25</v>
      </c>
      <c r="BN29" s="103">
        <f t="shared" si="2"/>
        <v>5644.25</v>
      </c>
      <c r="BO29" s="111"/>
      <c r="BP29" s="111"/>
      <c r="BQ29" s="111"/>
      <c r="BR29" s="111"/>
      <c r="BS29" s="157">
        <v>2016</v>
      </c>
      <c r="BU29" t="s">
        <v>4180</v>
      </c>
    </row>
    <row r="30" spans="1:73" ht="43.15" customHeight="1" x14ac:dyDescent="0.25">
      <c r="A30" s="242" t="s">
        <v>1824</v>
      </c>
      <c r="B30" s="242" t="s">
        <v>2452</v>
      </c>
      <c r="C30" s="159">
        <v>800</v>
      </c>
      <c r="D30" s="114">
        <v>42426</v>
      </c>
      <c r="E30" s="114" t="s">
        <v>9</v>
      </c>
      <c r="F30" s="114" t="s">
        <v>9</v>
      </c>
      <c r="G30" s="114" t="s">
        <v>9</v>
      </c>
      <c r="H30" s="114">
        <v>42454</v>
      </c>
      <c r="I30" s="114">
        <v>42454</v>
      </c>
      <c r="J30" s="114">
        <v>42465</v>
      </c>
      <c r="K30" s="76"/>
      <c r="L30" s="114">
        <v>42801</v>
      </c>
      <c r="M30" s="114">
        <v>43092</v>
      </c>
      <c r="N30" s="114" t="s">
        <v>2451</v>
      </c>
      <c r="O30" s="114">
        <v>42824</v>
      </c>
      <c r="P30" s="114">
        <v>42824</v>
      </c>
      <c r="Q30" s="114">
        <v>42839</v>
      </c>
      <c r="R30" s="81"/>
      <c r="S30" s="114"/>
      <c r="T30" s="75"/>
      <c r="U30" s="75"/>
      <c r="V30" s="75"/>
      <c r="W30" s="75">
        <v>5</v>
      </c>
      <c r="X30" s="75">
        <v>42172</v>
      </c>
      <c r="Y30" s="75" t="str">
        <f ca="1">IF(I30="",IF(D30="","",IF(W30+X30&lt;15,"Données Nb pers ou RFR manquantes",IF(COUNTA(INDIRECT("TabRFR["&amp;YEAR(D30)&amp;"]"))&lt;&gt;COUNTA(TabRFR[Recherche RFR]),"Data RFR manquantes", IF(X30&lt;=INDEX(TabRFR[[2021]:[2025]],MATCH(BD!W30&amp;"-Très modestes",TabRFR[Recherche RFR],0),MATCH(TEXT(YEAR(BD!D30),"Standard"),TabRFR[[#Headers],[2021]:[2025]],0)),"Très Modeste",IF(X30&lt;=INDEX(TabRFR[[2021]:[2025]],MATCH(BD!W30&amp;"-modestes",TabRFR[Recherche RFR],0),MATCH(TEXT(YEAR(BD!D30),"Standard"),TabRFR[[#Headers],[2021]:[2025]],0)),"Modeste",IF(X30&lt;=INDEX(TabRFR[[2021]:[2025]],MATCH(BD!W30&amp;"-Intermédiaire",TabRFR[Recherche RFR],0),MATCH(TEXT(YEAR(BD!D30),"Standard"),TabRFR[[#Headers],[2021]:[2025]],0)),"Intermédiaire","Supérieur")))))),IF(D30="","",IF(W30+X30&lt;15,"Données Nb pers ou RFR manquantes",IF(COUNTA(INDIRECT("TabRFR["&amp;YEAR(I30)&amp;"]"))&lt;&gt;COUNTA(TabRFR[Recherche RFR]),"Data RFR manquantes", IF(X30&lt;=INDEX(TabRFR[[2021]:[2025]],MATCH(BD!W30&amp;"-Très modestes",TabRFR[Recherche RFR],0),MATCH(TEXT(YEAR(BD!I30),"Standard"),TabRFR[[#Headers],[2021]:[2025]],0)),"Très Modeste",IF(X30&lt;=INDEX(TabRFR[[2021]:[2025]],MATCH(BD!W30&amp;"-modestes",TabRFR[Recherche RFR],0),MATCH(TEXT(YEAR(BD!I30),"Standard"),TabRFR[[#Headers],[2021]:[2025]],0)),"Modeste",IF(X30&lt;=INDEX(TabRFR[[2021]:[2025]],MATCH(BD!W30&amp;"-Intermédiaire",TabRFR[Recherche RFR],0),MATCH(TEXT(YEAR(BD!I30),"Standard"),TabRFR[[#Headers],[2021]:[2025]],0)),"Intermédiaire","Supérieur")))))))</f>
        <v>Data RFR manquantes</v>
      </c>
      <c r="Z30" s="75"/>
      <c r="AA30" s="75" t="s">
        <v>2448</v>
      </c>
      <c r="AB30" s="75">
        <v>38500</v>
      </c>
      <c r="AC30" s="75" t="s">
        <v>96</v>
      </c>
      <c r="AD30" s="101"/>
      <c r="AE30" s="102"/>
      <c r="AF30" s="75" t="s">
        <v>95</v>
      </c>
      <c r="AG30" s="75"/>
      <c r="AH30" s="75">
        <v>2015</v>
      </c>
      <c r="AI30" s="75"/>
      <c r="AJ30" s="75"/>
      <c r="AK30" s="75"/>
      <c r="AL30" s="75"/>
      <c r="AM30" s="75" t="s">
        <v>492</v>
      </c>
      <c r="AN30" s="75" t="s">
        <v>2446</v>
      </c>
      <c r="AO30" s="75" t="s">
        <v>2445</v>
      </c>
      <c r="AP30" s="75" t="s">
        <v>97</v>
      </c>
      <c r="AQ30" s="75" t="s">
        <v>2444</v>
      </c>
      <c r="AR30" s="75"/>
      <c r="AS30" s="102" t="s">
        <v>418</v>
      </c>
      <c r="AT30" s="101">
        <v>671848815</v>
      </c>
      <c r="AU30" s="75" t="s">
        <v>430</v>
      </c>
      <c r="AV30" s="75">
        <v>1970</v>
      </c>
      <c r="AW30" s="75" t="s">
        <v>100</v>
      </c>
      <c r="AX30" s="75" t="s">
        <v>112</v>
      </c>
      <c r="AY30" s="75" t="s">
        <v>1797</v>
      </c>
      <c r="AZ30" s="75" t="s">
        <v>1672</v>
      </c>
      <c r="BA30" s="75">
        <v>35</v>
      </c>
      <c r="BB30" s="75">
        <v>6.8</v>
      </c>
      <c r="BC30" s="75">
        <v>80</v>
      </c>
      <c r="BD30" s="75">
        <v>7.0000000000000007E-2</v>
      </c>
      <c r="BE30" s="75" t="s">
        <v>97</v>
      </c>
      <c r="BF30" s="75"/>
      <c r="BG30" s="75">
        <v>3683.65</v>
      </c>
      <c r="BH30" s="77"/>
      <c r="BI30" s="77"/>
      <c r="BJ30" s="77"/>
      <c r="BK30" s="75">
        <v>388</v>
      </c>
      <c r="BL30" s="75">
        <f t="shared" si="0"/>
        <v>4071.65</v>
      </c>
      <c r="BM30" s="103">
        <f t="shared" si="1"/>
        <v>223.94075000000001</v>
      </c>
      <c r="BN30" s="103">
        <f t="shared" si="2"/>
        <v>4295.5907500000003</v>
      </c>
      <c r="BO30" s="103">
        <v>4428.3500000000004</v>
      </c>
      <c r="BP30" s="75" t="s">
        <v>97</v>
      </c>
      <c r="BQ30" s="75"/>
      <c r="BR30" s="75"/>
      <c r="BS30" s="157">
        <v>2016</v>
      </c>
      <c r="BT30">
        <v>2020</v>
      </c>
      <c r="BU30">
        <v>2016</v>
      </c>
    </row>
    <row r="31" spans="1:73" ht="43.15" customHeight="1" x14ac:dyDescent="0.25">
      <c r="A31" s="29" t="s">
        <v>1824</v>
      </c>
      <c r="B31" s="29" t="s">
        <v>2443</v>
      </c>
      <c r="C31" s="161" t="s">
        <v>9</v>
      </c>
      <c r="D31" s="110">
        <v>42447</v>
      </c>
      <c r="E31" s="110" t="s">
        <v>9</v>
      </c>
      <c r="F31" s="110" t="s">
        <v>2442</v>
      </c>
      <c r="G31" s="110"/>
      <c r="H31" s="110"/>
      <c r="I31" s="110"/>
      <c r="J31" s="110">
        <v>42727</v>
      </c>
      <c r="K31" s="76"/>
      <c r="L31" s="110"/>
      <c r="M31" s="110"/>
      <c r="N31" s="110"/>
      <c r="O31" s="110"/>
      <c r="P31" s="110"/>
      <c r="Q31" s="110"/>
      <c r="R31" s="81"/>
      <c r="S31" s="110">
        <v>42727</v>
      </c>
      <c r="T31" s="111"/>
      <c r="U31" s="111"/>
      <c r="V31" s="111"/>
      <c r="W31" s="111">
        <v>2</v>
      </c>
      <c r="X31" s="111">
        <v>58822</v>
      </c>
      <c r="Y31" s="75" t="str">
        <f ca="1">IF(I31="",IF(D31="","",IF(W31+X31&lt;15,"Données Nb pers ou RFR manquantes",IF(COUNTA(INDIRECT("TabRFR["&amp;YEAR(D31)&amp;"]"))&lt;&gt;COUNTA(TabRFR[Recherche RFR]),"Data RFR manquantes", IF(X31&lt;=INDEX(TabRFR[[2021]:[2025]],MATCH(BD!W31&amp;"-Très modestes",TabRFR[Recherche RFR],0),MATCH(TEXT(YEAR(BD!D31),"Standard"),TabRFR[[#Headers],[2021]:[2025]],0)),"Très Modeste",IF(X31&lt;=INDEX(TabRFR[[2021]:[2025]],MATCH(BD!W31&amp;"-modestes",TabRFR[Recherche RFR],0),MATCH(TEXT(YEAR(BD!D31),"Standard"),TabRFR[[#Headers],[2021]:[2025]],0)),"Modeste",IF(X31&lt;=INDEX(TabRFR[[2021]:[2025]],MATCH(BD!W31&amp;"-Intermédiaire",TabRFR[Recherche RFR],0),MATCH(TEXT(YEAR(BD!D31),"Standard"),TabRFR[[#Headers],[2021]:[2025]],0)),"Intermédiaire","Supérieur")))))),IF(D31="","",IF(W31+X31&lt;15,"Données Nb pers ou RFR manquantes",IF(COUNTA(INDIRECT("TabRFR["&amp;YEAR(I31)&amp;"]"))&lt;&gt;COUNTA(TabRFR[Recherche RFR]),"Data RFR manquantes", IF(X31&lt;=INDEX(TabRFR[[2021]:[2025]],MATCH(BD!W31&amp;"-Très modestes",TabRFR[Recherche RFR],0),MATCH(TEXT(YEAR(BD!I31),"Standard"),TabRFR[[#Headers],[2021]:[2025]],0)),"Très Modeste",IF(X31&lt;=INDEX(TabRFR[[2021]:[2025]],MATCH(BD!W31&amp;"-modestes",TabRFR[Recherche RFR],0),MATCH(TEXT(YEAR(BD!I31),"Standard"),TabRFR[[#Headers],[2021]:[2025]],0)),"Modeste",IF(X31&lt;=INDEX(TabRFR[[2021]:[2025]],MATCH(BD!W31&amp;"-Intermédiaire",TabRFR[Recherche RFR],0),MATCH(TEXT(YEAR(BD!I31),"Standard"),TabRFR[[#Headers],[2021]:[2025]],0)),"Intermédiaire","Supérieur")))))))</f>
        <v>Data RFR manquantes</v>
      </c>
      <c r="Z31" s="111"/>
      <c r="AA31" s="111" t="s">
        <v>2441</v>
      </c>
      <c r="AB31" s="111">
        <v>38340</v>
      </c>
      <c r="AC31" s="111" t="s">
        <v>3129</v>
      </c>
      <c r="AD31" s="112"/>
      <c r="AE31" s="102"/>
      <c r="AF31" s="111" t="s">
        <v>95</v>
      </c>
      <c r="AG31" s="111"/>
      <c r="AH31" s="111">
        <v>1983</v>
      </c>
      <c r="AI31" s="111"/>
      <c r="AJ31" s="111"/>
      <c r="AK31" s="111"/>
      <c r="AL31" s="111"/>
      <c r="AM31" s="111" t="s">
        <v>4355</v>
      </c>
      <c r="AN31" s="111" t="s">
        <v>2440</v>
      </c>
      <c r="AO31" s="111" t="s">
        <v>2439</v>
      </c>
      <c r="AP31" s="111" t="s">
        <v>104</v>
      </c>
      <c r="AQ31" s="111"/>
      <c r="AR31" s="111"/>
      <c r="AS31" s="102"/>
      <c r="AT31" s="112">
        <v>457198015</v>
      </c>
      <c r="AU31" s="111" t="s">
        <v>430</v>
      </c>
      <c r="AV31" s="111">
        <v>1983</v>
      </c>
      <c r="AW31" s="111" t="s">
        <v>100</v>
      </c>
      <c r="AX31" s="111" t="s">
        <v>112</v>
      </c>
      <c r="AY31" s="111" t="s">
        <v>2438</v>
      </c>
      <c r="AZ31" s="111" t="s">
        <v>2437</v>
      </c>
      <c r="BA31" s="111"/>
      <c r="BB31" s="111">
        <v>5</v>
      </c>
      <c r="BC31" s="111">
        <v>80</v>
      </c>
      <c r="BD31" s="111">
        <v>0.08</v>
      </c>
      <c r="BE31" s="111" t="s">
        <v>2436</v>
      </c>
      <c r="BF31" s="111"/>
      <c r="BG31" s="111">
        <v>3964</v>
      </c>
      <c r="BH31" s="77"/>
      <c r="BI31" s="77"/>
      <c r="BJ31" s="77"/>
      <c r="BK31" s="111">
        <v>400</v>
      </c>
      <c r="BL31" s="75">
        <f t="shared" si="0"/>
        <v>4364</v>
      </c>
      <c r="BM31" s="103">
        <f t="shared" si="1"/>
        <v>240.02</v>
      </c>
      <c r="BN31" s="103">
        <f t="shared" si="2"/>
        <v>4604.0200000000004</v>
      </c>
      <c r="BO31" s="111"/>
      <c r="BP31" s="111" t="s">
        <v>104</v>
      </c>
      <c r="BQ31" s="111"/>
      <c r="BR31" s="111"/>
      <c r="BS31" s="157">
        <v>2016</v>
      </c>
      <c r="BU31" t="s">
        <v>4180</v>
      </c>
    </row>
    <row r="32" spans="1:73" ht="43.15" customHeight="1" x14ac:dyDescent="0.25">
      <c r="A32" s="242" t="s">
        <v>1824</v>
      </c>
      <c r="B32" s="242" t="s">
        <v>2435</v>
      </c>
      <c r="C32" s="159">
        <v>800</v>
      </c>
      <c r="D32" s="114">
        <v>42450</v>
      </c>
      <c r="E32" s="114" t="s">
        <v>9</v>
      </c>
      <c r="F32" s="114" t="s">
        <v>2434</v>
      </c>
      <c r="G32" s="114" t="s">
        <v>9</v>
      </c>
      <c r="H32" s="114">
        <v>42502</v>
      </c>
      <c r="I32" s="114">
        <v>42502</v>
      </c>
      <c r="J32" s="114">
        <v>42520</v>
      </c>
      <c r="K32" s="76"/>
      <c r="L32" s="114">
        <v>42555</v>
      </c>
      <c r="M32" s="114">
        <v>42549</v>
      </c>
      <c r="N32" s="114" t="s">
        <v>2433</v>
      </c>
      <c r="O32" s="114">
        <v>42578</v>
      </c>
      <c r="P32" s="114">
        <v>42578</v>
      </c>
      <c r="Q32" s="114">
        <v>42579</v>
      </c>
      <c r="R32" s="81"/>
      <c r="S32" s="114"/>
      <c r="T32" s="75"/>
      <c r="U32" s="75"/>
      <c r="V32" s="75"/>
      <c r="W32" s="75">
        <v>4</v>
      </c>
      <c r="X32" s="75">
        <v>19518</v>
      </c>
      <c r="Y32" s="75" t="str">
        <f ca="1">IF(I32="",IF(D32="","",IF(W32+X32&lt;15,"Données Nb pers ou RFR manquantes",IF(COUNTA(INDIRECT("TabRFR["&amp;YEAR(D32)&amp;"]"))&lt;&gt;COUNTA(TabRFR[Recherche RFR]),"Data RFR manquantes", IF(X32&lt;=INDEX(TabRFR[[2021]:[2025]],MATCH(BD!W32&amp;"-Très modestes",TabRFR[Recherche RFR],0),MATCH(TEXT(YEAR(BD!D32),"Standard"),TabRFR[[#Headers],[2021]:[2025]],0)),"Très Modeste",IF(X32&lt;=INDEX(TabRFR[[2021]:[2025]],MATCH(BD!W32&amp;"-modestes",TabRFR[Recherche RFR],0),MATCH(TEXT(YEAR(BD!D32),"Standard"),TabRFR[[#Headers],[2021]:[2025]],0)),"Modeste",IF(X32&lt;=INDEX(TabRFR[[2021]:[2025]],MATCH(BD!W32&amp;"-Intermédiaire",TabRFR[Recherche RFR],0),MATCH(TEXT(YEAR(BD!D32),"Standard"),TabRFR[[#Headers],[2021]:[2025]],0)),"Intermédiaire","Supérieur")))))),IF(D32="","",IF(W32+X32&lt;15,"Données Nb pers ou RFR manquantes",IF(COUNTA(INDIRECT("TabRFR["&amp;YEAR(I32)&amp;"]"))&lt;&gt;COUNTA(TabRFR[Recherche RFR]),"Data RFR manquantes", IF(X32&lt;=INDEX(TabRFR[[2021]:[2025]],MATCH(BD!W32&amp;"-Très modestes",TabRFR[Recherche RFR],0),MATCH(TEXT(YEAR(BD!I32),"Standard"),TabRFR[[#Headers],[2021]:[2025]],0)),"Très Modeste",IF(X32&lt;=INDEX(TabRFR[[2021]:[2025]],MATCH(BD!W32&amp;"-modestes",TabRFR[Recherche RFR],0),MATCH(TEXT(YEAR(BD!I32),"Standard"),TabRFR[[#Headers],[2021]:[2025]],0)),"Modeste",IF(X32&lt;=INDEX(TabRFR[[2021]:[2025]],MATCH(BD!W32&amp;"-Intermédiaire",TabRFR[Recherche RFR],0),MATCH(TEXT(YEAR(BD!I32),"Standard"),TabRFR[[#Headers],[2021]:[2025]],0)),"Intermédiaire","Supérieur")))))))</f>
        <v>Data RFR manquantes</v>
      </c>
      <c r="Z32" s="75"/>
      <c r="AA32" s="75" t="s">
        <v>1066</v>
      </c>
      <c r="AB32" s="75">
        <v>38210</v>
      </c>
      <c r="AC32" s="75" t="s">
        <v>195</v>
      </c>
      <c r="AD32" s="101"/>
      <c r="AE32" s="102"/>
      <c r="AF32" s="75" t="s">
        <v>95</v>
      </c>
      <c r="AG32" s="75"/>
      <c r="AH32" s="75">
        <v>2006</v>
      </c>
      <c r="AI32" s="75"/>
      <c r="AJ32" s="75"/>
      <c r="AK32" s="75"/>
      <c r="AL32" s="75"/>
      <c r="AM32" s="75" t="s">
        <v>4233</v>
      </c>
      <c r="AN32" s="75" t="s">
        <v>829</v>
      </c>
      <c r="AO32" s="75" t="s">
        <v>325</v>
      </c>
      <c r="AP32" s="75" t="s">
        <v>97</v>
      </c>
      <c r="AQ32" s="75"/>
      <c r="AR32" s="75"/>
      <c r="AS32" s="102" t="s">
        <v>211</v>
      </c>
      <c r="AT32" s="101">
        <v>438019038</v>
      </c>
      <c r="AU32" s="75" t="s">
        <v>100</v>
      </c>
      <c r="AV32" s="75">
        <v>1980</v>
      </c>
      <c r="AW32" s="75" t="s">
        <v>100</v>
      </c>
      <c r="AX32" s="75" t="s">
        <v>112</v>
      </c>
      <c r="AY32" s="75" t="s">
        <v>2430</v>
      </c>
      <c r="AZ32" s="75" t="s">
        <v>1148</v>
      </c>
      <c r="BA32" s="75"/>
      <c r="BB32" s="75">
        <v>7</v>
      </c>
      <c r="BC32" s="75">
        <v>79</v>
      </c>
      <c r="BD32" s="75">
        <v>0.1</v>
      </c>
      <c r="BE32" s="75" t="s">
        <v>374</v>
      </c>
      <c r="BF32" s="75"/>
      <c r="BG32" s="75">
        <v>2465</v>
      </c>
      <c r="BH32" s="77"/>
      <c r="BI32" s="77"/>
      <c r="BJ32" s="77"/>
      <c r="BK32" s="75">
        <v>1517</v>
      </c>
      <c r="BL32" s="75">
        <f t="shared" si="0"/>
        <v>3982</v>
      </c>
      <c r="BM32" s="103">
        <f t="shared" si="1"/>
        <v>219.01</v>
      </c>
      <c r="BN32" s="103">
        <f t="shared" si="2"/>
        <v>4201.01</v>
      </c>
      <c r="BO32" s="103">
        <v>4000</v>
      </c>
      <c r="BP32" s="75" t="s">
        <v>97</v>
      </c>
      <c r="BQ32" s="75"/>
      <c r="BR32" s="75"/>
      <c r="BS32" s="157">
        <v>2016</v>
      </c>
      <c r="BT32">
        <v>2020</v>
      </c>
      <c r="BU32">
        <v>2016</v>
      </c>
    </row>
    <row r="33" spans="1:73" ht="43.15" customHeight="1" x14ac:dyDescent="0.25">
      <c r="A33" s="242" t="s">
        <v>1824</v>
      </c>
      <c r="B33" s="242" t="s">
        <v>2429</v>
      </c>
      <c r="C33" s="159">
        <v>400</v>
      </c>
      <c r="D33" s="114">
        <v>42451</v>
      </c>
      <c r="E33" s="114">
        <v>43791</v>
      </c>
      <c r="F33" s="114" t="s">
        <v>2428</v>
      </c>
      <c r="G33" s="114" t="s">
        <v>9</v>
      </c>
      <c r="H33" s="114">
        <v>42480</v>
      </c>
      <c r="I33" s="114">
        <v>42510</v>
      </c>
      <c r="J33" s="114">
        <v>42520</v>
      </c>
      <c r="K33" s="76"/>
      <c r="L33" s="114">
        <v>42534</v>
      </c>
      <c r="M33" s="114">
        <v>42461</v>
      </c>
      <c r="N33" s="114" t="s">
        <v>2427</v>
      </c>
      <c r="O33" s="114">
        <v>42544</v>
      </c>
      <c r="P33" s="114">
        <v>42562</v>
      </c>
      <c r="Q33" s="114">
        <v>42573</v>
      </c>
      <c r="R33" s="80"/>
      <c r="S33" s="114"/>
      <c r="T33" s="75"/>
      <c r="U33" s="75"/>
      <c r="V33" s="75"/>
      <c r="W33" s="75">
        <v>4</v>
      </c>
      <c r="X33" s="75">
        <v>168130</v>
      </c>
      <c r="Y33" s="75" t="str">
        <f ca="1">IF(I33="",IF(D33="","",IF(W33+X33&lt;15,"Données Nb pers ou RFR manquantes",IF(COUNTA(INDIRECT("TabRFR["&amp;YEAR(D33)&amp;"]"))&lt;&gt;COUNTA(TabRFR[Recherche RFR]),"Data RFR manquantes", IF(X33&lt;=INDEX(TabRFR[[2021]:[2025]],MATCH(BD!W33&amp;"-Très modestes",TabRFR[Recherche RFR],0),MATCH(TEXT(YEAR(BD!D33),"Standard"),TabRFR[[#Headers],[2021]:[2025]],0)),"Très Modeste",IF(X33&lt;=INDEX(TabRFR[[2021]:[2025]],MATCH(BD!W33&amp;"-modestes",TabRFR[Recherche RFR],0),MATCH(TEXT(YEAR(BD!D33),"Standard"),TabRFR[[#Headers],[2021]:[2025]],0)),"Modeste",IF(X33&lt;=INDEX(TabRFR[[2021]:[2025]],MATCH(BD!W33&amp;"-Intermédiaire",TabRFR[Recherche RFR],0),MATCH(TEXT(YEAR(BD!D33),"Standard"),TabRFR[[#Headers],[2021]:[2025]],0)),"Intermédiaire","Supérieur")))))),IF(D33="","",IF(W33+X33&lt;15,"Données Nb pers ou RFR manquantes",IF(COUNTA(INDIRECT("TabRFR["&amp;YEAR(I33)&amp;"]"))&lt;&gt;COUNTA(TabRFR[Recherche RFR]),"Data RFR manquantes", IF(X33&lt;=INDEX(TabRFR[[2021]:[2025]],MATCH(BD!W33&amp;"-Très modestes",TabRFR[Recherche RFR],0),MATCH(TEXT(YEAR(BD!I33),"Standard"),TabRFR[[#Headers],[2021]:[2025]],0)),"Très Modeste",IF(X33&lt;=INDEX(TabRFR[[2021]:[2025]],MATCH(BD!W33&amp;"-modestes",TabRFR[Recherche RFR],0),MATCH(TEXT(YEAR(BD!I33),"Standard"),TabRFR[[#Headers],[2021]:[2025]],0)),"Modeste",IF(X33&lt;=INDEX(TabRFR[[2021]:[2025]],MATCH(BD!W33&amp;"-Intermédiaire",TabRFR[Recherche RFR],0),MATCH(TEXT(YEAR(BD!I33),"Standard"),TabRFR[[#Headers],[2021]:[2025]],0)),"Intermédiaire","Supérieur")))))))</f>
        <v>Data RFR manquantes</v>
      </c>
      <c r="Z33" s="75"/>
      <c r="AA33" s="75" t="s">
        <v>2424</v>
      </c>
      <c r="AB33" s="75">
        <v>38210</v>
      </c>
      <c r="AC33" s="75" t="s">
        <v>445</v>
      </c>
      <c r="AD33" s="101"/>
      <c r="AE33" s="102"/>
      <c r="AF33" s="75" t="s">
        <v>95</v>
      </c>
      <c r="AG33" s="75"/>
      <c r="AH33" s="75"/>
      <c r="AI33" s="75"/>
      <c r="AJ33" s="75"/>
      <c r="AK33" s="75"/>
      <c r="AL33" s="75"/>
      <c r="AM33" s="75" t="s">
        <v>4233</v>
      </c>
      <c r="AN33" s="75" t="s">
        <v>829</v>
      </c>
      <c r="AO33" s="75" t="s">
        <v>325</v>
      </c>
      <c r="AP33" s="75" t="s">
        <v>97</v>
      </c>
      <c r="AQ33" s="75"/>
      <c r="AR33" s="75"/>
      <c r="AS33" s="102" t="s">
        <v>211</v>
      </c>
      <c r="AT33" s="101">
        <v>438019038</v>
      </c>
      <c r="AU33" s="75" t="s">
        <v>399</v>
      </c>
      <c r="AV33" s="75">
        <v>1990</v>
      </c>
      <c r="AW33" s="75" t="s">
        <v>100</v>
      </c>
      <c r="AX33" s="75" t="s">
        <v>112</v>
      </c>
      <c r="AY33" s="75" t="s">
        <v>2046</v>
      </c>
      <c r="AZ33" s="75">
        <v>810</v>
      </c>
      <c r="BA33" s="75">
        <v>20</v>
      </c>
      <c r="BB33" s="75">
        <v>4.2</v>
      </c>
      <c r="BC33" s="75">
        <v>82</v>
      </c>
      <c r="BD33" s="75">
        <v>7.0000000000000007E-2</v>
      </c>
      <c r="BE33" s="75" t="s">
        <v>97</v>
      </c>
      <c r="BF33" s="75"/>
      <c r="BG33" s="75">
        <v>1990</v>
      </c>
      <c r="BH33" s="77"/>
      <c r="BI33" s="77"/>
      <c r="BJ33" s="77"/>
      <c r="BK33" s="75">
        <v>666</v>
      </c>
      <c r="BL33" s="75">
        <f t="shared" si="0"/>
        <v>2656</v>
      </c>
      <c r="BM33" s="103">
        <f t="shared" si="1"/>
        <v>146.08000000000001</v>
      </c>
      <c r="BN33" s="103">
        <f t="shared" si="2"/>
        <v>2802.08</v>
      </c>
      <c r="BO33" s="103">
        <v>2800</v>
      </c>
      <c r="BP33" s="75" t="s">
        <v>97</v>
      </c>
      <c r="BQ33" s="75"/>
      <c r="BR33" s="75"/>
      <c r="BS33" s="157">
        <v>2016</v>
      </c>
      <c r="BT33">
        <v>2020</v>
      </c>
      <c r="BU33">
        <v>2016</v>
      </c>
    </row>
    <row r="34" spans="1:73" ht="43.15" customHeight="1" x14ac:dyDescent="0.25">
      <c r="A34" s="242" t="s">
        <v>1824</v>
      </c>
      <c r="B34" s="242" t="s">
        <v>2422</v>
      </c>
      <c r="C34" s="159">
        <v>400</v>
      </c>
      <c r="D34" s="114">
        <v>42452</v>
      </c>
      <c r="E34" s="114" t="s">
        <v>9</v>
      </c>
      <c r="F34" s="114" t="s">
        <v>9</v>
      </c>
      <c r="G34" s="114" t="s">
        <v>9</v>
      </c>
      <c r="H34" s="114">
        <v>42473</v>
      </c>
      <c r="I34" s="114">
        <v>42473</v>
      </c>
      <c r="J34" s="114">
        <v>42489</v>
      </c>
      <c r="K34" s="76"/>
      <c r="L34" s="114">
        <v>42737</v>
      </c>
      <c r="M34" s="114">
        <v>42700</v>
      </c>
      <c r="N34" s="114"/>
      <c r="O34" s="114">
        <v>42741</v>
      </c>
      <c r="P34" s="114">
        <v>42741</v>
      </c>
      <c r="Q34" s="114">
        <v>42747</v>
      </c>
      <c r="R34" s="80"/>
      <c r="S34" s="114"/>
      <c r="T34" s="75"/>
      <c r="U34" s="75"/>
      <c r="V34" s="75"/>
      <c r="W34" s="75">
        <v>3</v>
      </c>
      <c r="X34" s="75">
        <v>42278</v>
      </c>
      <c r="Y34" s="75" t="str">
        <f ca="1">IF(I34="",IF(D34="","",IF(W34+X34&lt;15,"Données Nb pers ou RFR manquantes",IF(COUNTA(INDIRECT("TabRFR["&amp;YEAR(D34)&amp;"]"))&lt;&gt;COUNTA(TabRFR[Recherche RFR]),"Data RFR manquantes", IF(X34&lt;=INDEX(TabRFR[[2021]:[2025]],MATCH(BD!W34&amp;"-Très modestes",TabRFR[Recherche RFR],0),MATCH(TEXT(YEAR(BD!D34),"Standard"),TabRFR[[#Headers],[2021]:[2025]],0)),"Très Modeste",IF(X34&lt;=INDEX(TabRFR[[2021]:[2025]],MATCH(BD!W34&amp;"-modestes",TabRFR[Recherche RFR],0),MATCH(TEXT(YEAR(BD!D34),"Standard"),TabRFR[[#Headers],[2021]:[2025]],0)),"Modeste",IF(X34&lt;=INDEX(TabRFR[[2021]:[2025]],MATCH(BD!W34&amp;"-Intermédiaire",TabRFR[Recherche RFR],0),MATCH(TEXT(YEAR(BD!D34),"Standard"),TabRFR[[#Headers],[2021]:[2025]],0)),"Intermédiaire","Supérieur")))))),IF(D34="","",IF(W34+X34&lt;15,"Données Nb pers ou RFR manquantes",IF(COUNTA(INDIRECT("TabRFR["&amp;YEAR(I34)&amp;"]"))&lt;&gt;COUNTA(TabRFR[Recherche RFR]),"Data RFR manquantes", IF(X34&lt;=INDEX(TabRFR[[2021]:[2025]],MATCH(BD!W34&amp;"-Très modestes",TabRFR[Recherche RFR],0),MATCH(TEXT(YEAR(BD!I34),"Standard"),TabRFR[[#Headers],[2021]:[2025]],0)),"Très Modeste",IF(X34&lt;=INDEX(TabRFR[[2021]:[2025]],MATCH(BD!W34&amp;"-modestes",TabRFR[Recherche RFR],0),MATCH(TEXT(YEAR(BD!I34),"Standard"),TabRFR[[#Headers],[2021]:[2025]],0)),"Modeste",IF(X34&lt;=INDEX(TabRFR[[2021]:[2025]],MATCH(BD!W34&amp;"-Intermédiaire",TabRFR[Recherche RFR],0),MATCH(TEXT(YEAR(BD!I34),"Standard"),TabRFR[[#Headers],[2021]:[2025]],0)),"Intermédiaire","Supérieur")))))))</f>
        <v>Data RFR manquantes</v>
      </c>
      <c r="Z34" s="75"/>
      <c r="AA34" s="75" t="s">
        <v>2420</v>
      </c>
      <c r="AB34" s="75">
        <v>38340</v>
      </c>
      <c r="AC34" s="75" t="s">
        <v>108</v>
      </c>
      <c r="AD34" s="101"/>
      <c r="AE34" s="102"/>
      <c r="AF34" s="75" t="s">
        <v>95</v>
      </c>
      <c r="AG34" s="75"/>
      <c r="AH34" s="75">
        <v>1998</v>
      </c>
      <c r="AI34" s="75"/>
      <c r="AJ34" s="75"/>
      <c r="AK34" s="75"/>
      <c r="AL34" s="75"/>
      <c r="AM34" s="75" t="s">
        <v>4035</v>
      </c>
      <c r="AN34" s="75" t="s">
        <v>108</v>
      </c>
      <c r="AO34" s="75" t="s">
        <v>1392</v>
      </c>
      <c r="AP34" s="75" t="s">
        <v>97</v>
      </c>
      <c r="AQ34" s="75"/>
      <c r="AR34" s="75"/>
      <c r="AS34" s="102" t="s">
        <v>110</v>
      </c>
      <c r="AT34" s="101">
        <v>476500550</v>
      </c>
      <c r="AU34" s="75" t="s">
        <v>430</v>
      </c>
      <c r="AV34" s="75">
        <v>1990</v>
      </c>
      <c r="AW34" s="75" t="s">
        <v>100</v>
      </c>
      <c r="AX34" s="75" t="s">
        <v>112</v>
      </c>
      <c r="AY34" s="75" t="s">
        <v>1958</v>
      </c>
      <c r="AZ34" s="75" t="s">
        <v>2418</v>
      </c>
      <c r="BA34" s="75">
        <v>26</v>
      </c>
      <c r="BB34" s="75">
        <v>8</v>
      </c>
      <c r="BC34" s="75">
        <v>78</v>
      </c>
      <c r="BD34" s="75">
        <v>0.09</v>
      </c>
      <c r="BE34" s="75" t="s">
        <v>97</v>
      </c>
      <c r="BF34" s="75"/>
      <c r="BG34" s="75">
        <v>2333</v>
      </c>
      <c r="BH34" s="77"/>
      <c r="BI34" s="77"/>
      <c r="BJ34" s="77"/>
      <c r="BK34" s="75">
        <v>1170</v>
      </c>
      <c r="BL34" s="75">
        <f t="shared" si="0"/>
        <v>3503</v>
      </c>
      <c r="BM34" s="103">
        <f t="shared" si="1"/>
        <v>192.66499999999999</v>
      </c>
      <c r="BN34" s="103">
        <f t="shared" si="2"/>
        <v>3695.665</v>
      </c>
      <c r="BO34" s="103"/>
      <c r="BP34" s="75" t="s">
        <v>97</v>
      </c>
      <c r="BQ34" s="75"/>
      <c r="BR34" s="75"/>
      <c r="BS34" s="157">
        <v>2016</v>
      </c>
      <c r="BT34">
        <v>2020</v>
      </c>
      <c r="BU34">
        <v>2016</v>
      </c>
    </row>
    <row r="35" spans="1:73" ht="43.15" customHeight="1" x14ac:dyDescent="0.25">
      <c r="A35" s="242" t="s">
        <v>1824</v>
      </c>
      <c r="B35" s="242" t="s">
        <v>2417</v>
      </c>
      <c r="C35" s="159">
        <v>400</v>
      </c>
      <c r="D35" s="114">
        <v>42458</v>
      </c>
      <c r="E35" s="114" t="s">
        <v>9</v>
      </c>
      <c r="F35" s="114" t="s">
        <v>9</v>
      </c>
      <c r="G35" s="114" t="s">
        <v>9</v>
      </c>
      <c r="H35" s="114">
        <v>42473</v>
      </c>
      <c r="I35" s="114">
        <v>42473</v>
      </c>
      <c r="J35" s="114">
        <v>42507</v>
      </c>
      <c r="K35" s="76"/>
      <c r="L35" s="114">
        <v>42583</v>
      </c>
      <c r="M35" s="114">
        <v>42520</v>
      </c>
      <c r="N35" s="114"/>
      <c r="O35" s="114">
        <v>42598</v>
      </c>
      <c r="P35" s="114">
        <v>42598</v>
      </c>
      <c r="Q35" s="114">
        <v>42622</v>
      </c>
      <c r="R35" s="80"/>
      <c r="S35" s="114"/>
      <c r="T35" s="75"/>
      <c r="U35" s="75"/>
      <c r="V35" s="75"/>
      <c r="W35" s="75">
        <v>2</v>
      </c>
      <c r="X35" s="75">
        <v>32195</v>
      </c>
      <c r="Y35" s="75" t="str">
        <f ca="1">IF(I35="",IF(D35="","",IF(W35+X35&lt;15,"Données Nb pers ou RFR manquantes",IF(COUNTA(INDIRECT("TabRFR["&amp;YEAR(D35)&amp;"]"))&lt;&gt;COUNTA(TabRFR[Recherche RFR]),"Data RFR manquantes", IF(X35&lt;=INDEX(TabRFR[[2021]:[2025]],MATCH(BD!W35&amp;"-Très modestes",TabRFR[Recherche RFR],0),MATCH(TEXT(YEAR(BD!D35),"Standard"),TabRFR[[#Headers],[2021]:[2025]],0)),"Très Modeste",IF(X35&lt;=INDEX(TabRFR[[2021]:[2025]],MATCH(BD!W35&amp;"-modestes",TabRFR[Recherche RFR],0),MATCH(TEXT(YEAR(BD!D35),"Standard"),TabRFR[[#Headers],[2021]:[2025]],0)),"Modeste",IF(X35&lt;=INDEX(TabRFR[[2021]:[2025]],MATCH(BD!W35&amp;"-Intermédiaire",TabRFR[Recherche RFR],0),MATCH(TEXT(YEAR(BD!D35),"Standard"),TabRFR[[#Headers],[2021]:[2025]],0)),"Intermédiaire","Supérieur")))))),IF(D35="","",IF(W35+X35&lt;15,"Données Nb pers ou RFR manquantes",IF(COUNTA(INDIRECT("TabRFR["&amp;YEAR(I35)&amp;"]"))&lt;&gt;COUNTA(TabRFR[Recherche RFR]),"Data RFR manquantes", IF(X35&lt;=INDEX(TabRFR[[2021]:[2025]],MATCH(BD!W35&amp;"-Très modestes",TabRFR[Recherche RFR],0),MATCH(TEXT(YEAR(BD!I35),"Standard"),TabRFR[[#Headers],[2021]:[2025]],0)),"Très Modeste",IF(X35&lt;=INDEX(TabRFR[[2021]:[2025]],MATCH(BD!W35&amp;"-modestes",TabRFR[Recherche RFR],0),MATCH(TEXT(YEAR(BD!I35),"Standard"),TabRFR[[#Headers],[2021]:[2025]],0)),"Modeste",IF(X35&lt;=INDEX(TabRFR[[2021]:[2025]],MATCH(BD!W35&amp;"-Intermédiaire",TabRFR[Recherche RFR],0),MATCH(TEXT(YEAR(BD!I35),"Standard"),TabRFR[[#Headers],[2021]:[2025]],0)),"Intermédiaire","Supérieur")))))))</f>
        <v>Data RFR manquantes</v>
      </c>
      <c r="Z35" s="75"/>
      <c r="AA35" s="75" t="s">
        <v>2415</v>
      </c>
      <c r="AB35" s="75">
        <v>38340</v>
      </c>
      <c r="AC35" s="75" t="s">
        <v>108</v>
      </c>
      <c r="AD35" s="101"/>
      <c r="AE35" s="102"/>
      <c r="AF35" s="75" t="s">
        <v>95</v>
      </c>
      <c r="AG35" s="75"/>
      <c r="AH35" s="75">
        <v>1981</v>
      </c>
      <c r="AI35" s="75"/>
      <c r="AJ35" s="75"/>
      <c r="AK35" s="75"/>
      <c r="AL35" s="75"/>
      <c r="AM35" s="75" t="s">
        <v>4350</v>
      </c>
      <c r="AN35" s="75" t="s">
        <v>3333</v>
      </c>
      <c r="AO35" s="75" t="s">
        <v>2239</v>
      </c>
      <c r="AP35" s="75" t="s">
        <v>97</v>
      </c>
      <c r="AQ35" s="75"/>
      <c r="AR35" s="75"/>
      <c r="AS35" s="102" t="s">
        <v>962</v>
      </c>
      <c r="AT35" s="101">
        <v>476251477</v>
      </c>
      <c r="AU35" s="75" t="s">
        <v>399</v>
      </c>
      <c r="AV35" s="75">
        <v>1987</v>
      </c>
      <c r="AW35" s="75" t="s">
        <v>111</v>
      </c>
      <c r="AX35" s="75" t="s">
        <v>112</v>
      </c>
      <c r="AY35" s="75" t="s">
        <v>2370</v>
      </c>
      <c r="AZ35" s="75" t="s">
        <v>2237</v>
      </c>
      <c r="BA35" s="75">
        <v>32</v>
      </c>
      <c r="BB35" s="75">
        <v>11</v>
      </c>
      <c r="BC35" s="75">
        <v>75</v>
      </c>
      <c r="BD35" s="75">
        <v>0.09</v>
      </c>
      <c r="BE35" s="75" t="s">
        <v>97</v>
      </c>
      <c r="BF35" s="75"/>
      <c r="BG35" s="75">
        <v>2604</v>
      </c>
      <c r="BH35" s="77"/>
      <c r="BI35" s="77"/>
      <c r="BJ35" s="77"/>
      <c r="BK35" s="75">
        <v>1400</v>
      </c>
      <c r="BL35" s="75">
        <f t="shared" si="0"/>
        <v>4004</v>
      </c>
      <c r="BM35" s="103">
        <f t="shared" si="1"/>
        <v>220.22</v>
      </c>
      <c r="BN35" s="103">
        <f t="shared" si="2"/>
        <v>4224.22</v>
      </c>
      <c r="BO35" s="103">
        <v>7800.95</v>
      </c>
      <c r="BP35" s="75" t="s">
        <v>104</v>
      </c>
      <c r="BQ35" s="75"/>
      <c r="BR35" s="75"/>
      <c r="BS35" s="157">
        <v>2016</v>
      </c>
      <c r="BT35">
        <v>2020</v>
      </c>
      <c r="BU35">
        <v>2016</v>
      </c>
    </row>
    <row r="36" spans="1:73" ht="43.15" customHeight="1" x14ac:dyDescent="0.25">
      <c r="A36" s="242" t="s">
        <v>1824</v>
      </c>
      <c r="B36" s="242" t="s">
        <v>2413</v>
      </c>
      <c r="C36" s="159">
        <v>400</v>
      </c>
      <c r="D36" s="114">
        <v>42459</v>
      </c>
      <c r="E36" s="114" t="s">
        <v>9</v>
      </c>
      <c r="F36" s="114" t="s">
        <v>2412</v>
      </c>
      <c r="G36" s="114">
        <v>42492</v>
      </c>
      <c r="H36" s="114">
        <v>42492</v>
      </c>
      <c r="I36" s="114">
        <v>42500</v>
      </c>
      <c r="J36" s="114">
        <v>42507</v>
      </c>
      <c r="K36" s="76"/>
      <c r="L36" s="114">
        <v>42569</v>
      </c>
      <c r="M36" s="114">
        <v>42556</v>
      </c>
      <c r="N36" s="114"/>
      <c r="O36" s="114">
        <v>42517</v>
      </c>
      <c r="P36" s="114">
        <v>42517</v>
      </c>
      <c r="Q36" s="114">
        <v>42579</v>
      </c>
      <c r="R36" s="80"/>
      <c r="S36" s="114"/>
      <c r="T36" s="75"/>
      <c r="U36" s="75"/>
      <c r="V36" s="75"/>
      <c r="W36" s="75" t="s">
        <v>2402</v>
      </c>
      <c r="X36" s="75" t="s">
        <v>2402</v>
      </c>
      <c r="Y36" s="75" t="e">
        <f ca="1">IF(I36="",IF(D36="","",IF(W36+X36&lt;15,"Données Nb pers ou RFR manquantes",IF(COUNTA(INDIRECT("TabRFR["&amp;YEAR(D36)&amp;"]"))&lt;&gt;COUNTA(TabRFR[Recherche RFR]),"Data RFR manquantes", IF(X36&lt;=INDEX(TabRFR[[2021]:[2025]],MATCH(BD!W36&amp;"-Très modestes",TabRFR[Recherche RFR],0),MATCH(TEXT(YEAR(BD!D36),"Standard"),TabRFR[[#Headers],[2021]:[2025]],0)),"Très Modeste",IF(X36&lt;=INDEX(TabRFR[[2021]:[2025]],MATCH(BD!W36&amp;"-modestes",TabRFR[Recherche RFR],0),MATCH(TEXT(YEAR(BD!D36),"Standard"),TabRFR[[#Headers],[2021]:[2025]],0)),"Modeste",IF(X36&lt;=INDEX(TabRFR[[2021]:[2025]],MATCH(BD!W36&amp;"-Intermédiaire",TabRFR[Recherche RFR],0),MATCH(TEXT(YEAR(BD!D36),"Standard"),TabRFR[[#Headers],[2021]:[2025]],0)),"Intermédiaire","Supérieur")))))),IF(D36="","",IF(W36+X36&lt;15,"Données Nb pers ou RFR manquantes",IF(COUNTA(INDIRECT("TabRFR["&amp;YEAR(I36)&amp;"]"))&lt;&gt;COUNTA(TabRFR[Recherche RFR]),"Data RFR manquantes", IF(X36&lt;=INDEX(TabRFR[[2021]:[2025]],MATCH(BD!W36&amp;"-Très modestes",TabRFR[Recherche RFR],0),MATCH(TEXT(YEAR(BD!I36),"Standard"),TabRFR[[#Headers],[2021]:[2025]],0)),"Très Modeste",IF(X36&lt;=INDEX(TabRFR[[2021]:[2025]],MATCH(BD!W36&amp;"-modestes",TabRFR[Recherche RFR],0),MATCH(TEXT(YEAR(BD!I36),"Standard"),TabRFR[[#Headers],[2021]:[2025]],0)),"Modeste",IF(X36&lt;=INDEX(TabRFR[[2021]:[2025]],MATCH(BD!W36&amp;"-Intermédiaire",TabRFR[Recherche RFR],0),MATCH(TEXT(YEAR(BD!I36),"Standard"),TabRFR[[#Headers],[2021]:[2025]],0)),"Intermédiaire","Supérieur")))))))</f>
        <v>#VALUE!</v>
      </c>
      <c r="Z36" s="75"/>
      <c r="AA36" s="75" t="s">
        <v>2409</v>
      </c>
      <c r="AB36" s="75">
        <v>38140</v>
      </c>
      <c r="AC36" s="75" t="s">
        <v>2357</v>
      </c>
      <c r="AD36" s="101"/>
      <c r="AE36" s="102"/>
      <c r="AF36" s="75" t="s">
        <v>95</v>
      </c>
      <c r="AG36" s="75"/>
      <c r="AH36" s="75"/>
      <c r="AI36" s="75"/>
      <c r="AJ36" s="75"/>
      <c r="AK36" s="75"/>
      <c r="AL36" s="75"/>
      <c r="AM36" s="75" t="s">
        <v>4236</v>
      </c>
      <c r="AN36" s="75" t="s">
        <v>4091</v>
      </c>
      <c r="AO36" s="75" t="s">
        <v>163</v>
      </c>
      <c r="AP36" s="75" t="s">
        <v>97</v>
      </c>
      <c r="AQ36" s="75"/>
      <c r="AR36" s="75"/>
      <c r="AS36" s="102" t="s">
        <v>164</v>
      </c>
      <c r="AT36" s="101">
        <v>476370350</v>
      </c>
      <c r="AU36" s="75" t="s">
        <v>111</v>
      </c>
      <c r="AV36" s="75" t="s">
        <v>2402</v>
      </c>
      <c r="AW36" s="75" t="s">
        <v>100</v>
      </c>
      <c r="AX36" s="75" t="s">
        <v>2071</v>
      </c>
      <c r="AY36" s="75" t="s">
        <v>1883</v>
      </c>
      <c r="AZ36" s="75" t="s">
        <v>2402</v>
      </c>
      <c r="BA36" s="75"/>
      <c r="BB36" s="75"/>
      <c r="BC36" s="75"/>
      <c r="BD36" s="75"/>
      <c r="BE36" s="75" t="s">
        <v>2402</v>
      </c>
      <c r="BF36" s="75"/>
      <c r="BG36" s="75">
        <v>2990</v>
      </c>
      <c r="BH36" s="77"/>
      <c r="BI36" s="77"/>
      <c r="BJ36" s="77"/>
      <c r="BK36" s="75">
        <v>590</v>
      </c>
      <c r="BL36" s="75">
        <f t="shared" si="0"/>
        <v>3580</v>
      </c>
      <c r="BM36" s="103">
        <f t="shared" si="1"/>
        <v>196.9</v>
      </c>
      <c r="BN36" s="103">
        <f t="shared" si="2"/>
        <v>3776.9</v>
      </c>
      <c r="BO36" s="103">
        <v>4660.99</v>
      </c>
      <c r="BP36" s="75" t="s">
        <v>97</v>
      </c>
      <c r="BQ36" s="75"/>
      <c r="BR36" s="75"/>
      <c r="BS36" s="157">
        <v>2016</v>
      </c>
      <c r="BU36">
        <v>2016</v>
      </c>
    </row>
    <row r="37" spans="1:73" ht="43.15" customHeight="1" x14ac:dyDescent="0.25">
      <c r="A37" s="242" t="s">
        <v>1824</v>
      </c>
      <c r="B37" s="242" t="s">
        <v>2407</v>
      </c>
      <c r="C37" s="159">
        <v>400</v>
      </c>
      <c r="D37" s="114">
        <v>42465</v>
      </c>
      <c r="E37" s="114" t="s">
        <v>9</v>
      </c>
      <c r="F37" s="114" t="s">
        <v>9</v>
      </c>
      <c r="G37" s="114" t="s">
        <v>9</v>
      </c>
      <c r="H37" s="114">
        <v>42475</v>
      </c>
      <c r="I37" s="114">
        <v>42475</v>
      </c>
      <c r="J37" s="114">
        <v>42489</v>
      </c>
      <c r="K37" s="76"/>
      <c r="L37" s="114">
        <v>42520</v>
      </c>
      <c r="M37" s="114">
        <v>42479</v>
      </c>
      <c r="N37" s="114"/>
      <c r="O37" s="114">
        <v>42528</v>
      </c>
      <c r="P37" s="114">
        <v>42528</v>
      </c>
      <c r="Q37" s="114">
        <v>42549</v>
      </c>
      <c r="R37" s="80"/>
      <c r="S37" s="114"/>
      <c r="T37" s="75"/>
      <c r="U37" s="75"/>
      <c r="V37" s="75"/>
      <c r="W37" s="75">
        <v>2</v>
      </c>
      <c r="X37" s="75">
        <v>33562</v>
      </c>
      <c r="Y37" s="75" t="str">
        <f ca="1">IF(I37="",IF(D37="","",IF(W37+X37&lt;15,"Données Nb pers ou RFR manquantes",IF(COUNTA(INDIRECT("TabRFR["&amp;YEAR(D37)&amp;"]"))&lt;&gt;COUNTA(TabRFR[Recherche RFR]),"Data RFR manquantes", IF(X37&lt;=INDEX(TabRFR[[2021]:[2025]],MATCH(BD!W37&amp;"-Très modestes",TabRFR[Recherche RFR],0),MATCH(TEXT(YEAR(BD!D37),"Standard"),TabRFR[[#Headers],[2021]:[2025]],0)),"Très Modeste",IF(X37&lt;=INDEX(TabRFR[[2021]:[2025]],MATCH(BD!W37&amp;"-modestes",TabRFR[Recherche RFR],0),MATCH(TEXT(YEAR(BD!D37),"Standard"),TabRFR[[#Headers],[2021]:[2025]],0)),"Modeste",IF(X37&lt;=INDEX(TabRFR[[2021]:[2025]],MATCH(BD!W37&amp;"-Intermédiaire",TabRFR[Recherche RFR],0),MATCH(TEXT(YEAR(BD!D37),"Standard"),TabRFR[[#Headers],[2021]:[2025]],0)),"Intermédiaire","Supérieur")))))),IF(D37="","",IF(W37+X37&lt;15,"Données Nb pers ou RFR manquantes",IF(COUNTA(INDIRECT("TabRFR["&amp;YEAR(I37)&amp;"]"))&lt;&gt;COUNTA(TabRFR[Recherche RFR]),"Data RFR manquantes", IF(X37&lt;=INDEX(TabRFR[[2021]:[2025]],MATCH(BD!W37&amp;"-Très modestes",TabRFR[Recherche RFR],0),MATCH(TEXT(YEAR(BD!I37),"Standard"),TabRFR[[#Headers],[2021]:[2025]],0)),"Très Modeste",IF(X37&lt;=INDEX(TabRFR[[2021]:[2025]],MATCH(BD!W37&amp;"-modestes",TabRFR[Recherche RFR],0),MATCH(TEXT(YEAR(BD!I37),"Standard"),TabRFR[[#Headers],[2021]:[2025]],0)),"Modeste",IF(X37&lt;=INDEX(TabRFR[[2021]:[2025]],MATCH(BD!W37&amp;"-Intermédiaire",TabRFR[Recherche RFR],0),MATCH(TEXT(YEAR(BD!I37),"Standard"),TabRFR[[#Headers],[2021]:[2025]],0)),"Intermédiaire","Supérieur")))))))</f>
        <v>Data RFR manquantes</v>
      </c>
      <c r="Z37" s="75"/>
      <c r="AA37" s="75" t="s">
        <v>2404</v>
      </c>
      <c r="AB37" s="75">
        <v>38690</v>
      </c>
      <c r="AC37" s="75" t="s">
        <v>2403</v>
      </c>
      <c r="AD37" s="101"/>
      <c r="AE37" s="102"/>
      <c r="AF37" s="75" t="s">
        <v>95</v>
      </c>
      <c r="AG37" s="75"/>
      <c r="AH37" s="75">
        <v>1999</v>
      </c>
      <c r="AI37" s="75"/>
      <c r="AJ37" s="75"/>
      <c r="AK37" s="75"/>
      <c r="AL37" s="75"/>
      <c r="AM37" s="75" t="s">
        <v>3973</v>
      </c>
      <c r="AN37" s="75" t="s">
        <v>96</v>
      </c>
      <c r="AO37" s="75" t="s">
        <v>789</v>
      </c>
      <c r="AP37" s="75" t="s">
        <v>97</v>
      </c>
      <c r="AQ37" s="75"/>
      <c r="AR37" s="75"/>
      <c r="AS37" s="102" t="s">
        <v>141</v>
      </c>
      <c r="AT37" s="101">
        <v>476069938</v>
      </c>
      <c r="AU37" s="75" t="s">
        <v>111</v>
      </c>
      <c r="AV37" s="75" t="s">
        <v>2402</v>
      </c>
      <c r="AW37" s="75" t="s">
        <v>100</v>
      </c>
      <c r="AX37" s="75" t="s">
        <v>2071</v>
      </c>
      <c r="AY37" s="75" t="s">
        <v>1883</v>
      </c>
      <c r="AZ37" s="75" t="s">
        <v>1926</v>
      </c>
      <c r="BA37" s="75">
        <v>8</v>
      </c>
      <c r="BB37" s="75">
        <v>9</v>
      </c>
      <c r="BC37" s="75">
        <v>92</v>
      </c>
      <c r="BD37" s="75">
        <v>0.01</v>
      </c>
      <c r="BE37" s="75" t="s">
        <v>97</v>
      </c>
      <c r="BF37" s="75"/>
      <c r="BG37" s="75">
        <v>4165</v>
      </c>
      <c r="BH37" s="77"/>
      <c r="BI37" s="77"/>
      <c r="BJ37" s="77"/>
      <c r="BK37" s="75">
        <v>490</v>
      </c>
      <c r="BL37" s="75">
        <f t="shared" si="0"/>
        <v>4655</v>
      </c>
      <c r="BM37" s="103">
        <f t="shared" si="1"/>
        <v>256.02499999999998</v>
      </c>
      <c r="BN37" s="103">
        <f t="shared" si="2"/>
        <v>4911.0249999999996</v>
      </c>
      <c r="BO37" s="103">
        <v>4999.8599999999997</v>
      </c>
      <c r="BP37" s="75" t="s">
        <v>97</v>
      </c>
      <c r="BQ37" s="75"/>
      <c r="BR37" s="75"/>
      <c r="BS37" s="157">
        <v>2016</v>
      </c>
      <c r="BU37">
        <v>2016</v>
      </c>
    </row>
    <row r="38" spans="1:73" ht="43.15" customHeight="1" x14ac:dyDescent="0.25">
      <c r="A38" s="242" t="s">
        <v>1824</v>
      </c>
      <c r="B38" s="242" t="s">
        <v>2401</v>
      </c>
      <c r="C38" s="159">
        <v>400</v>
      </c>
      <c r="D38" s="114">
        <v>42467</v>
      </c>
      <c r="E38" s="114" t="s">
        <v>9</v>
      </c>
      <c r="F38" s="114" t="s">
        <v>9</v>
      </c>
      <c r="G38" s="114" t="s">
        <v>9</v>
      </c>
      <c r="H38" s="114">
        <v>42475</v>
      </c>
      <c r="I38" s="114">
        <v>42475</v>
      </c>
      <c r="J38" s="114">
        <v>42489</v>
      </c>
      <c r="K38" s="76"/>
      <c r="L38" s="114">
        <v>42524</v>
      </c>
      <c r="M38" s="114">
        <v>42501</v>
      </c>
      <c r="N38" s="114"/>
      <c r="O38" s="114">
        <v>42528</v>
      </c>
      <c r="P38" s="114">
        <v>42528</v>
      </c>
      <c r="Q38" s="114">
        <v>42549</v>
      </c>
      <c r="R38" s="80"/>
      <c r="S38" s="114"/>
      <c r="T38" s="75"/>
      <c r="U38" s="75"/>
      <c r="V38" s="75"/>
      <c r="W38" s="75">
        <v>3</v>
      </c>
      <c r="X38" s="75">
        <v>72663</v>
      </c>
      <c r="Y38" s="75" t="str">
        <f ca="1">IF(I38="",IF(D38="","",IF(W38+X38&lt;15,"Données Nb pers ou RFR manquantes",IF(COUNTA(INDIRECT("TabRFR["&amp;YEAR(D38)&amp;"]"))&lt;&gt;COUNTA(TabRFR[Recherche RFR]),"Data RFR manquantes", IF(X38&lt;=INDEX(TabRFR[[2021]:[2025]],MATCH(BD!W38&amp;"-Très modestes",TabRFR[Recherche RFR],0),MATCH(TEXT(YEAR(BD!D38),"Standard"),TabRFR[[#Headers],[2021]:[2025]],0)),"Très Modeste",IF(X38&lt;=INDEX(TabRFR[[2021]:[2025]],MATCH(BD!W38&amp;"-modestes",TabRFR[Recherche RFR],0),MATCH(TEXT(YEAR(BD!D38),"Standard"),TabRFR[[#Headers],[2021]:[2025]],0)),"Modeste",IF(X38&lt;=INDEX(TabRFR[[2021]:[2025]],MATCH(BD!W38&amp;"-Intermédiaire",TabRFR[Recherche RFR],0),MATCH(TEXT(YEAR(BD!D38),"Standard"),TabRFR[[#Headers],[2021]:[2025]],0)),"Intermédiaire","Supérieur")))))),IF(D38="","",IF(W38+X38&lt;15,"Données Nb pers ou RFR manquantes",IF(COUNTA(INDIRECT("TabRFR["&amp;YEAR(I38)&amp;"]"))&lt;&gt;COUNTA(TabRFR[Recherche RFR]),"Data RFR manquantes", IF(X38&lt;=INDEX(TabRFR[[2021]:[2025]],MATCH(BD!W38&amp;"-Très modestes",TabRFR[Recherche RFR],0),MATCH(TEXT(YEAR(BD!I38),"Standard"),TabRFR[[#Headers],[2021]:[2025]],0)),"Très Modeste",IF(X38&lt;=INDEX(TabRFR[[2021]:[2025]],MATCH(BD!W38&amp;"-modestes",TabRFR[Recherche RFR],0),MATCH(TEXT(YEAR(BD!I38),"Standard"),TabRFR[[#Headers],[2021]:[2025]],0)),"Modeste",IF(X38&lt;=INDEX(TabRFR[[2021]:[2025]],MATCH(BD!W38&amp;"-Intermédiaire",TabRFR[Recherche RFR],0),MATCH(TEXT(YEAR(BD!I38),"Standard"),TabRFR[[#Headers],[2021]:[2025]],0)),"Intermédiaire","Supérieur")))))))</f>
        <v>Data RFR manquantes</v>
      </c>
      <c r="Z38" s="75"/>
      <c r="AA38" s="75" t="s">
        <v>2151</v>
      </c>
      <c r="AB38" s="75">
        <v>38500</v>
      </c>
      <c r="AC38" s="75" t="s">
        <v>118</v>
      </c>
      <c r="AD38" s="101"/>
      <c r="AE38" s="102"/>
      <c r="AF38" s="75" t="s">
        <v>95</v>
      </c>
      <c r="AG38" s="75"/>
      <c r="AH38" s="75">
        <v>2016</v>
      </c>
      <c r="AI38" s="75"/>
      <c r="AJ38" s="75"/>
      <c r="AK38" s="75"/>
      <c r="AL38" s="75"/>
      <c r="AM38" s="75" t="s">
        <v>4348</v>
      </c>
      <c r="AN38" s="75" t="s">
        <v>96</v>
      </c>
      <c r="AO38" s="75" t="s">
        <v>238</v>
      </c>
      <c r="AP38" s="75" t="s">
        <v>97</v>
      </c>
      <c r="AQ38" s="75"/>
      <c r="AR38" s="75"/>
      <c r="AS38" s="102" t="s">
        <v>1571</v>
      </c>
      <c r="AT38" s="101">
        <v>476323235</v>
      </c>
      <c r="AU38" s="75" t="s">
        <v>111</v>
      </c>
      <c r="AV38" s="75">
        <v>1992</v>
      </c>
      <c r="AW38" s="75" t="s">
        <v>100</v>
      </c>
      <c r="AX38" s="75" t="s">
        <v>112</v>
      </c>
      <c r="AY38" s="75" t="s">
        <v>2155</v>
      </c>
      <c r="AZ38" s="75" t="s">
        <v>803</v>
      </c>
      <c r="BA38" s="75">
        <v>14</v>
      </c>
      <c r="BB38" s="75">
        <v>7</v>
      </c>
      <c r="BC38" s="75">
        <v>77</v>
      </c>
      <c r="BD38" s="75">
        <v>7.0000000000000007E-2</v>
      </c>
      <c r="BE38" s="75" t="s">
        <v>97</v>
      </c>
      <c r="BF38" s="75"/>
      <c r="BG38" s="75">
        <v>2680</v>
      </c>
      <c r="BH38" s="77"/>
      <c r="BI38" s="77"/>
      <c r="BJ38" s="77"/>
      <c r="BK38" s="75">
        <v>226</v>
      </c>
      <c r="BL38" s="75">
        <f t="shared" si="0"/>
        <v>2906</v>
      </c>
      <c r="BM38" s="103">
        <f t="shared" si="1"/>
        <v>159.83000000000001</v>
      </c>
      <c r="BN38" s="103">
        <f t="shared" si="2"/>
        <v>3065.83</v>
      </c>
      <c r="BO38" s="103">
        <v>5850</v>
      </c>
      <c r="BP38" s="75" t="s">
        <v>97</v>
      </c>
      <c r="BQ38" s="75"/>
      <c r="BR38" s="75"/>
      <c r="BS38" s="157">
        <v>2016</v>
      </c>
      <c r="BT38">
        <v>2020</v>
      </c>
      <c r="BU38">
        <v>2016</v>
      </c>
    </row>
    <row r="39" spans="1:73" ht="43.15" customHeight="1" x14ac:dyDescent="0.25">
      <c r="A39" s="242" t="s">
        <v>1824</v>
      </c>
      <c r="B39" s="242" t="s">
        <v>2397</v>
      </c>
      <c r="C39" s="159">
        <v>400</v>
      </c>
      <c r="D39" s="114">
        <v>42459</v>
      </c>
      <c r="E39" s="114" t="s">
        <v>9</v>
      </c>
      <c r="F39" s="114" t="s">
        <v>2396</v>
      </c>
      <c r="G39" s="114"/>
      <c r="H39" s="114">
        <v>42499</v>
      </c>
      <c r="I39" s="114">
        <v>42515</v>
      </c>
      <c r="J39" s="114">
        <v>42520</v>
      </c>
      <c r="K39" s="76"/>
      <c r="L39" s="114">
        <v>42569</v>
      </c>
      <c r="M39" s="114">
        <v>42557</v>
      </c>
      <c r="N39" s="114"/>
      <c r="O39" s="114">
        <v>42578</v>
      </c>
      <c r="P39" s="114">
        <v>42578</v>
      </c>
      <c r="Q39" s="114">
        <v>42579</v>
      </c>
      <c r="R39" s="80"/>
      <c r="S39" s="114"/>
      <c r="T39" s="75"/>
      <c r="U39" s="75"/>
      <c r="V39" s="75"/>
      <c r="W39" s="75">
        <v>2</v>
      </c>
      <c r="X39" s="75">
        <v>37625</v>
      </c>
      <c r="Y39" s="75" t="str">
        <f ca="1">IF(I39="",IF(D39="","",IF(W39+X39&lt;15,"Données Nb pers ou RFR manquantes",IF(COUNTA(INDIRECT("TabRFR["&amp;YEAR(D39)&amp;"]"))&lt;&gt;COUNTA(TabRFR[Recherche RFR]),"Data RFR manquantes", IF(X39&lt;=INDEX(TabRFR[[2021]:[2025]],MATCH(BD!W39&amp;"-Très modestes",TabRFR[Recherche RFR],0),MATCH(TEXT(YEAR(BD!D39),"Standard"),TabRFR[[#Headers],[2021]:[2025]],0)),"Très Modeste",IF(X39&lt;=INDEX(TabRFR[[2021]:[2025]],MATCH(BD!W39&amp;"-modestes",TabRFR[Recherche RFR],0),MATCH(TEXT(YEAR(BD!D39),"Standard"),TabRFR[[#Headers],[2021]:[2025]],0)),"Modeste",IF(X39&lt;=INDEX(TabRFR[[2021]:[2025]],MATCH(BD!W39&amp;"-Intermédiaire",TabRFR[Recherche RFR],0),MATCH(TEXT(YEAR(BD!D39),"Standard"),TabRFR[[#Headers],[2021]:[2025]],0)),"Intermédiaire","Supérieur")))))),IF(D39="","",IF(W39+X39&lt;15,"Données Nb pers ou RFR manquantes",IF(COUNTA(INDIRECT("TabRFR["&amp;YEAR(I39)&amp;"]"))&lt;&gt;COUNTA(TabRFR[Recherche RFR]),"Data RFR manquantes", IF(X39&lt;=INDEX(TabRFR[[2021]:[2025]],MATCH(BD!W39&amp;"-Très modestes",TabRFR[Recherche RFR],0),MATCH(TEXT(YEAR(BD!I39),"Standard"),TabRFR[[#Headers],[2021]:[2025]],0)),"Très Modeste",IF(X39&lt;=INDEX(TabRFR[[2021]:[2025]],MATCH(BD!W39&amp;"-modestes",TabRFR[Recherche RFR],0),MATCH(TEXT(YEAR(BD!I39),"Standard"),TabRFR[[#Headers],[2021]:[2025]],0)),"Modeste",IF(X39&lt;=INDEX(TabRFR[[2021]:[2025]],MATCH(BD!W39&amp;"-Intermédiaire",TabRFR[Recherche RFR],0),MATCH(TEXT(YEAR(BD!I39),"Standard"),TabRFR[[#Headers],[2021]:[2025]],0)),"Intermédiaire","Supérieur")))))))</f>
        <v>Data RFR manquantes</v>
      </c>
      <c r="Z39" s="75"/>
      <c r="AA39" s="75" t="s">
        <v>2394</v>
      </c>
      <c r="AB39" s="75">
        <v>38850</v>
      </c>
      <c r="AC39" s="75" t="s">
        <v>148</v>
      </c>
      <c r="AD39" s="101"/>
      <c r="AE39" s="102"/>
      <c r="AF39" s="75" t="s">
        <v>95</v>
      </c>
      <c r="AG39" s="75"/>
      <c r="AH39" s="75">
        <v>1979</v>
      </c>
      <c r="AI39" s="75"/>
      <c r="AJ39" s="75"/>
      <c r="AK39" s="75"/>
      <c r="AL39" s="75"/>
      <c r="AM39" s="75" t="s">
        <v>4356</v>
      </c>
      <c r="AN39" s="75" t="s">
        <v>96</v>
      </c>
      <c r="AO39" s="75"/>
      <c r="AP39" s="75" t="s">
        <v>97</v>
      </c>
      <c r="AQ39" s="75"/>
      <c r="AR39" s="75"/>
      <c r="AS39" s="102" t="s">
        <v>770</v>
      </c>
      <c r="AT39" s="101">
        <v>476071461</v>
      </c>
      <c r="AU39" s="75" t="s">
        <v>111</v>
      </c>
      <c r="AV39" s="75">
        <v>1981</v>
      </c>
      <c r="AW39" s="75" t="s">
        <v>100</v>
      </c>
      <c r="AX39" s="75" t="s">
        <v>112</v>
      </c>
      <c r="AY39" s="75" t="s">
        <v>1603</v>
      </c>
      <c r="AZ39" s="75" t="s">
        <v>2392</v>
      </c>
      <c r="BA39" s="75">
        <v>34</v>
      </c>
      <c r="BB39" s="75">
        <v>7</v>
      </c>
      <c r="BC39" s="75">
        <v>78</v>
      </c>
      <c r="BD39" s="75">
        <v>0.09</v>
      </c>
      <c r="BE39" s="75" t="s">
        <v>97</v>
      </c>
      <c r="BF39" s="75"/>
      <c r="BG39" s="75">
        <v>2870</v>
      </c>
      <c r="BH39" s="77"/>
      <c r="BI39" s="77"/>
      <c r="BJ39" s="77"/>
      <c r="BK39" s="75">
        <v>700</v>
      </c>
      <c r="BL39" s="75">
        <f t="shared" si="0"/>
        <v>3570</v>
      </c>
      <c r="BM39" s="103">
        <f t="shared" si="1"/>
        <v>196.35</v>
      </c>
      <c r="BN39" s="103">
        <f t="shared" si="2"/>
        <v>3766.35</v>
      </c>
      <c r="BO39" s="103">
        <v>4916.83</v>
      </c>
      <c r="BP39" s="75" t="s">
        <v>97</v>
      </c>
      <c r="BQ39" s="75"/>
      <c r="BR39" s="75"/>
      <c r="BS39" s="157">
        <v>2016</v>
      </c>
      <c r="BT39">
        <v>2020</v>
      </c>
      <c r="BU39">
        <v>2016</v>
      </c>
    </row>
    <row r="40" spans="1:73" ht="43.15" customHeight="1" x14ac:dyDescent="0.25">
      <c r="A40" s="242" t="s">
        <v>1824</v>
      </c>
      <c r="B40" s="242" t="s">
        <v>2391</v>
      </c>
      <c r="C40" s="159">
        <v>400</v>
      </c>
      <c r="D40" s="114">
        <v>42472</v>
      </c>
      <c r="E40" s="114" t="s">
        <v>9</v>
      </c>
      <c r="F40" s="114" t="s">
        <v>2390</v>
      </c>
      <c r="G40" s="114"/>
      <c r="H40" s="114">
        <v>42542</v>
      </c>
      <c r="I40" s="114">
        <v>42542</v>
      </c>
      <c r="J40" s="114">
        <v>42545</v>
      </c>
      <c r="K40" s="76"/>
      <c r="L40" s="114">
        <v>42611</v>
      </c>
      <c r="M40" s="114">
        <v>42558</v>
      </c>
      <c r="N40" s="114"/>
      <c r="O40" s="114">
        <v>42611</v>
      </c>
      <c r="P40" s="114">
        <v>42611</v>
      </c>
      <c r="Q40" s="114">
        <v>42622</v>
      </c>
      <c r="R40" s="80"/>
      <c r="S40" s="114"/>
      <c r="T40" s="75"/>
      <c r="U40" s="75"/>
      <c r="V40" s="75"/>
      <c r="W40" s="75">
        <v>2</v>
      </c>
      <c r="X40" s="75">
        <v>53975</v>
      </c>
      <c r="Y40" s="75" t="str">
        <f ca="1">IF(I40="",IF(D40="","",IF(W40+X40&lt;15,"Données Nb pers ou RFR manquantes",IF(COUNTA(INDIRECT("TabRFR["&amp;YEAR(D40)&amp;"]"))&lt;&gt;COUNTA(TabRFR[Recherche RFR]),"Data RFR manquantes", IF(X40&lt;=INDEX(TabRFR[[2021]:[2025]],MATCH(BD!W40&amp;"-Très modestes",TabRFR[Recherche RFR],0),MATCH(TEXT(YEAR(BD!D40),"Standard"),TabRFR[[#Headers],[2021]:[2025]],0)),"Très Modeste",IF(X40&lt;=INDEX(TabRFR[[2021]:[2025]],MATCH(BD!W40&amp;"-modestes",TabRFR[Recherche RFR],0),MATCH(TEXT(YEAR(BD!D40),"Standard"),TabRFR[[#Headers],[2021]:[2025]],0)),"Modeste",IF(X40&lt;=INDEX(TabRFR[[2021]:[2025]],MATCH(BD!W40&amp;"-Intermédiaire",TabRFR[Recherche RFR],0),MATCH(TEXT(YEAR(BD!D40),"Standard"),TabRFR[[#Headers],[2021]:[2025]],0)),"Intermédiaire","Supérieur")))))),IF(D40="","",IF(W40+X40&lt;15,"Données Nb pers ou RFR manquantes",IF(COUNTA(INDIRECT("TabRFR["&amp;YEAR(I40)&amp;"]"))&lt;&gt;COUNTA(TabRFR[Recherche RFR]),"Data RFR manquantes", IF(X40&lt;=INDEX(TabRFR[[2021]:[2025]],MATCH(BD!W40&amp;"-Très modestes",TabRFR[Recherche RFR],0),MATCH(TEXT(YEAR(BD!I40),"Standard"),TabRFR[[#Headers],[2021]:[2025]],0)),"Très Modeste",IF(X40&lt;=INDEX(TabRFR[[2021]:[2025]],MATCH(BD!W40&amp;"-modestes",TabRFR[Recherche RFR],0),MATCH(TEXT(YEAR(BD!I40),"Standard"),TabRFR[[#Headers],[2021]:[2025]],0)),"Modeste",IF(X40&lt;=INDEX(TabRFR[[2021]:[2025]],MATCH(BD!W40&amp;"-Intermédiaire",TabRFR[Recherche RFR],0),MATCH(TEXT(YEAR(BD!I40),"Standard"),TabRFR[[#Headers],[2021]:[2025]],0)),"Intermédiaire","Supérieur")))))))</f>
        <v>Data RFR manquantes</v>
      </c>
      <c r="Z40" s="75"/>
      <c r="AA40" s="75" t="s">
        <v>2387</v>
      </c>
      <c r="AB40" s="75">
        <v>38210</v>
      </c>
      <c r="AC40" s="75" t="s">
        <v>195</v>
      </c>
      <c r="AD40" s="101"/>
      <c r="AE40" s="102"/>
      <c r="AF40" s="75" t="s">
        <v>95</v>
      </c>
      <c r="AG40" s="75"/>
      <c r="AH40" s="75">
        <v>2010</v>
      </c>
      <c r="AI40" s="75"/>
      <c r="AJ40" s="75"/>
      <c r="AK40" s="75"/>
      <c r="AL40" s="75"/>
      <c r="AM40" s="75" t="s">
        <v>4191</v>
      </c>
      <c r="AN40" s="75" t="s">
        <v>96</v>
      </c>
      <c r="AO40" s="75" t="s">
        <v>229</v>
      </c>
      <c r="AP40" s="75" t="s">
        <v>97</v>
      </c>
      <c r="AQ40" s="75"/>
      <c r="AR40" s="75"/>
      <c r="AS40" s="102" t="s">
        <v>230</v>
      </c>
      <c r="AT40" s="101">
        <v>476059938</v>
      </c>
      <c r="AU40" s="75" t="s">
        <v>100</v>
      </c>
      <c r="AV40" s="75">
        <v>2000</v>
      </c>
      <c r="AW40" s="75" t="s">
        <v>100</v>
      </c>
      <c r="AX40" s="75" t="s">
        <v>2071</v>
      </c>
      <c r="AY40" s="75" t="s">
        <v>2187</v>
      </c>
      <c r="AZ40" s="75" t="s">
        <v>2385</v>
      </c>
      <c r="BA40" s="75">
        <v>14</v>
      </c>
      <c r="BB40" s="75">
        <v>9</v>
      </c>
      <c r="BC40" s="75">
        <v>90.8</v>
      </c>
      <c r="BD40" s="75">
        <v>0</v>
      </c>
      <c r="BE40" s="75" t="s">
        <v>2384</v>
      </c>
      <c r="BF40" s="75"/>
      <c r="BG40" s="75">
        <v>4220</v>
      </c>
      <c r="BH40" s="77"/>
      <c r="BI40" s="77"/>
      <c r="BJ40" s="77"/>
      <c r="BK40" s="75">
        <v>430</v>
      </c>
      <c r="BL40" s="75">
        <f t="shared" si="0"/>
        <v>4650</v>
      </c>
      <c r="BM40" s="103">
        <f t="shared" si="1"/>
        <v>255.75</v>
      </c>
      <c r="BN40" s="103">
        <f t="shared" si="2"/>
        <v>4905.75</v>
      </c>
      <c r="BO40" s="103">
        <v>7075.89</v>
      </c>
      <c r="BP40" s="75" t="s">
        <v>97</v>
      </c>
      <c r="BQ40" s="75"/>
      <c r="BR40" s="75"/>
      <c r="BS40" s="157">
        <v>2016</v>
      </c>
      <c r="BU40">
        <v>2016</v>
      </c>
    </row>
    <row r="41" spans="1:73" ht="43.15" customHeight="1" x14ac:dyDescent="0.25">
      <c r="A41" s="242" t="s">
        <v>1824</v>
      </c>
      <c r="B41" s="242" t="s">
        <v>2383</v>
      </c>
      <c r="C41" s="159">
        <v>800</v>
      </c>
      <c r="D41" s="114">
        <v>42472</v>
      </c>
      <c r="E41" s="114">
        <v>43797</v>
      </c>
      <c r="F41" s="114" t="s">
        <v>9</v>
      </c>
      <c r="G41" s="114" t="s">
        <v>9</v>
      </c>
      <c r="H41" s="114">
        <v>42489</v>
      </c>
      <c r="I41" s="114">
        <v>42489</v>
      </c>
      <c r="J41" s="114">
        <v>42507</v>
      </c>
      <c r="K41" s="76"/>
      <c r="L41" s="114">
        <v>42542</v>
      </c>
      <c r="M41" s="114">
        <v>42534</v>
      </c>
      <c r="N41" s="114"/>
      <c r="O41" s="114">
        <v>42542</v>
      </c>
      <c r="P41" s="114">
        <v>42542</v>
      </c>
      <c r="Q41" s="114">
        <v>42549</v>
      </c>
      <c r="R41" s="81"/>
      <c r="S41" s="114"/>
      <c r="T41" s="237" t="s">
        <v>3982</v>
      </c>
      <c r="U41" s="75"/>
      <c r="V41" s="75"/>
      <c r="W41" s="75">
        <v>3</v>
      </c>
      <c r="X41" s="75">
        <v>2632</v>
      </c>
      <c r="Y41" s="75" t="str">
        <f ca="1">IF(I41="",IF(D41="","",IF(W41+X41&lt;15,"Données Nb pers ou RFR manquantes",IF(COUNTA(INDIRECT("TabRFR["&amp;YEAR(D41)&amp;"]"))&lt;&gt;COUNTA(TabRFR[Recherche RFR]),"Data RFR manquantes", IF(X41&lt;=INDEX(TabRFR[[2021]:[2025]],MATCH(BD!W41&amp;"-Très modestes",TabRFR[Recherche RFR],0),MATCH(TEXT(YEAR(BD!D41),"Standard"),TabRFR[[#Headers],[2021]:[2025]],0)),"Très Modeste",IF(X41&lt;=INDEX(TabRFR[[2021]:[2025]],MATCH(BD!W41&amp;"-modestes",TabRFR[Recherche RFR],0),MATCH(TEXT(YEAR(BD!D41),"Standard"),TabRFR[[#Headers],[2021]:[2025]],0)),"Modeste",IF(X41&lt;=INDEX(TabRFR[[2021]:[2025]],MATCH(BD!W41&amp;"-Intermédiaire",TabRFR[Recherche RFR],0),MATCH(TEXT(YEAR(BD!D41),"Standard"),TabRFR[[#Headers],[2021]:[2025]],0)),"Intermédiaire","Supérieur")))))),IF(D41="","",IF(W41+X41&lt;15,"Données Nb pers ou RFR manquantes",IF(COUNTA(INDIRECT("TabRFR["&amp;YEAR(I41)&amp;"]"))&lt;&gt;COUNTA(TabRFR[Recherche RFR]),"Data RFR manquantes", IF(X41&lt;=INDEX(TabRFR[[2021]:[2025]],MATCH(BD!W41&amp;"-Très modestes",TabRFR[Recherche RFR],0),MATCH(TEXT(YEAR(BD!I41),"Standard"),TabRFR[[#Headers],[2021]:[2025]],0)),"Très Modeste",IF(X41&lt;=INDEX(TabRFR[[2021]:[2025]],MATCH(BD!W41&amp;"-modestes",TabRFR[Recherche RFR],0),MATCH(TEXT(YEAR(BD!I41),"Standard"),TabRFR[[#Headers],[2021]:[2025]],0)),"Modeste",IF(X41&lt;=INDEX(TabRFR[[2021]:[2025]],MATCH(BD!W41&amp;"-Intermédiaire",TabRFR[Recherche RFR],0),MATCH(TEXT(YEAR(BD!I41),"Standard"),TabRFR[[#Headers],[2021]:[2025]],0)),"Intermédiaire","Supérieur")))))))</f>
        <v>Data RFR manquantes</v>
      </c>
      <c r="Z41" s="75"/>
      <c r="AA41" s="75" t="s">
        <v>2382</v>
      </c>
      <c r="AB41" s="75">
        <v>38210</v>
      </c>
      <c r="AC41" s="75" t="s">
        <v>445</v>
      </c>
      <c r="AD41" s="101"/>
      <c r="AE41" s="102"/>
      <c r="AF41" s="75" t="s">
        <v>95</v>
      </c>
      <c r="AG41" s="75"/>
      <c r="AH41" s="75">
        <v>1995</v>
      </c>
      <c r="AI41" s="75"/>
      <c r="AJ41" s="75"/>
      <c r="AK41" s="75"/>
      <c r="AL41" s="75"/>
      <c r="AM41" s="75" t="s">
        <v>218</v>
      </c>
      <c r="AN41" s="75" t="s">
        <v>217</v>
      </c>
      <c r="AO41" s="75"/>
      <c r="AP41" s="75" t="s">
        <v>97</v>
      </c>
      <c r="AQ41" s="75"/>
      <c r="AR41" s="75"/>
      <c r="AS41" s="102"/>
      <c r="AT41" s="101">
        <v>476355605</v>
      </c>
      <c r="AU41" s="75" t="s">
        <v>100</v>
      </c>
      <c r="AV41" s="75">
        <v>1995</v>
      </c>
      <c r="AW41" s="75" t="s">
        <v>100</v>
      </c>
      <c r="AX41" s="75" t="s">
        <v>112</v>
      </c>
      <c r="AY41" s="75" t="s">
        <v>1866</v>
      </c>
      <c r="AZ41" s="75" t="s">
        <v>1865</v>
      </c>
      <c r="BA41" s="75">
        <v>40</v>
      </c>
      <c r="BB41" s="75">
        <v>10</v>
      </c>
      <c r="BC41" s="75">
        <v>77</v>
      </c>
      <c r="BD41" s="75">
        <v>0.12</v>
      </c>
      <c r="BE41" s="75" t="s">
        <v>97</v>
      </c>
      <c r="BF41" s="75"/>
      <c r="BG41" s="75">
        <v>1400</v>
      </c>
      <c r="BH41" s="77"/>
      <c r="BI41" s="77"/>
      <c r="BJ41" s="77"/>
      <c r="BK41" s="75">
        <v>425</v>
      </c>
      <c r="BL41" s="75">
        <f t="shared" si="0"/>
        <v>1825</v>
      </c>
      <c r="BM41" s="103">
        <f t="shared" si="1"/>
        <v>100.375</v>
      </c>
      <c r="BN41" s="103">
        <f t="shared" si="2"/>
        <v>1925.375</v>
      </c>
      <c r="BO41" s="103">
        <v>2321.34</v>
      </c>
      <c r="BP41" s="75" t="s">
        <v>97</v>
      </c>
      <c r="BQ41" s="75"/>
      <c r="BR41" s="75"/>
      <c r="BS41" s="157">
        <v>2016</v>
      </c>
      <c r="BT41">
        <v>2020</v>
      </c>
      <c r="BU41">
        <v>2016</v>
      </c>
    </row>
    <row r="42" spans="1:73" ht="43.15" customHeight="1" x14ac:dyDescent="0.25">
      <c r="A42" s="242" t="s">
        <v>1824</v>
      </c>
      <c r="B42" s="242" t="s">
        <v>2381</v>
      </c>
      <c r="C42" s="159">
        <v>400</v>
      </c>
      <c r="D42" s="114">
        <v>42475</v>
      </c>
      <c r="E42" s="114" t="s">
        <v>9</v>
      </c>
      <c r="F42" s="114" t="s">
        <v>9</v>
      </c>
      <c r="G42" s="114" t="s">
        <v>9</v>
      </c>
      <c r="H42" s="114">
        <v>42489</v>
      </c>
      <c r="I42" s="114">
        <v>42489</v>
      </c>
      <c r="J42" s="114">
        <v>42507</v>
      </c>
      <c r="K42" s="76"/>
      <c r="L42" s="114">
        <v>42674</v>
      </c>
      <c r="M42" s="114">
        <v>42607</v>
      </c>
      <c r="N42" s="114"/>
      <c r="O42" s="114">
        <v>42678</v>
      </c>
      <c r="P42" s="114">
        <v>42678</v>
      </c>
      <c r="Q42" s="114">
        <v>42695</v>
      </c>
      <c r="R42" s="80"/>
      <c r="S42" s="114"/>
      <c r="T42" s="75"/>
      <c r="U42" s="75"/>
      <c r="V42" s="75"/>
      <c r="W42" s="75">
        <v>4</v>
      </c>
      <c r="X42" s="75">
        <v>50371</v>
      </c>
      <c r="Y42" s="75" t="str">
        <f ca="1">IF(I42="",IF(D42="","",IF(W42+X42&lt;15,"Données Nb pers ou RFR manquantes",IF(COUNTA(INDIRECT("TabRFR["&amp;YEAR(D42)&amp;"]"))&lt;&gt;COUNTA(TabRFR[Recherche RFR]),"Data RFR manquantes", IF(X42&lt;=INDEX(TabRFR[[2021]:[2025]],MATCH(BD!W42&amp;"-Très modestes",TabRFR[Recherche RFR],0),MATCH(TEXT(YEAR(BD!D42),"Standard"),TabRFR[[#Headers],[2021]:[2025]],0)),"Très Modeste",IF(X42&lt;=INDEX(TabRFR[[2021]:[2025]],MATCH(BD!W42&amp;"-modestes",TabRFR[Recherche RFR],0),MATCH(TEXT(YEAR(BD!D42),"Standard"),TabRFR[[#Headers],[2021]:[2025]],0)),"Modeste",IF(X42&lt;=INDEX(TabRFR[[2021]:[2025]],MATCH(BD!W42&amp;"-Intermédiaire",TabRFR[Recherche RFR],0),MATCH(TEXT(YEAR(BD!D42),"Standard"),TabRFR[[#Headers],[2021]:[2025]],0)),"Intermédiaire","Supérieur")))))),IF(D42="","",IF(W42+X42&lt;15,"Données Nb pers ou RFR manquantes",IF(COUNTA(INDIRECT("TabRFR["&amp;YEAR(I42)&amp;"]"))&lt;&gt;COUNTA(TabRFR[Recherche RFR]),"Data RFR manquantes", IF(X42&lt;=INDEX(TabRFR[[2021]:[2025]],MATCH(BD!W42&amp;"-Très modestes",TabRFR[Recherche RFR],0),MATCH(TEXT(YEAR(BD!I42),"Standard"),TabRFR[[#Headers],[2021]:[2025]],0)),"Très Modeste",IF(X42&lt;=INDEX(TabRFR[[2021]:[2025]],MATCH(BD!W42&amp;"-modestes",TabRFR[Recherche RFR],0),MATCH(TEXT(YEAR(BD!I42),"Standard"),TabRFR[[#Headers],[2021]:[2025]],0)),"Modeste",IF(X42&lt;=INDEX(TabRFR[[2021]:[2025]],MATCH(BD!W42&amp;"-Intermédiaire",TabRFR[Recherche RFR],0),MATCH(TEXT(YEAR(BD!I42),"Standard"),TabRFR[[#Headers],[2021]:[2025]],0)),"Intermédiaire","Supérieur")))))))</f>
        <v>Data RFR manquantes</v>
      </c>
      <c r="Z42" s="75"/>
      <c r="AA42" s="75" t="s">
        <v>2379</v>
      </c>
      <c r="AB42" s="75">
        <v>38960</v>
      </c>
      <c r="AC42" s="75" t="s">
        <v>2378</v>
      </c>
      <c r="AD42" s="101"/>
      <c r="AE42" s="102"/>
      <c r="AF42" s="75" t="s">
        <v>95</v>
      </c>
      <c r="AG42" s="75"/>
      <c r="AH42" s="75"/>
      <c r="AI42" s="75"/>
      <c r="AJ42" s="75"/>
      <c r="AK42" s="75"/>
      <c r="AL42" s="75"/>
      <c r="AM42" s="75" t="s">
        <v>4035</v>
      </c>
      <c r="AN42" s="75" t="s">
        <v>108</v>
      </c>
      <c r="AO42" s="75" t="s">
        <v>1525</v>
      </c>
      <c r="AP42" s="75" t="s">
        <v>97</v>
      </c>
      <c r="AQ42" s="75"/>
      <c r="AR42" s="75"/>
      <c r="AS42" s="102" t="s">
        <v>110</v>
      </c>
      <c r="AT42" s="101">
        <v>476500550</v>
      </c>
      <c r="AU42" s="75" t="s">
        <v>399</v>
      </c>
      <c r="AV42" s="75">
        <v>1997</v>
      </c>
      <c r="AW42" s="75" t="s">
        <v>399</v>
      </c>
      <c r="AX42" s="75" t="s">
        <v>112</v>
      </c>
      <c r="AY42" s="75" t="s">
        <v>2376</v>
      </c>
      <c r="AZ42" s="75" t="s">
        <v>2375</v>
      </c>
      <c r="BA42" s="75">
        <v>40</v>
      </c>
      <c r="BB42" s="75">
        <v>18</v>
      </c>
      <c r="BC42" s="75">
        <v>79</v>
      </c>
      <c r="BD42" s="75">
        <v>7.0000000000000007E-2</v>
      </c>
      <c r="BE42" s="75" t="s">
        <v>97</v>
      </c>
      <c r="BF42" s="75"/>
      <c r="BG42" s="75">
        <v>6920</v>
      </c>
      <c r="BH42" s="77"/>
      <c r="BI42" s="77"/>
      <c r="BJ42" s="77"/>
      <c r="BK42" s="75">
        <v>2070</v>
      </c>
      <c r="BL42" s="75">
        <f t="shared" si="0"/>
        <v>8990</v>
      </c>
      <c r="BM42" s="103">
        <f t="shared" si="1"/>
        <v>494.45</v>
      </c>
      <c r="BN42" s="103">
        <f t="shared" si="2"/>
        <v>9484.4500000000007</v>
      </c>
      <c r="BO42" s="103">
        <v>9683.43</v>
      </c>
      <c r="BP42" s="75" t="s">
        <v>97</v>
      </c>
      <c r="BQ42" s="75"/>
      <c r="BR42" s="75"/>
      <c r="BS42" s="157">
        <v>2016</v>
      </c>
      <c r="BT42">
        <v>2020</v>
      </c>
      <c r="BU42">
        <v>2016</v>
      </c>
    </row>
    <row r="43" spans="1:73" ht="43.15" customHeight="1" x14ac:dyDescent="0.25">
      <c r="A43" s="29" t="s">
        <v>1824</v>
      </c>
      <c r="B43" s="29" t="s">
        <v>1823</v>
      </c>
      <c r="C43" s="161" t="s">
        <v>9</v>
      </c>
      <c r="D43" s="110">
        <v>42478</v>
      </c>
      <c r="E43" s="110" t="s">
        <v>9</v>
      </c>
      <c r="F43" s="110" t="s">
        <v>1822</v>
      </c>
      <c r="G43" s="110"/>
      <c r="H43" s="110"/>
      <c r="I43" s="110"/>
      <c r="J43" s="110"/>
      <c r="K43" s="110"/>
      <c r="L43" s="110"/>
      <c r="M43" s="110"/>
      <c r="N43" s="110"/>
      <c r="O43" s="110"/>
      <c r="P43" s="110"/>
      <c r="Q43" s="110"/>
      <c r="R43" s="109"/>
      <c r="S43" s="110">
        <v>42913</v>
      </c>
      <c r="T43" s="111" t="s">
        <v>1809</v>
      </c>
      <c r="U43" s="111"/>
      <c r="V43" s="111"/>
      <c r="W43" s="111">
        <v>4</v>
      </c>
      <c r="X43" s="111">
        <v>52077</v>
      </c>
      <c r="Y43" s="75" t="str">
        <f ca="1">IF(I43="",IF(D43="","",IF(W43+X43&lt;15,"Données Nb pers ou RFR manquantes",IF(COUNTA(INDIRECT("TabRFR["&amp;YEAR(D43)&amp;"]"))&lt;&gt;COUNTA(TabRFR[Recherche RFR]),"Data RFR manquantes", IF(X43&lt;=INDEX(TabRFR[[2021]:[2025]],MATCH(BD!W43&amp;"-Très modestes",TabRFR[Recherche RFR],0),MATCH(TEXT(YEAR(BD!D43),"Standard"),TabRFR[[#Headers],[2021]:[2025]],0)),"Très Modeste",IF(X43&lt;=INDEX(TabRFR[[2021]:[2025]],MATCH(BD!W43&amp;"-modestes",TabRFR[Recherche RFR],0),MATCH(TEXT(YEAR(BD!D43),"Standard"),TabRFR[[#Headers],[2021]:[2025]],0)),"Modeste",IF(X43&lt;=INDEX(TabRFR[[2021]:[2025]],MATCH(BD!W43&amp;"-Intermédiaire",TabRFR[Recherche RFR],0),MATCH(TEXT(YEAR(BD!D43),"Standard"),TabRFR[[#Headers],[2021]:[2025]],0)),"Intermédiaire","Supérieur")))))),IF(D43="","",IF(W43+X43&lt;15,"Données Nb pers ou RFR manquantes",IF(COUNTA(INDIRECT("TabRFR["&amp;YEAR(I43)&amp;"]"))&lt;&gt;COUNTA(TabRFR[Recherche RFR]),"Data RFR manquantes", IF(X43&lt;=INDEX(TabRFR[[2021]:[2025]],MATCH(BD!W43&amp;"-Très modestes",TabRFR[Recherche RFR],0),MATCH(TEXT(YEAR(BD!I43),"Standard"),TabRFR[[#Headers],[2021]:[2025]],0)),"Très Modeste",IF(X43&lt;=INDEX(TabRFR[[2021]:[2025]],MATCH(BD!W43&amp;"-modestes",TabRFR[Recherche RFR],0),MATCH(TEXT(YEAR(BD!I43),"Standard"),TabRFR[[#Headers],[2021]:[2025]],0)),"Modeste",IF(X43&lt;=INDEX(TabRFR[[2021]:[2025]],MATCH(BD!W43&amp;"-Intermédiaire",TabRFR[Recherche RFR],0),MATCH(TEXT(YEAR(BD!I43),"Standard"),TabRFR[[#Headers],[2021]:[2025]],0)),"Intermédiaire","Supérieur")))))))</f>
        <v>Data RFR manquantes</v>
      </c>
      <c r="Z43" s="111"/>
      <c r="AA43" s="111" t="s">
        <v>1066</v>
      </c>
      <c r="AB43" s="111">
        <v>38210</v>
      </c>
      <c r="AC43" s="111" t="s">
        <v>195</v>
      </c>
      <c r="AD43" s="127"/>
      <c r="AE43" s="102"/>
      <c r="AF43" s="111" t="s">
        <v>95</v>
      </c>
      <c r="AG43" s="111"/>
      <c r="AH43" s="111">
        <v>2016</v>
      </c>
      <c r="AI43" s="111"/>
      <c r="AJ43" s="111"/>
      <c r="AK43" s="111"/>
      <c r="AL43" s="111"/>
      <c r="AM43" s="111" t="s">
        <v>1621</v>
      </c>
      <c r="AN43" s="111" t="s">
        <v>1620</v>
      </c>
      <c r="AO43" s="111" t="s">
        <v>1619</v>
      </c>
      <c r="AP43" s="111" t="s">
        <v>97</v>
      </c>
      <c r="AQ43" s="111"/>
      <c r="AR43" s="111"/>
      <c r="AS43" s="102" t="s">
        <v>1618</v>
      </c>
      <c r="AT43" s="112">
        <v>479750979</v>
      </c>
      <c r="AU43" s="111" t="s">
        <v>430</v>
      </c>
      <c r="AV43" s="111">
        <v>1974</v>
      </c>
      <c r="AW43" s="111" t="s">
        <v>100</v>
      </c>
      <c r="AX43" s="111" t="s">
        <v>112</v>
      </c>
      <c r="AY43" s="111" t="s">
        <v>1821</v>
      </c>
      <c r="AZ43" s="111">
        <v>7443</v>
      </c>
      <c r="BA43" s="111"/>
      <c r="BB43" s="111">
        <v>7</v>
      </c>
      <c r="BC43" s="111">
        <v>82</v>
      </c>
      <c r="BD43" s="111">
        <v>0.02</v>
      </c>
      <c r="BE43" s="111" t="s">
        <v>1820</v>
      </c>
      <c r="BF43" s="111"/>
      <c r="BG43" s="111">
        <v>2564</v>
      </c>
      <c r="BH43" s="111"/>
      <c r="BI43" s="111"/>
      <c r="BJ43" s="111"/>
      <c r="BK43" s="111">
        <v>1573</v>
      </c>
      <c r="BL43" s="75">
        <f t="shared" si="0"/>
        <v>4137</v>
      </c>
      <c r="BM43" s="103">
        <f t="shared" si="1"/>
        <v>227.535</v>
      </c>
      <c r="BN43" s="103">
        <f t="shared" si="2"/>
        <v>4364.5349999999999</v>
      </c>
      <c r="BO43" s="111"/>
      <c r="BP43" s="111" t="s">
        <v>97</v>
      </c>
      <c r="BQ43" s="111"/>
      <c r="BR43" s="111"/>
      <c r="BS43" s="157">
        <v>2016</v>
      </c>
      <c r="BU43" t="s">
        <v>4180</v>
      </c>
    </row>
    <row r="44" spans="1:73" ht="43.15" customHeight="1" x14ac:dyDescent="0.25">
      <c r="A44" s="242" t="s">
        <v>1824</v>
      </c>
      <c r="B44" s="242" t="s">
        <v>2374</v>
      </c>
      <c r="C44" s="159">
        <v>400</v>
      </c>
      <c r="D44" s="114">
        <v>42479</v>
      </c>
      <c r="E44" s="114" t="s">
        <v>9</v>
      </c>
      <c r="F44" s="114" t="s">
        <v>9</v>
      </c>
      <c r="G44" s="114" t="s">
        <v>9</v>
      </c>
      <c r="H44" s="114">
        <v>42500</v>
      </c>
      <c r="I44" s="114">
        <v>42500</v>
      </c>
      <c r="J44" s="114">
        <v>42507</v>
      </c>
      <c r="K44" s="76"/>
      <c r="L44" s="114">
        <v>42556</v>
      </c>
      <c r="M44" s="114">
        <v>42499</v>
      </c>
      <c r="N44" s="114"/>
      <c r="O44" s="114">
        <v>42578</v>
      </c>
      <c r="P44" s="114">
        <v>42578</v>
      </c>
      <c r="Q44" s="114">
        <v>42579</v>
      </c>
      <c r="R44" s="80"/>
      <c r="S44" s="114"/>
      <c r="T44" s="75"/>
      <c r="U44" s="75"/>
      <c r="V44" s="75"/>
      <c r="W44" s="75">
        <v>2</v>
      </c>
      <c r="X44" s="75">
        <v>44070</v>
      </c>
      <c r="Y44" s="75" t="str">
        <f ca="1">IF(I44="",IF(D44="","",IF(W44+X44&lt;15,"Données Nb pers ou RFR manquantes",IF(COUNTA(INDIRECT("TabRFR["&amp;YEAR(D44)&amp;"]"))&lt;&gt;COUNTA(TabRFR[Recherche RFR]),"Data RFR manquantes", IF(X44&lt;=INDEX(TabRFR[[2021]:[2025]],MATCH(BD!W44&amp;"-Très modestes",TabRFR[Recherche RFR],0),MATCH(TEXT(YEAR(BD!D44),"Standard"),TabRFR[[#Headers],[2021]:[2025]],0)),"Très Modeste",IF(X44&lt;=INDEX(TabRFR[[2021]:[2025]],MATCH(BD!W44&amp;"-modestes",TabRFR[Recherche RFR],0),MATCH(TEXT(YEAR(BD!D44),"Standard"),TabRFR[[#Headers],[2021]:[2025]],0)),"Modeste",IF(X44&lt;=INDEX(TabRFR[[2021]:[2025]],MATCH(BD!W44&amp;"-Intermédiaire",TabRFR[Recherche RFR],0),MATCH(TEXT(YEAR(BD!D44),"Standard"),TabRFR[[#Headers],[2021]:[2025]],0)),"Intermédiaire","Supérieur")))))),IF(D44="","",IF(W44+X44&lt;15,"Données Nb pers ou RFR manquantes",IF(COUNTA(INDIRECT("TabRFR["&amp;YEAR(I44)&amp;"]"))&lt;&gt;COUNTA(TabRFR[Recherche RFR]),"Data RFR manquantes", IF(X44&lt;=INDEX(TabRFR[[2021]:[2025]],MATCH(BD!W44&amp;"-Très modestes",TabRFR[Recherche RFR],0),MATCH(TEXT(YEAR(BD!I44),"Standard"),TabRFR[[#Headers],[2021]:[2025]],0)),"Très Modeste",IF(X44&lt;=INDEX(TabRFR[[2021]:[2025]],MATCH(BD!W44&amp;"-modestes",TabRFR[Recherche RFR],0),MATCH(TEXT(YEAR(BD!I44),"Standard"),TabRFR[[#Headers],[2021]:[2025]],0)),"Modeste",IF(X44&lt;=INDEX(TabRFR[[2021]:[2025]],MATCH(BD!W44&amp;"-Intermédiaire",TabRFR[Recherche RFR],0),MATCH(TEXT(YEAR(BD!I44),"Standard"),TabRFR[[#Headers],[2021]:[2025]],0)),"Intermédiaire","Supérieur")))))))</f>
        <v>Data RFR manquantes</v>
      </c>
      <c r="Z44" s="75"/>
      <c r="AA44" s="75" t="s">
        <v>2372</v>
      </c>
      <c r="AB44" s="75">
        <v>38500</v>
      </c>
      <c r="AC44" s="75" t="s">
        <v>96</v>
      </c>
      <c r="AD44" s="101"/>
      <c r="AE44" s="102"/>
      <c r="AF44" s="75" t="s">
        <v>95</v>
      </c>
      <c r="AG44" s="75"/>
      <c r="AH44" s="75">
        <v>1985</v>
      </c>
      <c r="AI44" s="75"/>
      <c r="AJ44" s="75"/>
      <c r="AK44" s="75"/>
      <c r="AL44" s="75"/>
      <c r="AM44" s="75" t="s">
        <v>4350</v>
      </c>
      <c r="AN44" s="75" t="s">
        <v>3333</v>
      </c>
      <c r="AO44" s="75" t="s">
        <v>2239</v>
      </c>
      <c r="AP44" s="75" t="s">
        <v>97</v>
      </c>
      <c r="AQ44" s="75"/>
      <c r="AR44" s="75"/>
      <c r="AS44" s="102" t="s">
        <v>962</v>
      </c>
      <c r="AT44" s="101">
        <v>476251477</v>
      </c>
      <c r="AU44" s="75" t="s">
        <v>399</v>
      </c>
      <c r="AV44" s="75">
        <v>1985</v>
      </c>
      <c r="AW44" s="75" t="s">
        <v>399</v>
      </c>
      <c r="AX44" s="75" t="s">
        <v>112</v>
      </c>
      <c r="AY44" s="75" t="s">
        <v>2370</v>
      </c>
      <c r="AZ44" s="75" t="s">
        <v>2369</v>
      </c>
      <c r="BA44" s="75">
        <v>31</v>
      </c>
      <c r="BB44" s="75">
        <v>9.6999999999999993</v>
      </c>
      <c r="BC44" s="75">
        <v>75</v>
      </c>
      <c r="BD44" s="75">
        <v>0.11</v>
      </c>
      <c r="BE44" s="75" t="s">
        <v>97</v>
      </c>
      <c r="BF44" s="75"/>
      <c r="BG44" s="75">
        <v>2177</v>
      </c>
      <c r="BH44" s="77"/>
      <c r="BI44" s="77"/>
      <c r="BJ44" s="77"/>
      <c r="BK44" s="75">
        <v>1950</v>
      </c>
      <c r="BL44" s="75">
        <f t="shared" si="0"/>
        <v>4127</v>
      </c>
      <c r="BM44" s="103">
        <f t="shared" si="1"/>
        <v>226.98500000000001</v>
      </c>
      <c r="BN44" s="103">
        <f t="shared" si="2"/>
        <v>4353.9849999999997</v>
      </c>
      <c r="BO44" s="103">
        <v>6610.8</v>
      </c>
      <c r="BP44" s="75" t="s">
        <v>97</v>
      </c>
      <c r="BQ44" s="75"/>
      <c r="BR44" s="75"/>
      <c r="BS44" s="157">
        <v>2016</v>
      </c>
      <c r="BT44">
        <v>2020</v>
      </c>
      <c r="BU44">
        <v>2016</v>
      </c>
    </row>
    <row r="45" spans="1:73" ht="43.15" customHeight="1" x14ac:dyDescent="0.25">
      <c r="A45" s="242" t="s">
        <v>1824</v>
      </c>
      <c r="B45" s="242" t="s">
        <v>2368</v>
      </c>
      <c r="C45" s="159">
        <v>400</v>
      </c>
      <c r="D45" s="114">
        <v>42482</v>
      </c>
      <c r="E45" s="114" t="s">
        <v>9</v>
      </c>
      <c r="F45" s="114" t="s">
        <v>2367</v>
      </c>
      <c r="G45" s="114"/>
      <c r="H45" s="114">
        <v>42611</v>
      </c>
      <c r="I45" s="114">
        <v>42611</v>
      </c>
      <c r="J45" s="114">
        <v>42625</v>
      </c>
      <c r="K45" s="76"/>
      <c r="L45" s="114">
        <v>42670</v>
      </c>
      <c r="M45" s="114">
        <v>42634</v>
      </c>
      <c r="N45" s="114"/>
      <c r="O45" s="114">
        <v>42670</v>
      </c>
      <c r="P45" s="114">
        <v>42670</v>
      </c>
      <c r="Q45" s="114">
        <v>42678</v>
      </c>
      <c r="R45" s="80"/>
      <c r="S45" s="114"/>
      <c r="T45" s="75"/>
      <c r="U45" s="75"/>
      <c r="V45" s="75"/>
      <c r="W45" s="75">
        <v>2</v>
      </c>
      <c r="X45" s="75">
        <v>51647</v>
      </c>
      <c r="Y45" s="75" t="str">
        <f ca="1">IF(I45="",IF(D45="","",IF(W45+X45&lt;15,"Données Nb pers ou RFR manquantes",IF(COUNTA(INDIRECT("TabRFR["&amp;YEAR(D45)&amp;"]"))&lt;&gt;COUNTA(TabRFR[Recherche RFR]),"Data RFR manquantes", IF(X45&lt;=INDEX(TabRFR[[2021]:[2025]],MATCH(BD!W45&amp;"-Très modestes",TabRFR[Recherche RFR],0),MATCH(TEXT(YEAR(BD!D45),"Standard"),TabRFR[[#Headers],[2021]:[2025]],0)),"Très Modeste",IF(X45&lt;=INDEX(TabRFR[[2021]:[2025]],MATCH(BD!W45&amp;"-modestes",TabRFR[Recherche RFR],0),MATCH(TEXT(YEAR(BD!D45),"Standard"),TabRFR[[#Headers],[2021]:[2025]],0)),"Modeste",IF(X45&lt;=INDEX(TabRFR[[2021]:[2025]],MATCH(BD!W45&amp;"-Intermédiaire",TabRFR[Recherche RFR],0),MATCH(TEXT(YEAR(BD!D45),"Standard"),TabRFR[[#Headers],[2021]:[2025]],0)),"Intermédiaire","Supérieur")))))),IF(D45="","",IF(W45+X45&lt;15,"Données Nb pers ou RFR manquantes",IF(COUNTA(INDIRECT("TabRFR["&amp;YEAR(I45)&amp;"]"))&lt;&gt;COUNTA(TabRFR[Recherche RFR]),"Data RFR manquantes", IF(X45&lt;=INDEX(TabRFR[[2021]:[2025]],MATCH(BD!W45&amp;"-Très modestes",TabRFR[Recherche RFR],0),MATCH(TEXT(YEAR(BD!I45),"Standard"),TabRFR[[#Headers],[2021]:[2025]],0)),"Très Modeste",IF(X45&lt;=INDEX(TabRFR[[2021]:[2025]],MATCH(BD!W45&amp;"-modestes",TabRFR[Recherche RFR],0),MATCH(TEXT(YEAR(BD!I45),"Standard"),TabRFR[[#Headers],[2021]:[2025]],0)),"Modeste",IF(X45&lt;=INDEX(TabRFR[[2021]:[2025]],MATCH(BD!W45&amp;"-Intermédiaire",TabRFR[Recherche RFR],0),MATCH(TEXT(YEAR(BD!I45),"Standard"),TabRFR[[#Headers],[2021]:[2025]],0)),"Intermédiaire","Supérieur")))))))</f>
        <v>Data RFR manquantes</v>
      </c>
      <c r="Z45" s="75"/>
      <c r="AA45" s="75" t="s">
        <v>2365</v>
      </c>
      <c r="AB45" s="75">
        <v>38500</v>
      </c>
      <c r="AC45" s="75" t="s">
        <v>118</v>
      </c>
      <c r="AD45" s="101"/>
      <c r="AE45" s="102"/>
      <c r="AF45" s="75" t="s">
        <v>95</v>
      </c>
      <c r="AG45" s="75"/>
      <c r="AH45" s="75">
        <v>1988</v>
      </c>
      <c r="AI45" s="75"/>
      <c r="AJ45" s="75"/>
      <c r="AK45" s="75"/>
      <c r="AL45" s="75"/>
      <c r="AM45" s="75" t="s">
        <v>1886</v>
      </c>
      <c r="AN45" s="75" t="s">
        <v>195</v>
      </c>
      <c r="AO45" s="75" t="s">
        <v>196</v>
      </c>
      <c r="AP45" s="75" t="s">
        <v>97</v>
      </c>
      <c r="AQ45" s="75"/>
      <c r="AR45" s="75"/>
      <c r="AS45" s="102" t="s">
        <v>2283</v>
      </c>
      <c r="AT45" s="101">
        <v>786422481</v>
      </c>
      <c r="AU45" s="75" t="s">
        <v>111</v>
      </c>
      <c r="AV45" s="75">
        <v>1989</v>
      </c>
      <c r="AW45" s="75" t="s">
        <v>100</v>
      </c>
      <c r="AX45" s="75" t="s">
        <v>2071</v>
      </c>
      <c r="AY45" s="75" t="s">
        <v>2363</v>
      </c>
      <c r="AZ45" s="75" t="s">
        <v>2362</v>
      </c>
      <c r="BA45" s="75">
        <v>16</v>
      </c>
      <c r="BB45" s="75">
        <v>9</v>
      </c>
      <c r="BC45" s="75">
        <v>91.8</v>
      </c>
      <c r="BD45" s="75">
        <v>0</v>
      </c>
      <c r="BE45" s="75" t="s">
        <v>97</v>
      </c>
      <c r="BF45" s="75"/>
      <c r="BG45" s="75">
        <v>3480</v>
      </c>
      <c r="BH45" s="77"/>
      <c r="BI45" s="77"/>
      <c r="BJ45" s="77"/>
      <c r="BK45" s="75">
        <v>640</v>
      </c>
      <c r="BL45" s="75">
        <f t="shared" si="0"/>
        <v>4120</v>
      </c>
      <c r="BM45" s="103">
        <f t="shared" si="1"/>
        <v>226.6</v>
      </c>
      <c r="BN45" s="103">
        <f t="shared" si="2"/>
        <v>4346.6000000000004</v>
      </c>
      <c r="BO45" s="103">
        <v>4346</v>
      </c>
      <c r="BP45" s="75" t="s">
        <v>104</v>
      </c>
      <c r="BQ45" s="75"/>
      <c r="BR45" s="75"/>
      <c r="BS45" s="157">
        <v>2016</v>
      </c>
      <c r="BU45">
        <v>2016</v>
      </c>
    </row>
    <row r="46" spans="1:73" ht="43.15" customHeight="1" x14ac:dyDescent="0.25">
      <c r="A46" s="242" t="s">
        <v>186</v>
      </c>
      <c r="B46" s="242" t="s">
        <v>2361</v>
      </c>
      <c r="C46" s="159">
        <v>800</v>
      </c>
      <c r="D46" s="114">
        <v>42482</v>
      </c>
      <c r="E46" s="114" t="s">
        <v>9</v>
      </c>
      <c r="F46" s="114" t="s">
        <v>9</v>
      </c>
      <c r="G46" s="114" t="s">
        <v>9</v>
      </c>
      <c r="H46" s="114">
        <v>42515</v>
      </c>
      <c r="I46" s="114">
        <v>42515</v>
      </c>
      <c r="J46" s="114">
        <v>42520</v>
      </c>
      <c r="K46" s="76"/>
      <c r="L46" s="114">
        <v>42695</v>
      </c>
      <c r="M46" s="114">
        <v>42678</v>
      </c>
      <c r="N46" s="114"/>
      <c r="O46" s="114">
        <v>42695</v>
      </c>
      <c r="P46" s="114">
        <v>42695</v>
      </c>
      <c r="Q46" s="114">
        <v>42706</v>
      </c>
      <c r="R46" s="81"/>
      <c r="S46" s="114"/>
      <c r="T46" s="75"/>
      <c r="U46" s="75"/>
      <c r="V46" s="75"/>
      <c r="W46" s="75">
        <v>1</v>
      </c>
      <c r="X46" s="75">
        <v>14451</v>
      </c>
      <c r="Y46" s="75" t="str">
        <f ca="1">IF(I46="",IF(D46="","",IF(W46+X46&lt;15,"Données Nb pers ou RFR manquantes",IF(COUNTA(INDIRECT("TabRFR["&amp;YEAR(D46)&amp;"]"))&lt;&gt;COUNTA(TabRFR[Recherche RFR]),"Data RFR manquantes", IF(X46&lt;=INDEX(TabRFR[[2021]:[2025]],MATCH(BD!W46&amp;"-Très modestes",TabRFR[Recherche RFR],0),MATCH(TEXT(YEAR(BD!D46),"Standard"),TabRFR[[#Headers],[2021]:[2025]],0)),"Très Modeste",IF(X46&lt;=INDEX(TabRFR[[2021]:[2025]],MATCH(BD!W46&amp;"-modestes",TabRFR[Recherche RFR],0),MATCH(TEXT(YEAR(BD!D46),"Standard"),TabRFR[[#Headers],[2021]:[2025]],0)),"Modeste",IF(X46&lt;=INDEX(TabRFR[[2021]:[2025]],MATCH(BD!W46&amp;"-Intermédiaire",TabRFR[Recherche RFR],0),MATCH(TEXT(YEAR(BD!D46),"Standard"),TabRFR[[#Headers],[2021]:[2025]],0)),"Intermédiaire","Supérieur")))))),IF(D46="","",IF(W46+X46&lt;15,"Données Nb pers ou RFR manquantes",IF(COUNTA(INDIRECT("TabRFR["&amp;YEAR(I46)&amp;"]"))&lt;&gt;COUNTA(TabRFR[Recherche RFR]),"Data RFR manquantes", IF(X46&lt;=INDEX(TabRFR[[2021]:[2025]],MATCH(BD!W46&amp;"-Très modestes",TabRFR[Recherche RFR],0),MATCH(TEXT(YEAR(BD!I46),"Standard"),TabRFR[[#Headers],[2021]:[2025]],0)),"Très Modeste",IF(X46&lt;=INDEX(TabRFR[[2021]:[2025]],MATCH(BD!W46&amp;"-modestes",TabRFR[Recherche RFR],0),MATCH(TEXT(YEAR(BD!I46),"Standard"),TabRFR[[#Headers],[2021]:[2025]],0)),"Modeste",IF(X46&lt;=INDEX(TabRFR[[2021]:[2025]],MATCH(BD!W46&amp;"-Intermédiaire",TabRFR[Recherche RFR],0),MATCH(TEXT(YEAR(BD!I46),"Standard"),TabRFR[[#Headers],[2021]:[2025]],0)),"Intermédiaire","Supérieur")))))))</f>
        <v>Data RFR manquantes</v>
      </c>
      <c r="Z46" s="239"/>
      <c r="AA46" s="75" t="s">
        <v>2358</v>
      </c>
      <c r="AB46" s="75">
        <v>38140</v>
      </c>
      <c r="AC46" s="75" t="s">
        <v>2357</v>
      </c>
      <c r="AD46" s="101"/>
      <c r="AE46" s="102"/>
      <c r="AF46" s="75" t="s">
        <v>95</v>
      </c>
      <c r="AG46" s="75"/>
      <c r="AH46" s="75">
        <v>1975</v>
      </c>
      <c r="AI46" s="75"/>
      <c r="AJ46" s="75"/>
      <c r="AK46" s="75"/>
      <c r="AL46" s="75"/>
      <c r="AM46" s="75" t="s">
        <v>4236</v>
      </c>
      <c r="AN46" s="75" t="s">
        <v>4091</v>
      </c>
      <c r="AO46" s="75" t="s">
        <v>163</v>
      </c>
      <c r="AP46" s="75" t="s">
        <v>97</v>
      </c>
      <c r="AQ46" s="75"/>
      <c r="AR46" s="75"/>
      <c r="AS46" s="102" t="s">
        <v>164</v>
      </c>
      <c r="AT46" s="101">
        <v>476370350</v>
      </c>
      <c r="AU46" s="75" t="s">
        <v>399</v>
      </c>
      <c r="AV46" s="75">
        <v>1976</v>
      </c>
      <c r="AW46" s="75" t="s">
        <v>100</v>
      </c>
      <c r="AX46" s="75" t="s">
        <v>2071</v>
      </c>
      <c r="AY46" s="75" t="s">
        <v>1883</v>
      </c>
      <c r="AZ46" s="75" t="s">
        <v>1193</v>
      </c>
      <c r="BA46" s="75">
        <v>19</v>
      </c>
      <c r="BB46" s="75">
        <v>9</v>
      </c>
      <c r="BC46" s="75">
        <v>91</v>
      </c>
      <c r="BD46" s="75">
        <v>0.01</v>
      </c>
      <c r="BE46" s="75" t="s">
        <v>1885</v>
      </c>
      <c r="BF46" s="75"/>
      <c r="BG46" s="75">
        <v>4401</v>
      </c>
      <c r="BH46" s="77"/>
      <c r="BI46" s="77"/>
      <c r="BJ46" s="77"/>
      <c r="BK46" s="75">
        <v>590</v>
      </c>
      <c r="BL46" s="75">
        <f t="shared" si="0"/>
        <v>4991</v>
      </c>
      <c r="BM46" s="103">
        <f t="shared" si="1"/>
        <v>274.505</v>
      </c>
      <c r="BN46" s="103">
        <f t="shared" si="2"/>
        <v>5265.5050000000001</v>
      </c>
      <c r="BO46" s="103"/>
      <c r="BP46" s="75" t="s">
        <v>97</v>
      </c>
      <c r="BQ46" s="75"/>
      <c r="BR46" s="75"/>
      <c r="BS46" s="157">
        <v>2016</v>
      </c>
      <c r="BU46">
        <v>2016</v>
      </c>
    </row>
    <row r="47" spans="1:73" ht="43.15" customHeight="1" x14ac:dyDescent="0.25">
      <c r="A47" s="242" t="s">
        <v>186</v>
      </c>
      <c r="B47" s="242" t="s">
        <v>2356</v>
      </c>
      <c r="C47" s="159">
        <v>800</v>
      </c>
      <c r="D47" s="114">
        <v>42485</v>
      </c>
      <c r="E47" s="114" t="s">
        <v>9</v>
      </c>
      <c r="F47" s="114" t="s">
        <v>9</v>
      </c>
      <c r="G47" s="114" t="s">
        <v>9</v>
      </c>
      <c r="H47" s="114">
        <v>42515</v>
      </c>
      <c r="I47" s="114">
        <v>42515</v>
      </c>
      <c r="J47" s="114">
        <v>42520</v>
      </c>
      <c r="K47" s="76"/>
      <c r="L47" s="114">
        <v>42601</v>
      </c>
      <c r="M47" s="114">
        <v>42580</v>
      </c>
      <c r="N47" s="114"/>
      <c r="O47" s="114">
        <v>42604</v>
      </c>
      <c r="P47" s="114">
        <v>42604</v>
      </c>
      <c r="Q47" s="114">
        <v>42622</v>
      </c>
      <c r="R47" s="81"/>
      <c r="S47" s="114"/>
      <c r="T47" s="75"/>
      <c r="U47" s="75"/>
      <c r="V47" s="75"/>
      <c r="W47" s="75">
        <v>4</v>
      </c>
      <c r="X47" s="75">
        <v>36753</v>
      </c>
      <c r="Y47" s="75" t="str">
        <f ca="1">IF(I47="",IF(D47="","",IF(W47+X47&lt;15,"Données Nb pers ou RFR manquantes",IF(COUNTA(INDIRECT("TabRFR["&amp;YEAR(D47)&amp;"]"))&lt;&gt;COUNTA(TabRFR[Recherche RFR]),"Data RFR manquantes", IF(X47&lt;=INDEX(TabRFR[[2021]:[2025]],MATCH(BD!W47&amp;"-Très modestes",TabRFR[Recherche RFR],0),MATCH(TEXT(YEAR(BD!D47),"Standard"),TabRFR[[#Headers],[2021]:[2025]],0)),"Très Modeste",IF(X47&lt;=INDEX(TabRFR[[2021]:[2025]],MATCH(BD!W47&amp;"-modestes",TabRFR[Recherche RFR],0),MATCH(TEXT(YEAR(BD!D47),"Standard"),TabRFR[[#Headers],[2021]:[2025]],0)),"Modeste",IF(X47&lt;=INDEX(TabRFR[[2021]:[2025]],MATCH(BD!W47&amp;"-Intermédiaire",TabRFR[Recherche RFR],0),MATCH(TEXT(YEAR(BD!D47),"Standard"),TabRFR[[#Headers],[2021]:[2025]],0)),"Intermédiaire","Supérieur")))))),IF(D47="","",IF(W47+X47&lt;15,"Données Nb pers ou RFR manquantes",IF(COUNTA(INDIRECT("TabRFR["&amp;YEAR(I47)&amp;"]"))&lt;&gt;COUNTA(TabRFR[Recherche RFR]),"Data RFR manquantes", IF(X47&lt;=INDEX(TabRFR[[2021]:[2025]],MATCH(BD!W47&amp;"-Très modestes",TabRFR[Recherche RFR],0),MATCH(TEXT(YEAR(BD!I47),"Standard"),TabRFR[[#Headers],[2021]:[2025]],0)),"Très Modeste",IF(X47&lt;=INDEX(TabRFR[[2021]:[2025]],MATCH(BD!W47&amp;"-modestes",TabRFR[Recherche RFR],0),MATCH(TEXT(YEAR(BD!I47),"Standard"),TabRFR[[#Headers],[2021]:[2025]],0)),"Modeste",IF(X47&lt;=INDEX(TabRFR[[2021]:[2025]],MATCH(BD!W47&amp;"-Intermédiaire",TabRFR[Recherche RFR],0),MATCH(TEXT(YEAR(BD!I47),"Standard"),TabRFR[[#Headers],[2021]:[2025]],0)),"Intermédiaire","Supérieur")))))))</f>
        <v>Data RFR manquantes</v>
      </c>
      <c r="Z47" s="75"/>
      <c r="AA47" s="75" t="s">
        <v>2354</v>
      </c>
      <c r="AB47" s="75">
        <v>38850</v>
      </c>
      <c r="AC47" s="75" t="s">
        <v>148</v>
      </c>
      <c r="AD47" s="101"/>
      <c r="AE47" s="102"/>
      <c r="AF47" s="75" t="s">
        <v>95</v>
      </c>
      <c r="AG47" s="75"/>
      <c r="AH47" s="75">
        <v>1999</v>
      </c>
      <c r="AI47" s="75"/>
      <c r="AJ47" s="75"/>
      <c r="AK47" s="75"/>
      <c r="AL47" s="75"/>
      <c r="AM47" s="75" t="s">
        <v>4348</v>
      </c>
      <c r="AN47" s="75" t="s">
        <v>96</v>
      </c>
      <c r="AO47" s="75" t="s">
        <v>238</v>
      </c>
      <c r="AP47" s="75" t="s">
        <v>97</v>
      </c>
      <c r="AQ47" s="75"/>
      <c r="AR47" s="75"/>
      <c r="AS47" s="102" t="s">
        <v>1571</v>
      </c>
      <c r="AT47" s="101">
        <v>476323235</v>
      </c>
      <c r="AU47" s="75" t="s">
        <v>399</v>
      </c>
      <c r="AV47" s="75">
        <v>1999</v>
      </c>
      <c r="AW47" s="75" t="s">
        <v>100</v>
      </c>
      <c r="AX47" s="75" t="s">
        <v>112</v>
      </c>
      <c r="AY47" s="75" t="s">
        <v>2155</v>
      </c>
      <c r="AZ47" s="75" t="s">
        <v>803</v>
      </c>
      <c r="BA47" s="75">
        <v>14</v>
      </c>
      <c r="BB47" s="75">
        <v>7.9</v>
      </c>
      <c r="BC47" s="75">
        <v>77</v>
      </c>
      <c r="BD47" s="75">
        <v>7.0000000000000007E-2</v>
      </c>
      <c r="BE47" s="75" t="s">
        <v>97</v>
      </c>
      <c r="BF47" s="75"/>
      <c r="BG47" s="75">
        <v>2724</v>
      </c>
      <c r="BH47" s="77"/>
      <c r="BI47" s="77"/>
      <c r="BJ47" s="77"/>
      <c r="BK47" s="75">
        <v>260</v>
      </c>
      <c r="BL47" s="75">
        <f t="shared" si="0"/>
        <v>2984</v>
      </c>
      <c r="BM47" s="103">
        <f t="shared" si="1"/>
        <v>164.12</v>
      </c>
      <c r="BN47" s="103">
        <f t="shared" si="2"/>
        <v>3148.12</v>
      </c>
      <c r="BO47" s="103">
        <v>2890</v>
      </c>
      <c r="BP47" s="75" t="s">
        <v>97</v>
      </c>
      <c r="BQ47" s="75"/>
      <c r="BR47" s="75"/>
      <c r="BS47" s="157">
        <v>2016</v>
      </c>
      <c r="BT47">
        <v>2020</v>
      </c>
      <c r="BU47">
        <v>2016</v>
      </c>
    </row>
    <row r="48" spans="1:73" ht="43.15" customHeight="1" x14ac:dyDescent="0.25">
      <c r="A48" s="242" t="s">
        <v>186</v>
      </c>
      <c r="B48" s="242" t="s">
        <v>2352</v>
      </c>
      <c r="C48" s="159">
        <v>400</v>
      </c>
      <c r="D48" s="114">
        <v>42485</v>
      </c>
      <c r="E48" s="114" t="s">
        <v>9</v>
      </c>
      <c r="F48" s="114" t="s">
        <v>9</v>
      </c>
      <c r="G48" s="114" t="s">
        <v>9</v>
      </c>
      <c r="H48" s="114">
        <v>42515</v>
      </c>
      <c r="I48" s="114">
        <v>42515</v>
      </c>
      <c r="J48" s="114">
        <v>42520</v>
      </c>
      <c r="K48" s="76"/>
      <c r="L48" s="114">
        <v>42524</v>
      </c>
      <c r="M48" s="114">
        <v>42521</v>
      </c>
      <c r="N48" s="114"/>
      <c r="O48" s="114">
        <v>42528</v>
      </c>
      <c r="P48" s="114">
        <v>42528</v>
      </c>
      <c r="Q48" s="114">
        <v>42549</v>
      </c>
      <c r="R48" s="80"/>
      <c r="S48" s="114"/>
      <c r="T48" s="75"/>
      <c r="U48" s="75"/>
      <c r="V48" s="75"/>
      <c r="W48" s="75">
        <v>3</v>
      </c>
      <c r="X48" s="75">
        <v>32822</v>
      </c>
      <c r="Y48" s="75" t="str">
        <f ca="1">IF(I48="",IF(D48="","",IF(W48+X48&lt;15,"Données Nb pers ou RFR manquantes",IF(COUNTA(INDIRECT("TabRFR["&amp;YEAR(D48)&amp;"]"))&lt;&gt;COUNTA(TabRFR[Recherche RFR]),"Data RFR manquantes", IF(X48&lt;=INDEX(TabRFR[[2021]:[2025]],MATCH(BD!W48&amp;"-Très modestes",TabRFR[Recherche RFR],0),MATCH(TEXT(YEAR(BD!D48),"Standard"),TabRFR[[#Headers],[2021]:[2025]],0)),"Très Modeste",IF(X48&lt;=INDEX(TabRFR[[2021]:[2025]],MATCH(BD!W48&amp;"-modestes",TabRFR[Recherche RFR],0),MATCH(TEXT(YEAR(BD!D48),"Standard"),TabRFR[[#Headers],[2021]:[2025]],0)),"Modeste",IF(X48&lt;=INDEX(TabRFR[[2021]:[2025]],MATCH(BD!W48&amp;"-Intermédiaire",TabRFR[Recherche RFR],0),MATCH(TEXT(YEAR(BD!D48),"Standard"),TabRFR[[#Headers],[2021]:[2025]],0)),"Intermédiaire","Supérieur")))))),IF(D48="","",IF(W48+X48&lt;15,"Données Nb pers ou RFR manquantes",IF(COUNTA(INDIRECT("TabRFR["&amp;YEAR(I48)&amp;"]"))&lt;&gt;COUNTA(TabRFR[Recherche RFR]),"Data RFR manquantes", IF(X48&lt;=INDEX(TabRFR[[2021]:[2025]],MATCH(BD!W48&amp;"-Très modestes",TabRFR[Recherche RFR],0),MATCH(TEXT(YEAR(BD!I48),"Standard"),TabRFR[[#Headers],[2021]:[2025]],0)),"Très Modeste",IF(X48&lt;=INDEX(TabRFR[[2021]:[2025]],MATCH(BD!W48&amp;"-modestes",TabRFR[Recherche RFR],0),MATCH(TEXT(YEAR(BD!I48),"Standard"),TabRFR[[#Headers],[2021]:[2025]],0)),"Modeste",IF(X48&lt;=INDEX(TabRFR[[2021]:[2025]],MATCH(BD!W48&amp;"-Intermédiaire",TabRFR[Recherche RFR],0),MATCH(TEXT(YEAR(BD!I48),"Standard"),TabRFR[[#Headers],[2021]:[2025]],0)),"Intermédiaire","Supérieur")))))))</f>
        <v>Data RFR manquantes</v>
      </c>
      <c r="Z48" s="75"/>
      <c r="AA48" s="75" t="s">
        <v>2350</v>
      </c>
      <c r="AB48" s="75">
        <v>38140</v>
      </c>
      <c r="AC48" s="75" t="s">
        <v>321</v>
      </c>
      <c r="AD48" s="101"/>
      <c r="AE48" s="102"/>
      <c r="AF48" s="75" t="s">
        <v>95</v>
      </c>
      <c r="AG48" s="75"/>
      <c r="AH48" s="75">
        <v>2005</v>
      </c>
      <c r="AI48" s="75"/>
      <c r="AJ48" s="75"/>
      <c r="AK48" s="75"/>
      <c r="AL48" s="75"/>
      <c r="AM48" s="75" t="s">
        <v>4233</v>
      </c>
      <c r="AN48" s="75" t="s">
        <v>829</v>
      </c>
      <c r="AO48" s="75" t="s">
        <v>2341</v>
      </c>
      <c r="AP48" s="75" t="s">
        <v>97</v>
      </c>
      <c r="AQ48" s="75"/>
      <c r="AR48" s="75"/>
      <c r="AS48" s="102" t="s">
        <v>211</v>
      </c>
      <c r="AT48" s="101">
        <v>438029038</v>
      </c>
      <c r="AU48" s="75" t="s">
        <v>430</v>
      </c>
      <c r="AV48" s="75"/>
      <c r="AW48" s="75" t="s">
        <v>111</v>
      </c>
      <c r="AX48" s="75" t="s">
        <v>112</v>
      </c>
      <c r="AY48" s="75" t="s">
        <v>2348</v>
      </c>
      <c r="AZ48" s="75" t="s">
        <v>2347</v>
      </c>
      <c r="BA48" s="75">
        <v>15</v>
      </c>
      <c r="BB48" s="75">
        <v>14</v>
      </c>
      <c r="BC48" s="75">
        <v>80</v>
      </c>
      <c r="BD48" s="75">
        <v>0.11</v>
      </c>
      <c r="BE48" s="75" t="s">
        <v>97</v>
      </c>
      <c r="BF48" s="75"/>
      <c r="BG48" s="75">
        <v>3130</v>
      </c>
      <c r="BH48" s="77"/>
      <c r="BI48" s="77"/>
      <c r="BJ48" s="77"/>
      <c r="BK48" s="75">
        <v>1350</v>
      </c>
      <c r="BL48" s="75">
        <f t="shared" si="0"/>
        <v>4480</v>
      </c>
      <c r="BM48" s="103">
        <f t="shared" si="1"/>
        <v>246.4</v>
      </c>
      <c r="BN48" s="103">
        <f t="shared" si="2"/>
        <v>4726.3999999999996</v>
      </c>
      <c r="BO48" s="103">
        <v>7000</v>
      </c>
      <c r="BP48" s="75" t="s">
        <v>97</v>
      </c>
      <c r="BQ48" s="75"/>
      <c r="BR48" s="75"/>
      <c r="BS48" s="157">
        <v>2016</v>
      </c>
      <c r="BT48">
        <v>2020</v>
      </c>
      <c r="BU48">
        <v>2016</v>
      </c>
    </row>
    <row r="49" spans="1:73" ht="43.15" customHeight="1" x14ac:dyDescent="0.25">
      <c r="A49" s="242" t="s">
        <v>186</v>
      </c>
      <c r="B49" s="242" t="s">
        <v>2346</v>
      </c>
      <c r="C49" s="159">
        <v>400</v>
      </c>
      <c r="D49" s="114">
        <v>42500</v>
      </c>
      <c r="E49" s="114" t="s">
        <v>9</v>
      </c>
      <c r="F49" s="114" t="s">
        <v>2345</v>
      </c>
      <c r="G49" s="114"/>
      <c r="H49" s="114">
        <v>42667</v>
      </c>
      <c r="I49" s="114">
        <v>42667</v>
      </c>
      <c r="J49" s="114">
        <v>42677</v>
      </c>
      <c r="K49" s="76"/>
      <c r="L49" s="114">
        <v>42747</v>
      </c>
      <c r="M49" s="114">
        <v>42684</v>
      </c>
      <c r="N49" s="114"/>
      <c r="O49" s="114">
        <v>42752</v>
      </c>
      <c r="P49" s="114">
        <v>42752</v>
      </c>
      <c r="Q49" s="114">
        <v>42755</v>
      </c>
      <c r="R49" s="80"/>
      <c r="S49" s="114"/>
      <c r="T49" s="75"/>
      <c r="U49" s="75"/>
      <c r="V49" s="75"/>
      <c r="W49" s="75">
        <v>3</v>
      </c>
      <c r="X49" s="75">
        <v>45345</v>
      </c>
      <c r="Y49" s="75" t="str">
        <f ca="1">IF(I49="",IF(D49="","",IF(W49+X49&lt;15,"Données Nb pers ou RFR manquantes",IF(COUNTA(INDIRECT("TabRFR["&amp;YEAR(D49)&amp;"]"))&lt;&gt;COUNTA(TabRFR[Recherche RFR]),"Data RFR manquantes", IF(X49&lt;=INDEX(TabRFR[[2021]:[2025]],MATCH(BD!W49&amp;"-Très modestes",TabRFR[Recherche RFR],0),MATCH(TEXT(YEAR(BD!D49),"Standard"),TabRFR[[#Headers],[2021]:[2025]],0)),"Très Modeste",IF(X49&lt;=INDEX(TabRFR[[2021]:[2025]],MATCH(BD!W49&amp;"-modestes",TabRFR[Recherche RFR],0),MATCH(TEXT(YEAR(BD!D49),"Standard"),TabRFR[[#Headers],[2021]:[2025]],0)),"Modeste",IF(X49&lt;=INDEX(TabRFR[[2021]:[2025]],MATCH(BD!W49&amp;"-Intermédiaire",TabRFR[Recherche RFR],0),MATCH(TEXT(YEAR(BD!D49),"Standard"),TabRFR[[#Headers],[2021]:[2025]],0)),"Intermédiaire","Supérieur")))))),IF(D49="","",IF(W49+X49&lt;15,"Données Nb pers ou RFR manquantes",IF(COUNTA(INDIRECT("TabRFR["&amp;YEAR(I49)&amp;"]"))&lt;&gt;COUNTA(TabRFR[Recherche RFR]),"Data RFR manquantes", IF(X49&lt;=INDEX(TabRFR[[2021]:[2025]],MATCH(BD!W49&amp;"-Très modestes",TabRFR[Recherche RFR],0),MATCH(TEXT(YEAR(BD!I49),"Standard"),TabRFR[[#Headers],[2021]:[2025]],0)),"Très Modeste",IF(X49&lt;=INDEX(TabRFR[[2021]:[2025]],MATCH(BD!W49&amp;"-modestes",TabRFR[Recherche RFR],0),MATCH(TEXT(YEAR(BD!I49),"Standard"),TabRFR[[#Headers],[2021]:[2025]],0)),"Modeste",IF(X49&lt;=INDEX(TabRFR[[2021]:[2025]],MATCH(BD!W49&amp;"-Intermédiaire",TabRFR[Recherche RFR],0),MATCH(TEXT(YEAR(BD!I49),"Standard"),TabRFR[[#Headers],[2021]:[2025]],0)),"Intermédiaire","Supérieur")))))))</f>
        <v>Data RFR manquantes</v>
      </c>
      <c r="Z49" s="75"/>
      <c r="AA49" s="75" t="s">
        <v>2343</v>
      </c>
      <c r="AB49" s="75">
        <v>38430</v>
      </c>
      <c r="AC49" s="75" t="s">
        <v>3202</v>
      </c>
      <c r="AD49" s="101"/>
      <c r="AE49" s="102"/>
      <c r="AF49" s="75" t="s">
        <v>95</v>
      </c>
      <c r="AG49" s="75"/>
      <c r="AH49" s="75"/>
      <c r="AI49" s="75"/>
      <c r="AJ49" s="75"/>
      <c r="AK49" s="75"/>
      <c r="AL49" s="75"/>
      <c r="AM49" s="75" t="s">
        <v>4233</v>
      </c>
      <c r="AN49" s="75" t="s">
        <v>829</v>
      </c>
      <c r="AO49" s="75" t="s">
        <v>2341</v>
      </c>
      <c r="AP49" s="75" t="s">
        <v>97</v>
      </c>
      <c r="AQ49" s="75"/>
      <c r="AR49" s="75"/>
      <c r="AS49" s="102" t="s">
        <v>2340</v>
      </c>
      <c r="AT49" s="101">
        <v>438029038</v>
      </c>
      <c r="AU49" s="75" t="s">
        <v>111</v>
      </c>
      <c r="AV49" s="75"/>
      <c r="AW49" s="75" t="s">
        <v>100</v>
      </c>
      <c r="AX49" s="75" t="s">
        <v>2071</v>
      </c>
      <c r="AY49" s="75" t="s">
        <v>272</v>
      </c>
      <c r="AZ49" s="75" t="s">
        <v>2339</v>
      </c>
      <c r="BA49" s="75">
        <v>30</v>
      </c>
      <c r="BB49" s="75">
        <v>6</v>
      </c>
      <c r="BC49" s="75">
        <v>91</v>
      </c>
      <c r="BD49" s="75">
        <v>0.01</v>
      </c>
      <c r="BE49" s="75" t="s">
        <v>97</v>
      </c>
      <c r="BF49" s="75"/>
      <c r="BG49" s="75"/>
      <c r="BH49" s="77"/>
      <c r="BI49" s="77"/>
      <c r="BJ49" s="77"/>
      <c r="BK49" s="75"/>
      <c r="BL49" s="75">
        <f t="shared" si="0"/>
        <v>0</v>
      </c>
      <c r="BM49" s="103">
        <f t="shared" si="1"/>
        <v>0</v>
      </c>
      <c r="BN49" s="103">
        <f t="shared" si="2"/>
        <v>0</v>
      </c>
      <c r="BO49" s="103"/>
      <c r="BP49" s="75"/>
      <c r="BQ49" s="75"/>
      <c r="BR49" s="75"/>
      <c r="BS49" s="157">
        <v>2016</v>
      </c>
      <c r="BU49">
        <v>2016</v>
      </c>
    </row>
    <row r="50" spans="1:73" ht="43.15" customHeight="1" x14ac:dyDescent="0.25">
      <c r="A50" s="242" t="s">
        <v>186</v>
      </c>
      <c r="B50" s="242" t="s">
        <v>2338</v>
      </c>
      <c r="C50" s="159">
        <v>400</v>
      </c>
      <c r="D50" s="114">
        <v>42499</v>
      </c>
      <c r="E50" s="114" t="s">
        <v>9</v>
      </c>
      <c r="F50" s="114" t="s">
        <v>2337</v>
      </c>
      <c r="G50" s="114"/>
      <c r="H50" s="114">
        <v>42515</v>
      </c>
      <c r="I50" s="114">
        <v>42515</v>
      </c>
      <c r="J50" s="114">
        <v>42520</v>
      </c>
      <c r="K50" s="76"/>
      <c r="L50" s="114">
        <v>42576</v>
      </c>
      <c r="M50" s="114">
        <v>42549</v>
      </c>
      <c r="N50" s="114"/>
      <c r="O50" s="114">
        <v>42577</v>
      </c>
      <c r="P50" s="114">
        <v>42578</v>
      </c>
      <c r="Q50" s="114">
        <v>42579</v>
      </c>
      <c r="R50" s="80"/>
      <c r="S50" s="114"/>
      <c r="T50" s="75"/>
      <c r="U50" s="75"/>
      <c r="V50" s="75"/>
      <c r="W50" s="75">
        <v>5</v>
      </c>
      <c r="X50" s="75">
        <v>50000</v>
      </c>
      <c r="Y50" s="75" t="str">
        <f ca="1">IF(I50="",IF(D50="","",IF(W50+X50&lt;15,"Données Nb pers ou RFR manquantes",IF(COUNTA(INDIRECT("TabRFR["&amp;YEAR(D50)&amp;"]"))&lt;&gt;COUNTA(TabRFR[Recherche RFR]),"Data RFR manquantes", IF(X50&lt;=INDEX(TabRFR[[2021]:[2025]],MATCH(BD!W50&amp;"-Très modestes",TabRFR[Recherche RFR],0),MATCH(TEXT(YEAR(BD!D50),"Standard"),TabRFR[[#Headers],[2021]:[2025]],0)),"Très Modeste",IF(X50&lt;=INDEX(TabRFR[[2021]:[2025]],MATCH(BD!W50&amp;"-modestes",TabRFR[Recherche RFR],0),MATCH(TEXT(YEAR(BD!D50),"Standard"),TabRFR[[#Headers],[2021]:[2025]],0)),"Modeste",IF(X50&lt;=INDEX(TabRFR[[2021]:[2025]],MATCH(BD!W50&amp;"-Intermédiaire",TabRFR[Recherche RFR],0),MATCH(TEXT(YEAR(BD!D50),"Standard"),TabRFR[[#Headers],[2021]:[2025]],0)),"Intermédiaire","Supérieur")))))),IF(D50="","",IF(W50+X50&lt;15,"Données Nb pers ou RFR manquantes",IF(COUNTA(INDIRECT("TabRFR["&amp;YEAR(I50)&amp;"]"))&lt;&gt;COUNTA(TabRFR[Recherche RFR]),"Data RFR manquantes", IF(X50&lt;=INDEX(TabRFR[[2021]:[2025]],MATCH(BD!W50&amp;"-Très modestes",TabRFR[Recherche RFR],0),MATCH(TEXT(YEAR(BD!I50),"Standard"),TabRFR[[#Headers],[2021]:[2025]],0)),"Très Modeste",IF(X50&lt;=INDEX(TabRFR[[2021]:[2025]],MATCH(BD!W50&amp;"-modestes",TabRFR[Recherche RFR],0),MATCH(TEXT(YEAR(BD!I50),"Standard"),TabRFR[[#Headers],[2021]:[2025]],0)),"Modeste",IF(X50&lt;=INDEX(TabRFR[[2021]:[2025]],MATCH(BD!W50&amp;"-Intermédiaire",TabRFR[Recherche RFR],0),MATCH(TEXT(YEAR(BD!I50),"Standard"),TabRFR[[#Headers],[2021]:[2025]],0)),"Intermédiaire","Supérieur")))))))</f>
        <v>Data RFR manquantes</v>
      </c>
      <c r="Z50" s="75"/>
      <c r="AA50" s="75" t="s">
        <v>2335</v>
      </c>
      <c r="AB50" s="75">
        <v>38850</v>
      </c>
      <c r="AC50" s="75" t="s">
        <v>242</v>
      </c>
      <c r="AD50" s="101"/>
      <c r="AE50" s="102"/>
      <c r="AF50" s="75" t="s">
        <v>95</v>
      </c>
      <c r="AG50" s="75"/>
      <c r="AH50" s="75" t="s">
        <v>9</v>
      </c>
      <c r="AI50" s="75"/>
      <c r="AJ50" s="75"/>
      <c r="AK50" s="75"/>
      <c r="AL50" s="75"/>
      <c r="AM50" s="75" t="s">
        <v>4236</v>
      </c>
      <c r="AN50" s="75" t="s">
        <v>4091</v>
      </c>
      <c r="AO50" s="75" t="s">
        <v>163</v>
      </c>
      <c r="AP50" s="75" t="s">
        <v>97</v>
      </c>
      <c r="AQ50" s="75"/>
      <c r="AR50" s="75"/>
      <c r="AS50" s="102" t="s">
        <v>164</v>
      </c>
      <c r="AT50" s="101">
        <v>476370350</v>
      </c>
      <c r="AU50" s="75" t="s">
        <v>100</v>
      </c>
      <c r="AV50" s="75"/>
      <c r="AW50" s="75" t="s">
        <v>100</v>
      </c>
      <c r="AX50" s="75" t="s">
        <v>2071</v>
      </c>
      <c r="AY50" s="75" t="s">
        <v>1883</v>
      </c>
      <c r="AZ50" s="75" t="s">
        <v>1926</v>
      </c>
      <c r="BA50" s="75">
        <v>8</v>
      </c>
      <c r="BB50" s="75">
        <v>9</v>
      </c>
      <c r="BC50" s="75">
        <v>94</v>
      </c>
      <c r="BD50" s="75">
        <v>0.01</v>
      </c>
      <c r="BE50" s="75" t="s">
        <v>97</v>
      </c>
      <c r="BF50" s="75"/>
      <c r="BG50" s="75">
        <v>4891</v>
      </c>
      <c r="BH50" s="77"/>
      <c r="BI50" s="77"/>
      <c r="BJ50" s="77"/>
      <c r="BK50" s="75">
        <v>590</v>
      </c>
      <c r="BL50" s="75">
        <f t="shared" si="0"/>
        <v>5481</v>
      </c>
      <c r="BM50" s="103">
        <f t="shared" si="1"/>
        <v>301.45499999999998</v>
      </c>
      <c r="BN50" s="103">
        <f t="shared" si="2"/>
        <v>5782.4549999999999</v>
      </c>
      <c r="BO50" s="103">
        <v>5782.46</v>
      </c>
      <c r="BP50" s="75" t="s">
        <v>104</v>
      </c>
      <c r="BQ50" s="75"/>
      <c r="BR50" s="75"/>
      <c r="BS50" s="157">
        <v>2016</v>
      </c>
      <c r="BU50">
        <v>2016</v>
      </c>
    </row>
    <row r="51" spans="1:73" ht="43.15" customHeight="1" x14ac:dyDescent="0.25">
      <c r="A51" s="242" t="s">
        <v>186</v>
      </c>
      <c r="B51" s="242" t="s">
        <v>2333</v>
      </c>
      <c r="C51" s="159">
        <v>400</v>
      </c>
      <c r="D51" s="114">
        <v>42500</v>
      </c>
      <c r="E51" s="114" t="s">
        <v>9</v>
      </c>
      <c r="F51" s="114"/>
      <c r="G51" s="114"/>
      <c r="H51" s="114">
        <v>42521</v>
      </c>
      <c r="I51" s="114">
        <v>42521</v>
      </c>
      <c r="J51" s="114">
        <v>42544</v>
      </c>
      <c r="K51" s="76"/>
      <c r="L51" s="114">
        <v>42579</v>
      </c>
      <c r="M51" s="114">
        <v>42551</v>
      </c>
      <c r="N51" s="114"/>
      <c r="O51" s="114">
        <v>42598</v>
      </c>
      <c r="P51" s="114">
        <v>42598</v>
      </c>
      <c r="Q51" s="114">
        <v>42622</v>
      </c>
      <c r="R51" s="80"/>
      <c r="S51" s="114"/>
      <c r="T51" s="75"/>
      <c r="U51" s="75"/>
      <c r="V51" s="75"/>
      <c r="W51" s="75">
        <v>3</v>
      </c>
      <c r="X51" s="75">
        <v>81940</v>
      </c>
      <c r="Y51" s="75" t="str">
        <f ca="1">IF(I51="",IF(D51="","",IF(W51+X51&lt;15,"Données Nb pers ou RFR manquantes",IF(COUNTA(INDIRECT("TabRFR["&amp;YEAR(D51)&amp;"]"))&lt;&gt;COUNTA(TabRFR[Recherche RFR]),"Data RFR manquantes", IF(X51&lt;=INDEX(TabRFR[[2021]:[2025]],MATCH(BD!W51&amp;"-Très modestes",TabRFR[Recherche RFR],0),MATCH(TEXT(YEAR(BD!D51),"Standard"),TabRFR[[#Headers],[2021]:[2025]],0)),"Très Modeste",IF(X51&lt;=INDEX(TabRFR[[2021]:[2025]],MATCH(BD!W51&amp;"-modestes",TabRFR[Recherche RFR],0),MATCH(TEXT(YEAR(BD!D51),"Standard"),TabRFR[[#Headers],[2021]:[2025]],0)),"Modeste",IF(X51&lt;=INDEX(TabRFR[[2021]:[2025]],MATCH(BD!W51&amp;"-Intermédiaire",TabRFR[Recherche RFR],0),MATCH(TEXT(YEAR(BD!D51),"Standard"),TabRFR[[#Headers],[2021]:[2025]],0)),"Intermédiaire","Supérieur")))))),IF(D51="","",IF(W51+X51&lt;15,"Données Nb pers ou RFR manquantes",IF(COUNTA(INDIRECT("TabRFR["&amp;YEAR(I51)&amp;"]"))&lt;&gt;COUNTA(TabRFR[Recherche RFR]),"Data RFR manquantes", IF(X51&lt;=INDEX(TabRFR[[2021]:[2025]],MATCH(BD!W51&amp;"-Très modestes",TabRFR[Recherche RFR],0),MATCH(TEXT(YEAR(BD!I51),"Standard"),TabRFR[[#Headers],[2021]:[2025]],0)),"Très Modeste",IF(X51&lt;=INDEX(TabRFR[[2021]:[2025]],MATCH(BD!W51&amp;"-modestes",TabRFR[Recherche RFR],0),MATCH(TEXT(YEAR(BD!I51),"Standard"),TabRFR[[#Headers],[2021]:[2025]],0)),"Modeste",IF(X51&lt;=INDEX(TabRFR[[2021]:[2025]],MATCH(BD!W51&amp;"-Intermédiaire",TabRFR[Recherche RFR],0),MATCH(TEXT(YEAR(BD!I51),"Standard"),TabRFR[[#Headers],[2021]:[2025]],0)),"Intermédiaire","Supérieur")))))))</f>
        <v>Data RFR manquantes</v>
      </c>
      <c r="Z51" s="75"/>
      <c r="AA51" s="75" t="s">
        <v>2330</v>
      </c>
      <c r="AB51" s="75">
        <v>38210</v>
      </c>
      <c r="AC51" s="75" t="s">
        <v>195</v>
      </c>
      <c r="AD51" s="101"/>
      <c r="AE51" s="102"/>
      <c r="AF51" s="75" t="s">
        <v>95</v>
      </c>
      <c r="AG51" s="75"/>
      <c r="AH51" s="75">
        <v>2016</v>
      </c>
      <c r="AI51" s="75">
        <v>833</v>
      </c>
      <c r="AJ51" s="75" t="s">
        <v>2328</v>
      </c>
      <c r="AK51" s="75">
        <v>38210</v>
      </c>
      <c r="AL51" s="75" t="s">
        <v>195</v>
      </c>
      <c r="AM51" s="75" t="s">
        <v>350</v>
      </c>
      <c r="AN51" s="75" t="s">
        <v>451</v>
      </c>
      <c r="AO51" s="75" t="s">
        <v>2327</v>
      </c>
      <c r="AP51" s="75" t="s">
        <v>97</v>
      </c>
      <c r="AQ51" s="75"/>
      <c r="AR51" s="75"/>
      <c r="AS51" s="102" t="s">
        <v>453</v>
      </c>
      <c r="AT51" s="101">
        <v>438920220</v>
      </c>
      <c r="AU51" s="75" t="s">
        <v>111</v>
      </c>
      <c r="AV51" s="75"/>
      <c r="AW51" s="75" t="s">
        <v>100</v>
      </c>
      <c r="AX51" s="75" t="s">
        <v>112</v>
      </c>
      <c r="AY51" s="75" t="s">
        <v>2155</v>
      </c>
      <c r="AZ51" s="75" t="s">
        <v>2203</v>
      </c>
      <c r="BA51" s="75">
        <v>14</v>
      </c>
      <c r="BB51" s="75">
        <v>7</v>
      </c>
      <c r="BC51" s="75">
        <v>77</v>
      </c>
      <c r="BD51" s="75">
        <v>7.0000000000000007E-2</v>
      </c>
      <c r="BE51" s="75" t="s">
        <v>97</v>
      </c>
      <c r="BF51" s="75"/>
      <c r="BG51" s="75">
        <v>6515</v>
      </c>
      <c r="BH51" s="77"/>
      <c r="BI51" s="77"/>
      <c r="BJ51" s="77"/>
      <c r="BK51" s="75">
        <v>829</v>
      </c>
      <c r="BL51" s="75">
        <f t="shared" si="0"/>
        <v>7344</v>
      </c>
      <c r="BM51" s="103">
        <f t="shared" si="1"/>
        <v>403.92</v>
      </c>
      <c r="BN51" s="103">
        <f t="shared" si="2"/>
        <v>7747.92</v>
      </c>
      <c r="BO51" s="103">
        <v>7748</v>
      </c>
      <c r="BP51" s="75" t="s">
        <v>97</v>
      </c>
      <c r="BQ51" s="75"/>
      <c r="BR51" s="75"/>
      <c r="BS51" s="157">
        <v>2016</v>
      </c>
      <c r="BT51">
        <v>2020</v>
      </c>
      <c r="BU51">
        <v>2016</v>
      </c>
    </row>
    <row r="52" spans="1:73" ht="43.15" customHeight="1" x14ac:dyDescent="0.25">
      <c r="A52" s="242" t="s">
        <v>186</v>
      </c>
      <c r="B52" s="242" t="s">
        <v>2326</v>
      </c>
      <c r="C52" s="159">
        <v>400</v>
      </c>
      <c r="D52" s="114">
        <v>42513</v>
      </c>
      <c r="E52" s="114" t="s">
        <v>9</v>
      </c>
      <c r="F52" s="114" t="s">
        <v>2325</v>
      </c>
      <c r="G52" s="114"/>
      <c r="H52" s="114">
        <v>42522</v>
      </c>
      <c r="I52" s="114">
        <v>42522</v>
      </c>
      <c r="J52" s="114">
        <v>41448</v>
      </c>
      <c r="K52" s="76"/>
      <c r="L52" s="114">
        <v>42552</v>
      </c>
      <c r="M52" s="114">
        <v>42550</v>
      </c>
      <c r="N52" s="114"/>
      <c r="O52" s="114"/>
      <c r="P52" s="114">
        <v>42552</v>
      </c>
      <c r="Q52" s="114">
        <v>42564</v>
      </c>
      <c r="R52" s="80"/>
      <c r="S52" s="114"/>
      <c r="T52" s="75"/>
      <c r="U52" s="75"/>
      <c r="V52" s="75"/>
      <c r="W52" s="75">
        <v>3</v>
      </c>
      <c r="X52" s="75">
        <v>33661</v>
      </c>
      <c r="Y52" s="75" t="str">
        <f ca="1">IF(I52="",IF(D52="","",IF(W52+X52&lt;15,"Données Nb pers ou RFR manquantes",IF(COUNTA(INDIRECT("TabRFR["&amp;YEAR(D52)&amp;"]"))&lt;&gt;COUNTA(TabRFR[Recherche RFR]),"Data RFR manquantes", IF(X52&lt;=INDEX(TabRFR[[2021]:[2025]],MATCH(BD!W52&amp;"-Très modestes",TabRFR[Recherche RFR],0),MATCH(TEXT(YEAR(BD!D52),"Standard"),TabRFR[[#Headers],[2021]:[2025]],0)),"Très Modeste",IF(X52&lt;=INDEX(TabRFR[[2021]:[2025]],MATCH(BD!W52&amp;"-modestes",TabRFR[Recherche RFR],0),MATCH(TEXT(YEAR(BD!D52),"Standard"),TabRFR[[#Headers],[2021]:[2025]],0)),"Modeste",IF(X52&lt;=INDEX(TabRFR[[2021]:[2025]],MATCH(BD!W52&amp;"-Intermédiaire",TabRFR[Recherche RFR],0),MATCH(TEXT(YEAR(BD!D52),"Standard"),TabRFR[[#Headers],[2021]:[2025]],0)),"Intermédiaire","Supérieur")))))),IF(D52="","",IF(W52+X52&lt;15,"Données Nb pers ou RFR manquantes",IF(COUNTA(INDIRECT("TabRFR["&amp;YEAR(I52)&amp;"]"))&lt;&gt;COUNTA(TabRFR[Recherche RFR]),"Data RFR manquantes", IF(X52&lt;=INDEX(TabRFR[[2021]:[2025]],MATCH(BD!W52&amp;"-Très modestes",TabRFR[Recherche RFR],0),MATCH(TEXT(YEAR(BD!I52),"Standard"),TabRFR[[#Headers],[2021]:[2025]],0)),"Très Modeste",IF(X52&lt;=INDEX(TabRFR[[2021]:[2025]],MATCH(BD!W52&amp;"-modestes",TabRFR[Recherche RFR],0),MATCH(TEXT(YEAR(BD!I52),"Standard"),TabRFR[[#Headers],[2021]:[2025]],0)),"Modeste",IF(X52&lt;=INDEX(TabRFR[[2021]:[2025]],MATCH(BD!W52&amp;"-Intermédiaire",TabRFR[Recherche RFR],0),MATCH(TEXT(YEAR(BD!I52),"Standard"),TabRFR[[#Headers],[2021]:[2025]],0)),"Intermédiaire","Supérieur")))))))</f>
        <v>Data RFR manquantes</v>
      </c>
      <c r="Z52" s="75"/>
      <c r="AA52" s="75" t="s">
        <v>2322</v>
      </c>
      <c r="AB52" s="75">
        <v>38140</v>
      </c>
      <c r="AC52" s="75" t="s">
        <v>321</v>
      </c>
      <c r="AD52" s="101"/>
      <c r="AE52" s="102"/>
      <c r="AF52" s="75" t="s">
        <v>95</v>
      </c>
      <c r="AG52" s="75"/>
      <c r="AH52" s="75"/>
      <c r="AI52" s="75"/>
      <c r="AJ52" s="75"/>
      <c r="AK52" s="75"/>
      <c r="AL52" s="75"/>
      <c r="AM52" s="75" t="s">
        <v>2246</v>
      </c>
      <c r="AN52" s="75" t="s">
        <v>96</v>
      </c>
      <c r="AO52" s="75" t="s">
        <v>2320</v>
      </c>
      <c r="AP52" s="75" t="s">
        <v>97</v>
      </c>
      <c r="AQ52" s="75"/>
      <c r="AR52" s="75"/>
      <c r="AS52" s="102" t="s">
        <v>2319</v>
      </c>
      <c r="AT52" s="101">
        <v>476071461</v>
      </c>
      <c r="AU52" s="75" t="s">
        <v>2318</v>
      </c>
      <c r="AV52" s="75">
        <v>1990</v>
      </c>
      <c r="AW52" s="75" t="s">
        <v>2317</v>
      </c>
      <c r="AX52" s="75" t="s">
        <v>2071</v>
      </c>
      <c r="AY52" s="75" t="s">
        <v>102</v>
      </c>
      <c r="AZ52" s="75" t="s">
        <v>2292</v>
      </c>
      <c r="BA52" s="75">
        <v>17</v>
      </c>
      <c r="BB52" s="75">
        <v>10</v>
      </c>
      <c r="BC52" s="75">
        <v>90.3</v>
      </c>
      <c r="BD52" s="75">
        <v>1.7000000000000001E-2</v>
      </c>
      <c r="BE52" s="75" t="s">
        <v>97</v>
      </c>
      <c r="BF52" s="75"/>
      <c r="BG52" s="75">
        <v>4226</v>
      </c>
      <c r="BH52" s="77"/>
      <c r="BI52" s="77"/>
      <c r="BJ52" s="77"/>
      <c r="BK52" s="75">
        <v>445</v>
      </c>
      <c r="BL52" s="75">
        <f t="shared" si="0"/>
        <v>4671</v>
      </c>
      <c r="BM52" s="103">
        <f t="shared" si="1"/>
        <v>256.90500000000003</v>
      </c>
      <c r="BN52" s="103">
        <f t="shared" si="2"/>
        <v>4927.9049999999997</v>
      </c>
      <c r="BO52" s="103">
        <v>4398.29</v>
      </c>
      <c r="BP52" s="75" t="s">
        <v>97</v>
      </c>
      <c r="BQ52" s="75"/>
      <c r="BR52" s="75"/>
      <c r="BS52" s="157">
        <v>2016</v>
      </c>
      <c r="BU52">
        <v>2016</v>
      </c>
    </row>
    <row r="53" spans="1:73" ht="43.15" customHeight="1" x14ac:dyDescent="0.25">
      <c r="A53" s="242" t="s">
        <v>186</v>
      </c>
      <c r="B53" s="242" t="s">
        <v>2316</v>
      </c>
      <c r="C53" s="159">
        <v>400</v>
      </c>
      <c r="D53" s="114">
        <v>42515</v>
      </c>
      <c r="E53" s="114" t="s">
        <v>9</v>
      </c>
      <c r="F53" s="114" t="s">
        <v>2315</v>
      </c>
      <c r="G53" s="114" t="s">
        <v>9</v>
      </c>
      <c r="H53" s="114">
        <v>42524</v>
      </c>
      <c r="I53" s="114">
        <v>42524</v>
      </c>
      <c r="J53" s="114" t="s">
        <v>2308</v>
      </c>
      <c r="K53" s="76"/>
      <c r="L53" s="114">
        <v>42573</v>
      </c>
      <c r="M53" s="114">
        <v>42551</v>
      </c>
      <c r="N53" s="114"/>
      <c r="O53" s="114">
        <v>42577</v>
      </c>
      <c r="P53" s="114">
        <v>42578</v>
      </c>
      <c r="Q53" s="114">
        <v>42579</v>
      </c>
      <c r="R53" s="80"/>
      <c r="S53" s="114"/>
      <c r="T53" s="75"/>
      <c r="U53" s="75"/>
      <c r="V53" s="75"/>
      <c r="W53" s="75">
        <v>2</v>
      </c>
      <c r="X53" s="75">
        <v>27889</v>
      </c>
      <c r="Y53" s="75" t="str">
        <f ca="1">IF(I53="",IF(D53="","",IF(W53+X53&lt;15,"Données Nb pers ou RFR manquantes",IF(COUNTA(INDIRECT("TabRFR["&amp;YEAR(D53)&amp;"]"))&lt;&gt;COUNTA(TabRFR[Recherche RFR]),"Data RFR manquantes", IF(X53&lt;=INDEX(TabRFR[[2021]:[2025]],MATCH(BD!W53&amp;"-Très modestes",TabRFR[Recherche RFR],0),MATCH(TEXT(YEAR(BD!D53),"Standard"),TabRFR[[#Headers],[2021]:[2025]],0)),"Très Modeste",IF(X53&lt;=INDEX(TabRFR[[2021]:[2025]],MATCH(BD!W53&amp;"-modestes",TabRFR[Recherche RFR],0),MATCH(TEXT(YEAR(BD!D53),"Standard"),TabRFR[[#Headers],[2021]:[2025]],0)),"Modeste",IF(X53&lt;=INDEX(TabRFR[[2021]:[2025]],MATCH(BD!W53&amp;"-Intermédiaire",TabRFR[Recherche RFR],0),MATCH(TEXT(YEAR(BD!D53),"Standard"),TabRFR[[#Headers],[2021]:[2025]],0)),"Intermédiaire","Supérieur")))))),IF(D53="","",IF(W53+X53&lt;15,"Données Nb pers ou RFR manquantes",IF(COUNTA(INDIRECT("TabRFR["&amp;YEAR(I53)&amp;"]"))&lt;&gt;COUNTA(TabRFR[Recherche RFR]),"Data RFR manquantes", IF(X53&lt;=INDEX(TabRFR[[2021]:[2025]],MATCH(BD!W53&amp;"-Très modestes",TabRFR[Recherche RFR],0),MATCH(TEXT(YEAR(BD!I53),"Standard"),TabRFR[[#Headers],[2021]:[2025]],0)),"Très Modeste",IF(X53&lt;=INDEX(TabRFR[[2021]:[2025]],MATCH(BD!W53&amp;"-modestes",TabRFR[Recherche RFR],0),MATCH(TEXT(YEAR(BD!I53),"Standard"),TabRFR[[#Headers],[2021]:[2025]],0)),"Modeste",IF(X53&lt;=INDEX(TabRFR[[2021]:[2025]],MATCH(BD!W53&amp;"-Intermédiaire",TabRFR[Recherche RFR],0),MATCH(TEXT(YEAR(BD!I53),"Standard"),TabRFR[[#Headers],[2021]:[2025]],0)),"Intermédiaire","Supérieur")))))))</f>
        <v>Data RFR manquantes</v>
      </c>
      <c r="Z53" s="75"/>
      <c r="AA53" s="75" t="s">
        <v>2313</v>
      </c>
      <c r="AB53" s="75">
        <v>38500</v>
      </c>
      <c r="AC53" s="75" t="s">
        <v>96</v>
      </c>
      <c r="AD53" s="101"/>
      <c r="AE53" s="102"/>
      <c r="AF53" s="75" t="s">
        <v>95</v>
      </c>
      <c r="AG53" s="75"/>
      <c r="AH53" s="75"/>
      <c r="AI53" s="75"/>
      <c r="AJ53" s="75"/>
      <c r="AK53" s="75"/>
      <c r="AL53" s="75"/>
      <c r="AM53" s="75" t="s">
        <v>350</v>
      </c>
      <c r="AN53" s="75" t="s">
        <v>451</v>
      </c>
      <c r="AO53" s="75" t="s">
        <v>351</v>
      </c>
      <c r="AP53" s="75" t="s">
        <v>97</v>
      </c>
      <c r="AQ53" s="75"/>
      <c r="AR53" s="75"/>
      <c r="AS53" s="102" t="s">
        <v>453</v>
      </c>
      <c r="AT53" s="101">
        <v>438920220</v>
      </c>
      <c r="AU53" s="75" t="s">
        <v>111</v>
      </c>
      <c r="AV53" s="75"/>
      <c r="AW53" s="75" t="s">
        <v>111</v>
      </c>
      <c r="AX53" s="75" t="s">
        <v>112</v>
      </c>
      <c r="AY53" s="75" t="s">
        <v>2312</v>
      </c>
      <c r="AZ53" s="75" t="s">
        <v>2311</v>
      </c>
      <c r="BA53" s="75">
        <v>31</v>
      </c>
      <c r="BB53" s="75">
        <v>10</v>
      </c>
      <c r="BC53" s="75">
        <v>82</v>
      </c>
      <c r="BD53" s="75">
        <v>0.12</v>
      </c>
      <c r="BE53" s="75" t="s">
        <v>97</v>
      </c>
      <c r="BF53" s="75"/>
      <c r="BG53" s="75">
        <v>2803.79</v>
      </c>
      <c r="BH53" s="77"/>
      <c r="BI53" s="77"/>
      <c r="BJ53" s="77"/>
      <c r="BK53" s="75">
        <v>4197.16</v>
      </c>
      <c r="BL53" s="75">
        <f t="shared" si="0"/>
        <v>7000.95</v>
      </c>
      <c r="BM53" s="103">
        <f t="shared" si="1"/>
        <v>385.05225000000002</v>
      </c>
      <c r="BN53" s="103">
        <f t="shared" si="2"/>
        <v>7386.0022499999995</v>
      </c>
      <c r="BO53" s="103">
        <v>7386</v>
      </c>
      <c r="BP53" s="75" t="s">
        <v>97</v>
      </c>
      <c r="BQ53" s="75"/>
      <c r="BR53" s="75"/>
      <c r="BS53" s="157">
        <v>2016</v>
      </c>
      <c r="BT53">
        <v>2020</v>
      </c>
      <c r="BU53">
        <v>2016</v>
      </c>
    </row>
    <row r="54" spans="1:73" ht="43.15" customHeight="1" x14ac:dyDescent="0.25">
      <c r="A54" s="242" t="s">
        <v>186</v>
      </c>
      <c r="B54" s="242" t="s">
        <v>2310</v>
      </c>
      <c r="C54" s="159">
        <v>400</v>
      </c>
      <c r="D54" s="114">
        <v>42492</v>
      </c>
      <c r="E54" s="114" t="s">
        <v>9</v>
      </c>
      <c r="F54" s="114" t="s">
        <v>2309</v>
      </c>
      <c r="G54" s="114"/>
      <c r="H54" s="114">
        <v>42538</v>
      </c>
      <c r="I54" s="114">
        <v>42538</v>
      </c>
      <c r="J54" s="114" t="s">
        <v>2308</v>
      </c>
      <c r="K54" s="76"/>
      <c r="L54" s="114">
        <v>42683</v>
      </c>
      <c r="M54" s="114">
        <v>42612</v>
      </c>
      <c r="N54" s="114"/>
      <c r="O54" s="114">
        <v>42683</v>
      </c>
      <c r="P54" s="114">
        <v>42683</v>
      </c>
      <c r="Q54" s="114">
        <v>42695</v>
      </c>
      <c r="R54" s="80"/>
      <c r="S54" s="114"/>
      <c r="T54" s="75"/>
      <c r="U54" s="75"/>
      <c r="V54" s="75"/>
      <c r="W54" s="75">
        <v>2</v>
      </c>
      <c r="X54" s="75">
        <v>39095</v>
      </c>
      <c r="Y54" s="75" t="str">
        <f ca="1">IF(I54="",IF(D54="","",IF(W54+X54&lt;15,"Données Nb pers ou RFR manquantes",IF(COUNTA(INDIRECT("TabRFR["&amp;YEAR(D54)&amp;"]"))&lt;&gt;COUNTA(TabRFR[Recherche RFR]),"Data RFR manquantes", IF(X54&lt;=INDEX(TabRFR[[2021]:[2025]],MATCH(BD!W54&amp;"-Très modestes",TabRFR[Recherche RFR],0),MATCH(TEXT(YEAR(BD!D54),"Standard"),TabRFR[[#Headers],[2021]:[2025]],0)),"Très Modeste",IF(X54&lt;=INDEX(TabRFR[[2021]:[2025]],MATCH(BD!W54&amp;"-modestes",TabRFR[Recherche RFR],0),MATCH(TEXT(YEAR(BD!D54),"Standard"),TabRFR[[#Headers],[2021]:[2025]],0)),"Modeste",IF(X54&lt;=INDEX(TabRFR[[2021]:[2025]],MATCH(BD!W54&amp;"-Intermédiaire",TabRFR[Recherche RFR],0),MATCH(TEXT(YEAR(BD!D54),"Standard"),TabRFR[[#Headers],[2021]:[2025]],0)),"Intermédiaire","Supérieur")))))),IF(D54="","",IF(W54+X54&lt;15,"Données Nb pers ou RFR manquantes",IF(COUNTA(INDIRECT("TabRFR["&amp;YEAR(I54)&amp;"]"))&lt;&gt;COUNTA(TabRFR[Recherche RFR]),"Data RFR manquantes", IF(X54&lt;=INDEX(TabRFR[[2021]:[2025]],MATCH(BD!W54&amp;"-Très modestes",TabRFR[Recherche RFR],0),MATCH(TEXT(YEAR(BD!I54),"Standard"),TabRFR[[#Headers],[2021]:[2025]],0)),"Très Modeste",IF(X54&lt;=INDEX(TabRFR[[2021]:[2025]],MATCH(BD!W54&amp;"-modestes",TabRFR[Recherche RFR],0),MATCH(TEXT(YEAR(BD!I54),"Standard"),TabRFR[[#Headers],[2021]:[2025]],0)),"Modeste",IF(X54&lt;=INDEX(TabRFR[[2021]:[2025]],MATCH(BD!W54&amp;"-Intermédiaire",TabRFR[Recherche RFR],0),MATCH(TEXT(YEAR(BD!I54),"Standard"),TabRFR[[#Headers],[2021]:[2025]],0)),"Intermédiaire","Supérieur")))))))</f>
        <v>Data RFR manquantes</v>
      </c>
      <c r="Z54" s="75"/>
      <c r="AA54" s="75" t="s">
        <v>2306</v>
      </c>
      <c r="AB54" s="75">
        <v>38140</v>
      </c>
      <c r="AC54" s="75" t="s">
        <v>363</v>
      </c>
      <c r="AD54" s="101"/>
      <c r="AE54" s="102"/>
      <c r="AF54" s="75" t="s">
        <v>95</v>
      </c>
      <c r="AG54" s="75"/>
      <c r="AH54" s="75">
        <v>1974</v>
      </c>
      <c r="AI54" s="75"/>
      <c r="AJ54" s="75"/>
      <c r="AK54" s="75"/>
      <c r="AL54" s="75"/>
      <c r="AM54" s="75" t="s">
        <v>3973</v>
      </c>
      <c r="AN54" s="75" t="s">
        <v>96</v>
      </c>
      <c r="AO54" s="75"/>
      <c r="AP54" s="75" t="s">
        <v>97</v>
      </c>
      <c r="AQ54" s="75"/>
      <c r="AR54" s="75"/>
      <c r="AS54" s="102" t="s">
        <v>141</v>
      </c>
      <c r="AT54" s="101">
        <v>476069938</v>
      </c>
      <c r="AU54" s="75" t="s">
        <v>430</v>
      </c>
      <c r="AV54" s="75">
        <v>1980</v>
      </c>
      <c r="AW54" s="75" t="s">
        <v>100</v>
      </c>
      <c r="AX54" s="75" t="s">
        <v>112</v>
      </c>
      <c r="AY54" s="75" t="s">
        <v>1859</v>
      </c>
      <c r="AZ54" s="75" t="s">
        <v>2182</v>
      </c>
      <c r="BA54" s="75">
        <v>39</v>
      </c>
      <c r="BB54" s="75">
        <v>6</v>
      </c>
      <c r="BC54" s="75">
        <v>80</v>
      </c>
      <c r="BD54" s="75">
        <v>0.13</v>
      </c>
      <c r="BE54" s="75" t="s">
        <v>104</v>
      </c>
      <c r="BF54" s="75"/>
      <c r="BG54" s="75">
        <v>3166</v>
      </c>
      <c r="BH54" s="77"/>
      <c r="BI54" s="77"/>
      <c r="BJ54" s="77"/>
      <c r="BK54" s="75">
        <v>685.75</v>
      </c>
      <c r="BL54" s="75">
        <f t="shared" si="0"/>
        <v>3851.75</v>
      </c>
      <c r="BM54" s="103">
        <f t="shared" si="1"/>
        <v>211.84625</v>
      </c>
      <c r="BN54" s="103">
        <f t="shared" si="2"/>
        <v>4063.5962500000001</v>
      </c>
      <c r="BO54" s="103">
        <v>2471.0700000000002</v>
      </c>
      <c r="BP54" s="75" t="s">
        <v>97</v>
      </c>
      <c r="BQ54" s="75"/>
      <c r="BR54" s="75"/>
      <c r="BS54" s="157">
        <v>2016</v>
      </c>
      <c r="BT54">
        <v>2020</v>
      </c>
      <c r="BU54">
        <v>2016</v>
      </c>
    </row>
    <row r="55" spans="1:73" ht="43.15" customHeight="1" x14ac:dyDescent="0.25">
      <c r="A55" s="242" t="s">
        <v>186</v>
      </c>
      <c r="B55" s="242" t="s">
        <v>2304</v>
      </c>
      <c r="C55" s="159">
        <v>800</v>
      </c>
      <c r="D55" s="114">
        <v>42520</v>
      </c>
      <c r="E55" s="114" t="s">
        <v>9</v>
      </c>
      <c r="F55" s="114" t="s">
        <v>2303</v>
      </c>
      <c r="G55" s="114"/>
      <c r="H55" s="114">
        <v>42524</v>
      </c>
      <c r="I55" s="114">
        <v>42524</v>
      </c>
      <c r="J55" s="114">
        <v>42544</v>
      </c>
      <c r="K55" s="76"/>
      <c r="L55" s="114"/>
      <c r="M55" s="114"/>
      <c r="N55" s="114"/>
      <c r="O55" s="114">
        <v>42643</v>
      </c>
      <c r="P55" s="114">
        <v>42643</v>
      </c>
      <c r="Q55" s="114">
        <v>42643</v>
      </c>
      <c r="R55" s="81"/>
      <c r="S55" s="114"/>
      <c r="T55" s="75"/>
      <c r="U55" s="75"/>
      <c r="V55" s="75"/>
      <c r="W55" s="75">
        <v>2</v>
      </c>
      <c r="X55" s="75">
        <v>26365</v>
      </c>
      <c r="Y55" s="75" t="str">
        <f ca="1">IF(I55="",IF(D55="","",IF(W55+X55&lt;15,"Données Nb pers ou RFR manquantes",IF(COUNTA(INDIRECT("TabRFR["&amp;YEAR(D55)&amp;"]"))&lt;&gt;COUNTA(TabRFR[Recherche RFR]),"Data RFR manquantes", IF(X55&lt;=INDEX(TabRFR[[2021]:[2025]],MATCH(BD!W55&amp;"-Très modestes",TabRFR[Recherche RFR],0),MATCH(TEXT(YEAR(BD!D55),"Standard"),TabRFR[[#Headers],[2021]:[2025]],0)),"Très Modeste",IF(X55&lt;=INDEX(TabRFR[[2021]:[2025]],MATCH(BD!W55&amp;"-modestes",TabRFR[Recherche RFR],0),MATCH(TEXT(YEAR(BD!D55),"Standard"),TabRFR[[#Headers],[2021]:[2025]],0)),"Modeste",IF(X55&lt;=INDEX(TabRFR[[2021]:[2025]],MATCH(BD!W55&amp;"-Intermédiaire",TabRFR[Recherche RFR],0),MATCH(TEXT(YEAR(BD!D55),"Standard"),TabRFR[[#Headers],[2021]:[2025]],0)),"Intermédiaire","Supérieur")))))),IF(D55="","",IF(W55+X55&lt;15,"Données Nb pers ou RFR manquantes",IF(COUNTA(INDIRECT("TabRFR["&amp;YEAR(I55)&amp;"]"))&lt;&gt;COUNTA(TabRFR[Recherche RFR]),"Data RFR manquantes", IF(X55&lt;=INDEX(TabRFR[[2021]:[2025]],MATCH(BD!W55&amp;"-Très modestes",TabRFR[Recherche RFR],0),MATCH(TEXT(YEAR(BD!I55),"Standard"),TabRFR[[#Headers],[2021]:[2025]],0)),"Très Modeste",IF(X55&lt;=INDEX(TabRFR[[2021]:[2025]],MATCH(BD!W55&amp;"-modestes",TabRFR[Recherche RFR],0),MATCH(TEXT(YEAR(BD!I55),"Standard"),TabRFR[[#Headers],[2021]:[2025]],0)),"Modeste",IF(X55&lt;=INDEX(TabRFR[[2021]:[2025]],MATCH(BD!W55&amp;"-Intermédiaire",TabRFR[Recherche RFR],0),MATCH(TEXT(YEAR(BD!I55),"Standard"),TabRFR[[#Headers],[2021]:[2025]],0)),"Intermédiaire","Supérieur")))))))</f>
        <v>Data RFR manquantes</v>
      </c>
      <c r="Z55" s="75"/>
      <c r="AA55" s="75" t="s">
        <v>2300</v>
      </c>
      <c r="AB55" s="75">
        <v>38490</v>
      </c>
      <c r="AC55" s="75" t="s">
        <v>2825</v>
      </c>
      <c r="AD55" s="101"/>
      <c r="AE55" s="102"/>
      <c r="AF55" s="75" t="s">
        <v>95</v>
      </c>
      <c r="AG55" s="75"/>
      <c r="AH55" s="75"/>
      <c r="AI55" s="75"/>
      <c r="AJ55" s="75"/>
      <c r="AK55" s="75"/>
      <c r="AL55" s="75"/>
      <c r="AM55" s="75" t="s">
        <v>4236</v>
      </c>
      <c r="AN55" s="75" t="s">
        <v>4091</v>
      </c>
      <c r="AO55" s="75" t="s">
        <v>163</v>
      </c>
      <c r="AP55" s="75" t="s">
        <v>97</v>
      </c>
      <c r="AQ55" s="75"/>
      <c r="AR55" s="75"/>
      <c r="AS55" s="102" t="s">
        <v>164</v>
      </c>
      <c r="AT55" s="101">
        <v>476370350</v>
      </c>
      <c r="AU55" s="75" t="s">
        <v>1754</v>
      </c>
      <c r="AV55" s="75">
        <v>1999</v>
      </c>
      <c r="AW55" s="75" t="s">
        <v>100</v>
      </c>
      <c r="AX55" s="75" t="s">
        <v>2071</v>
      </c>
      <c r="AY55" s="75" t="s">
        <v>1883</v>
      </c>
      <c r="AZ55" s="75" t="s">
        <v>2297</v>
      </c>
      <c r="BA55" s="75">
        <v>2</v>
      </c>
      <c r="BB55" s="75">
        <v>9</v>
      </c>
      <c r="BC55" s="75">
        <v>90</v>
      </c>
      <c r="BD55" s="75">
        <v>0.02</v>
      </c>
      <c r="BE55" s="75" t="s">
        <v>97</v>
      </c>
      <c r="BF55" s="75"/>
      <c r="BG55" s="75">
        <v>3741</v>
      </c>
      <c r="BH55" s="77"/>
      <c r="BI55" s="77"/>
      <c r="BJ55" s="77"/>
      <c r="BK55" s="75">
        <v>590</v>
      </c>
      <c r="BL55" s="75">
        <f t="shared" si="0"/>
        <v>4331</v>
      </c>
      <c r="BM55" s="103">
        <f t="shared" si="1"/>
        <v>238.20500000000001</v>
      </c>
      <c r="BN55" s="103">
        <f t="shared" si="2"/>
        <v>4569.2049999999999</v>
      </c>
      <c r="BO55" s="103">
        <v>4569.2</v>
      </c>
      <c r="BP55" s="75" t="s">
        <v>97</v>
      </c>
      <c r="BQ55" s="75"/>
      <c r="BR55" s="75"/>
      <c r="BS55" s="157">
        <v>2016</v>
      </c>
      <c r="BU55">
        <v>2016</v>
      </c>
    </row>
    <row r="56" spans="1:73" ht="43.15" customHeight="1" x14ac:dyDescent="0.25">
      <c r="A56" s="242" t="s">
        <v>186</v>
      </c>
      <c r="B56" s="242" t="s">
        <v>2296</v>
      </c>
      <c r="C56" s="159">
        <v>400</v>
      </c>
      <c r="D56" s="114">
        <v>42517</v>
      </c>
      <c r="E56" s="114" t="s">
        <v>9</v>
      </c>
      <c r="F56" s="114">
        <v>42524</v>
      </c>
      <c r="G56" s="114"/>
      <c r="H56" s="114">
        <v>42524</v>
      </c>
      <c r="I56" s="114">
        <v>42524</v>
      </c>
      <c r="J56" s="114">
        <v>42544</v>
      </c>
      <c r="K56" s="76"/>
      <c r="L56" s="114">
        <v>42639</v>
      </c>
      <c r="M56" s="114">
        <v>42625</v>
      </c>
      <c r="N56" s="114"/>
      <c r="O56" s="114">
        <v>42641</v>
      </c>
      <c r="P56" s="114">
        <v>42641</v>
      </c>
      <c r="Q56" s="114">
        <v>42643</v>
      </c>
      <c r="R56" s="80"/>
      <c r="S56" s="114"/>
      <c r="T56" s="75"/>
      <c r="U56" s="75"/>
      <c r="V56" s="75"/>
      <c r="W56" s="75">
        <v>2</v>
      </c>
      <c r="X56" s="75">
        <v>39298</v>
      </c>
      <c r="Y56" s="75" t="str">
        <f ca="1">IF(I56="",IF(D56="","",IF(W56+X56&lt;15,"Données Nb pers ou RFR manquantes",IF(COUNTA(INDIRECT("TabRFR["&amp;YEAR(D56)&amp;"]"))&lt;&gt;COUNTA(TabRFR[Recherche RFR]),"Data RFR manquantes", IF(X56&lt;=INDEX(TabRFR[[2021]:[2025]],MATCH(BD!W56&amp;"-Très modestes",TabRFR[Recherche RFR],0),MATCH(TEXT(YEAR(BD!D56),"Standard"),TabRFR[[#Headers],[2021]:[2025]],0)),"Très Modeste",IF(X56&lt;=INDEX(TabRFR[[2021]:[2025]],MATCH(BD!W56&amp;"-modestes",TabRFR[Recherche RFR],0),MATCH(TEXT(YEAR(BD!D56),"Standard"),TabRFR[[#Headers],[2021]:[2025]],0)),"Modeste",IF(X56&lt;=INDEX(TabRFR[[2021]:[2025]],MATCH(BD!W56&amp;"-Intermédiaire",TabRFR[Recherche RFR],0),MATCH(TEXT(YEAR(BD!D56),"Standard"),TabRFR[[#Headers],[2021]:[2025]],0)),"Intermédiaire","Supérieur")))))),IF(D56="","",IF(W56+X56&lt;15,"Données Nb pers ou RFR manquantes",IF(COUNTA(INDIRECT("TabRFR["&amp;YEAR(I56)&amp;"]"))&lt;&gt;COUNTA(TabRFR[Recherche RFR]),"Data RFR manquantes", IF(X56&lt;=INDEX(TabRFR[[2021]:[2025]],MATCH(BD!W56&amp;"-Très modestes",TabRFR[Recherche RFR],0),MATCH(TEXT(YEAR(BD!I56),"Standard"),TabRFR[[#Headers],[2021]:[2025]],0)),"Très Modeste",IF(X56&lt;=INDEX(TabRFR[[2021]:[2025]],MATCH(BD!W56&amp;"-modestes",TabRFR[Recherche RFR],0),MATCH(TEXT(YEAR(BD!I56),"Standard"),TabRFR[[#Headers],[2021]:[2025]],0)),"Modeste",IF(X56&lt;=INDEX(TabRFR[[2021]:[2025]],MATCH(BD!W56&amp;"-Intermédiaire",TabRFR[Recherche RFR],0),MATCH(TEXT(YEAR(BD!I56),"Standard"),TabRFR[[#Headers],[2021]:[2025]],0)),"Intermédiaire","Supérieur")))))))</f>
        <v>Data RFR manquantes</v>
      </c>
      <c r="Z56" s="75"/>
      <c r="AA56" s="75" t="s">
        <v>2294</v>
      </c>
      <c r="AB56" s="75">
        <v>38500</v>
      </c>
      <c r="AC56" s="75" t="s">
        <v>118</v>
      </c>
      <c r="AD56" s="101"/>
      <c r="AE56" s="102"/>
      <c r="AF56" s="75" t="s">
        <v>95</v>
      </c>
      <c r="AG56" s="75"/>
      <c r="AH56" s="75"/>
      <c r="AI56" s="75"/>
      <c r="AJ56" s="75"/>
      <c r="AK56" s="75"/>
      <c r="AL56" s="75"/>
      <c r="AM56" s="75" t="s">
        <v>4348</v>
      </c>
      <c r="AN56" s="75" t="s">
        <v>96</v>
      </c>
      <c r="AO56" s="75"/>
      <c r="AP56" s="75" t="s">
        <v>97</v>
      </c>
      <c r="AQ56" s="75"/>
      <c r="AR56" s="75"/>
      <c r="AS56" s="102" t="s">
        <v>1571</v>
      </c>
      <c r="AT56" s="101">
        <v>476323235</v>
      </c>
      <c r="AU56" s="75" t="s">
        <v>111</v>
      </c>
      <c r="AV56" s="75">
        <v>1999</v>
      </c>
      <c r="AW56" s="75" t="s">
        <v>100</v>
      </c>
      <c r="AX56" s="75" t="s">
        <v>2071</v>
      </c>
      <c r="AY56" s="75" t="s">
        <v>102</v>
      </c>
      <c r="AZ56" s="75" t="s">
        <v>2292</v>
      </c>
      <c r="BA56" s="75">
        <v>17</v>
      </c>
      <c r="BB56" s="75">
        <v>10</v>
      </c>
      <c r="BC56" s="75">
        <v>90.3</v>
      </c>
      <c r="BD56" s="75">
        <v>1.7000000000000001E-2</v>
      </c>
      <c r="BE56" s="75" t="s">
        <v>97</v>
      </c>
      <c r="BF56" s="75"/>
      <c r="BG56" s="75">
        <v>3389.19</v>
      </c>
      <c r="BH56" s="77"/>
      <c r="BI56" s="77"/>
      <c r="BJ56" s="77"/>
      <c r="BK56" s="75">
        <v>450</v>
      </c>
      <c r="BL56" s="75">
        <f t="shared" si="0"/>
        <v>3839.19</v>
      </c>
      <c r="BM56" s="103">
        <f t="shared" si="1"/>
        <v>211.15545</v>
      </c>
      <c r="BN56" s="103">
        <f t="shared" si="2"/>
        <v>4050.3454500000003</v>
      </c>
      <c r="BO56" s="103">
        <v>4390.38</v>
      </c>
      <c r="BP56" s="75" t="s">
        <v>97</v>
      </c>
      <c r="BQ56" s="75"/>
      <c r="BR56" s="75"/>
      <c r="BS56" s="157">
        <v>2016</v>
      </c>
      <c r="BU56">
        <v>2016</v>
      </c>
    </row>
    <row r="57" spans="1:73" ht="43.15" customHeight="1" x14ac:dyDescent="0.25">
      <c r="A57" s="29" t="s">
        <v>186</v>
      </c>
      <c r="B57" s="29" t="s">
        <v>2291</v>
      </c>
      <c r="C57" s="161" t="s">
        <v>9</v>
      </c>
      <c r="D57" s="110">
        <v>42520</v>
      </c>
      <c r="E57" s="110" t="s">
        <v>9</v>
      </c>
      <c r="F57" s="110" t="s">
        <v>2290</v>
      </c>
      <c r="G57" s="110"/>
      <c r="H57" s="110"/>
      <c r="I57" s="110"/>
      <c r="J57" s="110">
        <v>42727</v>
      </c>
      <c r="K57" s="76"/>
      <c r="L57" s="110"/>
      <c r="M57" s="110"/>
      <c r="N57" s="110"/>
      <c r="O57" s="110"/>
      <c r="P57" s="110"/>
      <c r="Q57" s="110"/>
      <c r="R57" s="81"/>
      <c r="S57" s="110">
        <v>42727</v>
      </c>
      <c r="T57" s="111"/>
      <c r="U57" s="111"/>
      <c r="V57" s="111"/>
      <c r="W57" s="111">
        <v>4</v>
      </c>
      <c r="X57" s="111">
        <v>16950</v>
      </c>
      <c r="Y57" s="75" t="str">
        <f ca="1">IF(I57="",IF(D57="","",IF(W57+X57&lt;15,"Données Nb pers ou RFR manquantes",IF(COUNTA(INDIRECT("TabRFR["&amp;YEAR(D57)&amp;"]"))&lt;&gt;COUNTA(TabRFR[Recherche RFR]),"Data RFR manquantes", IF(X57&lt;=INDEX(TabRFR[[2021]:[2025]],MATCH(BD!W57&amp;"-Très modestes",TabRFR[Recherche RFR],0),MATCH(TEXT(YEAR(BD!D57),"Standard"),TabRFR[[#Headers],[2021]:[2025]],0)),"Très Modeste",IF(X57&lt;=INDEX(TabRFR[[2021]:[2025]],MATCH(BD!W57&amp;"-modestes",TabRFR[Recherche RFR],0),MATCH(TEXT(YEAR(BD!D57),"Standard"),TabRFR[[#Headers],[2021]:[2025]],0)),"Modeste",IF(X57&lt;=INDEX(TabRFR[[2021]:[2025]],MATCH(BD!W57&amp;"-Intermédiaire",TabRFR[Recherche RFR],0),MATCH(TEXT(YEAR(BD!D57),"Standard"),TabRFR[[#Headers],[2021]:[2025]],0)),"Intermédiaire","Supérieur")))))),IF(D57="","",IF(W57+X57&lt;15,"Données Nb pers ou RFR manquantes",IF(COUNTA(INDIRECT("TabRFR["&amp;YEAR(I57)&amp;"]"))&lt;&gt;COUNTA(TabRFR[Recherche RFR]),"Data RFR manquantes", IF(X57&lt;=INDEX(TabRFR[[2021]:[2025]],MATCH(BD!W57&amp;"-Très modestes",TabRFR[Recherche RFR],0),MATCH(TEXT(YEAR(BD!I57),"Standard"),TabRFR[[#Headers],[2021]:[2025]],0)),"Très Modeste",IF(X57&lt;=INDEX(TabRFR[[2021]:[2025]],MATCH(BD!W57&amp;"-modestes",TabRFR[Recherche RFR],0),MATCH(TEXT(YEAR(BD!I57),"Standard"),TabRFR[[#Headers],[2021]:[2025]],0)),"Modeste",IF(X57&lt;=INDEX(TabRFR[[2021]:[2025]],MATCH(BD!W57&amp;"-Intermédiaire",TabRFR[Recherche RFR],0),MATCH(TEXT(YEAR(BD!I57),"Standard"),TabRFR[[#Headers],[2021]:[2025]],0)),"Intermédiaire","Supérieur")))))))</f>
        <v>Data RFR manquantes</v>
      </c>
      <c r="Z57" s="111"/>
      <c r="AA57" s="111" t="s">
        <v>2289</v>
      </c>
      <c r="AB57" s="111">
        <v>38340</v>
      </c>
      <c r="AC57" s="111" t="s">
        <v>108</v>
      </c>
      <c r="AD57" s="112"/>
      <c r="AE57" s="102"/>
      <c r="AF57" s="111" t="s">
        <v>95</v>
      </c>
      <c r="AG57" s="111"/>
      <c r="AH57" s="111">
        <v>1995</v>
      </c>
      <c r="AI57" s="111"/>
      <c r="AJ57" s="111"/>
      <c r="AK57" s="111"/>
      <c r="AL57" s="111"/>
      <c r="AM57" s="111" t="s">
        <v>4357</v>
      </c>
      <c r="AN57" s="111" t="s">
        <v>829</v>
      </c>
      <c r="AO57" s="111"/>
      <c r="AP57" s="111"/>
      <c r="AQ57" s="111"/>
      <c r="AR57" s="111"/>
      <c r="AS57" s="102"/>
      <c r="AT57" s="112">
        <v>476561929</v>
      </c>
      <c r="AU57" s="111" t="s">
        <v>100</v>
      </c>
      <c r="AV57" s="111">
        <v>2011</v>
      </c>
      <c r="AW57" s="111" t="s">
        <v>100</v>
      </c>
      <c r="AX57" s="111" t="s">
        <v>112</v>
      </c>
      <c r="AY57" s="111"/>
      <c r="AZ57" s="111"/>
      <c r="BA57" s="111"/>
      <c r="BB57" s="111"/>
      <c r="BC57" s="111"/>
      <c r="BD57" s="111"/>
      <c r="BE57" s="111"/>
      <c r="BF57" s="111"/>
      <c r="BG57" s="111"/>
      <c r="BH57" s="77"/>
      <c r="BI57" s="77"/>
      <c r="BJ57" s="77"/>
      <c r="BK57" s="111"/>
      <c r="BL57" s="75">
        <f t="shared" si="0"/>
        <v>0</v>
      </c>
      <c r="BM57" s="103">
        <f t="shared" si="1"/>
        <v>0</v>
      </c>
      <c r="BN57" s="103">
        <f t="shared" si="2"/>
        <v>0</v>
      </c>
      <c r="BO57" s="113"/>
      <c r="BP57" s="111"/>
      <c r="BQ57" s="111"/>
      <c r="BR57" s="111"/>
      <c r="BS57" s="157">
        <v>2016</v>
      </c>
      <c r="BU57" t="s">
        <v>4180</v>
      </c>
    </row>
    <row r="58" spans="1:73" ht="43.15" customHeight="1" x14ac:dyDescent="0.25">
      <c r="A58" s="242" t="s">
        <v>186</v>
      </c>
      <c r="B58" s="242" t="s">
        <v>2288</v>
      </c>
      <c r="C58" s="159">
        <v>400</v>
      </c>
      <c r="D58" s="114">
        <v>42530</v>
      </c>
      <c r="E58" s="114" t="s">
        <v>9</v>
      </c>
      <c r="F58" s="114"/>
      <c r="G58" s="114"/>
      <c r="H58" s="114">
        <v>42542</v>
      </c>
      <c r="I58" s="114">
        <v>42542</v>
      </c>
      <c r="J58" s="114">
        <v>42544</v>
      </c>
      <c r="K58" s="76"/>
      <c r="L58" s="114">
        <v>42845</v>
      </c>
      <c r="M58" s="114">
        <v>42755</v>
      </c>
      <c r="N58" s="114"/>
      <c r="O58" s="114">
        <v>42860</v>
      </c>
      <c r="P58" s="114">
        <v>42860</v>
      </c>
      <c r="Q58" s="114">
        <v>42870</v>
      </c>
      <c r="R58" s="80"/>
      <c r="S58" s="114"/>
      <c r="T58" s="75"/>
      <c r="U58" s="75"/>
      <c r="V58" s="75"/>
      <c r="W58" s="75">
        <v>2</v>
      </c>
      <c r="X58" s="75">
        <v>41574</v>
      </c>
      <c r="Y58" s="75" t="str">
        <f ca="1">IF(I58="",IF(D58="","",IF(W58+X58&lt;15,"Données Nb pers ou RFR manquantes",IF(COUNTA(INDIRECT("TabRFR["&amp;YEAR(D58)&amp;"]"))&lt;&gt;COUNTA(TabRFR[Recherche RFR]),"Data RFR manquantes", IF(X58&lt;=INDEX(TabRFR[[2021]:[2025]],MATCH(BD!W58&amp;"-Très modestes",TabRFR[Recherche RFR],0),MATCH(TEXT(YEAR(BD!D58),"Standard"),TabRFR[[#Headers],[2021]:[2025]],0)),"Très Modeste",IF(X58&lt;=INDEX(TabRFR[[2021]:[2025]],MATCH(BD!W58&amp;"-modestes",TabRFR[Recherche RFR],0),MATCH(TEXT(YEAR(BD!D58),"Standard"),TabRFR[[#Headers],[2021]:[2025]],0)),"Modeste",IF(X58&lt;=INDEX(TabRFR[[2021]:[2025]],MATCH(BD!W58&amp;"-Intermédiaire",TabRFR[Recherche RFR],0),MATCH(TEXT(YEAR(BD!D58),"Standard"),TabRFR[[#Headers],[2021]:[2025]],0)),"Intermédiaire","Supérieur")))))),IF(D58="","",IF(W58+X58&lt;15,"Données Nb pers ou RFR manquantes",IF(COUNTA(INDIRECT("TabRFR["&amp;YEAR(I58)&amp;"]"))&lt;&gt;COUNTA(TabRFR[Recherche RFR]),"Data RFR manquantes", IF(X58&lt;=INDEX(TabRFR[[2021]:[2025]],MATCH(BD!W58&amp;"-Très modestes",TabRFR[Recherche RFR],0),MATCH(TEXT(YEAR(BD!I58),"Standard"),TabRFR[[#Headers],[2021]:[2025]],0)),"Très Modeste",IF(X58&lt;=INDEX(TabRFR[[2021]:[2025]],MATCH(BD!W58&amp;"-modestes",TabRFR[Recherche RFR],0),MATCH(TEXT(YEAR(BD!I58),"Standard"),TabRFR[[#Headers],[2021]:[2025]],0)),"Modeste",IF(X58&lt;=INDEX(TabRFR[[2021]:[2025]],MATCH(BD!W58&amp;"-Intermédiaire",TabRFR[Recherche RFR],0),MATCH(TEXT(YEAR(BD!I58),"Standard"),TabRFR[[#Headers],[2021]:[2025]],0)),"Intermédiaire","Supérieur")))))))</f>
        <v>Data RFR manquantes</v>
      </c>
      <c r="Z58" s="75"/>
      <c r="AA58" s="75" t="s">
        <v>2285</v>
      </c>
      <c r="AB58" s="75">
        <v>38850</v>
      </c>
      <c r="AC58" s="75" t="s">
        <v>4304</v>
      </c>
      <c r="AD58" s="101"/>
      <c r="AE58" s="102"/>
      <c r="AF58" s="75" t="s">
        <v>95</v>
      </c>
      <c r="AG58" s="75"/>
      <c r="AH58" s="75">
        <v>2016</v>
      </c>
      <c r="AI58" s="75"/>
      <c r="AJ58" s="75"/>
      <c r="AK58" s="75"/>
      <c r="AL58" s="75"/>
      <c r="AM58" s="75" t="s">
        <v>1886</v>
      </c>
      <c r="AN58" s="75" t="s">
        <v>195</v>
      </c>
      <c r="AO58" s="75" t="s">
        <v>196</v>
      </c>
      <c r="AP58" s="75" t="s">
        <v>97</v>
      </c>
      <c r="AQ58" s="75"/>
      <c r="AR58" s="75"/>
      <c r="AS58" s="102" t="s">
        <v>2283</v>
      </c>
      <c r="AT58" s="101">
        <v>786422481</v>
      </c>
      <c r="AU58" s="75" t="s">
        <v>100</v>
      </c>
      <c r="AV58" s="75">
        <v>1980</v>
      </c>
      <c r="AW58" s="75" t="s">
        <v>100</v>
      </c>
      <c r="AX58" s="75" t="s">
        <v>112</v>
      </c>
      <c r="AY58" s="75" t="s">
        <v>2155</v>
      </c>
      <c r="AZ58" s="75" t="s">
        <v>1494</v>
      </c>
      <c r="BA58" s="75">
        <v>35</v>
      </c>
      <c r="BB58" s="75">
        <v>9.5</v>
      </c>
      <c r="BC58" s="75">
        <v>78</v>
      </c>
      <c r="BD58" s="75">
        <v>0.1</v>
      </c>
      <c r="BE58" s="75" t="s">
        <v>97</v>
      </c>
      <c r="BF58" s="75"/>
      <c r="BG58" s="75">
        <v>2590</v>
      </c>
      <c r="BH58" s="77"/>
      <c r="BI58" s="77"/>
      <c r="BJ58" s="77"/>
      <c r="BK58" s="75">
        <v>640</v>
      </c>
      <c r="BL58" s="75">
        <f t="shared" si="0"/>
        <v>3230</v>
      </c>
      <c r="BM58" s="103">
        <f t="shared" si="1"/>
        <v>177.65</v>
      </c>
      <c r="BN58" s="103">
        <f t="shared" si="2"/>
        <v>3407.65</v>
      </c>
      <c r="BO58" s="103"/>
      <c r="BP58" s="75" t="s">
        <v>97</v>
      </c>
      <c r="BQ58" s="75"/>
      <c r="BR58" s="75"/>
      <c r="BS58" s="157">
        <v>2016</v>
      </c>
      <c r="BT58">
        <v>2020</v>
      </c>
      <c r="BU58">
        <v>2016</v>
      </c>
    </row>
    <row r="59" spans="1:73" ht="43.15" customHeight="1" x14ac:dyDescent="0.25">
      <c r="A59" s="29" t="s">
        <v>186</v>
      </c>
      <c r="B59" s="29" t="s">
        <v>1819</v>
      </c>
      <c r="C59" s="161" t="s">
        <v>9</v>
      </c>
      <c r="D59" s="110">
        <v>42531</v>
      </c>
      <c r="E59" s="110" t="s">
        <v>9</v>
      </c>
      <c r="F59" s="110" t="s">
        <v>1818</v>
      </c>
      <c r="G59" s="110"/>
      <c r="H59" s="110"/>
      <c r="I59" s="110"/>
      <c r="J59" s="110"/>
      <c r="K59" s="110"/>
      <c r="L59" s="110"/>
      <c r="M59" s="110"/>
      <c r="N59" s="110"/>
      <c r="O59" s="110"/>
      <c r="P59" s="110"/>
      <c r="Q59" s="110"/>
      <c r="R59" s="109"/>
      <c r="S59" s="110">
        <v>42913</v>
      </c>
      <c r="T59" s="111" t="s">
        <v>1809</v>
      </c>
      <c r="U59" s="111"/>
      <c r="V59" s="111"/>
      <c r="W59" s="111">
        <v>2</v>
      </c>
      <c r="X59" s="111">
        <v>37276</v>
      </c>
      <c r="Y59" s="75" t="str">
        <f ca="1">IF(I59="",IF(D59="","",IF(W59+X59&lt;15,"Données Nb pers ou RFR manquantes",IF(COUNTA(INDIRECT("TabRFR["&amp;YEAR(D59)&amp;"]"))&lt;&gt;COUNTA(TabRFR[Recherche RFR]),"Data RFR manquantes", IF(X59&lt;=INDEX(TabRFR[[2021]:[2025]],MATCH(BD!W59&amp;"-Très modestes",TabRFR[Recherche RFR],0),MATCH(TEXT(YEAR(BD!D59),"Standard"),TabRFR[[#Headers],[2021]:[2025]],0)),"Très Modeste",IF(X59&lt;=INDEX(TabRFR[[2021]:[2025]],MATCH(BD!W59&amp;"-modestes",TabRFR[Recherche RFR],0),MATCH(TEXT(YEAR(BD!D59),"Standard"),TabRFR[[#Headers],[2021]:[2025]],0)),"Modeste",IF(X59&lt;=INDEX(TabRFR[[2021]:[2025]],MATCH(BD!W59&amp;"-Intermédiaire",TabRFR[Recherche RFR],0),MATCH(TEXT(YEAR(BD!D59),"Standard"),TabRFR[[#Headers],[2021]:[2025]],0)),"Intermédiaire","Supérieur")))))),IF(D59="","",IF(W59+X59&lt;15,"Données Nb pers ou RFR manquantes",IF(COUNTA(INDIRECT("TabRFR["&amp;YEAR(I59)&amp;"]"))&lt;&gt;COUNTA(TabRFR[Recherche RFR]),"Data RFR manquantes", IF(X59&lt;=INDEX(TabRFR[[2021]:[2025]],MATCH(BD!W59&amp;"-Très modestes",TabRFR[Recherche RFR],0),MATCH(TEXT(YEAR(BD!I59),"Standard"),TabRFR[[#Headers],[2021]:[2025]],0)),"Très Modeste",IF(X59&lt;=INDEX(TabRFR[[2021]:[2025]],MATCH(BD!W59&amp;"-modestes",TabRFR[Recherche RFR],0),MATCH(TEXT(YEAR(BD!I59),"Standard"),TabRFR[[#Headers],[2021]:[2025]],0)),"Modeste",IF(X59&lt;=INDEX(TabRFR[[2021]:[2025]],MATCH(BD!W59&amp;"-Intermédiaire",TabRFR[Recherche RFR],0),MATCH(TEXT(YEAR(BD!I59),"Standard"),TabRFR[[#Headers],[2021]:[2025]],0)),"Intermédiaire","Supérieur")))))))</f>
        <v>Data RFR manquantes</v>
      </c>
      <c r="Z59" s="111"/>
      <c r="AA59" s="111" t="s">
        <v>1817</v>
      </c>
      <c r="AB59" s="111">
        <v>38850</v>
      </c>
      <c r="AC59" s="111" t="s">
        <v>148</v>
      </c>
      <c r="AD59" s="127"/>
      <c r="AE59" s="102"/>
      <c r="AF59" s="111" t="s">
        <v>95</v>
      </c>
      <c r="AG59" s="111"/>
      <c r="AH59" s="111">
        <v>1996</v>
      </c>
      <c r="AI59" s="111"/>
      <c r="AJ59" s="111"/>
      <c r="AK59" s="111"/>
      <c r="AL59" s="111"/>
      <c r="AM59" s="111" t="s">
        <v>3973</v>
      </c>
      <c r="AN59" s="111" t="s">
        <v>96</v>
      </c>
      <c r="AO59" s="111" t="s">
        <v>789</v>
      </c>
      <c r="AP59" s="111" t="s">
        <v>97</v>
      </c>
      <c r="AQ59" s="111"/>
      <c r="AR59" s="111"/>
      <c r="AS59" s="102" t="s">
        <v>141</v>
      </c>
      <c r="AT59" s="112">
        <v>476069938</v>
      </c>
      <c r="AU59" s="111" t="s">
        <v>111</v>
      </c>
      <c r="AV59" s="111">
        <v>1981</v>
      </c>
      <c r="AW59" s="111" t="s">
        <v>111</v>
      </c>
      <c r="AX59" s="111" t="s">
        <v>112</v>
      </c>
      <c r="AY59" s="111" t="s">
        <v>1807</v>
      </c>
      <c r="AZ59" s="111" t="s">
        <v>1816</v>
      </c>
      <c r="BA59" s="111"/>
      <c r="BB59" s="111"/>
      <c r="BC59" s="111"/>
      <c r="BD59" s="111"/>
      <c r="BE59" s="111" t="s">
        <v>104</v>
      </c>
      <c r="BF59" s="111"/>
      <c r="BG59" s="111">
        <v>6192.15</v>
      </c>
      <c r="BH59" s="111"/>
      <c r="BI59" s="111"/>
      <c r="BJ59" s="111"/>
      <c r="BK59" s="111">
        <v>490</v>
      </c>
      <c r="BL59" s="75">
        <f t="shared" si="0"/>
        <v>6682.15</v>
      </c>
      <c r="BM59" s="103">
        <f t="shared" si="1"/>
        <v>367.51824999999997</v>
      </c>
      <c r="BN59" s="103">
        <f t="shared" si="2"/>
        <v>7049.6682499999997</v>
      </c>
      <c r="BO59" s="111"/>
      <c r="BP59" s="111"/>
      <c r="BQ59" s="111"/>
      <c r="BR59" s="111"/>
      <c r="BS59" s="157">
        <v>2017</v>
      </c>
      <c r="BU59" t="s">
        <v>4180</v>
      </c>
    </row>
    <row r="60" spans="1:73" ht="43.15" customHeight="1" x14ac:dyDescent="0.25">
      <c r="A60" s="242" t="s">
        <v>186</v>
      </c>
      <c r="B60" s="242" t="s">
        <v>2282</v>
      </c>
      <c r="C60" s="159">
        <v>400</v>
      </c>
      <c r="D60" s="114">
        <v>42537</v>
      </c>
      <c r="E60" s="114" t="s">
        <v>9</v>
      </c>
      <c r="F60" s="114"/>
      <c r="G60" s="114"/>
      <c r="H60" s="114">
        <v>42542</v>
      </c>
      <c r="I60" s="114">
        <v>42542</v>
      </c>
      <c r="J60" s="114">
        <v>42545</v>
      </c>
      <c r="K60" s="76"/>
      <c r="L60" s="114">
        <v>42636</v>
      </c>
      <c r="M60" s="114">
        <v>42608</v>
      </c>
      <c r="N60" s="114"/>
      <c r="O60" s="114">
        <v>42636</v>
      </c>
      <c r="P60" s="114">
        <v>42636</v>
      </c>
      <c r="Q60" s="114">
        <v>42643</v>
      </c>
      <c r="R60" s="80"/>
      <c r="S60" s="114"/>
      <c r="T60" s="75"/>
      <c r="U60" s="75"/>
      <c r="V60" s="75"/>
      <c r="W60" s="75">
        <v>3</v>
      </c>
      <c r="X60" s="75">
        <v>40702</v>
      </c>
      <c r="Y60" s="75" t="str">
        <f ca="1">IF(I60="",IF(D60="","",IF(W60+X60&lt;15,"Données Nb pers ou RFR manquantes",IF(COUNTA(INDIRECT("TabRFR["&amp;YEAR(D60)&amp;"]"))&lt;&gt;COUNTA(TabRFR[Recherche RFR]),"Data RFR manquantes", IF(X60&lt;=INDEX(TabRFR[[2021]:[2025]],MATCH(BD!W60&amp;"-Très modestes",TabRFR[Recherche RFR],0),MATCH(TEXT(YEAR(BD!D60),"Standard"),TabRFR[[#Headers],[2021]:[2025]],0)),"Très Modeste",IF(X60&lt;=INDEX(TabRFR[[2021]:[2025]],MATCH(BD!W60&amp;"-modestes",TabRFR[Recherche RFR],0),MATCH(TEXT(YEAR(BD!D60),"Standard"),TabRFR[[#Headers],[2021]:[2025]],0)),"Modeste",IF(X60&lt;=INDEX(TabRFR[[2021]:[2025]],MATCH(BD!W60&amp;"-Intermédiaire",TabRFR[Recherche RFR],0),MATCH(TEXT(YEAR(BD!D60),"Standard"),TabRFR[[#Headers],[2021]:[2025]],0)),"Intermédiaire","Supérieur")))))),IF(D60="","",IF(W60+X60&lt;15,"Données Nb pers ou RFR manquantes",IF(COUNTA(INDIRECT("TabRFR["&amp;YEAR(I60)&amp;"]"))&lt;&gt;COUNTA(TabRFR[Recherche RFR]),"Data RFR manquantes", IF(X60&lt;=INDEX(TabRFR[[2021]:[2025]],MATCH(BD!W60&amp;"-Très modestes",TabRFR[Recherche RFR],0),MATCH(TEXT(YEAR(BD!I60),"Standard"),TabRFR[[#Headers],[2021]:[2025]],0)),"Très Modeste",IF(X60&lt;=INDEX(TabRFR[[2021]:[2025]],MATCH(BD!W60&amp;"-modestes",TabRFR[Recherche RFR],0),MATCH(TEXT(YEAR(BD!I60),"Standard"),TabRFR[[#Headers],[2021]:[2025]],0)),"Modeste",IF(X60&lt;=INDEX(TabRFR[[2021]:[2025]],MATCH(BD!W60&amp;"-Intermédiaire",TabRFR[Recherche RFR],0),MATCH(TEXT(YEAR(BD!I60),"Standard"),TabRFR[[#Headers],[2021]:[2025]],0)),"Intermédiaire","Supérieur")))))))</f>
        <v>Data RFR manquantes</v>
      </c>
      <c r="Z60" s="75"/>
      <c r="AA60" s="75" t="s">
        <v>2280</v>
      </c>
      <c r="AB60" s="75">
        <v>38850</v>
      </c>
      <c r="AC60" s="75" t="s">
        <v>4304</v>
      </c>
      <c r="AD60" s="101"/>
      <c r="AE60" s="102"/>
      <c r="AF60" s="75" t="s">
        <v>95</v>
      </c>
      <c r="AG60" s="75"/>
      <c r="AH60" s="75"/>
      <c r="AI60" s="75"/>
      <c r="AJ60" s="75"/>
      <c r="AK60" s="75"/>
      <c r="AL60" s="75"/>
      <c r="AM60" s="75" t="s">
        <v>4358</v>
      </c>
      <c r="AN60" s="75" t="s">
        <v>2278</v>
      </c>
      <c r="AO60" s="75" t="s">
        <v>2277</v>
      </c>
      <c r="AP60" s="75" t="s">
        <v>97</v>
      </c>
      <c r="AQ60" s="75"/>
      <c r="AR60" s="75"/>
      <c r="AS60" s="102" t="s">
        <v>2276</v>
      </c>
      <c r="AT60" s="101">
        <v>666672777</v>
      </c>
      <c r="AU60" s="75" t="s">
        <v>111</v>
      </c>
      <c r="AV60" s="75">
        <v>1988</v>
      </c>
      <c r="AW60" s="75" t="s">
        <v>100</v>
      </c>
      <c r="AX60" s="75" t="s">
        <v>112</v>
      </c>
      <c r="AY60" s="75" t="s">
        <v>499</v>
      </c>
      <c r="AZ60" s="75">
        <v>68</v>
      </c>
      <c r="BA60" s="75">
        <v>14</v>
      </c>
      <c r="BB60" s="75">
        <v>6.1</v>
      </c>
      <c r="BC60" s="75">
        <v>80</v>
      </c>
      <c r="BD60" s="75">
        <v>0.05</v>
      </c>
      <c r="BE60" s="75" t="s">
        <v>97</v>
      </c>
      <c r="BF60" s="75"/>
      <c r="BG60" s="75">
        <v>3980</v>
      </c>
      <c r="BH60" s="77"/>
      <c r="BI60" s="77"/>
      <c r="BJ60" s="77"/>
      <c r="BK60" s="75">
        <v>1102.5</v>
      </c>
      <c r="BL60" s="75">
        <f t="shared" si="0"/>
        <v>5082.5</v>
      </c>
      <c r="BM60" s="103">
        <f t="shared" si="1"/>
        <v>279.53750000000002</v>
      </c>
      <c r="BN60" s="103">
        <f t="shared" si="2"/>
        <v>5362.0375000000004</v>
      </c>
      <c r="BO60" s="103">
        <v>6469.79</v>
      </c>
      <c r="BP60" s="75"/>
      <c r="BQ60" s="75"/>
      <c r="BR60" s="75"/>
      <c r="BS60" s="157">
        <v>2016</v>
      </c>
      <c r="BT60">
        <v>2020</v>
      </c>
      <c r="BU60">
        <v>2016</v>
      </c>
    </row>
    <row r="61" spans="1:73" ht="43.15" customHeight="1" x14ac:dyDescent="0.25">
      <c r="A61" s="242" t="s">
        <v>186</v>
      </c>
      <c r="B61" s="242" t="s">
        <v>2275</v>
      </c>
      <c r="C61" s="159">
        <v>800</v>
      </c>
      <c r="D61" s="114">
        <v>42538</v>
      </c>
      <c r="E61" s="114" t="s">
        <v>9</v>
      </c>
      <c r="F61" s="114"/>
      <c r="G61" s="114"/>
      <c r="H61" s="114">
        <v>42542</v>
      </c>
      <c r="I61" s="114">
        <v>42542</v>
      </c>
      <c r="J61" s="114">
        <v>42545</v>
      </c>
      <c r="K61" s="76"/>
      <c r="L61" s="114">
        <v>42712</v>
      </c>
      <c r="M61" s="114">
        <v>42691</v>
      </c>
      <c r="N61" s="114"/>
      <c r="O61" s="114"/>
      <c r="P61" s="114">
        <v>42716</v>
      </c>
      <c r="Q61" s="114">
        <v>42717</v>
      </c>
      <c r="R61" s="81"/>
      <c r="S61" s="114"/>
      <c r="T61" s="75"/>
      <c r="U61" s="75"/>
      <c r="V61" s="75"/>
      <c r="W61" s="75">
        <v>4</v>
      </c>
      <c r="X61" s="75">
        <v>24786</v>
      </c>
      <c r="Y61" s="75" t="str">
        <f ca="1">IF(I61="",IF(D61="","",IF(W61+X61&lt;15,"Données Nb pers ou RFR manquantes",IF(COUNTA(INDIRECT("TabRFR["&amp;YEAR(D61)&amp;"]"))&lt;&gt;COUNTA(TabRFR[Recherche RFR]),"Data RFR manquantes", IF(X61&lt;=INDEX(TabRFR[[2021]:[2025]],MATCH(BD!W61&amp;"-Très modestes",TabRFR[Recherche RFR],0),MATCH(TEXT(YEAR(BD!D61),"Standard"),TabRFR[[#Headers],[2021]:[2025]],0)),"Très Modeste",IF(X61&lt;=INDEX(TabRFR[[2021]:[2025]],MATCH(BD!W61&amp;"-modestes",TabRFR[Recherche RFR],0),MATCH(TEXT(YEAR(BD!D61),"Standard"),TabRFR[[#Headers],[2021]:[2025]],0)),"Modeste",IF(X61&lt;=INDEX(TabRFR[[2021]:[2025]],MATCH(BD!W61&amp;"-Intermédiaire",TabRFR[Recherche RFR],0),MATCH(TEXT(YEAR(BD!D61),"Standard"),TabRFR[[#Headers],[2021]:[2025]],0)),"Intermédiaire","Supérieur")))))),IF(D61="","",IF(W61+X61&lt;15,"Données Nb pers ou RFR manquantes",IF(COUNTA(INDIRECT("TabRFR["&amp;YEAR(I61)&amp;"]"))&lt;&gt;COUNTA(TabRFR[Recherche RFR]),"Data RFR manquantes", IF(X61&lt;=INDEX(TabRFR[[2021]:[2025]],MATCH(BD!W61&amp;"-Très modestes",TabRFR[Recherche RFR],0),MATCH(TEXT(YEAR(BD!I61),"Standard"),TabRFR[[#Headers],[2021]:[2025]],0)),"Très Modeste",IF(X61&lt;=INDEX(TabRFR[[2021]:[2025]],MATCH(BD!W61&amp;"-modestes",TabRFR[Recherche RFR],0),MATCH(TEXT(YEAR(BD!I61),"Standard"),TabRFR[[#Headers],[2021]:[2025]],0)),"Modeste",IF(X61&lt;=INDEX(TabRFR[[2021]:[2025]],MATCH(BD!W61&amp;"-Intermédiaire",TabRFR[Recherche RFR],0),MATCH(TEXT(YEAR(BD!I61),"Standard"),TabRFR[[#Headers],[2021]:[2025]],0)),"Intermédiaire","Supérieur")))))))</f>
        <v>Data RFR manquantes</v>
      </c>
      <c r="Z61" s="75"/>
      <c r="AA61" s="75" t="s">
        <v>2273</v>
      </c>
      <c r="AB61" s="75">
        <v>38620</v>
      </c>
      <c r="AC61" s="75" t="s">
        <v>783</v>
      </c>
      <c r="AD61" s="101"/>
      <c r="AE61" s="102"/>
      <c r="AF61" s="75" t="s">
        <v>95</v>
      </c>
      <c r="AG61" s="75"/>
      <c r="AH61" s="75"/>
      <c r="AI61" s="75"/>
      <c r="AJ61" s="75"/>
      <c r="AK61" s="75"/>
      <c r="AL61" s="75"/>
      <c r="AM61" s="75" t="s">
        <v>350</v>
      </c>
      <c r="AN61" s="75" t="s">
        <v>451</v>
      </c>
      <c r="AO61" s="75" t="s">
        <v>2064</v>
      </c>
      <c r="AP61" s="75" t="s">
        <v>97</v>
      </c>
      <c r="AQ61" s="75"/>
      <c r="AR61" s="75"/>
      <c r="AS61" s="102" t="s">
        <v>2063</v>
      </c>
      <c r="AT61" s="101">
        <v>616581524</v>
      </c>
      <c r="AU61" s="75" t="s">
        <v>111</v>
      </c>
      <c r="AV61" s="75">
        <v>1996</v>
      </c>
      <c r="AW61" s="75" t="s">
        <v>100</v>
      </c>
      <c r="AX61" s="75" t="s">
        <v>2071</v>
      </c>
      <c r="AY61" s="75" t="s">
        <v>1017</v>
      </c>
      <c r="AZ61" s="75" t="s">
        <v>2102</v>
      </c>
      <c r="BA61" s="75">
        <v>15</v>
      </c>
      <c r="BB61" s="75">
        <v>10.199999999999999</v>
      </c>
      <c r="BC61" s="75">
        <v>90</v>
      </c>
      <c r="BD61" s="75">
        <v>0.02</v>
      </c>
      <c r="BE61" s="75" t="s">
        <v>97</v>
      </c>
      <c r="BF61" s="75"/>
      <c r="BG61" s="75">
        <v>3058</v>
      </c>
      <c r="BH61" s="77"/>
      <c r="BI61" s="77"/>
      <c r="BJ61" s="77"/>
      <c r="BK61" s="75">
        <v>331.75</v>
      </c>
      <c r="BL61" s="75">
        <f t="shared" si="0"/>
        <v>3389.75</v>
      </c>
      <c r="BM61" s="103">
        <f t="shared" si="1"/>
        <v>186.43625</v>
      </c>
      <c r="BN61" s="103">
        <f t="shared" si="2"/>
        <v>3576.1862500000002</v>
      </c>
      <c r="BO61" s="103">
        <v>3731.87</v>
      </c>
      <c r="BP61" s="75"/>
      <c r="BQ61" s="75"/>
      <c r="BR61" s="75"/>
      <c r="BS61" s="157">
        <v>2016</v>
      </c>
      <c r="BU61">
        <v>2016</v>
      </c>
    </row>
    <row r="62" spans="1:73" ht="43.15" customHeight="1" x14ac:dyDescent="0.25">
      <c r="A62" s="242" t="s">
        <v>186</v>
      </c>
      <c r="B62" s="242" t="s">
        <v>2271</v>
      </c>
      <c r="C62" s="159">
        <v>400</v>
      </c>
      <c r="D62" s="114">
        <v>42549</v>
      </c>
      <c r="E62" s="114" t="s">
        <v>9</v>
      </c>
      <c r="F62" s="114" t="s">
        <v>2270</v>
      </c>
      <c r="G62" s="114" t="s">
        <v>2269</v>
      </c>
      <c r="H62" s="114">
        <v>42668</v>
      </c>
      <c r="I62" s="114">
        <v>42668</v>
      </c>
      <c r="J62" s="114">
        <v>42677</v>
      </c>
      <c r="K62" s="76"/>
      <c r="L62" s="114">
        <v>42689</v>
      </c>
      <c r="M62" s="114">
        <v>42686</v>
      </c>
      <c r="N62" s="114"/>
      <c r="O62" s="114">
        <v>42695</v>
      </c>
      <c r="P62" s="114">
        <v>42695</v>
      </c>
      <c r="Q62" s="114">
        <v>42706</v>
      </c>
      <c r="R62" s="80"/>
      <c r="S62" s="114"/>
      <c r="T62" s="75"/>
      <c r="U62" s="75"/>
      <c r="V62" s="75"/>
      <c r="W62" s="75">
        <v>5</v>
      </c>
      <c r="X62" s="75">
        <v>56388</v>
      </c>
      <c r="Y62" s="75" t="str">
        <f ca="1">IF(I62="",IF(D62="","",IF(W62+X62&lt;15,"Données Nb pers ou RFR manquantes",IF(COUNTA(INDIRECT("TabRFR["&amp;YEAR(D62)&amp;"]"))&lt;&gt;COUNTA(TabRFR[Recherche RFR]),"Data RFR manquantes", IF(X62&lt;=INDEX(TabRFR[[2021]:[2025]],MATCH(BD!W62&amp;"-Très modestes",TabRFR[Recherche RFR],0),MATCH(TEXT(YEAR(BD!D62),"Standard"),TabRFR[[#Headers],[2021]:[2025]],0)),"Très Modeste",IF(X62&lt;=INDEX(TabRFR[[2021]:[2025]],MATCH(BD!W62&amp;"-modestes",TabRFR[Recherche RFR],0),MATCH(TEXT(YEAR(BD!D62),"Standard"),TabRFR[[#Headers],[2021]:[2025]],0)),"Modeste",IF(X62&lt;=INDEX(TabRFR[[2021]:[2025]],MATCH(BD!W62&amp;"-Intermédiaire",TabRFR[Recherche RFR],0),MATCH(TEXT(YEAR(BD!D62),"Standard"),TabRFR[[#Headers],[2021]:[2025]],0)),"Intermédiaire","Supérieur")))))),IF(D62="","",IF(W62+X62&lt;15,"Données Nb pers ou RFR manquantes",IF(COUNTA(INDIRECT("TabRFR["&amp;YEAR(I62)&amp;"]"))&lt;&gt;COUNTA(TabRFR[Recherche RFR]),"Data RFR manquantes", IF(X62&lt;=INDEX(TabRFR[[2021]:[2025]],MATCH(BD!W62&amp;"-Très modestes",TabRFR[Recherche RFR],0),MATCH(TEXT(YEAR(BD!I62),"Standard"),TabRFR[[#Headers],[2021]:[2025]],0)),"Très Modeste",IF(X62&lt;=INDEX(TabRFR[[2021]:[2025]],MATCH(BD!W62&amp;"-modestes",TabRFR[Recherche RFR],0),MATCH(TEXT(YEAR(BD!I62),"Standard"),TabRFR[[#Headers],[2021]:[2025]],0)),"Modeste",IF(X62&lt;=INDEX(TabRFR[[2021]:[2025]],MATCH(BD!W62&amp;"-Intermédiaire",TabRFR[Recherche RFR],0),MATCH(TEXT(YEAR(BD!I62),"Standard"),TabRFR[[#Headers],[2021]:[2025]],0)),"Intermédiaire","Supérieur")))))))</f>
        <v>Data RFR manquantes</v>
      </c>
      <c r="Z62" s="75"/>
      <c r="AA62" s="75" t="s">
        <v>2266</v>
      </c>
      <c r="AB62" s="75">
        <v>38500</v>
      </c>
      <c r="AC62" s="75" t="s">
        <v>2873</v>
      </c>
      <c r="AD62" s="101"/>
      <c r="AE62" s="102"/>
      <c r="AF62" s="75" t="s">
        <v>95</v>
      </c>
      <c r="AG62" s="75"/>
      <c r="AH62" s="75">
        <v>1999</v>
      </c>
      <c r="AI62" s="75"/>
      <c r="AJ62" s="75"/>
      <c r="AK62" s="75"/>
      <c r="AL62" s="75"/>
      <c r="AM62" s="75" t="s">
        <v>4359</v>
      </c>
      <c r="AN62" s="75" t="s">
        <v>829</v>
      </c>
      <c r="AO62" s="75" t="s">
        <v>1392</v>
      </c>
      <c r="AP62" s="75" t="s">
        <v>97</v>
      </c>
      <c r="AQ62" s="75"/>
      <c r="AR62" s="75"/>
      <c r="AS62" s="102" t="s">
        <v>491</v>
      </c>
      <c r="AT62" s="101">
        <v>476452433</v>
      </c>
      <c r="AU62" s="75" t="s">
        <v>430</v>
      </c>
      <c r="AV62" s="75">
        <v>1991</v>
      </c>
      <c r="AW62" s="75" t="s">
        <v>100</v>
      </c>
      <c r="AX62" s="75" t="s">
        <v>112</v>
      </c>
      <c r="AY62" s="75" t="s">
        <v>492</v>
      </c>
      <c r="AZ62" s="75" t="s">
        <v>2264</v>
      </c>
      <c r="BA62" s="75">
        <v>20</v>
      </c>
      <c r="BB62" s="75">
        <v>5.5</v>
      </c>
      <c r="BC62" s="75">
        <v>80</v>
      </c>
      <c r="BD62" s="75">
        <v>7.0000000000000007E-2</v>
      </c>
      <c r="BE62" s="75" t="s">
        <v>97</v>
      </c>
      <c r="BF62" s="75"/>
      <c r="BG62" s="75">
        <v>3458.77</v>
      </c>
      <c r="BH62" s="77"/>
      <c r="BI62" s="77"/>
      <c r="BJ62" s="77"/>
      <c r="BK62" s="75">
        <v>720</v>
      </c>
      <c r="BL62" s="75">
        <f t="shared" si="0"/>
        <v>4178.7700000000004</v>
      </c>
      <c r="BM62" s="103">
        <f t="shared" si="1"/>
        <v>229.83235000000002</v>
      </c>
      <c r="BN62" s="103">
        <f t="shared" si="2"/>
        <v>4408.6023500000001</v>
      </c>
      <c r="BO62" s="103">
        <v>5828.13</v>
      </c>
      <c r="BP62" s="75" t="s">
        <v>104</v>
      </c>
      <c r="BQ62" s="75"/>
      <c r="BR62" s="75"/>
      <c r="BS62" s="157">
        <v>2016</v>
      </c>
      <c r="BT62">
        <v>2020</v>
      </c>
      <c r="BU62">
        <v>2016</v>
      </c>
    </row>
    <row r="63" spans="1:73" ht="43.15" customHeight="1" x14ac:dyDescent="0.25">
      <c r="A63" s="242" t="s">
        <v>186</v>
      </c>
      <c r="B63" s="242" t="s">
        <v>2263</v>
      </c>
      <c r="C63" s="159">
        <v>400</v>
      </c>
      <c r="D63" s="114">
        <v>42549</v>
      </c>
      <c r="E63" s="114" t="s">
        <v>9</v>
      </c>
      <c r="F63" s="114" t="s">
        <v>2262</v>
      </c>
      <c r="G63" s="114"/>
      <c r="H63" s="114">
        <v>42562</v>
      </c>
      <c r="I63" s="114">
        <v>42564</v>
      </c>
      <c r="J63" s="114">
        <v>42569</v>
      </c>
      <c r="K63" s="76"/>
      <c r="L63" s="114">
        <v>42877</v>
      </c>
      <c r="M63" s="114">
        <v>42735</v>
      </c>
      <c r="N63" s="114" t="s">
        <v>2261</v>
      </c>
      <c r="O63" s="114">
        <v>42958</v>
      </c>
      <c r="P63" s="114">
        <v>42958</v>
      </c>
      <c r="Q63" s="114">
        <v>43027</v>
      </c>
      <c r="R63" s="80"/>
      <c r="S63" s="114"/>
      <c r="T63" s="75"/>
      <c r="U63" s="75"/>
      <c r="V63" s="75"/>
      <c r="W63" s="75">
        <v>5</v>
      </c>
      <c r="X63" s="75">
        <v>56147</v>
      </c>
      <c r="Y63" s="75" t="str">
        <f ca="1">IF(I63="",IF(D63="","",IF(W63+X63&lt;15,"Données Nb pers ou RFR manquantes",IF(COUNTA(INDIRECT("TabRFR["&amp;YEAR(D63)&amp;"]"))&lt;&gt;COUNTA(TabRFR[Recherche RFR]),"Data RFR manquantes", IF(X63&lt;=INDEX(TabRFR[[2021]:[2025]],MATCH(BD!W63&amp;"-Très modestes",TabRFR[Recherche RFR],0),MATCH(TEXT(YEAR(BD!D63),"Standard"),TabRFR[[#Headers],[2021]:[2025]],0)),"Très Modeste",IF(X63&lt;=INDEX(TabRFR[[2021]:[2025]],MATCH(BD!W63&amp;"-modestes",TabRFR[Recherche RFR],0),MATCH(TEXT(YEAR(BD!D63),"Standard"),TabRFR[[#Headers],[2021]:[2025]],0)),"Modeste",IF(X63&lt;=INDEX(TabRFR[[2021]:[2025]],MATCH(BD!W63&amp;"-Intermédiaire",TabRFR[Recherche RFR],0),MATCH(TEXT(YEAR(BD!D63),"Standard"),TabRFR[[#Headers],[2021]:[2025]],0)),"Intermédiaire","Supérieur")))))),IF(D63="","",IF(W63+X63&lt;15,"Données Nb pers ou RFR manquantes",IF(COUNTA(INDIRECT("TabRFR["&amp;YEAR(I63)&amp;"]"))&lt;&gt;COUNTA(TabRFR[Recherche RFR]),"Data RFR manquantes", IF(X63&lt;=INDEX(TabRFR[[2021]:[2025]],MATCH(BD!W63&amp;"-Très modestes",TabRFR[Recherche RFR],0),MATCH(TEXT(YEAR(BD!I63),"Standard"),TabRFR[[#Headers],[2021]:[2025]],0)),"Très Modeste",IF(X63&lt;=INDEX(TabRFR[[2021]:[2025]],MATCH(BD!W63&amp;"-modestes",TabRFR[Recherche RFR],0),MATCH(TEXT(YEAR(BD!I63),"Standard"),TabRFR[[#Headers],[2021]:[2025]],0)),"Modeste",IF(X63&lt;=INDEX(TabRFR[[2021]:[2025]],MATCH(BD!W63&amp;"-Intermédiaire",TabRFR[Recherche RFR],0),MATCH(TEXT(YEAR(BD!I63),"Standard"),TabRFR[[#Headers],[2021]:[2025]],0)),"Intermédiaire","Supérieur")))))))</f>
        <v>Data RFR manquantes</v>
      </c>
      <c r="Z63" s="75"/>
      <c r="AA63" s="75" t="s">
        <v>2259</v>
      </c>
      <c r="AB63" s="75">
        <v>38500</v>
      </c>
      <c r="AC63" s="75" t="s">
        <v>96</v>
      </c>
      <c r="AD63" s="101"/>
      <c r="AE63" s="102"/>
      <c r="AF63" s="75" t="s">
        <v>95</v>
      </c>
      <c r="AG63" s="75"/>
      <c r="AH63" s="75"/>
      <c r="AI63" s="75"/>
      <c r="AJ63" s="75"/>
      <c r="AK63" s="75"/>
      <c r="AL63" s="75"/>
      <c r="AM63" s="75" t="s">
        <v>1886</v>
      </c>
      <c r="AN63" s="75" t="s">
        <v>195</v>
      </c>
      <c r="AO63" s="75" t="s">
        <v>196</v>
      </c>
      <c r="AP63" s="75" t="s">
        <v>1885</v>
      </c>
      <c r="AQ63" s="75"/>
      <c r="AR63" s="75"/>
      <c r="AS63" s="102" t="s">
        <v>1884</v>
      </c>
      <c r="AT63" s="101">
        <v>476065876</v>
      </c>
      <c r="AU63" s="75" t="s">
        <v>430</v>
      </c>
      <c r="AV63" s="75">
        <v>1980</v>
      </c>
      <c r="AW63" s="75" t="s">
        <v>100</v>
      </c>
      <c r="AX63" s="75" t="s">
        <v>326</v>
      </c>
      <c r="AY63" s="75" t="s">
        <v>1017</v>
      </c>
      <c r="AZ63" s="75" t="s">
        <v>2257</v>
      </c>
      <c r="BA63" s="75">
        <v>15</v>
      </c>
      <c r="BB63" s="75">
        <v>14.5</v>
      </c>
      <c r="BC63" s="75">
        <v>90</v>
      </c>
      <c r="BD63" s="75">
        <v>0.01</v>
      </c>
      <c r="BE63" s="75" t="s">
        <v>97</v>
      </c>
      <c r="BF63" s="75"/>
      <c r="BG63" s="75">
        <v>5600</v>
      </c>
      <c r="BH63" s="77"/>
      <c r="BI63" s="77"/>
      <c r="BJ63" s="77"/>
      <c r="BK63" s="75">
        <v>640</v>
      </c>
      <c r="BL63" s="75">
        <f t="shared" si="0"/>
        <v>6240</v>
      </c>
      <c r="BM63" s="103">
        <f t="shared" si="1"/>
        <v>343.2</v>
      </c>
      <c r="BN63" s="103">
        <f t="shared" si="2"/>
        <v>6583.2</v>
      </c>
      <c r="BO63" s="103">
        <v>13539.87</v>
      </c>
      <c r="BP63" s="75" t="s">
        <v>97</v>
      </c>
      <c r="BQ63" s="75"/>
      <c r="BR63" s="75"/>
      <c r="BS63" s="157">
        <v>2016</v>
      </c>
      <c r="BT63">
        <v>2020</v>
      </c>
      <c r="BU63">
        <v>2016</v>
      </c>
    </row>
    <row r="64" spans="1:73" ht="43.15" customHeight="1" x14ac:dyDescent="0.25">
      <c r="A64" s="242" t="s">
        <v>186</v>
      </c>
      <c r="B64" s="242" t="s">
        <v>2256</v>
      </c>
      <c r="C64" s="159">
        <v>400</v>
      </c>
      <c r="D64" s="114">
        <v>42552</v>
      </c>
      <c r="E64" s="114" t="s">
        <v>9</v>
      </c>
      <c r="F64" s="114"/>
      <c r="G64" s="114"/>
      <c r="H64" s="114">
        <v>42552</v>
      </c>
      <c r="I64" s="114">
        <v>42552</v>
      </c>
      <c r="J64" s="114">
        <v>42558</v>
      </c>
      <c r="K64" s="76"/>
      <c r="L64" s="114">
        <v>42689</v>
      </c>
      <c r="M64" s="114">
        <v>42650</v>
      </c>
      <c r="N64" s="114"/>
      <c r="O64" s="114">
        <v>42695</v>
      </c>
      <c r="P64" s="114">
        <v>42695</v>
      </c>
      <c r="Q64" s="114">
        <v>42706</v>
      </c>
      <c r="R64" s="80"/>
      <c r="S64" s="114"/>
      <c r="T64" s="75"/>
      <c r="U64" s="75"/>
      <c r="V64" s="75"/>
      <c r="W64" s="75">
        <v>3</v>
      </c>
      <c r="X64" s="75">
        <v>33237</v>
      </c>
      <c r="Y64" s="75" t="str">
        <f ca="1">IF(I64="",IF(D64="","",IF(W64+X64&lt;15,"Données Nb pers ou RFR manquantes",IF(COUNTA(INDIRECT("TabRFR["&amp;YEAR(D64)&amp;"]"))&lt;&gt;COUNTA(TabRFR[Recherche RFR]),"Data RFR manquantes", IF(X64&lt;=INDEX(TabRFR[[2021]:[2025]],MATCH(BD!W64&amp;"-Très modestes",TabRFR[Recherche RFR],0),MATCH(TEXT(YEAR(BD!D64),"Standard"),TabRFR[[#Headers],[2021]:[2025]],0)),"Très Modeste",IF(X64&lt;=INDEX(TabRFR[[2021]:[2025]],MATCH(BD!W64&amp;"-modestes",TabRFR[Recherche RFR],0),MATCH(TEXT(YEAR(BD!D64),"Standard"),TabRFR[[#Headers],[2021]:[2025]],0)),"Modeste",IF(X64&lt;=INDEX(TabRFR[[2021]:[2025]],MATCH(BD!W64&amp;"-Intermédiaire",TabRFR[Recherche RFR],0),MATCH(TEXT(YEAR(BD!D64),"Standard"),TabRFR[[#Headers],[2021]:[2025]],0)),"Intermédiaire","Supérieur")))))),IF(D64="","",IF(W64+X64&lt;15,"Données Nb pers ou RFR manquantes",IF(COUNTA(INDIRECT("TabRFR["&amp;YEAR(I64)&amp;"]"))&lt;&gt;COUNTA(TabRFR[Recherche RFR]),"Data RFR manquantes", IF(X64&lt;=INDEX(TabRFR[[2021]:[2025]],MATCH(BD!W64&amp;"-Très modestes",TabRFR[Recherche RFR],0),MATCH(TEXT(YEAR(BD!I64),"Standard"),TabRFR[[#Headers],[2021]:[2025]],0)),"Très Modeste",IF(X64&lt;=INDEX(TabRFR[[2021]:[2025]],MATCH(BD!W64&amp;"-modestes",TabRFR[Recherche RFR],0),MATCH(TEXT(YEAR(BD!I64),"Standard"),TabRFR[[#Headers],[2021]:[2025]],0)),"Modeste",IF(X64&lt;=INDEX(TabRFR[[2021]:[2025]],MATCH(BD!W64&amp;"-Intermédiaire",TabRFR[Recherche RFR],0),MATCH(TEXT(YEAR(BD!I64),"Standard"),TabRFR[[#Headers],[2021]:[2025]],0)),"Intermédiaire","Supérieur")))))))</f>
        <v>Data RFR manquantes</v>
      </c>
      <c r="Z64" s="75"/>
      <c r="AA64" s="75" t="s">
        <v>2253</v>
      </c>
      <c r="AB64" s="75">
        <v>38850</v>
      </c>
      <c r="AC64" s="75" t="s">
        <v>438</v>
      </c>
      <c r="AD64" s="101"/>
      <c r="AE64" s="102"/>
      <c r="AF64" s="75" t="s">
        <v>95</v>
      </c>
      <c r="AG64" s="75"/>
      <c r="AH64" s="75">
        <v>2015</v>
      </c>
      <c r="AI64" s="75"/>
      <c r="AJ64" s="75"/>
      <c r="AK64" s="75"/>
      <c r="AL64" s="75"/>
      <c r="AM64" s="75" t="s">
        <v>4348</v>
      </c>
      <c r="AN64" s="75" t="s">
        <v>96</v>
      </c>
      <c r="AO64" s="75"/>
      <c r="AP64" s="75" t="s">
        <v>97</v>
      </c>
      <c r="AQ64" s="75"/>
      <c r="AR64" s="75"/>
      <c r="AS64" s="102" t="s">
        <v>1571</v>
      </c>
      <c r="AT64" s="101">
        <v>476323235</v>
      </c>
      <c r="AU64" s="75" t="s">
        <v>1754</v>
      </c>
      <c r="AV64" s="75">
        <v>1990</v>
      </c>
      <c r="AW64" s="75" t="s">
        <v>100</v>
      </c>
      <c r="AX64" s="75" t="s">
        <v>112</v>
      </c>
      <c r="AY64" s="75" t="s">
        <v>2155</v>
      </c>
      <c r="AZ64" s="75" t="s">
        <v>803</v>
      </c>
      <c r="BA64" s="75">
        <v>14</v>
      </c>
      <c r="BB64" s="75">
        <v>7.9</v>
      </c>
      <c r="BC64" s="75">
        <v>77</v>
      </c>
      <c r="BD64" s="75">
        <v>7.0000000000000007E-2</v>
      </c>
      <c r="BE64" s="75" t="s">
        <v>97</v>
      </c>
      <c r="BF64" s="75"/>
      <c r="BG64" s="75">
        <v>2680</v>
      </c>
      <c r="BH64" s="77"/>
      <c r="BI64" s="77"/>
      <c r="BJ64" s="77"/>
      <c r="BK64" s="75">
        <v>180</v>
      </c>
      <c r="BL64" s="75">
        <f t="shared" si="0"/>
        <v>2860</v>
      </c>
      <c r="BM64" s="103">
        <f t="shared" si="1"/>
        <v>157.30000000000001</v>
      </c>
      <c r="BN64" s="103">
        <f t="shared" si="2"/>
        <v>3017.3</v>
      </c>
      <c r="BO64" s="103">
        <v>3337</v>
      </c>
      <c r="BP64" s="75" t="s">
        <v>97</v>
      </c>
      <c r="BQ64" s="75"/>
      <c r="BR64" s="75"/>
      <c r="BS64" s="157">
        <v>2016</v>
      </c>
      <c r="BT64">
        <v>2020</v>
      </c>
      <c r="BU64">
        <v>2016</v>
      </c>
    </row>
    <row r="65" spans="1:73" ht="43.15" customHeight="1" x14ac:dyDescent="0.25">
      <c r="A65" s="242" t="s">
        <v>186</v>
      </c>
      <c r="B65" s="242" t="s">
        <v>2251</v>
      </c>
      <c r="C65" s="159">
        <v>400</v>
      </c>
      <c r="D65" s="114">
        <v>42552</v>
      </c>
      <c r="E65" s="114" t="s">
        <v>9</v>
      </c>
      <c r="F65" s="114"/>
      <c r="G65" s="114"/>
      <c r="H65" s="114">
        <v>42552</v>
      </c>
      <c r="I65" s="114">
        <v>42552</v>
      </c>
      <c r="J65" s="114">
        <v>42558</v>
      </c>
      <c r="K65" s="76"/>
      <c r="L65" s="114">
        <v>42661</v>
      </c>
      <c r="M65" s="114"/>
      <c r="N65" s="114" t="s">
        <v>2250</v>
      </c>
      <c r="O65" s="114">
        <v>42669</v>
      </c>
      <c r="P65" s="114">
        <v>42669</v>
      </c>
      <c r="Q65" s="114">
        <v>42678</v>
      </c>
      <c r="R65" s="80"/>
      <c r="S65" s="114"/>
      <c r="T65" s="75"/>
      <c r="U65" s="75"/>
      <c r="V65" s="75"/>
      <c r="W65" s="75">
        <v>2</v>
      </c>
      <c r="X65" s="75">
        <v>43279</v>
      </c>
      <c r="Y65" s="75" t="str">
        <f ca="1">IF(I65="",IF(D65="","",IF(W65+X65&lt;15,"Données Nb pers ou RFR manquantes",IF(COUNTA(INDIRECT("TabRFR["&amp;YEAR(D65)&amp;"]"))&lt;&gt;COUNTA(TabRFR[Recherche RFR]),"Data RFR manquantes", IF(X65&lt;=INDEX(TabRFR[[2021]:[2025]],MATCH(BD!W65&amp;"-Très modestes",TabRFR[Recherche RFR],0),MATCH(TEXT(YEAR(BD!D65),"Standard"),TabRFR[[#Headers],[2021]:[2025]],0)),"Très Modeste",IF(X65&lt;=INDEX(TabRFR[[2021]:[2025]],MATCH(BD!W65&amp;"-modestes",TabRFR[Recherche RFR],0),MATCH(TEXT(YEAR(BD!D65),"Standard"),TabRFR[[#Headers],[2021]:[2025]],0)),"Modeste",IF(X65&lt;=INDEX(TabRFR[[2021]:[2025]],MATCH(BD!W65&amp;"-Intermédiaire",TabRFR[Recherche RFR],0),MATCH(TEXT(YEAR(BD!D65),"Standard"),TabRFR[[#Headers],[2021]:[2025]],0)),"Intermédiaire","Supérieur")))))),IF(D65="","",IF(W65+X65&lt;15,"Données Nb pers ou RFR manquantes",IF(COUNTA(INDIRECT("TabRFR["&amp;YEAR(I65)&amp;"]"))&lt;&gt;COUNTA(TabRFR[Recherche RFR]),"Data RFR manquantes", IF(X65&lt;=INDEX(TabRFR[[2021]:[2025]],MATCH(BD!W65&amp;"-Très modestes",TabRFR[Recherche RFR],0),MATCH(TEXT(YEAR(BD!I65),"Standard"),TabRFR[[#Headers],[2021]:[2025]],0)),"Très Modeste",IF(X65&lt;=INDEX(TabRFR[[2021]:[2025]],MATCH(BD!W65&amp;"-modestes",TabRFR[Recherche RFR],0),MATCH(TEXT(YEAR(BD!I65),"Standard"),TabRFR[[#Headers],[2021]:[2025]],0)),"Modeste",IF(X65&lt;=INDEX(TabRFR[[2021]:[2025]],MATCH(BD!W65&amp;"-Intermédiaire",TabRFR[Recherche RFR],0),MATCH(TEXT(YEAR(BD!I65),"Standard"),TabRFR[[#Headers],[2021]:[2025]],0)),"Intermédiaire","Supérieur")))))))</f>
        <v>Data RFR manquantes</v>
      </c>
      <c r="Z65" s="75"/>
      <c r="AA65" s="75" t="s">
        <v>2248</v>
      </c>
      <c r="AB65" s="75">
        <v>38850</v>
      </c>
      <c r="AC65" s="75" t="s">
        <v>148</v>
      </c>
      <c r="AD65" s="101"/>
      <c r="AE65" s="102"/>
      <c r="AF65" s="75" t="s">
        <v>95</v>
      </c>
      <c r="AG65" s="75"/>
      <c r="AH65" s="75">
        <v>1994</v>
      </c>
      <c r="AI65" s="75"/>
      <c r="AJ65" s="75"/>
      <c r="AK65" s="75"/>
      <c r="AL65" s="75"/>
      <c r="AM65" s="75" t="s">
        <v>2246</v>
      </c>
      <c r="AN65" s="75" t="s">
        <v>96</v>
      </c>
      <c r="AO65" s="75" t="s">
        <v>1948</v>
      </c>
      <c r="AP65" s="75" t="s">
        <v>97</v>
      </c>
      <c r="AQ65" s="75"/>
      <c r="AR65" s="75"/>
      <c r="AS65" s="102" t="s">
        <v>120</v>
      </c>
      <c r="AT65" s="101">
        <v>476071461</v>
      </c>
      <c r="AU65" s="75" t="s">
        <v>111</v>
      </c>
      <c r="AV65" s="75" t="s">
        <v>2245</v>
      </c>
      <c r="AW65" s="75" t="s">
        <v>100</v>
      </c>
      <c r="AX65" s="75" t="s">
        <v>112</v>
      </c>
      <c r="AY65" s="75" t="s">
        <v>1603</v>
      </c>
      <c r="AZ65" s="75" t="s">
        <v>1011</v>
      </c>
      <c r="BA65" s="75">
        <v>34</v>
      </c>
      <c r="BB65" s="75">
        <v>7</v>
      </c>
      <c r="BC65" s="75">
        <v>80</v>
      </c>
      <c r="BD65" s="75">
        <v>0.1</v>
      </c>
      <c r="BE65" s="75" t="s">
        <v>97</v>
      </c>
      <c r="BF65" s="75"/>
      <c r="BG65" s="75">
        <v>2500</v>
      </c>
      <c r="BH65" s="77"/>
      <c r="BI65" s="77"/>
      <c r="BJ65" s="77"/>
      <c r="BK65" s="75">
        <v>410</v>
      </c>
      <c r="BL65" s="75">
        <f t="shared" si="0"/>
        <v>2910</v>
      </c>
      <c r="BM65" s="103">
        <f t="shared" si="1"/>
        <v>160.05000000000001</v>
      </c>
      <c r="BN65" s="103">
        <f t="shared" si="2"/>
        <v>3070.05</v>
      </c>
      <c r="BO65" s="103">
        <v>4594.2</v>
      </c>
      <c r="BP65" s="75" t="s">
        <v>9</v>
      </c>
      <c r="BQ65" s="75"/>
      <c r="BR65" s="75"/>
      <c r="BS65" s="157">
        <v>2016</v>
      </c>
      <c r="BT65">
        <v>2020</v>
      </c>
      <c r="BU65">
        <v>2016</v>
      </c>
    </row>
    <row r="66" spans="1:73" ht="43.15" customHeight="1" x14ac:dyDescent="0.25">
      <c r="A66" s="242" t="s">
        <v>186</v>
      </c>
      <c r="B66" s="242" t="s">
        <v>2244</v>
      </c>
      <c r="C66" s="159">
        <v>400</v>
      </c>
      <c r="D66" s="114">
        <v>42555</v>
      </c>
      <c r="E66" s="114" t="s">
        <v>9</v>
      </c>
      <c r="F66" s="114" t="s">
        <v>2243</v>
      </c>
      <c r="G66" s="114"/>
      <c r="H66" s="114">
        <v>42564</v>
      </c>
      <c r="I66" s="114">
        <v>42564</v>
      </c>
      <c r="J66" s="114">
        <v>42569</v>
      </c>
      <c r="K66" s="76"/>
      <c r="L66" s="114">
        <v>42892</v>
      </c>
      <c r="M66" s="114">
        <v>42653</v>
      </c>
      <c r="N66" s="114"/>
      <c r="O66" s="114">
        <v>42899</v>
      </c>
      <c r="P66" s="114">
        <v>42899</v>
      </c>
      <c r="Q66" s="114">
        <v>42901</v>
      </c>
      <c r="R66" s="80"/>
      <c r="S66" s="114"/>
      <c r="T66" s="75"/>
      <c r="U66" s="75"/>
      <c r="V66" s="75"/>
      <c r="W66" s="75">
        <v>1</v>
      </c>
      <c r="X66" s="75">
        <v>46176</v>
      </c>
      <c r="Y66" s="75" t="str">
        <f ca="1">IF(I66="",IF(D66="","",IF(W66+X66&lt;15,"Données Nb pers ou RFR manquantes",IF(COUNTA(INDIRECT("TabRFR["&amp;YEAR(D66)&amp;"]"))&lt;&gt;COUNTA(TabRFR[Recherche RFR]),"Data RFR manquantes", IF(X66&lt;=INDEX(TabRFR[[2021]:[2025]],MATCH(BD!W66&amp;"-Très modestes",TabRFR[Recherche RFR],0),MATCH(TEXT(YEAR(BD!D66),"Standard"),TabRFR[[#Headers],[2021]:[2025]],0)),"Très Modeste",IF(X66&lt;=INDEX(TabRFR[[2021]:[2025]],MATCH(BD!W66&amp;"-modestes",TabRFR[Recherche RFR],0),MATCH(TEXT(YEAR(BD!D66),"Standard"),TabRFR[[#Headers],[2021]:[2025]],0)),"Modeste",IF(X66&lt;=INDEX(TabRFR[[2021]:[2025]],MATCH(BD!W66&amp;"-Intermédiaire",TabRFR[Recherche RFR],0),MATCH(TEXT(YEAR(BD!D66),"Standard"),TabRFR[[#Headers],[2021]:[2025]],0)),"Intermédiaire","Supérieur")))))),IF(D66="","",IF(W66+X66&lt;15,"Données Nb pers ou RFR manquantes",IF(COUNTA(INDIRECT("TabRFR["&amp;YEAR(I66)&amp;"]"))&lt;&gt;COUNTA(TabRFR[Recherche RFR]),"Data RFR manquantes", IF(X66&lt;=INDEX(TabRFR[[2021]:[2025]],MATCH(BD!W66&amp;"-Très modestes",TabRFR[Recherche RFR],0),MATCH(TEXT(YEAR(BD!I66),"Standard"),TabRFR[[#Headers],[2021]:[2025]],0)),"Très Modeste",IF(X66&lt;=INDEX(TabRFR[[2021]:[2025]],MATCH(BD!W66&amp;"-modestes",TabRFR[Recherche RFR],0),MATCH(TEXT(YEAR(BD!I66),"Standard"),TabRFR[[#Headers],[2021]:[2025]],0)),"Modeste",IF(X66&lt;=INDEX(TabRFR[[2021]:[2025]],MATCH(BD!W66&amp;"-Intermédiaire",TabRFR[Recherche RFR],0),MATCH(TEXT(YEAR(BD!I66),"Standard"),TabRFR[[#Headers],[2021]:[2025]],0)),"Intermédiaire","Supérieur")))))))</f>
        <v>Data RFR manquantes</v>
      </c>
      <c r="Z66" s="75"/>
      <c r="AA66" s="75" t="s">
        <v>856</v>
      </c>
      <c r="AB66" s="75">
        <v>38620</v>
      </c>
      <c r="AC66" s="75" t="s">
        <v>857</v>
      </c>
      <c r="AD66" s="101"/>
      <c r="AE66" s="102"/>
      <c r="AF66" s="75"/>
      <c r="AG66" s="75"/>
      <c r="AH66" s="75"/>
      <c r="AI66" s="75"/>
      <c r="AJ66" s="75"/>
      <c r="AK66" s="75"/>
      <c r="AL66" s="75"/>
      <c r="AM66" s="75" t="s">
        <v>4350</v>
      </c>
      <c r="AN66" s="75" t="s">
        <v>3333</v>
      </c>
      <c r="AO66" s="75" t="s">
        <v>2239</v>
      </c>
      <c r="AP66" s="75" t="s">
        <v>97</v>
      </c>
      <c r="AQ66" s="75"/>
      <c r="AR66" s="75"/>
      <c r="AS66" s="102" t="s">
        <v>962</v>
      </c>
      <c r="AT66" s="101">
        <v>476251477</v>
      </c>
      <c r="AU66" s="75" t="s">
        <v>111</v>
      </c>
      <c r="AV66" s="75">
        <v>1994</v>
      </c>
      <c r="AW66" s="75" t="s">
        <v>111</v>
      </c>
      <c r="AX66" s="75" t="s">
        <v>112</v>
      </c>
      <c r="AY66" s="75" t="s">
        <v>2238</v>
      </c>
      <c r="AZ66" s="75" t="s">
        <v>2237</v>
      </c>
      <c r="BA66" s="75">
        <v>32</v>
      </c>
      <c r="BB66" s="75">
        <v>11</v>
      </c>
      <c r="BC66" s="75">
        <v>75</v>
      </c>
      <c r="BD66" s="75">
        <v>0.09</v>
      </c>
      <c r="BE66" s="75" t="s">
        <v>97</v>
      </c>
      <c r="BF66" s="75"/>
      <c r="BG66" s="75">
        <v>2179.61</v>
      </c>
      <c r="BH66" s="77"/>
      <c r="BI66" s="77"/>
      <c r="BJ66" s="77"/>
      <c r="BK66" s="75">
        <v>1600</v>
      </c>
      <c r="BL66" s="75">
        <f t="shared" si="0"/>
        <v>3779.61</v>
      </c>
      <c r="BM66" s="103">
        <f t="shared" si="1"/>
        <v>207.87855000000002</v>
      </c>
      <c r="BN66" s="103">
        <f t="shared" si="2"/>
        <v>3987.48855</v>
      </c>
      <c r="BO66" s="103">
        <v>5574.65</v>
      </c>
      <c r="BP66" s="75" t="s">
        <v>104</v>
      </c>
      <c r="BQ66" s="75"/>
      <c r="BR66" s="75"/>
      <c r="BS66" s="157">
        <v>2016</v>
      </c>
      <c r="BT66">
        <v>2020</v>
      </c>
      <c r="BU66">
        <v>2016</v>
      </c>
    </row>
    <row r="67" spans="1:73" ht="43.15" customHeight="1" x14ac:dyDescent="0.25">
      <c r="A67" s="242" t="s">
        <v>186</v>
      </c>
      <c r="B67" s="242" t="s">
        <v>2236</v>
      </c>
      <c r="C67" s="159">
        <v>800</v>
      </c>
      <c r="D67" s="114">
        <v>42558</v>
      </c>
      <c r="E67" s="114" t="s">
        <v>9</v>
      </c>
      <c r="F67" s="114" t="s">
        <v>2235</v>
      </c>
      <c r="G67" s="114"/>
      <c r="H67" s="114">
        <v>42564</v>
      </c>
      <c r="I67" s="114">
        <v>42564</v>
      </c>
      <c r="J67" s="114">
        <v>42569</v>
      </c>
      <c r="K67" s="76"/>
      <c r="L67" s="114">
        <v>42646</v>
      </c>
      <c r="M67" s="114">
        <v>42621</v>
      </c>
      <c r="N67" s="114" t="s">
        <v>2234</v>
      </c>
      <c r="O67" s="114">
        <v>42646</v>
      </c>
      <c r="P67" s="114">
        <v>42646</v>
      </c>
      <c r="Q67" s="114">
        <v>42664</v>
      </c>
      <c r="R67" s="81"/>
      <c r="S67" s="114"/>
      <c r="T67" s="75"/>
      <c r="U67" s="75"/>
      <c r="V67" s="75"/>
      <c r="W67" s="75">
        <v>4</v>
      </c>
      <c r="X67" s="75">
        <v>32326</v>
      </c>
      <c r="Y67" s="75" t="str">
        <f ca="1">IF(I67="",IF(D67="","",IF(W67+X67&lt;15,"Données Nb pers ou RFR manquantes",IF(COUNTA(INDIRECT("TabRFR["&amp;YEAR(D67)&amp;"]"))&lt;&gt;COUNTA(TabRFR[Recherche RFR]),"Data RFR manquantes", IF(X67&lt;=INDEX(TabRFR[[2021]:[2025]],MATCH(BD!W67&amp;"-Très modestes",TabRFR[Recherche RFR],0),MATCH(TEXT(YEAR(BD!D67),"Standard"),TabRFR[[#Headers],[2021]:[2025]],0)),"Très Modeste",IF(X67&lt;=INDEX(TabRFR[[2021]:[2025]],MATCH(BD!W67&amp;"-modestes",TabRFR[Recherche RFR],0),MATCH(TEXT(YEAR(BD!D67),"Standard"),TabRFR[[#Headers],[2021]:[2025]],0)),"Modeste",IF(X67&lt;=INDEX(TabRFR[[2021]:[2025]],MATCH(BD!W67&amp;"-Intermédiaire",TabRFR[Recherche RFR],0),MATCH(TEXT(YEAR(BD!D67),"Standard"),TabRFR[[#Headers],[2021]:[2025]],0)),"Intermédiaire","Supérieur")))))),IF(D67="","",IF(W67+X67&lt;15,"Données Nb pers ou RFR manquantes",IF(COUNTA(INDIRECT("TabRFR["&amp;YEAR(I67)&amp;"]"))&lt;&gt;COUNTA(TabRFR[Recherche RFR]),"Data RFR manquantes", IF(X67&lt;=INDEX(TabRFR[[2021]:[2025]],MATCH(BD!W67&amp;"-Très modestes",TabRFR[Recherche RFR],0),MATCH(TEXT(YEAR(BD!I67),"Standard"),TabRFR[[#Headers],[2021]:[2025]],0)),"Très Modeste",IF(X67&lt;=INDEX(TabRFR[[2021]:[2025]],MATCH(BD!W67&amp;"-modestes",TabRFR[Recherche RFR],0),MATCH(TEXT(YEAR(BD!I67),"Standard"),TabRFR[[#Headers],[2021]:[2025]],0)),"Modeste",IF(X67&lt;=INDEX(TabRFR[[2021]:[2025]],MATCH(BD!W67&amp;"-Intermédiaire",TabRFR[Recherche RFR],0),MATCH(TEXT(YEAR(BD!I67),"Standard"),TabRFR[[#Headers],[2021]:[2025]],0)),"Intermédiaire","Supérieur")))))))</f>
        <v>Data RFR manquantes</v>
      </c>
      <c r="Z67" s="75"/>
      <c r="AA67" s="75" t="s">
        <v>2232</v>
      </c>
      <c r="AB67" s="75">
        <v>38210</v>
      </c>
      <c r="AC67" s="75" t="s">
        <v>445</v>
      </c>
      <c r="AD67" s="101"/>
      <c r="AE67" s="102"/>
      <c r="AF67" s="75" t="s">
        <v>95</v>
      </c>
      <c r="AG67" s="75"/>
      <c r="AH67" s="75">
        <v>42491</v>
      </c>
      <c r="AI67" s="75"/>
      <c r="AJ67" s="75"/>
      <c r="AK67" s="75"/>
      <c r="AL67" s="75"/>
      <c r="AM67" s="75" t="s">
        <v>4356</v>
      </c>
      <c r="AN67" s="75" t="s">
        <v>96</v>
      </c>
      <c r="AO67" s="75"/>
      <c r="AP67" s="75" t="s">
        <v>97</v>
      </c>
      <c r="AQ67" s="75"/>
      <c r="AR67" s="75"/>
      <c r="AS67" s="102" t="s">
        <v>770</v>
      </c>
      <c r="AT67" s="101">
        <v>476071461</v>
      </c>
      <c r="AU67" s="75" t="s">
        <v>111</v>
      </c>
      <c r="AV67" s="75">
        <v>1990</v>
      </c>
      <c r="AW67" s="75" t="s">
        <v>100</v>
      </c>
      <c r="AX67" s="75" t="s">
        <v>2071</v>
      </c>
      <c r="AY67" s="75" t="s">
        <v>102</v>
      </c>
      <c r="AZ67" s="75" t="s">
        <v>2230</v>
      </c>
      <c r="BA67" s="75">
        <v>21</v>
      </c>
      <c r="BB67" s="75">
        <v>8</v>
      </c>
      <c r="BC67" s="75">
        <v>90</v>
      </c>
      <c r="BD67" s="75">
        <v>1.4999999999999999E-2</v>
      </c>
      <c r="BE67" s="75" t="s">
        <v>97</v>
      </c>
      <c r="BF67" s="75"/>
      <c r="BG67" s="75">
        <v>2973</v>
      </c>
      <c r="BH67" s="77"/>
      <c r="BI67" s="77"/>
      <c r="BJ67" s="77"/>
      <c r="BK67" s="75">
        <v>400</v>
      </c>
      <c r="BL67" s="75">
        <f t="shared" si="0"/>
        <v>3373</v>
      </c>
      <c r="BM67" s="103">
        <f t="shared" si="1"/>
        <v>185.51500000000001</v>
      </c>
      <c r="BN67" s="103">
        <f t="shared" si="2"/>
        <v>3558.5149999999999</v>
      </c>
      <c r="BO67" s="103">
        <v>3558.51</v>
      </c>
      <c r="BP67" s="75" t="s">
        <v>97</v>
      </c>
      <c r="BQ67" s="75"/>
      <c r="BR67" s="75"/>
      <c r="BS67" s="157">
        <v>2016</v>
      </c>
      <c r="BU67">
        <v>2016</v>
      </c>
    </row>
    <row r="68" spans="1:73" ht="43.15" customHeight="1" x14ac:dyDescent="0.25">
      <c r="A68" s="242" t="s">
        <v>186</v>
      </c>
      <c r="B68" s="242" t="s">
        <v>2229</v>
      </c>
      <c r="C68" s="159">
        <v>400</v>
      </c>
      <c r="D68" s="114">
        <v>42559</v>
      </c>
      <c r="E68" s="114" t="s">
        <v>9</v>
      </c>
      <c r="F68" s="114"/>
      <c r="G68" s="114"/>
      <c r="H68" s="114">
        <v>42562</v>
      </c>
      <c r="I68" s="114">
        <v>42564</v>
      </c>
      <c r="J68" s="114">
        <v>42569</v>
      </c>
      <c r="K68" s="76"/>
      <c r="L68" s="114">
        <v>42625</v>
      </c>
      <c r="M68" s="114">
        <v>42591</v>
      </c>
      <c r="N68" s="114"/>
      <c r="O68" s="114">
        <v>42626</v>
      </c>
      <c r="P68" s="114">
        <v>42626</v>
      </c>
      <c r="Q68" s="114">
        <v>42640</v>
      </c>
      <c r="R68" s="80"/>
      <c r="S68" s="114"/>
      <c r="T68" s="75"/>
      <c r="U68" s="75"/>
      <c r="V68" s="75"/>
      <c r="W68" s="75">
        <v>3</v>
      </c>
      <c r="X68" s="75">
        <f>26784+23803</f>
        <v>50587</v>
      </c>
      <c r="Y68" s="75" t="str">
        <f ca="1">IF(I68="",IF(D68="","",IF(W68+X68&lt;15,"Données Nb pers ou RFR manquantes",IF(COUNTA(INDIRECT("TabRFR["&amp;YEAR(D68)&amp;"]"))&lt;&gt;COUNTA(TabRFR[Recherche RFR]),"Data RFR manquantes", IF(X68&lt;=INDEX(TabRFR[[2021]:[2025]],MATCH(BD!W68&amp;"-Très modestes",TabRFR[Recherche RFR],0),MATCH(TEXT(YEAR(BD!D68),"Standard"),TabRFR[[#Headers],[2021]:[2025]],0)),"Très Modeste",IF(X68&lt;=INDEX(TabRFR[[2021]:[2025]],MATCH(BD!W68&amp;"-modestes",TabRFR[Recherche RFR],0),MATCH(TEXT(YEAR(BD!D68),"Standard"),TabRFR[[#Headers],[2021]:[2025]],0)),"Modeste",IF(X68&lt;=INDEX(TabRFR[[2021]:[2025]],MATCH(BD!W68&amp;"-Intermédiaire",TabRFR[Recherche RFR],0),MATCH(TEXT(YEAR(BD!D68),"Standard"),TabRFR[[#Headers],[2021]:[2025]],0)),"Intermédiaire","Supérieur")))))),IF(D68="","",IF(W68+X68&lt;15,"Données Nb pers ou RFR manquantes",IF(COUNTA(INDIRECT("TabRFR["&amp;YEAR(I68)&amp;"]"))&lt;&gt;COUNTA(TabRFR[Recherche RFR]),"Data RFR manquantes", IF(X68&lt;=INDEX(TabRFR[[2021]:[2025]],MATCH(BD!W68&amp;"-Très modestes",TabRFR[Recherche RFR],0),MATCH(TEXT(YEAR(BD!I68),"Standard"),TabRFR[[#Headers],[2021]:[2025]],0)),"Très Modeste",IF(X68&lt;=INDEX(TabRFR[[2021]:[2025]],MATCH(BD!W68&amp;"-modestes",TabRFR[Recherche RFR],0),MATCH(TEXT(YEAR(BD!I68),"Standard"),TabRFR[[#Headers],[2021]:[2025]],0)),"Modeste",IF(X68&lt;=INDEX(TabRFR[[2021]:[2025]],MATCH(BD!W68&amp;"-Intermédiaire",TabRFR[Recherche RFR],0),MATCH(TEXT(YEAR(BD!I68),"Standard"),TabRFR[[#Headers],[2021]:[2025]],0)),"Intermédiaire","Supérieur")))))))</f>
        <v>Data RFR manquantes</v>
      </c>
      <c r="Z68" s="75"/>
      <c r="AA68" s="75" t="s">
        <v>2227</v>
      </c>
      <c r="AB68" s="75">
        <v>38960</v>
      </c>
      <c r="AC68" s="75" t="s">
        <v>2378</v>
      </c>
      <c r="AD68" s="101"/>
      <c r="AE68" s="102"/>
      <c r="AF68" s="75" t="s">
        <v>95</v>
      </c>
      <c r="AG68" s="75"/>
      <c r="AH68" s="75"/>
      <c r="AI68" s="75"/>
      <c r="AJ68" s="75"/>
      <c r="AK68" s="75"/>
      <c r="AL68" s="75"/>
      <c r="AM68" s="75" t="s">
        <v>4236</v>
      </c>
      <c r="AN68" s="75" t="s">
        <v>4091</v>
      </c>
      <c r="AO68" s="75" t="s">
        <v>163</v>
      </c>
      <c r="AP68" s="75" t="s">
        <v>97</v>
      </c>
      <c r="AQ68" s="75"/>
      <c r="AR68" s="75"/>
      <c r="AS68" s="102" t="s">
        <v>164</v>
      </c>
      <c r="AT68" s="101">
        <v>476370350</v>
      </c>
      <c r="AU68" s="75" t="s">
        <v>111</v>
      </c>
      <c r="AV68" s="75">
        <v>1995</v>
      </c>
      <c r="AW68" s="75" t="s">
        <v>100</v>
      </c>
      <c r="AX68" s="75" t="s">
        <v>2071</v>
      </c>
      <c r="AY68" s="75" t="s">
        <v>1883</v>
      </c>
      <c r="AZ68" s="75" t="s">
        <v>2225</v>
      </c>
      <c r="BA68" s="75">
        <v>15</v>
      </c>
      <c r="BB68" s="75">
        <v>9</v>
      </c>
      <c r="BC68" s="75">
        <v>90</v>
      </c>
      <c r="BD68" s="75">
        <v>0.02</v>
      </c>
      <c r="BE68" s="75" t="s">
        <v>97</v>
      </c>
      <c r="BF68" s="75"/>
      <c r="BG68" s="75">
        <v>2670</v>
      </c>
      <c r="BH68" s="77"/>
      <c r="BI68" s="77"/>
      <c r="BJ68" s="77"/>
      <c r="BK68" s="75">
        <v>590</v>
      </c>
      <c r="BL68" s="75">
        <f t="shared" si="0"/>
        <v>3260</v>
      </c>
      <c r="BM68" s="103">
        <f t="shared" si="1"/>
        <v>179.3</v>
      </c>
      <c r="BN68" s="103">
        <f t="shared" si="2"/>
        <v>3439.3</v>
      </c>
      <c r="BO68" s="103">
        <v>5924.88</v>
      </c>
      <c r="BP68" s="75"/>
      <c r="BQ68" s="75"/>
      <c r="BR68" s="75"/>
      <c r="BS68" s="157">
        <v>2016</v>
      </c>
      <c r="BU68">
        <v>2016</v>
      </c>
    </row>
    <row r="69" spans="1:73" ht="43.15" customHeight="1" x14ac:dyDescent="0.25">
      <c r="A69" s="242" t="s">
        <v>186</v>
      </c>
      <c r="B69" s="242" t="s">
        <v>2224</v>
      </c>
      <c r="C69" s="159">
        <v>400</v>
      </c>
      <c r="D69" s="114">
        <v>42569</v>
      </c>
      <c r="E69" s="114" t="s">
        <v>9</v>
      </c>
      <c r="F69" s="114"/>
      <c r="G69" s="114"/>
      <c r="H69" s="114">
        <v>42576</v>
      </c>
      <c r="I69" s="114">
        <v>42578</v>
      </c>
      <c r="J69" s="114">
        <v>42579</v>
      </c>
      <c r="K69" s="76"/>
      <c r="L69" s="114">
        <v>42678</v>
      </c>
      <c r="M69" s="114">
        <v>42653</v>
      </c>
      <c r="N69" s="114"/>
      <c r="O69" s="114">
        <v>42683</v>
      </c>
      <c r="P69" s="114">
        <v>42683</v>
      </c>
      <c r="Q69" s="114">
        <v>42695</v>
      </c>
      <c r="R69" s="80"/>
      <c r="S69" s="114"/>
      <c r="T69" s="75"/>
      <c r="U69" s="75"/>
      <c r="V69" s="75"/>
      <c r="W69" s="75">
        <v>2</v>
      </c>
      <c r="X69" s="75"/>
      <c r="Y69" s="75" t="str">
        <f ca="1">IF(I69="",IF(D69="","",IF(W69+X69&lt;15,"Données Nb pers ou RFR manquantes",IF(COUNTA(INDIRECT("TabRFR["&amp;YEAR(D69)&amp;"]"))&lt;&gt;COUNTA(TabRFR[Recherche RFR]),"Data RFR manquantes", IF(X69&lt;=INDEX(TabRFR[[2021]:[2025]],MATCH(BD!W69&amp;"-Très modestes",TabRFR[Recherche RFR],0),MATCH(TEXT(YEAR(BD!D69),"Standard"),TabRFR[[#Headers],[2021]:[2025]],0)),"Très Modeste",IF(X69&lt;=INDEX(TabRFR[[2021]:[2025]],MATCH(BD!W69&amp;"-modestes",TabRFR[Recherche RFR],0),MATCH(TEXT(YEAR(BD!D69),"Standard"),TabRFR[[#Headers],[2021]:[2025]],0)),"Modeste",IF(X69&lt;=INDEX(TabRFR[[2021]:[2025]],MATCH(BD!W69&amp;"-Intermédiaire",TabRFR[Recherche RFR],0),MATCH(TEXT(YEAR(BD!D69),"Standard"),TabRFR[[#Headers],[2021]:[2025]],0)),"Intermédiaire","Supérieur")))))),IF(D69="","",IF(W69+X69&lt;15,"Données Nb pers ou RFR manquantes",IF(COUNTA(INDIRECT("TabRFR["&amp;YEAR(I69)&amp;"]"))&lt;&gt;COUNTA(TabRFR[Recherche RFR]),"Data RFR manquantes", IF(X69&lt;=INDEX(TabRFR[[2021]:[2025]],MATCH(BD!W69&amp;"-Très modestes",TabRFR[Recherche RFR],0),MATCH(TEXT(YEAR(BD!I69),"Standard"),TabRFR[[#Headers],[2021]:[2025]],0)),"Très Modeste",IF(X69&lt;=INDEX(TabRFR[[2021]:[2025]],MATCH(BD!W69&amp;"-modestes",TabRFR[Recherche RFR],0),MATCH(TEXT(YEAR(BD!I69),"Standard"),TabRFR[[#Headers],[2021]:[2025]],0)),"Modeste",IF(X69&lt;=INDEX(TabRFR[[2021]:[2025]],MATCH(BD!W69&amp;"-Intermédiaire",TabRFR[Recherche RFR],0),MATCH(TEXT(YEAR(BD!I69),"Standard"),TabRFR[[#Headers],[2021]:[2025]],0)),"Intermédiaire","Supérieur")))))))</f>
        <v>Données Nb pers ou RFR manquantes</v>
      </c>
      <c r="Z69" s="75"/>
      <c r="AA69" s="75" t="s">
        <v>2221</v>
      </c>
      <c r="AB69" s="75">
        <v>38960</v>
      </c>
      <c r="AC69" s="75" t="s">
        <v>2403</v>
      </c>
      <c r="AD69" s="101"/>
      <c r="AE69" s="102"/>
      <c r="AF69" s="75" t="s">
        <v>95</v>
      </c>
      <c r="AG69" s="75"/>
      <c r="AH69" s="75">
        <v>42370</v>
      </c>
      <c r="AI69" s="75"/>
      <c r="AJ69" s="75"/>
      <c r="AK69" s="75"/>
      <c r="AL69" s="75"/>
      <c r="AM69" s="75" t="s">
        <v>4356</v>
      </c>
      <c r="AN69" s="75" t="s">
        <v>96</v>
      </c>
      <c r="AO69" s="75" t="s">
        <v>1948</v>
      </c>
      <c r="AP69" s="75" t="s">
        <v>97</v>
      </c>
      <c r="AQ69" s="75"/>
      <c r="AR69" s="75"/>
      <c r="AS69" s="102" t="s">
        <v>120</v>
      </c>
      <c r="AT69" s="101">
        <v>476071461</v>
      </c>
      <c r="AU69" s="75" t="s">
        <v>430</v>
      </c>
      <c r="AV69" s="75">
        <v>1978</v>
      </c>
      <c r="AW69" s="75" t="s">
        <v>100</v>
      </c>
      <c r="AX69" s="75" t="s">
        <v>112</v>
      </c>
      <c r="AY69" s="75" t="s">
        <v>1603</v>
      </c>
      <c r="AZ69" s="75" t="s">
        <v>1011</v>
      </c>
      <c r="BA69" s="75">
        <v>34</v>
      </c>
      <c r="BB69" s="75">
        <v>7</v>
      </c>
      <c r="BC69" s="75">
        <v>80</v>
      </c>
      <c r="BD69" s="75">
        <v>0.1</v>
      </c>
      <c r="BE69" s="75" t="s">
        <v>97</v>
      </c>
      <c r="BF69" s="75"/>
      <c r="BG69" s="75">
        <v>3687</v>
      </c>
      <c r="BH69" s="77"/>
      <c r="BI69" s="77"/>
      <c r="BJ69" s="77"/>
      <c r="BK69" s="75">
        <v>420</v>
      </c>
      <c r="BL69" s="75">
        <f t="shared" si="0"/>
        <v>4107</v>
      </c>
      <c r="BM69" s="103">
        <f t="shared" si="1"/>
        <v>225.88499999999999</v>
      </c>
      <c r="BN69" s="103">
        <f t="shared" si="2"/>
        <v>4332.8850000000002</v>
      </c>
      <c r="BO69" s="103">
        <v>4835.07</v>
      </c>
      <c r="BP69" s="75" t="s">
        <v>104</v>
      </c>
      <c r="BQ69" s="75"/>
      <c r="BR69" s="75"/>
      <c r="BS69" s="157">
        <v>2016</v>
      </c>
      <c r="BT69">
        <v>2020</v>
      </c>
      <c r="BU69">
        <v>2016</v>
      </c>
    </row>
    <row r="70" spans="1:73" ht="43.15" customHeight="1" x14ac:dyDescent="0.25">
      <c r="A70" s="242" t="s">
        <v>186</v>
      </c>
      <c r="B70" s="242" t="s">
        <v>2219</v>
      </c>
      <c r="C70" s="159">
        <v>400</v>
      </c>
      <c r="D70" s="114">
        <v>42569</v>
      </c>
      <c r="E70" s="114" t="s">
        <v>9</v>
      </c>
      <c r="F70" s="114"/>
      <c r="G70" s="114"/>
      <c r="H70" s="114">
        <v>42576</v>
      </c>
      <c r="I70" s="114">
        <v>42578</v>
      </c>
      <c r="J70" s="114">
        <v>42579</v>
      </c>
      <c r="K70" s="76"/>
      <c r="L70" s="114">
        <v>42634</v>
      </c>
      <c r="M70" s="114">
        <v>42626</v>
      </c>
      <c r="N70" s="114" t="s">
        <v>2218</v>
      </c>
      <c r="O70" s="114">
        <v>42641</v>
      </c>
      <c r="P70" s="114">
        <v>42641</v>
      </c>
      <c r="Q70" s="114">
        <v>42643</v>
      </c>
      <c r="R70" s="80"/>
      <c r="S70" s="114"/>
      <c r="T70" s="75"/>
      <c r="U70" s="75"/>
      <c r="V70" s="75"/>
      <c r="W70" s="75">
        <v>1</v>
      </c>
      <c r="X70" s="75"/>
      <c r="Y70" s="75" t="str">
        <f ca="1">IF(I70="",IF(D70="","",IF(W70+X70&lt;15,"Données Nb pers ou RFR manquantes",IF(COUNTA(INDIRECT("TabRFR["&amp;YEAR(D70)&amp;"]"))&lt;&gt;COUNTA(TabRFR[Recherche RFR]),"Data RFR manquantes", IF(X70&lt;=INDEX(TabRFR[[2021]:[2025]],MATCH(BD!W70&amp;"-Très modestes",TabRFR[Recherche RFR],0),MATCH(TEXT(YEAR(BD!D70),"Standard"),TabRFR[[#Headers],[2021]:[2025]],0)),"Très Modeste",IF(X70&lt;=INDEX(TabRFR[[2021]:[2025]],MATCH(BD!W70&amp;"-modestes",TabRFR[Recherche RFR],0),MATCH(TEXT(YEAR(BD!D70),"Standard"),TabRFR[[#Headers],[2021]:[2025]],0)),"Modeste",IF(X70&lt;=INDEX(TabRFR[[2021]:[2025]],MATCH(BD!W70&amp;"-Intermédiaire",TabRFR[Recherche RFR],0),MATCH(TEXT(YEAR(BD!D70),"Standard"),TabRFR[[#Headers],[2021]:[2025]],0)),"Intermédiaire","Supérieur")))))),IF(D70="","",IF(W70+X70&lt;15,"Données Nb pers ou RFR manquantes",IF(COUNTA(INDIRECT("TabRFR["&amp;YEAR(I70)&amp;"]"))&lt;&gt;COUNTA(TabRFR[Recherche RFR]),"Data RFR manquantes", IF(X70&lt;=INDEX(TabRFR[[2021]:[2025]],MATCH(BD!W70&amp;"-Très modestes",TabRFR[Recherche RFR],0),MATCH(TEXT(YEAR(BD!I70),"Standard"),TabRFR[[#Headers],[2021]:[2025]],0)),"Très Modeste",IF(X70&lt;=INDEX(TabRFR[[2021]:[2025]],MATCH(BD!W70&amp;"-modestes",TabRFR[Recherche RFR],0),MATCH(TEXT(YEAR(BD!I70),"Standard"),TabRFR[[#Headers],[2021]:[2025]],0)),"Modeste",IF(X70&lt;=INDEX(TabRFR[[2021]:[2025]],MATCH(BD!W70&amp;"-Intermédiaire",TabRFR[Recherche RFR],0),MATCH(TEXT(YEAR(BD!I70),"Standard"),TabRFR[[#Headers],[2021]:[2025]],0)),"Intermédiaire","Supérieur")))))))</f>
        <v>Données Nb pers ou RFR manquantes</v>
      </c>
      <c r="Z70" s="75"/>
      <c r="AA70" s="75" t="s">
        <v>2215</v>
      </c>
      <c r="AB70" s="75">
        <v>38340</v>
      </c>
      <c r="AC70" s="75" t="s">
        <v>108</v>
      </c>
      <c r="AD70" s="101"/>
      <c r="AE70" s="102"/>
      <c r="AF70" s="75" t="s">
        <v>95</v>
      </c>
      <c r="AG70" s="75"/>
      <c r="AH70" s="75">
        <v>42491</v>
      </c>
      <c r="AI70" s="75"/>
      <c r="AJ70" s="75"/>
      <c r="AK70" s="75"/>
      <c r="AL70" s="75"/>
      <c r="AM70" s="75" t="s">
        <v>4233</v>
      </c>
      <c r="AN70" s="75" t="s">
        <v>829</v>
      </c>
      <c r="AO70" s="75" t="s">
        <v>325</v>
      </c>
      <c r="AP70" s="75" t="s">
        <v>97</v>
      </c>
      <c r="AQ70" s="75"/>
      <c r="AR70" s="75"/>
      <c r="AS70" s="102" t="s">
        <v>211</v>
      </c>
      <c r="AT70" s="101">
        <v>438029038</v>
      </c>
      <c r="AU70" s="75" t="s">
        <v>430</v>
      </c>
      <c r="AV70" s="75">
        <v>1980</v>
      </c>
      <c r="AW70" s="75" t="s">
        <v>100</v>
      </c>
      <c r="AX70" s="75" t="s">
        <v>2071</v>
      </c>
      <c r="AY70" s="75" t="s">
        <v>1883</v>
      </c>
      <c r="AZ70" s="75" t="s">
        <v>2213</v>
      </c>
      <c r="BA70" s="75">
        <v>8</v>
      </c>
      <c r="BB70" s="75">
        <v>6</v>
      </c>
      <c r="BC70" s="75">
        <v>94</v>
      </c>
      <c r="BD70" s="75">
        <v>0</v>
      </c>
      <c r="BE70" s="75" t="s">
        <v>97</v>
      </c>
      <c r="BF70" s="75"/>
      <c r="BG70" s="75">
        <v>3365</v>
      </c>
      <c r="BH70" s="77"/>
      <c r="BI70" s="77"/>
      <c r="BJ70" s="77"/>
      <c r="BK70" s="75">
        <v>426</v>
      </c>
      <c r="BL70" s="75">
        <f t="shared" ref="BL70:BL133" si="3">BG70+BK70</f>
        <v>3791</v>
      </c>
      <c r="BM70" s="103">
        <f t="shared" ref="BM70:BM133" si="4">BL70*0.055</f>
        <v>208.505</v>
      </c>
      <c r="BN70" s="103">
        <f t="shared" ref="BN70:BN133" si="5">BL70+BM70</f>
        <v>3999.5050000000001</v>
      </c>
      <c r="BO70" s="103">
        <v>4000</v>
      </c>
      <c r="BP70" s="75" t="s">
        <v>97</v>
      </c>
      <c r="BQ70" s="75"/>
      <c r="BR70" s="75"/>
      <c r="BS70" s="157">
        <v>2016</v>
      </c>
      <c r="BU70">
        <v>2016</v>
      </c>
    </row>
    <row r="71" spans="1:73" ht="43.15" customHeight="1" x14ac:dyDescent="0.25">
      <c r="A71" s="242" t="s">
        <v>186</v>
      </c>
      <c r="B71" s="242" t="s">
        <v>2212</v>
      </c>
      <c r="C71" s="159">
        <v>400</v>
      </c>
      <c r="D71" s="114">
        <v>42569</v>
      </c>
      <c r="E71" s="114" t="s">
        <v>9</v>
      </c>
      <c r="F71" s="114"/>
      <c r="G71" s="114"/>
      <c r="H71" s="114">
        <v>42576</v>
      </c>
      <c r="I71" s="114">
        <v>42578</v>
      </c>
      <c r="J71" s="114">
        <v>42579</v>
      </c>
      <c r="K71" s="76"/>
      <c r="L71" s="114">
        <v>42661</v>
      </c>
      <c r="M71" s="114">
        <v>42591</v>
      </c>
      <c r="N71" s="114"/>
      <c r="O71" s="114">
        <v>42667</v>
      </c>
      <c r="P71" s="114">
        <v>42667</v>
      </c>
      <c r="Q71" s="114">
        <v>42678</v>
      </c>
      <c r="R71" s="80"/>
      <c r="S71" s="114"/>
      <c r="T71" s="75"/>
      <c r="U71" s="75"/>
      <c r="V71" s="75"/>
      <c r="W71" s="75">
        <v>4</v>
      </c>
      <c r="X71" s="75">
        <v>61239</v>
      </c>
      <c r="Y71" s="75" t="str">
        <f ca="1">IF(I71="",IF(D71="","",IF(W71+X71&lt;15,"Données Nb pers ou RFR manquantes",IF(COUNTA(INDIRECT("TabRFR["&amp;YEAR(D71)&amp;"]"))&lt;&gt;COUNTA(TabRFR[Recherche RFR]),"Data RFR manquantes", IF(X71&lt;=INDEX(TabRFR[[2021]:[2025]],MATCH(BD!W71&amp;"-Très modestes",TabRFR[Recherche RFR],0),MATCH(TEXT(YEAR(BD!D71),"Standard"),TabRFR[[#Headers],[2021]:[2025]],0)),"Très Modeste",IF(X71&lt;=INDEX(TabRFR[[2021]:[2025]],MATCH(BD!W71&amp;"-modestes",TabRFR[Recherche RFR],0),MATCH(TEXT(YEAR(BD!D71),"Standard"),TabRFR[[#Headers],[2021]:[2025]],0)),"Modeste",IF(X71&lt;=INDEX(TabRFR[[2021]:[2025]],MATCH(BD!W71&amp;"-Intermédiaire",TabRFR[Recherche RFR],0),MATCH(TEXT(YEAR(BD!D71),"Standard"),TabRFR[[#Headers],[2021]:[2025]],0)),"Intermédiaire","Supérieur")))))),IF(D71="","",IF(W71+X71&lt;15,"Données Nb pers ou RFR manquantes",IF(COUNTA(INDIRECT("TabRFR["&amp;YEAR(I71)&amp;"]"))&lt;&gt;COUNTA(TabRFR[Recherche RFR]),"Data RFR manquantes", IF(X71&lt;=INDEX(TabRFR[[2021]:[2025]],MATCH(BD!W71&amp;"-Très modestes",TabRFR[Recherche RFR],0),MATCH(TEXT(YEAR(BD!I71),"Standard"),TabRFR[[#Headers],[2021]:[2025]],0)),"Très Modeste",IF(X71&lt;=INDEX(TabRFR[[2021]:[2025]],MATCH(BD!W71&amp;"-modestes",TabRFR[Recherche RFR],0),MATCH(TEXT(YEAR(BD!I71),"Standard"),TabRFR[[#Headers],[2021]:[2025]],0)),"Modeste",IF(X71&lt;=INDEX(TabRFR[[2021]:[2025]],MATCH(BD!W71&amp;"-Intermédiaire",TabRFR[Recherche RFR],0),MATCH(TEXT(YEAR(BD!I71),"Standard"),TabRFR[[#Headers],[2021]:[2025]],0)),"Intermédiaire","Supérieur")))))))</f>
        <v>Data RFR manquantes</v>
      </c>
      <c r="Z71" s="75"/>
      <c r="AA71" s="75" t="s">
        <v>257</v>
      </c>
      <c r="AB71" s="75">
        <v>38340</v>
      </c>
      <c r="AC71" s="75" t="s">
        <v>108</v>
      </c>
      <c r="AD71" s="101"/>
      <c r="AE71" s="102"/>
      <c r="AF71" s="75" t="s">
        <v>95</v>
      </c>
      <c r="AG71" s="75"/>
      <c r="AH71" s="75">
        <v>42430</v>
      </c>
      <c r="AI71" s="75"/>
      <c r="AJ71" s="75"/>
      <c r="AK71" s="75"/>
      <c r="AL71" s="75"/>
      <c r="AM71" s="75" t="s">
        <v>4360</v>
      </c>
      <c r="AN71" s="75" t="s">
        <v>3539</v>
      </c>
      <c r="AO71" s="75"/>
      <c r="AP71" s="75" t="s">
        <v>97</v>
      </c>
      <c r="AQ71" s="75"/>
      <c r="AR71" s="75"/>
      <c r="AS71" s="102" t="s">
        <v>505</v>
      </c>
      <c r="AT71" s="101">
        <v>681726245</v>
      </c>
      <c r="AU71" s="75" t="s">
        <v>100</v>
      </c>
      <c r="AV71" s="75"/>
      <c r="AW71" s="75" t="s">
        <v>100</v>
      </c>
      <c r="AX71" s="75" t="s">
        <v>2071</v>
      </c>
      <c r="AY71" s="75" t="s">
        <v>232</v>
      </c>
      <c r="AZ71" s="75" t="s">
        <v>2209</v>
      </c>
      <c r="BA71" s="75">
        <v>14</v>
      </c>
      <c r="BB71" s="75">
        <v>9</v>
      </c>
      <c r="BC71" s="75">
        <v>90.7</v>
      </c>
      <c r="BD71" s="75">
        <v>0.01</v>
      </c>
      <c r="BE71" s="75" t="s">
        <v>97</v>
      </c>
      <c r="BF71" s="75"/>
      <c r="BG71" s="75">
        <v>4450</v>
      </c>
      <c r="BH71" s="77"/>
      <c r="BI71" s="77"/>
      <c r="BJ71" s="77"/>
      <c r="BK71" s="75">
        <v>1196.23</v>
      </c>
      <c r="BL71" s="75">
        <f t="shared" si="3"/>
        <v>5646.23</v>
      </c>
      <c r="BM71" s="103">
        <f t="shared" si="4"/>
        <v>310.54264999999998</v>
      </c>
      <c r="BN71" s="103">
        <f t="shared" si="5"/>
        <v>5956.7726499999999</v>
      </c>
      <c r="BO71" s="103">
        <v>5956.77</v>
      </c>
      <c r="BP71" s="75" t="s">
        <v>97</v>
      </c>
      <c r="BQ71" s="75"/>
      <c r="BR71" s="75"/>
      <c r="BS71" s="157">
        <v>2016</v>
      </c>
      <c r="BU71">
        <v>2016</v>
      </c>
    </row>
    <row r="72" spans="1:73" ht="43.15" customHeight="1" x14ac:dyDescent="0.25">
      <c r="A72" s="242" t="s">
        <v>186</v>
      </c>
      <c r="B72" s="242" t="s">
        <v>2208</v>
      </c>
      <c r="C72" s="159">
        <v>400</v>
      </c>
      <c r="D72" s="114">
        <v>42571</v>
      </c>
      <c r="E72" s="114" t="s">
        <v>9</v>
      </c>
      <c r="F72" s="114" t="s">
        <v>2158</v>
      </c>
      <c r="G72" s="114"/>
      <c r="H72" s="114">
        <v>42577</v>
      </c>
      <c r="I72" s="114">
        <v>42578</v>
      </c>
      <c r="J72" s="114">
        <v>42579</v>
      </c>
      <c r="K72" s="76"/>
      <c r="L72" s="114">
        <v>42640</v>
      </c>
      <c r="M72" s="114">
        <v>42625</v>
      </c>
      <c r="N72" s="114"/>
      <c r="O72" s="114">
        <v>42641</v>
      </c>
      <c r="P72" s="114">
        <v>42641</v>
      </c>
      <c r="Q72" s="114">
        <v>42643</v>
      </c>
      <c r="R72" s="80"/>
      <c r="S72" s="114"/>
      <c r="T72" s="75"/>
      <c r="U72" s="75"/>
      <c r="V72" s="75"/>
      <c r="W72" s="75">
        <v>2</v>
      </c>
      <c r="X72" s="75">
        <v>69133</v>
      </c>
      <c r="Y72" s="75" t="str">
        <f ca="1">IF(I72="",IF(D72="","",IF(W72+X72&lt;15,"Données Nb pers ou RFR manquantes",IF(COUNTA(INDIRECT("TabRFR["&amp;YEAR(D72)&amp;"]"))&lt;&gt;COUNTA(TabRFR[Recherche RFR]),"Data RFR manquantes", IF(X72&lt;=INDEX(TabRFR[[2021]:[2025]],MATCH(BD!W72&amp;"-Très modestes",TabRFR[Recherche RFR],0),MATCH(TEXT(YEAR(BD!D72),"Standard"),TabRFR[[#Headers],[2021]:[2025]],0)),"Très Modeste",IF(X72&lt;=INDEX(TabRFR[[2021]:[2025]],MATCH(BD!W72&amp;"-modestes",TabRFR[Recherche RFR],0),MATCH(TEXT(YEAR(BD!D72),"Standard"),TabRFR[[#Headers],[2021]:[2025]],0)),"Modeste",IF(X72&lt;=INDEX(TabRFR[[2021]:[2025]],MATCH(BD!W72&amp;"-Intermédiaire",TabRFR[Recherche RFR],0),MATCH(TEXT(YEAR(BD!D72),"Standard"),TabRFR[[#Headers],[2021]:[2025]],0)),"Intermédiaire","Supérieur")))))),IF(D72="","",IF(W72+X72&lt;15,"Données Nb pers ou RFR manquantes",IF(COUNTA(INDIRECT("TabRFR["&amp;YEAR(I72)&amp;"]"))&lt;&gt;COUNTA(TabRFR[Recherche RFR]),"Data RFR manquantes", IF(X72&lt;=INDEX(TabRFR[[2021]:[2025]],MATCH(BD!W72&amp;"-Très modestes",TabRFR[Recherche RFR],0),MATCH(TEXT(YEAR(BD!I72),"Standard"),TabRFR[[#Headers],[2021]:[2025]],0)),"Très Modeste",IF(X72&lt;=INDEX(TabRFR[[2021]:[2025]],MATCH(BD!W72&amp;"-modestes",TabRFR[Recherche RFR],0),MATCH(TEXT(YEAR(BD!I72),"Standard"),TabRFR[[#Headers],[2021]:[2025]],0)),"Modeste",IF(X72&lt;=INDEX(TabRFR[[2021]:[2025]],MATCH(BD!W72&amp;"-Intermédiaire",TabRFR[Recherche RFR],0),MATCH(TEXT(YEAR(BD!I72),"Standard"),TabRFR[[#Headers],[2021]:[2025]],0)),"Intermédiaire","Supérieur")))))))</f>
        <v>Data RFR manquantes</v>
      </c>
      <c r="Z72" s="75"/>
      <c r="AA72" s="75" t="s">
        <v>2205</v>
      </c>
      <c r="AB72" s="75">
        <v>38210</v>
      </c>
      <c r="AC72" s="75" t="s">
        <v>195</v>
      </c>
      <c r="AD72" s="101"/>
      <c r="AE72" s="102"/>
      <c r="AF72" s="75" t="s">
        <v>95</v>
      </c>
      <c r="AG72" s="75"/>
      <c r="AH72" s="75"/>
      <c r="AI72" s="75"/>
      <c r="AJ72" s="75"/>
      <c r="AK72" s="75"/>
      <c r="AL72" s="75"/>
      <c r="AM72" s="75" t="s">
        <v>4348</v>
      </c>
      <c r="AN72" s="75" t="s">
        <v>96</v>
      </c>
      <c r="AO72" s="75" t="s">
        <v>238</v>
      </c>
      <c r="AP72" s="75" t="s">
        <v>97</v>
      </c>
      <c r="AQ72" s="75"/>
      <c r="AR72" s="75"/>
      <c r="AS72" s="102" t="s">
        <v>1571</v>
      </c>
      <c r="AT72" s="101">
        <v>476323235</v>
      </c>
      <c r="AU72" s="75" t="s">
        <v>100</v>
      </c>
      <c r="AV72" s="75">
        <v>1986</v>
      </c>
      <c r="AW72" s="75" t="s">
        <v>100</v>
      </c>
      <c r="AX72" s="75" t="s">
        <v>112</v>
      </c>
      <c r="AY72" s="75" t="s">
        <v>2155</v>
      </c>
      <c r="AZ72" s="75" t="s">
        <v>2203</v>
      </c>
      <c r="BA72" s="75">
        <v>14</v>
      </c>
      <c r="BB72" s="75">
        <v>7</v>
      </c>
      <c r="BC72" s="75">
        <v>77</v>
      </c>
      <c r="BD72" s="75">
        <v>7.0000000000000007E-2</v>
      </c>
      <c r="BE72" s="75" t="s">
        <v>97</v>
      </c>
      <c r="BF72" s="75"/>
      <c r="BG72" s="75">
        <v>4523</v>
      </c>
      <c r="BH72" s="77"/>
      <c r="BI72" s="77"/>
      <c r="BJ72" s="77"/>
      <c r="BK72" s="75">
        <v>655</v>
      </c>
      <c r="BL72" s="75">
        <f t="shared" si="3"/>
        <v>5178</v>
      </c>
      <c r="BM72" s="103">
        <f t="shared" si="4"/>
        <v>284.79000000000002</v>
      </c>
      <c r="BN72" s="103">
        <f t="shared" si="5"/>
        <v>5462.79</v>
      </c>
      <c r="BO72" s="103">
        <v>5388.94</v>
      </c>
      <c r="BP72" s="75" t="s">
        <v>97</v>
      </c>
      <c r="BQ72" s="75"/>
      <c r="BR72" s="75"/>
      <c r="BS72" s="157">
        <v>2016</v>
      </c>
      <c r="BT72">
        <v>2020</v>
      </c>
      <c r="BU72">
        <v>2016</v>
      </c>
    </row>
    <row r="73" spans="1:73" ht="43.15" customHeight="1" x14ac:dyDescent="0.25">
      <c r="A73" s="242" t="s">
        <v>186</v>
      </c>
      <c r="B73" s="242" t="s">
        <v>2202</v>
      </c>
      <c r="C73" s="159">
        <v>400</v>
      </c>
      <c r="D73" s="114">
        <v>42576</v>
      </c>
      <c r="E73" s="114" t="s">
        <v>9</v>
      </c>
      <c r="F73" s="114"/>
      <c r="G73" s="114"/>
      <c r="H73" s="114">
        <v>42577</v>
      </c>
      <c r="I73" s="114">
        <v>42578</v>
      </c>
      <c r="J73" s="114">
        <v>42579</v>
      </c>
      <c r="K73" s="76"/>
      <c r="L73" s="114">
        <v>42639</v>
      </c>
      <c r="M73" s="114">
        <v>42588</v>
      </c>
      <c r="N73" s="114"/>
      <c r="O73" s="114">
        <v>42641</v>
      </c>
      <c r="P73" s="114">
        <v>42641</v>
      </c>
      <c r="Q73" s="114">
        <v>42643</v>
      </c>
      <c r="R73" s="80"/>
      <c r="S73" s="114"/>
      <c r="T73" s="75"/>
      <c r="U73" s="75"/>
      <c r="V73" s="75"/>
      <c r="W73" s="75">
        <v>4</v>
      </c>
      <c r="X73" s="75">
        <v>63859</v>
      </c>
      <c r="Y73" s="75" t="str">
        <f ca="1">IF(I73="",IF(D73="","",IF(W73+X73&lt;15,"Données Nb pers ou RFR manquantes",IF(COUNTA(INDIRECT("TabRFR["&amp;YEAR(D73)&amp;"]"))&lt;&gt;COUNTA(TabRFR[Recherche RFR]),"Data RFR manquantes", IF(X73&lt;=INDEX(TabRFR[[2021]:[2025]],MATCH(BD!W73&amp;"-Très modestes",TabRFR[Recherche RFR],0),MATCH(TEXT(YEAR(BD!D73),"Standard"),TabRFR[[#Headers],[2021]:[2025]],0)),"Très Modeste",IF(X73&lt;=INDEX(TabRFR[[2021]:[2025]],MATCH(BD!W73&amp;"-modestes",TabRFR[Recherche RFR],0),MATCH(TEXT(YEAR(BD!D73),"Standard"),TabRFR[[#Headers],[2021]:[2025]],0)),"Modeste",IF(X73&lt;=INDEX(TabRFR[[2021]:[2025]],MATCH(BD!W73&amp;"-Intermédiaire",TabRFR[Recherche RFR],0),MATCH(TEXT(YEAR(BD!D73),"Standard"),TabRFR[[#Headers],[2021]:[2025]],0)),"Intermédiaire","Supérieur")))))),IF(D73="","",IF(W73+X73&lt;15,"Données Nb pers ou RFR manquantes",IF(COUNTA(INDIRECT("TabRFR["&amp;YEAR(I73)&amp;"]"))&lt;&gt;COUNTA(TabRFR[Recherche RFR]),"Data RFR manquantes", IF(X73&lt;=INDEX(TabRFR[[2021]:[2025]],MATCH(BD!W73&amp;"-Très modestes",TabRFR[Recherche RFR],0),MATCH(TEXT(YEAR(BD!I73),"Standard"),TabRFR[[#Headers],[2021]:[2025]],0)),"Très Modeste",IF(X73&lt;=INDEX(TabRFR[[2021]:[2025]],MATCH(BD!W73&amp;"-modestes",TabRFR[Recherche RFR],0),MATCH(TEXT(YEAR(BD!I73),"Standard"),TabRFR[[#Headers],[2021]:[2025]],0)),"Modeste",IF(X73&lt;=INDEX(TabRFR[[2021]:[2025]],MATCH(BD!W73&amp;"-Intermédiaire",TabRFR[Recherche RFR],0),MATCH(TEXT(YEAR(BD!I73),"Standard"),TabRFR[[#Headers],[2021]:[2025]],0)),"Intermédiaire","Supérieur")))))))</f>
        <v>Data RFR manquantes</v>
      </c>
      <c r="Z73" s="75"/>
      <c r="AA73" s="75" t="s">
        <v>2200</v>
      </c>
      <c r="AB73" s="75">
        <v>38960</v>
      </c>
      <c r="AC73" s="75" t="s">
        <v>2378</v>
      </c>
      <c r="AD73" s="101"/>
      <c r="AE73" s="102"/>
      <c r="AF73" s="75" t="s">
        <v>95</v>
      </c>
      <c r="AG73" s="75"/>
      <c r="AH73" s="75"/>
      <c r="AI73" s="75"/>
      <c r="AJ73" s="75"/>
      <c r="AK73" s="75"/>
      <c r="AL73" s="75"/>
      <c r="AM73" s="75" t="s">
        <v>4348</v>
      </c>
      <c r="AN73" s="75" t="s">
        <v>96</v>
      </c>
      <c r="AO73" s="75" t="s">
        <v>238</v>
      </c>
      <c r="AP73" s="75" t="s">
        <v>97</v>
      </c>
      <c r="AQ73" s="75"/>
      <c r="AR73" s="75"/>
      <c r="AS73" s="102" t="s">
        <v>1571</v>
      </c>
      <c r="AT73" s="101">
        <v>476323235</v>
      </c>
      <c r="AU73" s="75" t="s">
        <v>399</v>
      </c>
      <c r="AV73" s="75">
        <v>1996</v>
      </c>
      <c r="AW73" s="75" t="s">
        <v>111</v>
      </c>
      <c r="AX73" s="75" t="s">
        <v>112</v>
      </c>
      <c r="AY73" s="75" t="s">
        <v>2155</v>
      </c>
      <c r="AZ73" s="75" t="s">
        <v>1453</v>
      </c>
      <c r="BA73" s="75">
        <v>4</v>
      </c>
      <c r="BB73" s="75">
        <v>7</v>
      </c>
      <c r="BC73" s="75">
        <v>78</v>
      </c>
      <c r="BD73" s="75">
        <v>0.06</v>
      </c>
      <c r="BE73" s="75" t="s">
        <v>97</v>
      </c>
      <c r="BF73" s="75"/>
      <c r="BG73" s="75">
        <v>2347.1999999999998</v>
      </c>
      <c r="BH73" s="77"/>
      <c r="BI73" s="77"/>
      <c r="BJ73" s="77"/>
      <c r="BK73" s="75">
        <v>380</v>
      </c>
      <c r="BL73" s="75">
        <f t="shared" si="3"/>
        <v>2727.2</v>
      </c>
      <c r="BM73" s="103">
        <f t="shared" si="4"/>
        <v>149.99599999999998</v>
      </c>
      <c r="BN73" s="103">
        <f t="shared" si="5"/>
        <v>2877.1959999999999</v>
      </c>
      <c r="BO73" s="103">
        <v>2708</v>
      </c>
      <c r="BP73" s="75" t="s">
        <v>104</v>
      </c>
      <c r="BQ73" s="75"/>
      <c r="BR73" s="75"/>
      <c r="BS73" s="157">
        <v>2016</v>
      </c>
      <c r="BT73">
        <v>2020</v>
      </c>
      <c r="BU73">
        <v>2016</v>
      </c>
    </row>
    <row r="74" spans="1:73" ht="43.15" customHeight="1" x14ac:dyDescent="0.25">
      <c r="A74" s="242" t="s">
        <v>186</v>
      </c>
      <c r="B74" s="242" t="s">
        <v>2198</v>
      </c>
      <c r="C74" s="159">
        <v>800</v>
      </c>
      <c r="D74" s="114">
        <v>42578</v>
      </c>
      <c r="E74" s="114"/>
      <c r="F74" s="114" t="s">
        <v>2197</v>
      </c>
      <c r="G74" s="114"/>
      <c r="H74" s="114">
        <v>42695</v>
      </c>
      <c r="I74" s="114">
        <v>42695</v>
      </c>
      <c r="J74" s="114">
        <v>42709</v>
      </c>
      <c r="K74" s="76"/>
      <c r="L74" s="114">
        <v>42765</v>
      </c>
      <c r="M74" s="114">
        <v>42716</v>
      </c>
      <c r="N74" s="114"/>
      <c r="O74" s="114">
        <v>42769</v>
      </c>
      <c r="P74" s="114">
        <v>42769</v>
      </c>
      <c r="Q74" s="114">
        <v>42787</v>
      </c>
      <c r="R74" s="81"/>
      <c r="S74" s="114"/>
      <c r="T74" s="75" t="s">
        <v>2196</v>
      </c>
      <c r="U74" s="75"/>
      <c r="V74" s="75"/>
      <c r="W74" s="75">
        <v>4</v>
      </c>
      <c r="X74" s="75">
        <v>36118</v>
      </c>
      <c r="Y74" s="75" t="str">
        <f ca="1">IF(I74="",IF(D74="","",IF(W74+X74&lt;15,"Données Nb pers ou RFR manquantes",IF(COUNTA(INDIRECT("TabRFR["&amp;YEAR(D74)&amp;"]"))&lt;&gt;COUNTA(TabRFR[Recherche RFR]),"Data RFR manquantes", IF(X74&lt;=INDEX(TabRFR[[2021]:[2025]],MATCH(BD!W74&amp;"-Très modestes",TabRFR[Recherche RFR],0),MATCH(TEXT(YEAR(BD!D74),"Standard"),TabRFR[[#Headers],[2021]:[2025]],0)),"Très Modeste",IF(X74&lt;=INDEX(TabRFR[[2021]:[2025]],MATCH(BD!W74&amp;"-modestes",TabRFR[Recherche RFR],0),MATCH(TEXT(YEAR(BD!D74),"Standard"),TabRFR[[#Headers],[2021]:[2025]],0)),"Modeste",IF(X74&lt;=INDEX(TabRFR[[2021]:[2025]],MATCH(BD!W74&amp;"-Intermédiaire",TabRFR[Recherche RFR],0),MATCH(TEXT(YEAR(BD!D74),"Standard"),TabRFR[[#Headers],[2021]:[2025]],0)),"Intermédiaire","Supérieur")))))),IF(D74="","",IF(W74+X74&lt;15,"Données Nb pers ou RFR manquantes",IF(COUNTA(INDIRECT("TabRFR["&amp;YEAR(I74)&amp;"]"))&lt;&gt;COUNTA(TabRFR[Recherche RFR]),"Data RFR manquantes", IF(X74&lt;=INDEX(TabRFR[[2021]:[2025]],MATCH(BD!W74&amp;"-Très modestes",TabRFR[Recherche RFR],0),MATCH(TEXT(YEAR(BD!I74),"Standard"),TabRFR[[#Headers],[2021]:[2025]],0)),"Très Modeste",IF(X74&lt;=INDEX(TabRFR[[2021]:[2025]],MATCH(BD!W74&amp;"-modestes",TabRFR[Recherche RFR],0),MATCH(TEXT(YEAR(BD!I74),"Standard"),TabRFR[[#Headers],[2021]:[2025]],0)),"Modeste",IF(X74&lt;=INDEX(TabRFR[[2021]:[2025]],MATCH(BD!W74&amp;"-Intermédiaire",TabRFR[Recherche RFR],0),MATCH(TEXT(YEAR(BD!I74),"Standard"),TabRFR[[#Headers],[2021]:[2025]],0)),"Intermédiaire","Supérieur")))))))</f>
        <v>Data RFR manquantes</v>
      </c>
      <c r="Z74" s="75"/>
      <c r="AA74" s="75" t="s">
        <v>126</v>
      </c>
      <c r="AB74" s="75">
        <v>38500</v>
      </c>
      <c r="AC74" s="75" t="s">
        <v>96</v>
      </c>
      <c r="AD74" s="101"/>
      <c r="AE74" s="102"/>
      <c r="AF74" s="75" t="s">
        <v>2193</v>
      </c>
      <c r="AG74" s="75"/>
      <c r="AH74" s="75">
        <v>1970</v>
      </c>
      <c r="AI74" s="75"/>
      <c r="AJ74" s="75"/>
      <c r="AK74" s="75"/>
      <c r="AL74" s="75"/>
      <c r="AM74" s="75" t="s">
        <v>4191</v>
      </c>
      <c r="AN74" s="75" t="s">
        <v>96</v>
      </c>
      <c r="AO74" s="75" t="s">
        <v>229</v>
      </c>
      <c r="AP74" s="75" t="s">
        <v>97</v>
      </c>
      <c r="AQ74" s="75"/>
      <c r="AR74" s="75"/>
      <c r="AS74" s="102" t="s">
        <v>230</v>
      </c>
      <c r="AT74" s="101">
        <v>476059938</v>
      </c>
      <c r="AU74" s="75" t="s">
        <v>399</v>
      </c>
      <c r="AV74" s="75">
        <v>2000</v>
      </c>
      <c r="AW74" s="75" t="s">
        <v>111</v>
      </c>
      <c r="AX74" s="75" t="s">
        <v>2071</v>
      </c>
      <c r="AY74" s="75" t="s">
        <v>2187</v>
      </c>
      <c r="AZ74" s="75" t="s">
        <v>2192</v>
      </c>
      <c r="BA74" s="75">
        <v>14</v>
      </c>
      <c r="BB74" s="75">
        <v>7</v>
      </c>
      <c r="BC74" s="75">
        <v>90</v>
      </c>
      <c r="BD74" s="75">
        <v>0.01</v>
      </c>
      <c r="BE74" s="75" t="s">
        <v>97</v>
      </c>
      <c r="BF74" s="75"/>
      <c r="BG74" s="75">
        <v>5478</v>
      </c>
      <c r="BH74" s="77"/>
      <c r="BI74" s="77"/>
      <c r="BJ74" s="77"/>
      <c r="BK74" s="75">
        <v>800</v>
      </c>
      <c r="BL74" s="75">
        <f t="shared" si="3"/>
        <v>6278</v>
      </c>
      <c r="BM74" s="103">
        <f t="shared" si="4"/>
        <v>345.29</v>
      </c>
      <c r="BN74" s="103">
        <f t="shared" si="5"/>
        <v>6623.29</v>
      </c>
      <c r="BO74" s="103">
        <v>6629.29</v>
      </c>
      <c r="BP74" s="75" t="s">
        <v>97</v>
      </c>
      <c r="BQ74" s="75"/>
      <c r="BR74" s="75"/>
      <c r="BS74" s="157">
        <v>2016</v>
      </c>
      <c r="BU74">
        <v>2016</v>
      </c>
    </row>
    <row r="75" spans="1:73" ht="43.15" customHeight="1" x14ac:dyDescent="0.25">
      <c r="A75" s="29" t="s">
        <v>186</v>
      </c>
      <c r="B75" s="29" t="s">
        <v>2191</v>
      </c>
      <c r="C75" s="161" t="s">
        <v>9</v>
      </c>
      <c r="D75" s="110">
        <v>42578</v>
      </c>
      <c r="E75" s="110"/>
      <c r="F75" s="110"/>
      <c r="G75" s="110"/>
      <c r="H75" s="210"/>
      <c r="I75" s="210"/>
      <c r="J75" s="110"/>
      <c r="K75" s="76"/>
      <c r="L75" s="110"/>
      <c r="M75" s="110"/>
      <c r="N75" s="110"/>
      <c r="O75" s="110"/>
      <c r="P75" s="110"/>
      <c r="Q75" s="110"/>
      <c r="R75" s="81"/>
      <c r="S75" s="110">
        <v>42578</v>
      </c>
      <c r="T75" s="109" t="s">
        <v>2189</v>
      </c>
      <c r="U75" s="111"/>
      <c r="V75" s="111"/>
      <c r="W75" s="111">
        <v>4</v>
      </c>
      <c r="X75" s="111">
        <v>16964</v>
      </c>
      <c r="Y75" s="75" t="str">
        <f ca="1">IF(I75="",IF(D75="","",IF(W75+X75&lt;15,"Données Nb pers ou RFR manquantes",IF(COUNTA(INDIRECT("TabRFR["&amp;YEAR(D75)&amp;"]"))&lt;&gt;COUNTA(TabRFR[Recherche RFR]),"Data RFR manquantes", IF(X75&lt;=INDEX(TabRFR[[2021]:[2025]],MATCH(BD!W75&amp;"-Très modestes",TabRFR[Recherche RFR],0),MATCH(TEXT(YEAR(BD!D75),"Standard"),TabRFR[[#Headers],[2021]:[2025]],0)),"Très Modeste",IF(X75&lt;=INDEX(TabRFR[[2021]:[2025]],MATCH(BD!W75&amp;"-modestes",TabRFR[Recherche RFR],0),MATCH(TEXT(YEAR(BD!D75),"Standard"),TabRFR[[#Headers],[2021]:[2025]],0)),"Modeste",IF(X75&lt;=INDEX(TabRFR[[2021]:[2025]],MATCH(BD!W75&amp;"-Intermédiaire",TabRFR[Recherche RFR],0),MATCH(TEXT(YEAR(BD!D75),"Standard"),TabRFR[[#Headers],[2021]:[2025]],0)),"Intermédiaire","Supérieur")))))),IF(D75="","",IF(W75+X75&lt;15,"Données Nb pers ou RFR manquantes",IF(COUNTA(INDIRECT("TabRFR["&amp;YEAR(I75)&amp;"]"))&lt;&gt;COUNTA(TabRFR[Recherche RFR]),"Data RFR manquantes", IF(X75&lt;=INDEX(TabRFR[[2021]:[2025]],MATCH(BD!W75&amp;"-Très modestes",TabRFR[Recherche RFR],0),MATCH(TEXT(YEAR(BD!I75),"Standard"),TabRFR[[#Headers],[2021]:[2025]],0)),"Très Modeste",IF(X75&lt;=INDEX(TabRFR[[2021]:[2025]],MATCH(BD!W75&amp;"-modestes",TabRFR[Recherche RFR],0),MATCH(TEXT(YEAR(BD!I75),"Standard"),TabRFR[[#Headers],[2021]:[2025]],0)),"Modeste",IF(X75&lt;=INDEX(TabRFR[[2021]:[2025]],MATCH(BD!W75&amp;"-Intermédiaire",TabRFR[Recherche RFR],0),MATCH(TEXT(YEAR(BD!I75),"Standard"),TabRFR[[#Headers],[2021]:[2025]],0)),"Intermédiaire","Supérieur")))))))</f>
        <v>Data RFR manquantes</v>
      </c>
      <c r="Z75" s="111"/>
      <c r="AA75" s="111" t="s">
        <v>2188</v>
      </c>
      <c r="AB75" s="111">
        <v>38500</v>
      </c>
      <c r="AC75" s="111" t="s">
        <v>2572</v>
      </c>
      <c r="AD75" s="112"/>
      <c r="AE75" s="102"/>
      <c r="AF75" s="111" t="s">
        <v>95</v>
      </c>
      <c r="AG75" s="111"/>
      <c r="AH75" s="111">
        <v>2006</v>
      </c>
      <c r="AI75" s="111"/>
      <c r="AJ75" s="111"/>
      <c r="AK75" s="111"/>
      <c r="AL75" s="111"/>
      <c r="AM75" s="111" t="s">
        <v>4191</v>
      </c>
      <c r="AN75" s="111" t="s">
        <v>96</v>
      </c>
      <c r="AO75" s="111" t="s">
        <v>229</v>
      </c>
      <c r="AP75" s="111" t="s">
        <v>97</v>
      </c>
      <c r="AQ75" s="111"/>
      <c r="AR75" s="111"/>
      <c r="AS75" s="102" t="s">
        <v>230</v>
      </c>
      <c r="AT75" s="112">
        <v>476059938</v>
      </c>
      <c r="AU75" s="111" t="s">
        <v>100</v>
      </c>
      <c r="AV75" s="111">
        <v>2006</v>
      </c>
      <c r="AW75" s="111" t="s">
        <v>100</v>
      </c>
      <c r="AX75" s="75" t="s">
        <v>2071</v>
      </c>
      <c r="AY75" s="111" t="s">
        <v>2187</v>
      </c>
      <c r="AZ75" s="111" t="s">
        <v>564</v>
      </c>
      <c r="BA75" s="111">
        <v>15</v>
      </c>
      <c r="BB75" s="111">
        <v>8.1999999999999993</v>
      </c>
      <c r="BC75" s="111">
        <v>92</v>
      </c>
      <c r="BD75" s="111">
        <v>0</v>
      </c>
      <c r="BE75" s="111" t="s">
        <v>97</v>
      </c>
      <c r="BF75" s="111"/>
      <c r="BG75" s="111">
        <v>3644</v>
      </c>
      <c r="BH75" s="77"/>
      <c r="BI75" s="77"/>
      <c r="BJ75" s="77"/>
      <c r="BK75" s="111">
        <v>200</v>
      </c>
      <c r="BL75" s="75">
        <f t="shared" si="3"/>
        <v>3844</v>
      </c>
      <c r="BM75" s="103">
        <f t="shared" si="4"/>
        <v>211.42</v>
      </c>
      <c r="BN75" s="103">
        <f t="shared" si="5"/>
        <v>4055.42</v>
      </c>
      <c r="BO75" s="111"/>
      <c r="BP75" s="111" t="s">
        <v>9</v>
      </c>
      <c r="BQ75" s="111"/>
      <c r="BR75" s="111"/>
      <c r="BS75" s="157">
        <v>2016</v>
      </c>
      <c r="BU75" t="s">
        <v>4180</v>
      </c>
    </row>
    <row r="76" spans="1:73" ht="43.15" customHeight="1" x14ac:dyDescent="0.25">
      <c r="A76" s="29" t="s">
        <v>186</v>
      </c>
      <c r="B76" s="29" t="s">
        <v>2190</v>
      </c>
      <c r="C76" s="161" t="s">
        <v>9</v>
      </c>
      <c r="D76" s="110">
        <v>42578</v>
      </c>
      <c r="E76" s="110"/>
      <c r="F76" s="110"/>
      <c r="G76" s="110"/>
      <c r="H76" s="210"/>
      <c r="I76" s="210"/>
      <c r="J76" s="110"/>
      <c r="K76" s="76"/>
      <c r="L76" s="110"/>
      <c r="M76" s="110"/>
      <c r="N76" s="110"/>
      <c r="O76" s="110"/>
      <c r="P76" s="110"/>
      <c r="Q76" s="110"/>
      <c r="R76" s="81"/>
      <c r="S76" s="110">
        <v>42578</v>
      </c>
      <c r="T76" s="109" t="s">
        <v>2189</v>
      </c>
      <c r="U76" s="111"/>
      <c r="V76" s="111"/>
      <c r="W76" s="111">
        <v>2</v>
      </c>
      <c r="X76" s="111">
        <v>13998</v>
      </c>
      <c r="Y76" s="75" t="str">
        <f ca="1">IF(I76="",IF(D76="","",IF(W76+X76&lt;15,"Données Nb pers ou RFR manquantes",IF(COUNTA(INDIRECT("TabRFR["&amp;YEAR(D76)&amp;"]"))&lt;&gt;COUNTA(TabRFR[Recherche RFR]),"Data RFR manquantes", IF(X76&lt;=INDEX(TabRFR[[2021]:[2025]],MATCH(BD!W76&amp;"-Très modestes",TabRFR[Recherche RFR],0),MATCH(TEXT(YEAR(BD!D76),"Standard"),TabRFR[[#Headers],[2021]:[2025]],0)),"Très Modeste",IF(X76&lt;=INDEX(TabRFR[[2021]:[2025]],MATCH(BD!W76&amp;"-modestes",TabRFR[Recherche RFR],0),MATCH(TEXT(YEAR(BD!D76),"Standard"),TabRFR[[#Headers],[2021]:[2025]],0)),"Modeste",IF(X76&lt;=INDEX(TabRFR[[2021]:[2025]],MATCH(BD!W76&amp;"-Intermédiaire",TabRFR[Recherche RFR],0),MATCH(TEXT(YEAR(BD!D76),"Standard"),TabRFR[[#Headers],[2021]:[2025]],0)),"Intermédiaire","Supérieur")))))),IF(D76="","",IF(W76+X76&lt;15,"Données Nb pers ou RFR manquantes",IF(COUNTA(INDIRECT("TabRFR["&amp;YEAR(I76)&amp;"]"))&lt;&gt;COUNTA(TabRFR[Recherche RFR]),"Data RFR manquantes", IF(X76&lt;=INDEX(TabRFR[[2021]:[2025]],MATCH(BD!W76&amp;"-Très modestes",TabRFR[Recherche RFR],0),MATCH(TEXT(YEAR(BD!I76),"Standard"),TabRFR[[#Headers],[2021]:[2025]],0)),"Très Modeste",IF(X76&lt;=INDEX(TabRFR[[2021]:[2025]],MATCH(BD!W76&amp;"-modestes",TabRFR[Recherche RFR],0),MATCH(TEXT(YEAR(BD!I76),"Standard"),TabRFR[[#Headers],[2021]:[2025]],0)),"Modeste",IF(X76&lt;=INDEX(TabRFR[[2021]:[2025]],MATCH(BD!W76&amp;"-Intermédiaire",TabRFR[Recherche RFR],0),MATCH(TEXT(YEAR(BD!I76),"Standard"),TabRFR[[#Headers],[2021]:[2025]],0)),"Intermédiaire","Supérieur")))))))</f>
        <v>Data RFR manquantes</v>
      </c>
      <c r="Z76" s="111"/>
      <c r="AA76" s="111" t="s">
        <v>2188</v>
      </c>
      <c r="AB76" s="111">
        <v>38500</v>
      </c>
      <c r="AC76" s="111" t="s">
        <v>2572</v>
      </c>
      <c r="AD76" s="112"/>
      <c r="AE76" s="102"/>
      <c r="AF76" s="111" t="s">
        <v>95</v>
      </c>
      <c r="AG76" s="111"/>
      <c r="AH76" s="111">
        <v>2012</v>
      </c>
      <c r="AI76" s="111"/>
      <c r="AJ76" s="111"/>
      <c r="AK76" s="111"/>
      <c r="AL76" s="111"/>
      <c r="AM76" s="111" t="s">
        <v>4191</v>
      </c>
      <c r="AN76" s="111" t="s">
        <v>96</v>
      </c>
      <c r="AO76" s="111" t="s">
        <v>229</v>
      </c>
      <c r="AP76" s="111" t="s">
        <v>97</v>
      </c>
      <c r="AQ76" s="111"/>
      <c r="AR76" s="111"/>
      <c r="AS76" s="102" t="s">
        <v>230</v>
      </c>
      <c r="AT76" s="112">
        <v>476059938</v>
      </c>
      <c r="AU76" s="111" t="s">
        <v>100</v>
      </c>
      <c r="AV76" s="111">
        <v>2012</v>
      </c>
      <c r="AW76" s="111" t="s">
        <v>100</v>
      </c>
      <c r="AX76" s="75" t="s">
        <v>2071</v>
      </c>
      <c r="AY76" s="111" t="s">
        <v>2187</v>
      </c>
      <c r="AZ76" s="111" t="s">
        <v>2186</v>
      </c>
      <c r="BA76" s="111">
        <v>15</v>
      </c>
      <c r="BB76" s="111">
        <v>10.199999999999999</v>
      </c>
      <c r="BC76" s="111">
        <v>88.8</v>
      </c>
      <c r="BD76" s="111">
        <v>0.01</v>
      </c>
      <c r="BE76" s="111" t="s">
        <v>97</v>
      </c>
      <c r="BF76" s="111"/>
      <c r="BG76" s="111">
        <v>5530</v>
      </c>
      <c r="BH76" s="77"/>
      <c r="BI76" s="77"/>
      <c r="BJ76" s="77"/>
      <c r="BK76" s="111">
        <v>200</v>
      </c>
      <c r="BL76" s="75">
        <f t="shared" si="3"/>
        <v>5730</v>
      </c>
      <c r="BM76" s="103">
        <f t="shared" si="4"/>
        <v>315.14999999999998</v>
      </c>
      <c r="BN76" s="103">
        <f t="shared" si="5"/>
        <v>6045.15</v>
      </c>
      <c r="BO76" s="113"/>
      <c r="BP76" s="111" t="s">
        <v>104</v>
      </c>
      <c r="BQ76" s="111"/>
      <c r="BR76" s="111"/>
      <c r="BS76" s="157">
        <v>2016</v>
      </c>
      <c r="BU76" t="s">
        <v>4180</v>
      </c>
    </row>
    <row r="77" spans="1:73" ht="43.15" customHeight="1" x14ac:dyDescent="0.25">
      <c r="A77" s="29" t="s">
        <v>186</v>
      </c>
      <c r="B77" s="29" t="s">
        <v>1815</v>
      </c>
      <c r="C77" s="161" t="s">
        <v>9</v>
      </c>
      <c r="D77" s="110">
        <v>42579</v>
      </c>
      <c r="E77" s="110"/>
      <c r="F77" s="110" t="s">
        <v>1814</v>
      </c>
      <c r="G77" s="110"/>
      <c r="H77" s="110"/>
      <c r="I77" s="110"/>
      <c r="J77" s="110"/>
      <c r="K77" s="110"/>
      <c r="L77" s="110"/>
      <c r="M77" s="110"/>
      <c r="N77" s="110"/>
      <c r="O77" s="110"/>
      <c r="P77" s="110"/>
      <c r="Q77" s="110"/>
      <c r="R77" s="109"/>
      <c r="S77" s="110">
        <v>42761</v>
      </c>
      <c r="T77" s="111" t="s">
        <v>1813</v>
      </c>
      <c r="U77" s="111"/>
      <c r="V77" s="111"/>
      <c r="W77" s="111">
        <v>2</v>
      </c>
      <c r="X77" s="111">
        <v>23971</v>
      </c>
      <c r="Y77" s="75" t="str">
        <f ca="1">IF(I77="",IF(D77="","",IF(W77+X77&lt;15,"Données Nb pers ou RFR manquantes",IF(COUNTA(INDIRECT("TabRFR["&amp;YEAR(D77)&amp;"]"))&lt;&gt;COUNTA(TabRFR[Recherche RFR]),"Data RFR manquantes", IF(X77&lt;=INDEX(TabRFR[[2021]:[2025]],MATCH(BD!W77&amp;"-Très modestes",TabRFR[Recherche RFR],0),MATCH(TEXT(YEAR(BD!D77),"Standard"),TabRFR[[#Headers],[2021]:[2025]],0)),"Très Modeste",IF(X77&lt;=INDEX(TabRFR[[2021]:[2025]],MATCH(BD!W77&amp;"-modestes",TabRFR[Recherche RFR],0),MATCH(TEXT(YEAR(BD!D77),"Standard"),TabRFR[[#Headers],[2021]:[2025]],0)),"Modeste",IF(X77&lt;=INDEX(TabRFR[[2021]:[2025]],MATCH(BD!W77&amp;"-Intermédiaire",TabRFR[Recherche RFR],0),MATCH(TEXT(YEAR(BD!D77),"Standard"),TabRFR[[#Headers],[2021]:[2025]],0)),"Intermédiaire","Supérieur")))))),IF(D77="","",IF(W77+X77&lt;15,"Données Nb pers ou RFR manquantes",IF(COUNTA(INDIRECT("TabRFR["&amp;YEAR(I77)&amp;"]"))&lt;&gt;COUNTA(TabRFR[Recherche RFR]),"Data RFR manquantes", IF(X77&lt;=INDEX(TabRFR[[2021]:[2025]],MATCH(BD!W77&amp;"-Très modestes",TabRFR[Recherche RFR],0),MATCH(TEXT(YEAR(BD!I77),"Standard"),TabRFR[[#Headers],[2021]:[2025]],0)),"Très Modeste",IF(X77&lt;=INDEX(TabRFR[[2021]:[2025]],MATCH(BD!W77&amp;"-modestes",TabRFR[Recherche RFR],0),MATCH(TEXT(YEAR(BD!I77),"Standard"),TabRFR[[#Headers],[2021]:[2025]],0)),"Modeste",IF(X77&lt;=INDEX(TabRFR[[2021]:[2025]],MATCH(BD!W77&amp;"-Intermédiaire",TabRFR[Recherche RFR],0),MATCH(TEXT(YEAR(BD!I77),"Standard"),TabRFR[[#Headers],[2021]:[2025]],0)),"Intermédiaire","Supérieur")))))))</f>
        <v>Data RFR manquantes</v>
      </c>
      <c r="Z77" s="111"/>
      <c r="AA77" s="111" t="s">
        <v>550</v>
      </c>
      <c r="AB77" s="111">
        <v>38960</v>
      </c>
      <c r="AC77" s="111" t="s">
        <v>2378</v>
      </c>
      <c r="AD77" s="127"/>
      <c r="AE77" s="102"/>
      <c r="AF77" s="111" t="s">
        <v>95</v>
      </c>
      <c r="AG77" s="111"/>
      <c r="AH77" s="111"/>
      <c r="AI77" s="111"/>
      <c r="AJ77" s="111"/>
      <c r="AK77" s="111"/>
      <c r="AL77" s="111"/>
      <c r="AM77" s="111" t="s">
        <v>3973</v>
      </c>
      <c r="AN77" s="111" t="s">
        <v>96</v>
      </c>
      <c r="AO77" s="111" t="s">
        <v>789</v>
      </c>
      <c r="AP77" s="111" t="s">
        <v>97</v>
      </c>
      <c r="AQ77" s="111"/>
      <c r="AR77" s="111"/>
      <c r="AS77" s="102" t="s">
        <v>141</v>
      </c>
      <c r="AT77" s="112">
        <v>476069938</v>
      </c>
      <c r="AU77" s="111" t="s">
        <v>111</v>
      </c>
      <c r="AV77" s="111">
        <v>1990</v>
      </c>
      <c r="AW77" s="111" t="s">
        <v>100</v>
      </c>
      <c r="AX77" s="111" t="s">
        <v>112</v>
      </c>
      <c r="AY77" s="111" t="s">
        <v>1807</v>
      </c>
      <c r="AZ77" s="111" t="s">
        <v>1812</v>
      </c>
      <c r="BA77" s="111"/>
      <c r="BB77" s="111"/>
      <c r="BC77" s="111"/>
      <c r="BD77" s="111"/>
      <c r="BE77" s="111" t="s">
        <v>104</v>
      </c>
      <c r="BF77" s="111"/>
      <c r="BG77" s="111">
        <f>6734.19-850</f>
        <v>5884.19</v>
      </c>
      <c r="BH77" s="111"/>
      <c r="BI77" s="111"/>
      <c r="BJ77" s="111"/>
      <c r="BK77" s="111">
        <v>850</v>
      </c>
      <c r="BL77" s="75">
        <f t="shared" si="3"/>
        <v>6734.19</v>
      </c>
      <c r="BM77" s="103">
        <f t="shared" si="4"/>
        <v>370.38045</v>
      </c>
      <c r="BN77" s="103">
        <f t="shared" si="5"/>
        <v>7104.5704499999993</v>
      </c>
      <c r="BO77" s="111"/>
      <c r="BP77" s="111"/>
      <c r="BQ77" s="111"/>
      <c r="BR77" s="111"/>
      <c r="BS77" s="157">
        <v>2016</v>
      </c>
      <c r="BU77" t="s">
        <v>4180</v>
      </c>
    </row>
    <row r="78" spans="1:73" ht="43.15" customHeight="1" x14ac:dyDescent="0.25">
      <c r="A78" s="242" t="s">
        <v>186</v>
      </c>
      <c r="B78" s="242" t="s">
        <v>2185</v>
      </c>
      <c r="C78" s="159">
        <v>400</v>
      </c>
      <c r="D78" s="114">
        <v>42579</v>
      </c>
      <c r="E78" s="114"/>
      <c r="F78" s="114"/>
      <c r="G78" s="114"/>
      <c r="H78" s="114">
        <v>42598</v>
      </c>
      <c r="I78" s="114">
        <v>42598</v>
      </c>
      <c r="J78" s="114">
        <v>42605</v>
      </c>
      <c r="K78" s="76"/>
      <c r="L78" s="114">
        <v>42664</v>
      </c>
      <c r="M78" s="114">
        <v>42635</v>
      </c>
      <c r="N78" s="114"/>
      <c r="O78" s="114">
        <v>42667</v>
      </c>
      <c r="P78" s="114">
        <v>42667</v>
      </c>
      <c r="Q78" s="114">
        <v>42678</v>
      </c>
      <c r="R78" s="80"/>
      <c r="S78" s="114"/>
      <c r="T78" s="75"/>
      <c r="U78" s="75"/>
      <c r="V78" s="75"/>
      <c r="W78" s="75">
        <v>2</v>
      </c>
      <c r="X78" s="75">
        <v>63445</v>
      </c>
      <c r="Y78" s="75" t="str">
        <f ca="1">IF(I78="",IF(D78="","",IF(W78+X78&lt;15,"Données Nb pers ou RFR manquantes",IF(COUNTA(INDIRECT("TabRFR["&amp;YEAR(D78)&amp;"]"))&lt;&gt;COUNTA(TabRFR[Recherche RFR]),"Data RFR manquantes", IF(X78&lt;=INDEX(TabRFR[[2021]:[2025]],MATCH(BD!W78&amp;"-Très modestes",TabRFR[Recherche RFR],0),MATCH(TEXT(YEAR(BD!D78),"Standard"),TabRFR[[#Headers],[2021]:[2025]],0)),"Très Modeste",IF(X78&lt;=INDEX(TabRFR[[2021]:[2025]],MATCH(BD!W78&amp;"-modestes",TabRFR[Recherche RFR],0),MATCH(TEXT(YEAR(BD!D78),"Standard"),TabRFR[[#Headers],[2021]:[2025]],0)),"Modeste",IF(X78&lt;=INDEX(TabRFR[[2021]:[2025]],MATCH(BD!W78&amp;"-Intermédiaire",TabRFR[Recherche RFR],0),MATCH(TEXT(YEAR(BD!D78),"Standard"),TabRFR[[#Headers],[2021]:[2025]],0)),"Intermédiaire","Supérieur")))))),IF(D78="","",IF(W78+X78&lt;15,"Données Nb pers ou RFR manquantes",IF(COUNTA(INDIRECT("TabRFR["&amp;YEAR(I78)&amp;"]"))&lt;&gt;COUNTA(TabRFR[Recherche RFR]),"Data RFR manquantes", IF(X78&lt;=INDEX(TabRFR[[2021]:[2025]],MATCH(BD!W78&amp;"-Très modestes",TabRFR[Recherche RFR],0),MATCH(TEXT(YEAR(BD!I78),"Standard"),TabRFR[[#Headers],[2021]:[2025]],0)),"Très Modeste",IF(X78&lt;=INDEX(TabRFR[[2021]:[2025]],MATCH(BD!W78&amp;"-modestes",TabRFR[Recherche RFR],0),MATCH(TEXT(YEAR(BD!I78),"Standard"),TabRFR[[#Headers],[2021]:[2025]],0)),"Modeste",IF(X78&lt;=INDEX(TabRFR[[2021]:[2025]],MATCH(BD!W78&amp;"-Intermédiaire",TabRFR[Recherche RFR],0),MATCH(TEXT(YEAR(BD!I78),"Standard"),TabRFR[[#Headers],[2021]:[2025]],0)),"Intermédiaire","Supérieur")))))))</f>
        <v>Data RFR manquantes</v>
      </c>
      <c r="Z78" s="75"/>
      <c r="AA78" s="75" t="s">
        <v>2183</v>
      </c>
      <c r="AB78" s="75">
        <v>38500</v>
      </c>
      <c r="AC78" s="75" t="s">
        <v>118</v>
      </c>
      <c r="AD78" s="101"/>
      <c r="AE78" s="102"/>
      <c r="AF78" s="75" t="s">
        <v>95</v>
      </c>
      <c r="AG78" s="75"/>
      <c r="AH78" s="75">
        <v>1964</v>
      </c>
      <c r="AI78" s="75"/>
      <c r="AJ78" s="75"/>
      <c r="AK78" s="75"/>
      <c r="AL78" s="75"/>
      <c r="AM78" s="75" t="s">
        <v>3973</v>
      </c>
      <c r="AN78" s="75" t="s">
        <v>96</v>
      </c>
      <c r="AO78" s="75" t="s">
        <v>789</v>
      </c>
      <c r="AP78" s="75" t="s">
        <v>97</v>
      </c>
      <c r="AQ78" s="75"/>
      <c r="AR78" s="75"/>
      <c r="AS78" s="102" t="s">
        <v>141</v>
      </c>
      <c r="AT78" s="101">
        <v>476069938</v>
      </c>
      <c r="AU78" s="75" t="s">
        <v>430</v>
      </c>
      <c r="AV78" s="75" t="s">
        <v>1570</v>
      </c>
      <c r="AW78" s="75" t="s">
        <v>100</v>
      </c>
      <c r="AX78" s="75" t="s">
        <v>112</v>
      </c>
      <c r="AY78" s="75" t="s">
        <v>1859</v>
      </c>
      <c r="AZ78" s="75" t="s">
        <v>2182</v>
      </c>
      <c r="BA78" s="75">
        <v>39</v>
      </c>
      <c r="BB78" s="75">
        <v>6</v>
      </c>
      <c r="BC78" s="75">
        <v>80</v>
      </c>
      <c r="BD78" s="75">
        <v>0.13</v>
      </c>
      <c r="BE78" s="75" t="s">
        <v>97</v>
      </c>
      <c r="BF78" s="75"/>
      <c r="BG78" s="75">
        <v>3677</v>
      </c>
      <c r="BH78" s="77"/>
      <c r="BI78" s="77"/>
      <c r="BJ78" s="77"/>
      <c r="BK78" s="75">
        <v>650</v>
      </c>
      <c r="BL78" s="75">
        <f t="shared" si="3"/>
        <v>4327</v>
      </c>
      <c r="BM78" s="103">
        <f t="shared" si="4"/>
        <v>237.98500000000001</v>
      </c>
      <c r="BN78" s="103">
        <f t="shared" si="5"/>
        <v>4564.9849999999997</v>
      </c>
      <c r="BO78" s="103">
        <v>4500</v>
      </c>
      <c r="BP78" s="75" t="s">
        <v>97</v>
      </c>
      <c r="BQ78" s="75"/>
      <c r="BR78" s="75"/>
      <c r="BS78" s="157">
        <v>2016</v>
      </c>
      <c r="BT78">
        <v>2020</v>
      </c>
      <c r="BU78">
        <v>2016</v>
      </c>
    </row>
    <row r="79" spans="1:73" ht="43.15" customHeight="1" x14ac:dyDescent="0.25">
      <c r="A79" s="242" t="s">
        <v>186</v>
      </c>
      <c r="B79" s="242" t="s">
        <v>2181</v>
      </c>
      <c r="C79" s="159">
        <v>800</v>
      </c>
      <c r="D79" s="114">
        <v>42580</v>
      </c>
      <c r="E79" s="114"/>
      <c r="F79" s="114" t="s">
        <v>2158</v>
      </c>
      <c r="G79" s="114"/>
      <c r="H79" s="114">
        <v>42599</v>
      </c>
      <c r="I79" s="114">
        <v>42599</v>
      </c>
      <c r="J79" s="114">
        <v>42605</v>
      </c>
      <c r="K79" s="76"/>
      <c r="L79" s="114">
        <v>42915</v>
      </c>
      <c r="M79" s="114">
        <v>42643</v>
      </c>
      <c r="N79" s="114" t="s">
        <v>2180</v>
      </c>
      <c r="O79" s="114">
        <v>43020</v>
      </c>
      <c r="P79" s="114">
        <v>43020</v>
      </c>
      <c r="Q79" s="114">
        <v>43028</v>
      </c>
      <c r="R79" s="81"/>
      <c r="S79" s="114"/>
      <c r="T79" s="75"/>
      <c r="U79" s="75"/>
      <c r="V79" s="75"/>
      <c r="W79" s="75">
        <v>4</v>
      </c>
      <c r="X79" s="75">
        <v>35486</v>
      </c>
      <c r="Y79" s="75" t="str">
        <f ca="1">IF(I79="",IF(D79="","",IF(W79+X79&lt;15,"Données Nb pers ou RFR manquantes",IF(COUNTA(INDIRECT("TabRFR["&amp;YEAR(D79)&amp;"]"))&lt;&gt;COUNTA(TabRFR[Recherche RFR]),"Data RFR manquantes", IF(X79&lt;=INDEX(TabRFR[[2021]:[2025]],MATCH(BD!W79&amp;"-Très modestes",TabRFR[Recherche RFR],0),MATCH(TEXT(YEAR(BD!D79),"Standard"),TabRFR[[#Headers],[2021]:[2025]],0)),"Très Modeste",IF(X79&lt;=INDEX(TabRFR[[2021]:[2025]],MATCH(BD!W79&amp;"-modestes",TabRFR[Recherche RFR],0),MATCH(TEXT(YEAR(BD!D79),"Standard"),TabRFR[[#Headers],[2021]:[2025]],0)),"Modeste",IF(X79&lt;=INDEX(TabRFR[[2021]:[2025]],MATCH(BD!W79&amp;"-Intermédiaire",TabRFR[Recherche RFR],0),MATCH(TEXT(YEAR(BD!D79),"Standard"),TabRFR[[#Headers],[2021]:[2025]],0)),"Intermédiaire","Supérieur")))))),IF(D79="","",IF(W79+X79&lt;15,"Données Nb pers ou RFR manquantes",IF(COUNTA(INDIRECT("TabRFR["&amp;YEAR(I79)&amp;"]"))&lt;&gt;COUNTA(TabRFR[Recherche RFR]),"Data RFR manquantes", IF(X79&lt;=INDEX(TabRFR[[2021]:[2025]],MATCH(BD!W79&amp;"-Très modestes",TabRFR[Recherche RFR],0),MATCH(TEXT(YEAR(BD!I79),"Standard"),TabRFR[[#Headers],[2021]:[2025]],0)),"Très Modeste",IF(X79&lt;=INDEX(TabRFR[[2021]:[2025]],MATCH(BD!W79&amp;"-modestes",TabRFR[Recherche RFR],0),MATCH(TEXT(YEAR(BD!I79),"Standard"),TabRFR[[#Headers],[2021]:[2025]],0)),"Modeste",IF(X79&lt;=INDEX(TabRFR[[2021]:[2025]],MATCH(BD!W79&amp;"-Intermédiaire",TabRFR[Recherche RFR],0),MATCH(TEXT(YEAR(BD!I79),"Standard"),TabRFR[[#Headers],[2021]:[2025]],0)),"Intermédiaire","Supérieur")))))))</f>
        <v>Data RFR manquantes</v>
      </c>
      <c r="Z79" s="75"/>
      <c r="AA79" s="75" t="s">
        <v>2178</v>
      </c>
      <c r="AB79" s="75">
        <v>38210</v>
      </c>
      <c r="AC79" s="75" t="s">
        <v>195</v>
      </c>
      <c r="AD79" s="101"/>
      <c r="AE79" s="102"/>
      <c r="AF79" s="75" t="s">
        <v>95</v>
      </c>
      <c r="AG79" s="75"/>
      <c r="AH79" s="75">
        <v>2016</v>
      </c>
      <c r="AI79" s="75"/>
      <c r="AJ79" s="75"/>
      <c r="AK79" s="75"/>
      <c r="AL79" s="75"/>
      <c r="AM79" s="75" t="s">
        <v>4354</v>
      </c>
      <c r="AN79" s="75" t="s">
        <v>1056</v>
      </c>
      <c r="AO79" s="75" t="s">
        <v>2177</v>
      </c>
      <c r="AP79" s="75" t="s">
        <v>97</v>
      </c>
      <c r="AQ79" s="75"/>
      <c r="AR79" s="75"/>
      <c r="AS79" s="102" t="s">
        <v>2176</v>
      </c>
      <c r="AT79" s="101">
        <v>479842535</v>
      </c>
      <c r="AU79" s="75" t="s">
        <v>430</v>
      </c>
      <c r="AV79" s="75">
        <v>1974</v>
      </c>
      <c r="AW79" s="75" t="s">
        <v>111</v>
      </c>
      <c r="AX79" s="75" t="s">
        <v>112</v>
      </c>
      <c r="AY79" s="75" t="s">
        <v>2175</v>
      </c>
      <c r="AZ79" s="75" t="s">
        <v>2174</v>
      </c>
      <c r="BA79" s="75">
        <v>14</v>
      </c>
      <c r="BB79" s="75">
        <v>14.6</v>
      </c>
      <c r="BC79" s="75">
        <v>78</v>
      </c>
      <c r="BD79" s="75">
        <v>0.1</v>
      </c>
      <c r="BE79" s="75" t="s">
        <v>97</v>
      </c>
      <c r="BF79" s="75"/>
      <c r="BG79" s="75">
        <v>3960</v>
      </c>
      <c r="BH79" s="77"/>
      <c r="BI79" s="77"/>
      <c r="BJ79" s="77"/>
      <c r="BK79" s="75">
        <v>4177.8</v>
      </c>
      <c r="BL79" s="75">
        <f t="shared" si="3"/>
        <v>8137.8</v>
      </c>
      <c r="BM79" s="103">
        <f t="shared" si="4"/>
        <v>447.57900000000001</v>
      </c>
      <c r="BN79" s="103">
        <f t="shared" si="5"/>
        <v>8585.3790000000008</v>
      </c>
      <c r="BO79" s="103"/>
      <c r="BP79" s="75" t="s">
        <v>104</v>
      </c>
      <c r="BQ79" s="75"/>
      <c r="BR79" s="75"/>
      <c r="BS79" s="157">
        <v>2016</v>
      </c>
      <c r="BT79">
        <v>2020</v>
      </c>
      <c r="BU79">
        <v>2016</v>
      </c>
    </row>
    <row r="80" spans="1:73" ht="43.15" customHeight="1" x14ac:dyDescent="0.25">
      <c r="A80" s="242" t="s">
        <v>186</v>
      </c>
      <c r="B80" s="242" t="s">
        <v>2173</v>
      </c>
      <c r="C80" s="159">
        <v>800</v>
      </c>
      <c r="D80" s="114">
        <v>42586</v>
      </c>
      <c r="E80" s="114"/>
      <c r="F80" s="114"/>
      <c r="G80" s="114"/>
      <c r="H80" s="114">
        <v>42598</v>
      </c>
      <c r="I80" s="114">
        <v>42598</v>
      </c>
      <c r="J80" s="114">
        <v>42605</v>
      </c>
      <c r="K80" s="76"/>
      <c r="L80" s="114">
        <v>42654</v>
      </c>
      <c r="M80" s="114">
        <v>42634</v>
      </c>
      <c r="N80" s="114"/>
      <c r="O80" s="114">
        <v>42655</v>
      </c>
      <c r="P80" s="114">
        <v>42655</v>
      </c>
      <c r="Q80" s="114">
        <v>42664</v>
      </c>
      <c r="R80" s="81"/>
      <c r="S80" s="114"/>
      <c r="T80" s="75"/>
      <c r="U80" s="75"/>
      <c r="V80" s="75"/>
      <c r="W80" s="75">
        <v>1</v>
      </c>
      <c r="X80" s="75">
        <v>11033</v>
      </c>
      <c r="Y80" s="75" t="str">
        <f ca="1">IF(I80="",IF(D80="","",IF(W80+X80&lt;15,"Données Nb pers ou RFR manquantes",IF(COUNTA(INDIRECT("TabRFR["&amp;YEAR(D80)&amp;"]"))&lt;&gt;COUNTA(TabRFR[Recherche RFR]),"Data RFR manquantes", IF(X80&lt;=INDEX(TabRFR[[2021]:[2025]],MATCH(BD!W80&amp;"-Très modestes",TabRFR[Recherche RFR],0),MATCH(TEXT(YEAR(BD!D80),"Standard"),TabRFR[[#Headers],[2021]:[2025]],0)),"Très Modeste",IF(X80&lt;=INDEX(TabRFR[[2021]:[2025]],MATCH(BD!W80&amp;"-modestes",TabRFR[Recherche RFR],0),MATCH(TEXT(YEAR(BD!D80),"Standard"),TabRFR[[#Headers],[2021]:[2025]],0)),"Modeste",IF(X80&lt;=INDEX(TabRFR[[2021]:[2025]],MATCH(BD!W80&amp;"-Intermédiaire",TabRFR[Recherche RFR],0),MATCH(TEXT(YEAR(BD!D80),"Standard"),TabRFR[[#Headers],[2021]:[2025]],0)),"Intermédiaire","Supérieur")))))),IF(D80="","",IF(W80+X80&lt;15,"Données Nb pers ou RFR manquantes",IF(COUNTA(INDIRECT("TabRFR["&amp;YEAR(I80)&amp;"]"))&lt;&gt;COUNTA(TabRFR[Recherche RFR]),"Data RFR manquantes", IF(X80&lt;=INDEX(TabRFR[[2021]:[2025]],MATCH(BD!W80&amp;"-Très modestes",TabRFR[Recherche RFR],0),MATCH(TEXT(YEAR(BD!I80),"Standard"),TabRFR[[#Headers],[2021]:[2025]],0)),"Très Modeste",IF(X80&lt;=INDEX(TabRFR[[2021]:[2025]],MATCH(BD!W80&amp;"-modestes",TabRFR[Recherche RFR],0),MATCH(TEXT(YEAR(BD!I80),"Standard"),TabRFR[[#Headers],[2021]:[2025]],0)),"Modeste",IF(X80&lt;=INDEX(TabRFR[[2021]:[2025]],MATCH(BD!W80&amp;"-Intermédiaire",TabRFR[Recherche RFR],0),MATCH(TEXT(YEAR(BD!I80),"Standard"),TabRFR[[#Headers],[2021]:[2025]],0)),"Intermédiaire","Supérieur")))))))</f>
        <v>Data RFR manquantes</v>
      </c>
      <c r="Z80" s="75"/>
      <c r="AA80" s="75" t="s">
        <v>2171</v>
      </c>
      <c r="AB80" s="75">
        <v>38500</v>
      </c>
      <c r="AC80" s="75" t="s">
        <v>96</v>
      </c>
      <c r="AD80" s="101"/>
      <c r="AE80" s="102"/>
      <c r="AF80" s="75" t="s">
        <v>95</v>
      </c>
      <c r="AG80" s="75"/>
      <c r="AH80" s="75">
        <v>1986</v>
      </c>
      <c r="AI80" s="75"/>
      <c r="AJ80" s="75"/>
      <c r="AK80" s="75"/>
      <c r="AL80" s="75"/>
      <c r="AM80" s="75" t="s">
        <v>4348</v>
      </c>
      <c r="AN80" s="75" t="s">
        <v>96</v>
      </c>
      <c r="AO80" s="75" t="s">
        <v>238</v>
      </c>
      <c r="AP80" s="75" t="s">
        <v>97</v>
      </c>
      <c r="AQ80" s="75"/>
      <c r="AR80" s="75"/>
      <c r="AS80" s="102" t="s">
        <v>1571</v>
      </c>
      <c r="AT80" s="101">
        <v>476323235</v>
      </c>
      <c r="AU80" s="75" t="s">
        <v>430</v>
      </c>
      <c r="AV80" s="75">
        <v>1986</v>
      </c>
      <c r="AW80" s="75" t="s">
        <v>100</v>
      </c>
      <c r="AX80" s="75" t="s">
        <v>2071</v>
      </c>
      <c r="AY80" s="75" t="s">
        <v>2169</v>
      </c>
      <c r="AZ80" s="75" t="s">
        <v>2168</v>
      </c>
      <c r="BA80" s="75">
        <v>11</v>
      </c>
      <c r="BB80" s="75">
        <v>8</v>
      </c>
      <c r="BC80" s="75">
        <v>92</v>
      </c>
      <c r="BD80" s="75">
        <v>0.1</v>
      </c>
      <c r="BE80" s="75" t="s">
        <v>97</v>
      </c>
      <c r="BF80" s="75"/>
      <c r="BG80" s="75">
        <v>2518</v>
      </c>
      <c r="BH80" s="77"/>
      <c r="BI80" s="77"/>
      <c r="BJ80" s="77"/>
      <c r="BK80" s="75">
        <v>555</v>
      </c>
      <c r="BL80" s="75">
        <f t="shared" si="3"/>
        <v>3073</v>
      </c>
      <c r="BM80" s="103">
        <f t="shared" si="4"/>
        <v>169.01500000000001</v>
      </c>
      <c r="BN80" s="103">
        <f t="shared" si="5"/>
        <v>3242.0149999999999</v>
      </c>
      <c r="BO80" s="103">
        <v>3128.08</v>
      </c>
      <c r="BP80" s="75" t="s">
        <v>104</v>
      </c>
      <c r="BQ80" s="75"/>
      <c r="BR80" s="75"/>
      <c r="BS80" s="157">
        <v>2016</v>
      </c>
      <c r="BU80">
        <v>2016</v>
      </c>
    </row>
    <row r="81" spans="1:73" ht="43.15" customHeight="1" x14ac:dyDescent="0.25">
      <c r="A81" s="242" t="s">
        <v>186</v>
      </c>
      <c r="B81" s="242" t="s">
        <v>2167</v>
      </c>
      <c r="C81" s="159">
        <v>800</v>
      </c>
      <c r="D81" s="114">
        <v>42594</v>
      </c>
      <c r="E81" s="114"/>
      <c r="F81" s="114"/>
      <c r="G81" s="114"/>
      <c r="H81" s="114">
        <v>42598</v>
      </c>
      <c r="I81" s="114">
        <v>42598</v>
      </c>
      <c r="J81" s="114">
        <v>42605</v>
      </c>
      <c r="K81" s="76"/>
      <c r="L81" s="114">
        <v>42634</v>
      </c>
      <c r="M81" s="114">
        <v>42629</v>
      </c>
      <c r="N81" s="114"/>
      <c r="O81" s="114">
        <v>42634</v>
      </c>
      <c r="P81" s="114">
        <v>42634</v>
      </c>
      <c r="Q81" s="114">
        <v>42640</v>
      </c>
      <c r="R81" s="81"/>
      <c r="S81" s="114"/>
      <c r="T81" s="75"/>
      <c r="U81" s="75"/>
      <c r="V81" s="75"/>
      <c r="W81" s="75">
        <v>2</v>
      </c>
      <c r="X81" s="75">
        <v>23793</v>
      </c>
      <c r="Y81" s="75" t="str">
        <f ca="1">IF(I81="",IF(D81="","",IF(W81+X81&lt;15,"Données Nb pers ou RFR manquantes",IF(COUNTA(INDIRECT("TabRFR["&amp;YEAR(D81)&amp;"]"))&lt;&gt;COUNTA(TabRFR[Recherche RFR]),"Data RFR manquantes", IF(X81&lt;=INDEX(TabRFR[[2021]:[2025]],MATCH(BD!W81&amp;"-Très modestes",TabRFR[Recherche RFR],0),MATCH(TEXT(YEAR(BD!D81),"Standard"),TabRFR[[#Headers],[2021]:[2025]],0)),"Très Modeste",IF(X81&lt;=INDEX(TabRFR[[2021]:[2025]],MATCH(BD!W81&amp;"-modestes",TabRFR[Recherche RFR],0),MATCH(TEXT(YEAR(BD!D81),"Standard"),TabRFR[[#Headers],[2021]:[2025]],0)),"Modeste",IF(X81&lt;=INDEX(TabRFR[[2021]:[2025]],MATCH(BD!W81&amp;"-Intermédiaire",TabRFR[Recherche RFR],0),MATCH(TEXT(YEAR(BD!D81),"Standard"),TabRFR[[#Headers],[2021]:[2025]],0)),"Intermédiaire","Supérieur")))))),IF(D81="","",IF(W81+X81&lt;15,"Données Nb pers ou RFR manquantes",IF(COUNTA(INDIRECT("TabRFR["&amp;YEAR(I81)&amp;"]"))&lt;&gt;COUNTA(TabRFR[Recherche RFR]),"Data RFR manquantes", IF(X81&lt;=INDEX(TabRFR[[2021]:[2025]],MATCH(BD!W81&amp;"-Très modestes",TabRFR[Recherche RFR],0),MATCH(TEXT(YEAR(BD!I81),"Standard"),TabRFR[[#Headers],[2021]:[2025]],0)),"Très Modeste",IF(X81&lt;=INDEX(TabRFR[[2021]:[2025]],MATCH(BD!W81&amp;"-modestes",TabRFR[Recherche RFR],0),MATCH(TEXT(YEAR(BD!I81),"Standard"),TabRFR[[#Headers],[2021]:[2025]],0)),"Modeste",IF(X81&lt;=INDEX(TabRFR[[2021]:[2025]],MATCH(BD!W81&amp;"-Intermédiaire",TabRFR[Recherche RFR],0),MATCH(TEXT(YEAR(BD!I81),"Standard"),TabRFR[[#Headers],[2021]:[2025]],0)),"Intermédiaire","Supérieur")))))))</f>
        <v>Data RFR manquantes</v>
      </c>
      <c r="Z81" s="75"/>
      <c r="AA81" s="75" t="s">
        <v>362</v>
      </c>
      <c r="AB81" s="75">
        <v>38140</v>
      </c>
      <c r="AC81" s="75" t="s">
        <v>363</v>
      </c>
      <c r="AD81" s="101"/>
      <c r="AE81" s="102"/>
      <c r="AF81" s="75" t="s">
        <v>95</v>
      </c>
      <c r="AG81" s="75"/>
      <c r="AH81" s="75"/>
      <c r="AI81" s="75"/>
      <c r="AJ81" s="75"/>
      <c r="AK81" s="75"/>
      <c r="AL81" s="75"/>
      <c r="AM81" s="75" t="s">
        <v>4356</v>
      </c>
      <c r="AN81" s="75" t="s">
        <v>96</v>
      </c>
      <c r="AO81" s="75" t="s">
        <v>1948</v>
      </c>
      <c r="AP81" s="75" t="s">
        <v>97</v>
      </c>
      <c r="AQ81" s="75"/>
      <c r="AR81" s="75"/>
      <c r="AS81" s="102" t="s">
        <v>770</v>
      </c>
      <c r="AT81" s="101">
        <v>476071461</v>
      </c>
      <c r="AU81" s="75" t="s">
        <v>111</v>
      </c>
      <c r="AV81" s="75">
        <v>1994</v>
      </c>
      <c r="AW81" s="75" t="s">
        <v>100</v>
      </c>
      <c r="AX81" s="75" t="s">
        <v>2071</v>
      </c>
      <c r="AY81" s="75" t="s">
        <v>102</v>
      </c>
      <c r="AZ81" s="75" t="s">
        <v>1952</v>
      </c>
      <c r="BA81" s="75">
        <v>17</v>
      </c>
      <c r="BB81" s="75">
        <v>8</v>
      </c>
      <c r="BC81" s="75">
        <v>90</v>
      </c>
      <c r="BD81" s="75">
        <v>0.2</v>
      </c>
      <c r="BE81" s="75" t="s">
        <v>97</v>
      </c>
      <c r="BF81" s="75"/>
      <c r="BG81" s="75">
        <v>2795</v>
      </c>
      <c r="BH81" s="77"/>
      <c r="BI81" s="77"/>
      <c r="BJ81" s="77"/>
      <c r="BK81" s="75">
        <v>350</v>
      </c>
      <c r="BL81" s="75">
        <f t="shared" si="3"/>
        <v>3145</v>
      </c>
      <c r="BM81" s="103">
        <f t="shared" si="4"/>
        <v>172.97499999999999</v>
      </c>
      <c r="BN81" s="103">
        <f t="shared" si="5"/>
        <v>3317.9749999999999</v>
      </c>
      <c r="BO81" s="103">
        <v>5012.3100000000004</v>
      </c>
      <c r="BP81" s="75" t="s">
        <v>97</v>
      </c>
      <c r="BQ81" s="75"/>
      <c r="BR81" s="75"/>
      <c r="BS81" s="157">
        <v>2016</v>
      </c>
      <c r="BU81">
        <v>2016</v>
      </c>
    </row>
    <row r="82" spans="1:73" ht="43.15" customHeight="1" x14ac:dyDescent="0.25">
      <c r="A82" s="242" t="s">
        <v>186</v>
      </c>
      <c r="B82" s="242" t="s">
        <v>2163</v>
      </c>
      <c r="C82" s="159">
        <v>400</v>
      </c>
      <c r="D82" s="114">
        <v>42593</v>
      </c>
      <c r="E82" s="114"/>
      <c r="F82" s="114" t="s">
        <v>193</v>
      </c>
      <c r="G82" s="114"/>
      <c r="H82" s="114">
        <v>42599</v>
      </c>
      <c r="I82" s="114">
        <v>42599</v>
      </c>
      <c r="J82" s="114">
        <v>42605</v>
      </c>
      <c r="K82" s="76"/>
      <c r="L82" s="114">
        <v>42688</v>
      </c>
      <c r="M82" s="114">
        <v>42680</v>
      </c>
      <c r="N82" s="114"/>
      <c r="O82" s="114">
        <v>42695</v>
      </c>
      <c r="P82" s="114">
        <v>42695</v>
      </c>
      <c r="Q82" s="114">
        <v>42706</v>
      </c>
      <c r="R82" s="80"/>
      <c r="S82" s="114"/>
      <c r="T82" s="75"/>
      <c r="U82" s="75"/>
      <c r="V82" s="75"/>
      <c r="W82" s="75">
        <v>2</v>
      </c>
      <c r="X82" s="75">
        <v>62248</v>
      </c>
      <c r="Y82" s="75" t="str">
        <f ca="1">IF(I82="",IF(D82="","",IF(W82+X82&lt;15,"Données Nb pers ou RFR manquantes",IF(COUNTA(INDIRECT("TabRFR["&amp;YEAR(D82)&amp;"]"))&lt;&gt;COUNTA(TabRFR[Recherche RFR]),"Data RFR manquantes", IF(X82&lt;=INDEX(TabRFR[[2021]:[2025]],MATCH(BD!W82&amp;"-Très modestes",TabRFR[Recherche RFR],0),MATCH(TEXT(YEAR(BD!D82),"Standard"),TabRFR[[#Headers],[2021]:[2025]],0)),"Très Modeste",IF(X82&lt;=INDEX(TabRFR[[2021]:[2025]],MATCH(BD!W82&amp;"-modestes",TabRFR[Recherche RFR],0),MATCH(TEXT(YEAR(BD!D82),"Standard"),TabRFR[[#Headers],[2021]:[2025]],0)),"Modeste",IF(X82&lt;=INDEX(TabRFR[[2021]:[2025]],MATCH(BD!W82&amp;"-Intermédiaire",TabRFR[Recherche RFR],0),MATCH(TEXT(YEAR(BD!D82),"Standard"),TabRFR[[#Headers],[2021]:[2025]],0)),"Intermédiaire","Supérieur")))))),IF(D82="","",IF(W82+X82&lt;15,"Données Nb pers ou RFR manquantes",IF(COUNTA(INDIRECT("TabRFR["&amp;YEAR(I82)&amp;"]"))&lt;&gt;COUNTA(TabRFR[Recherche RFR]),"Data RFR manquantes", IF(X82&lt;=INDEX(TabRFR[[2021]:[2025]],MATCH(BD!W82&amp;"-Très modestes",TabRFR[Recherche RFR],0),MATCH(TEXT(YEAR(BD!I82),"Standard"),TabRFR[[#Headers],[2021]:[2025]],0)),"Très Modeste",IF(X82&lt;=INDEX(TabRFR[[2021]:[2025]],MATCH(BD!W82&amp;"-modestes",TabRFR[Recherche RFR],0),MATCH(TEXT(YEAR(BD!I82),"Standard"),TabRFR[[#Headers],[2021]:[2025]],0)),"Modeste",IF(X82&lt;=INDEX(TabRFR[[2021]:[2025]],MATCH(BD!W82&amp;"-Intermédiaire",TabRFR[Recherche RFR],0),MATCH(TEXT(YEAR(BD!I82),"Standard"),TabRFR[[#Headers],[2021]:[2025]],0)),"Intermédiaire","Supérieur")))))))</f>
        <v>Data RFR manquantes</v>
      </c>
      <c r="Z82" s="75"/>
      <c r="AA82" s="75" t="s">
        <v>2161</v>
      </c>
      <c r="AB82" s="75">
        <v>38340</v>
      </c>
      <c r="AC82" s="75" t="s">
        <v>108</v>
      </c>
      <c r="AD82" s="101"/>
      <c r="AE82" s="102"/>
      <c r="AF82" s="75" t="s">
        <v>95</v>
      </c>
      <c r="AG82" s="75"/>
      <c r="AH82" s="75">
        <v>1989</v>
      </c>
      <c r="AI82" s="75"/>
      <c r="AJ82" s="75"/>
      <c r="AK82" s="75"/>
      <c r="AL82" s="75"/>
      <c r="AM82" s="75" t="s">
        <v>218</v>
      </c>
      <c r="AN82" s="75" t="s">
        <v>217</v>
      </c>
      <c r="AO82" s="75" t="s">
        <v>219</v>
      </c>
      <c r="AP82" s="75" t="s">
        <v>97</v>
      </c>
      <c r="AQ82" s="75"/>
      <c r="AR82" s="75"/>
      <c r="AS82" s="102" t="s">
        <v>220</v>
      </c>
      <c r="AT82" s="101">
        <v>476355605</v>
      </c>
      <c r="AU82" s="75" t="s">
        <v>430</v>
      </c>
      <c r="AV82" s="75">
        <v>1990</v>
      </c>
      <c r="AW82" s="75" t="s">
        <v>100</v>
      </c>
      <c r="AX82" s="75" t="s">
        <v>112</v>
      </c>
      <c r="AY82" s="75" t="s">
        <v>1603</v>
      </c>
      <c r="AZ82" s="75" t="s">
        <v>1011</v>
      </c>
      <c r="BA82" s="75">
        <v>34</v>
      </c>
      <c r="BB82" s="75">
        <v>7</v>
      </c>
      <c r="BC82" s="75">
        <v>78</v>
      </c>
      <c r="BD82" s="75">
        <v>0.09</v>
      </c>
      <c r="BE82" s="75" t="s">
        <v>97</v>
      </c>
      <c r="BF82" s="75"/>
      <c r="BG82" s="75">
        <v>1580</v>
      </c>
      <c r="BH82" s="77"/>
      <c r="BI82" s="77"/>
      <c r="BJ82" s="77"/>
      <c r="BK82" s="75">
        <v>775</v>
      </c>
      <c r="BL82" s="75">
        <f t="shared" si="3"/>
        <v>2355</v>
      </c>
      <c r="BM82" s="103">
        <f t="shared" si="4"/>
        <v>129.52500000000001</v>
      </c>
      <c r="BN82" s="103">
        <f t="shared" si="5"/>
        <v>2484.5250000000001</v>
      </c>
      <c r="BO82" s="103">
        <v>3440.61</v>
      </c>
      <c r="BP82" s="75" t="s">
        <v>97</v>
      </c>
      <c r="BQ82" s="75"/>
      <c r="BR82" s="75"/>
      <c r="BS82" s="157">
        <v>2016</v>
      </c>
      <c r="BT82">
        <v>2020</v>
      </c>
      <c r="BU82">
        <v>2016</v>
      </c>
    </row>
    <row r="83" spans="1:73" ht="43.15" customHeight="1" x14ac:dyDescent="0.25">
      <c r="A83" s="242" t="s">
        <v>186</v>
      </c>
      <c r="B83" s="242" t="s">
        <v>2159</v>
      </c>
      <c r="C83" s="159">
        <v>800</v>
      </c>
      <c r="D83" s="114">
        <v>42592</v>
      </c>
      <c r="E83" s="114"/>
      <c r="F83" s="114" t="s">
        <v>2158</v>
      </c>
      <c r="G83" s="114"/>
      <c r="H83" s="114">
        <v>42599</v>
      </c>
      <c r="I83" s="114">
        <v>42599</v>
      </c>
      <c r="J83" s="114">
        <v>42605</v>
      </c>
      <c r="K83" s="76"/>
      <c r="L83" s="114">
        <v>42662</v>
      </c>
      <c r="M83" s="114">
        <v>42643</v>
      </c>
      <c r="N83" s="114"/>
      <c r="O83" s="114">
        <v>42667</v>
      </c>
      <c r="P83" s="114">
        <v>42667</v>
      </c>
      <c r="Q83" s="114">
        <v>42678</v>
      </c>
      <c r="R83" s="81"/>
      <c r="S83" s="114"/>
      <c r="T83" s="75"/>
      <c r="U83" s="75"/>
      <c r="V83" s="75"/>
      <c r="W83" s="75">
        <v>2</v>
      </c>
      <c r="X83" s="75">
        <v>25370</v>
      </c>
      <c r="Y83" s="75" t="str">
        <f ca="1">IF(I83="",IF(D83="","",IF(W83+X83&lt;15,"Données Nb pers ou RFR manquantes",IF(COUNTA(INDIRECT("TabRFR["&amp;YEAR(D83)&amp;"]"))&lt;&gt;COUNTA(TabRFR[Recherche RFR]),"Data RFR manquantes", IF(X83&lt;=INDEX(TabRFR[[2021]:[2025]],MATCH(BD!W83&amp;"-Très modestes",TabRFR[Recherche RFR],0),MATCH(TEXT(YEAR(BD!D83),"Standard"),TabRFR[[#Headers],[2021]:[2025]],0)),"Très Modeste",IF(X83&lt;=INDEX(TabRFR[[2021]:[2025]],MATCH(BD!W83&amp;"-modestes",TabRFR[Recherche RFR],0),MATCH(TEXT(YEAR(BD!D83),"Standard"),TabRFR[[#Headers],[2021]:[2025]],0)),"Modeste",IF(X83&lt;=INDEX(TabRFR[[2021]:[2025]],MATCH(BD!W83&amp;"-Intermédiaire",TabRFR[Recherche RFR],0),MATCH(TEXT(YEAR(BD!D83),"Standard"),TabRFR[[#Headers],[2021]:[2025]],0)),"Intermédiaire","Supérieur")))))),IF(D83="","",IF(W83+X83&lt;15,"Données Nb pers ou RFR manquantes",IF(COUNTA(INDIRECT("TabRFR["&amp;YEAR(I83)&amp;"]"))&lt;&gt;COUNTA(TabRFR[Recherche RFR]),"Data RFR manquantes", IF(X83&lt;=INDEX(TabRFR[[2021]:[2025]],MATCH(BD!W83&amp;"-Très modestes",TabRFR[Recherche RFR],0),MATCH(TEXT(YEAR(BD!I83),"Standard"),TabRFR[[#Headers],[2021]:[2025]],0)),"Très Modeste",IF(X83&lt;=INDEX(TabRFR[[2021]:[2025]],MATCH(BD!W83&amp;"-modestes",TabRFR[Recherche RFR],0),MATCH(TEXT(YEAR(BD!I83),"Standard"),TabRFR[[#Headers],[2021]:[2025]],0)),"Modeste",IF(X83&lt;=INDEX(TabRFR[[2021]:[2025]],MATCH(BD!W83&amp;"-Intermédiaire",TabRFR[Recherche RFR],0),MATCH(TEXT(YEAR(BD!I83),"Standard"),TabRFR[[#Headers],[2021]:[2025]],0)),"Intermédiaire","Supérieur")))))))</f>
        <v>Data RFR manquantes</v>
      </c>
      <c r="Z83" s="75"/>
      <c r="AA83" s="75" t="s">
        <v>2156</v>
      </c>
      <c r="AB83" s="75">
        <v>38430</v>
      </c>
      <c r="AC83" s="75" t="s">
        <v>217</v>
      </c>
      <c r="AD83" s="101"/>
      <c r="AE83" s="102"/>
      <c r="AF83" s="75" t="s">
        <v>95</v>
      </c>
      <c r="AG83" s="75"/>
      <c r="AH83" s="75"/>
      <c r="AI83" s="75"/>
      <c r="AJ83" s="75"/>
      <c r="AK83" s="75"/>
      <c r="AL83" s="75"/>
      <c r="AM83" s="75" t="s">
        <v>4348</v>
      </c>
      <c r="AN83" s="75" t="s">
        <v>96</v>
      </c>
      <c r="AO83" s="75" t="s">
        <v>238</v>
      </c>
      <c r="AP83" s="75" t="s">
        <v>97</v>
      </c>
      <c r="AQ83" s="75"/>
      <c r="AR83" s="75"/>
      <c r="AS83" s="102" t="s">
        <v>1571</v>
      </c>
      <c r="AT83" s="101">
        <v>476323235</v>
      </c>
      <c r="AU83" s="75" t="s">
        <v>111</v>
      </c>
      <c r="AV83" s="75">
        <v>1980</v>
      </c>
      <c r="AW83" s="75" t="s">
        <v>111</v>
      </c>
      <c r="AX83" s="75" t="s">
        <v>112</v>
      </c>
      <c r="AY83" s="75" t="s">
        <v>2155</v>
      </c>
      <c r="AZ83" s="75" t="s">
        <v>1453</v>
      </c>
      <c r="BA83" s="75">
        <v>4</v>
      </c>
      <c r="BB83" s="75">
        <v>7</v>
      </c>
      <c r="BC83" s="75">
        <v>78</v>
      </c>
      <c r="BD83" s="75">
        <v>0.06</v>
      </c>
      <c r="BE83" s="75" t="s">
        <v>97</v>
      </c>
      <c r="BF83" s="75"/>
      <c r="BG83" s="75">
        <v>2510</v>
      </c>
      <c r="BH83" s="77"/>
      <c r="BI83" s="77"/>
      <c r="BJ83" s="77"/>
      <c r="BK83" s="75">
        <v>885</v>
      </c>
      <c r="BL83" s="75">
        <f t="shared" si="3"/>
        <v>3395</v>
      </c>
      <c r="BM83" s="103">
        <f t="shared" si="4"/>
        <v>186.72499999999999</v>
      </c>
      <c r="BN83" s="103">
        <f t="shared" si="5"/>
        <v>3581.7249999999999</v>
      </c>
      <c r="BO83" s="103">
        <v>3462.51</v>
      </c>
      <c r="BP83" s="75"/>
      <c r="BQ83" s="75"/>
      <c r="BR83" s="75"/>
      <c r="BS83" s="157">
        <v>2016</v>
      </c>
      <c r="BT83">
        <v>2020</v>
      </c>
      <c r="BU83">
        <v>2016</v>
      </c>
    </row>
    <row r="84" spans="1:73" ht="43.15" customHeight="1" x14ac:dyDescent="0.25">
      <c r="A84" s="242" t="s">
        <v>186</v>
      </c>
      <c r="B84" s="242" t="s">
        <v>2154</v>
      </c>
      <c r="C84" s="159">
        <v>800</v>
      </c>
      <c r="D84" s="114">
        <v>42601</v>
      </c>
      <c r="E84" s="114"/>
      <c r="F84" s="114"/>
      <c r="G84" s="114"/>
      <c r="H84" s="114">
        <v>42604</v>
      </c>
      <c r="I84" s="114">
        <v>42604</v>
      </c>
      <c r="J84" s="114">
        <v>42605</v>
      </c>
      <c r="K84" s="76"/>
      <c r="L84" s="114">
        <v>42642</v>
      </c>
      <c r="M84" s="114">
        <v>42620</v>
      </c>
      <c r="N84" s="114"/>
      <c r="O84" s="114">
        <v>42642</v>
      </c>
      <c r="P84" s="114">
        <v>42642</v>
      </c>
      <c r="Q84" s="114">
        <v>42643</v>
      </c>
      <c r="R84" s="81"/>
      <c r="S84" s="114"/>
      <c r="T84" s="75"/>
      <c r="U84" s="75"/>
      <c r="V84" s="75"/>
      <c r="W84" s="75">
        <v>4</v>
      </c>
      <c r="X84" s="75">
        <v>32156</v>
      </c>
      <c r="Y84" s="75" t="str">
        <f ca="1">IF(I84="",IF(D84="","",IF(W84+X84&lt;15,"Données Nb pers ou RFR manquantes",IF(COUNTA(INDIRECT("TabRFR["&amp;YEAR(D84)&amp;"]"))&lt;&gt;COUNTA(TabRFR[Recherche RFR]),"Data RFR manquantes", IF(X84&lt;=INDEX(TabRFR[[2021]:[2025]],MATCH(BD!W84&amp;"-Très modestes",TabRFR[Recherche RFR],0),MATCH(TEXT(YEAR(BD!D84),"Standard"),TabRFR[[#Headers],[2021]:[2025]],0)),"Très Modeste",IF(X84&lt;=INDEX(TabRFR[[2021]:[2025]],MATCH(BD!W84&amp;"-modestes",TabRFR[Recherche RFR],0),MATCH(TEXT(YEAR(BD!D84),"Standard"),TabRFR[[#Headers],[2021]:[2025]],0)),"Modeste",IF(X84&lt;=INDEX(TabRFR[[2021]:[2025]],MATCH(BD!W84&amp;"-Intermédiaire",TabRFR[Recherche RFR],0),MATCH(TEXT(YEAR(BD!D84),"Standard"),TabRFR[[#Headers],[2021]:[2025]],0)),"Intermédiaire","Supérieur")))))),IF(D84="","",IF(W84+X84&lt;15,"Données Nb pers ou RFR manquantes",IF(COUNTA(INDIRECT("TabRFR["&amp;YEAR(I84)&amp;"]"))&lt;&gt;COUNTA(TabRFR[Recherche RFR]),"Data RFR manquantes", IF(X84&lt;=INDEX(TabRFR[[2021]:[2025]],MATCH(BD!W84&amp;"-Très modestes",TabRFR[Recherche RFR],0),MATCH(TEXT(YEAR(BD!I84),"Standard"),TabRFR[[#Headers],[2021]:[2025]],0)),"Très Modeste",IF(X84&lt;=INDEX(TabRFR[[2021]:[2025]],MATCH(BD!W84&amp;"-modestes",TabRFR[Recherche RFR],0),MATCH(TEXT(YEAR(BD!I84),"Standard"),TabRFR[[#Headers],[2021]:[2025]],0)),"Modeste",IF(X84&lt;=INDEX(TabRFR[[2021]:[2025]],MATCH(BD!W84&amp;"-Intermédiaire",TabRFR[Recherche RFR],0),MATCH(TEXT(YEAR(BD!I84),"Standard"),TabRFR[[#Headers],[2021]:[2025]],0)),"Intermédiaire","Supérieur")))))))</f>
        <v>Data RFR manquantes</v>
      </c>
      <c r="Z84" s="75"/>
      <c r="AA84" s="75" t="s">
        <v>2151</v>
      </c>
      <c r="AB84" s="75">
        <v>38430</v>
      </c>
      <c r="AC84" s="75" t="s">
        <v>108</v>
      </c>
      <c r="AD84" s="101"/>
      <c r="AE84" s="102"/>
      <c r="AF84" s="75" t="s">
        <v>95</v>
      </c>
      <c r="AG84" s="75"/>
      <c r="AH84" s="75">
        <v>2016</v>
      </c>
      <c r="AI84" s="75"/>
      <c r="AJ84" s="75"/>
      <c r="AK84" s="75"/>
      <c r="AL84" s="75"/>
      <c r="AM84" s="75" t="s">
        <v>218</v>
      </c>
      <c r="AN84" s="75" t="s">
        <v>217</v>
      </c>
      <c r="AO84" s="75" t="s">
        <v>219</v>
      </c>
      <c r="AP84" s="75" t="s">
        <v>97</v>
      </c>
      <c r="AQ84" s="75"/>
      <c r="AR84" s="75"/>
      <c r="AS84" s="102" t="s">
        <v>220</v>
      </c>
      <c r="AT84" s="101">
        <v>476355605</v>
      </c>
      <c r="AU84" s="75" t="s">
        <v>430</v>
      </c>
      <c r="AV84" s="75">
        <v>1981</v>
      </c>
      <c r="AW84" s="75" t="s">
        <v>111</v>
      </c>
      <c r="AX84" s="75" t="s">
        <v>112</v>
      </c>
      <c r="AY84" s="75" t="s">
        <v>1603</v>
      </c>
      <c r="AZ84" s="75" t="s">
        <v>1182</v>
      </c>
      <c r="BA84" s="75">
        <v>23</v>
      </c>
      <c r="BB84" s="75">
        <v>10</v>
      </c>
      <c r="BC84" s="75">
        <v>78</v>
      </c>
      <c r="BD84" s="75">
        <v>7.0000000000000007E-2</v>
      </c>
      <c r="BE84" s="75" t="s">
        <v>97</v>
      </c>
      <c r="BF84" s="75"/>
      <c r="BG84" s="75">
        <v>4565</v>
      </c>
      <c r="BH84" s="77"/>
      <c r="BI84" s="77"/>
      <c r="BJ84" s="77"/>
      <c r="BK84" s="75">
        <v>950</v>
      </c>
      <c r="BL84" s="75">
        <f t="shared" si="3"/>
        <v>5515</v>
      </c>
      <c r="BM84" s="103">
        <f t="shared" si="4"/>
        <v>303.32499999999999</v>
      </c>
      <c r="BN84" s="103">
        <f t="shared" si="5"/>
        <v>5818.3249999999998</v>
      </c>
      <c r="BO84" s="103">
        <v>5817.98</v>
      </c>
      <c r="BP84" s="75" t="s">
        <v>97</v>
      </c>
      <c r="BQ84" s="75"/>
      <c r="BR84" s="75"/>
      <c r="BS84" s="157">
        <v>2016</v>
      </c>
      <c r="BT84">
        <v>2020</v>
      </c>
      <c r="BU84">
        <v>2016</v>
      </c>
    </row>
    <row r="85" spans="1:73" ht="43.15" customHeight="1" x14ac:dyDescent="0.25">
      <c r="A85" s="242" t="s">
        <v>186</v>
      </c>
      <c r="B85" s="242" t="s">
        <v>2149</v>
      </c>
      <c r="C85" s="159">
        <v>800</v>
      </c>
      <c r="D85" s="114">
        <v>42605</v>
      </c>
      <c r="E85" s="114"/>
      <c r="F85" s="114" t="s">
        <v>2148</v>
      </c>
      <c r="G85" s="114"/>
      <c r="H85" s="114">
        <v>42619</v>
      </c>
      <c r="I85" s="114">
        <v>42619</v>
      </c>
      <c r="J85" s="114">
        <v>42625</v>
      </c>
      <c r="K85" s="76"/>
      <c r="L85" s="110" t="s">
        <v>2068</v>
      </c>
      <c r="M85" s="110"/>
      <c r="N85" s="110"/>
      <c r="O85" s="114">
        <v>42642</v>
      </c>
      <c r="P85" s="114">
        <v>42642</v>
      </c>
      <c r="Q85" s="211">
        <v>42643</v>
      </c>
      <c r="R85" s="115"/>
      <c r="S85" s="114"/>
      <c r="T85" s="75"/>
      <c r="U85" s="75"/>
      <c r="V85" s="75"/>
      <c r="W85" s="75">
        <v>2</v>
      </c>
      <c r="X85" s="75">
        <v>17009</v>
      </c>
      <c r="Y85" s="75" t="str">
        <f ca="1">IF(I85="",IF(D85="","",IF(W85+X85&lt;15,"Données Nb pers ou RFR manquantes",IF(COUNTA(INDIRECT("TabRFR["&amp;YEAR(D85)&amp;"]"))&lt;&gt;COUNTA(TabRFR[Recherche RFR]),"Data RFR manquantes", IF(X85&lt;=INDEX(TabRFR[[2021]:[2025]],MATCH(BD!W85&amp;"-Très modestes",TabRFR[Recherche RFR],0),MATCH(TEXT(YEAR(BD!D85),"Standard"),TabRFR[[#Headers],[2021]:[2025]],0)),"Très Modeste",IF(X85&lt;=INDEX(TabRFR[[2021]:[2025]],MATCH(BD!W85&amp;"-modestes",TabRFR[Recherche RFR],0),MATCH(TEXT(YEAR(BD!D85),"Standard"),TabRFR[[#Headers],[2021]:[2025]],0)),"Modeste",IF(X85&lt;=INDEX(TabRFR[[2021]:[2025]],MATCH(BD!W85&amp;"-Intermédiaire",TabRFR[Recherche RFR],0),MATCH(TEXT(YEAR(BD!D85),"Standard"),TabRFR[[#Headers],[2021]:[2025]],0)),"Intermédiaire","Supérieur")))))),IF(D85="","",IF(W85+X85&lt;15,"Données Nb pers ou RFR manquantes",IF(COUNTA(INDIRECT("TabRFR["&amp;YEAR(I85)&amp;"]"))&lt;&gt;COUNTA(TabRFR[Recherche RFR]),"Data RFR manquantes", IF(X85&lt;=INDEX(TabRFR[[2021]:[2025]],MATCH(BD!W85&amp;"-Très modestes",TabRFR[Recherche RFR],0),MATCH(TEXT(YEAR(BD!I85),"Standard"),TabRFR[[#Headers],[2021]:[2025]],0)),"Très Modeste",IF(X85&lt;=INDEX(TabRFR[[2021]:[2025]],MATCH(BD!W85&amp;"-modestes",TabRFR[Recherche RFR],0),MATCH(TEXT(YEAR(BD!I85),"Standard"),TabRFR[[#Headers],[2021]:[2025]],0)),"Modeste",IF(X85&lt;=INDEX(TabRFR[[2021]:[2025]],MATCH(BD!W85&amp;"-Intermédiaire",TabRFR[Recherche RFR],0),MATCH(TEXT(YEAR(BD!I85),"Standard"),TabRFR[[#Headers],[2021]:[2025]],0)),"Intermédiaire","Supérieur")))))))</f>
        <v>Data RFR manquantes</v>
      </c>
      <c r="Z85" s="75"/>
      <c r="AA85" s="75" t="s">
        <v>2146</v>
      </c>
      <c r="AB85" s="75">
        <v>38340</v>
      </c>
      <c r="AC85" s="75" t="s">
        <v>3129</v>
      </c>
      <c r="AD85" s="101"/>
      <c r="AE85" s="102"/>
      <c r="AF85" s="75" t="s">
        <v>95</v>
      </c>
      <c r="AG85" s="75"/>
      <c r="AH85" s="75">
        <v>1970</v>
      </c>
      <c r="AI85" s="75"/>
      <c r="AJ85" s="75"/>
      <c r="AK85" s="75"/>
      <c r="AL85" s="75"/>
      <c r="AM85" s="75" t="s">
        <v>338</v>
      </c>
      <c r="AN85" s="75" t="s">
        <v>829</v>
      </c>
      <c r="AO85" s="75" t="s">
        <v>336</v>
      </c>
      <c r="AP85" s="75" t="s">
        <v>97</v>
      </c>
      <c r="AQ85" s="75"/>
      <c r="AR85" s="75"/>
      <c r="AS85" s="102" t="s">
        <v>337</v>
      </c>
      <c r="AT85" s="101">
        <v>438021901</v>
      </c>
      <c r="AU85" s="75" t="s">
        <v>430</v>
      </c>
      <c r="AV85" s="75">
        <v>1970</v>
      </c>
      <c r="AW85" s="75" t="s">
        <v>111</v>
      </c>
      <c r="AX85" s="75" t="s">
        <v>112</v>
      </c>
      <c r="AY85" s="75" t="s">
        <v>2144</v>
      </c>
      <c r="AZ85" s="75" t="s">
        <v>486</v>
      </c>
      <c r="BA85" s="75">
        <v>32</v>
      </c>
      <c r="BB85" s="75">
        <v>13</v>
      </c>
      <c r="BC85" s="75">
        <v>75.400000000000006</v>
      </c>
      <c r="BD85" s="75">
        <v>0.03</v>
      </c>
      <c r="BE85" s="75" t="s">
        <v>97</v>
      </c>
      <c r="BF85" s="75"/>
      <c r="BG85" s="75">
        <v>2208</v>
      </c>
      <c r="BH85" s="77"/>
      <c r="BI85" s="77"/>
      <c r="BJ85" s="77"/>
      <c r="BK85" s="75">
        <v>891</v>
      </c>
      <c r="BL85" s="75">
        <f t="shared" si="3"/>
        <v>3099</v>
      </c>
      <c r="BM85" s="103">
        <f t="shared" si="4"/>
        <v>170.44499999999999</v>
      </c>
      <c r="BN85" s="103">
        <f t="shared" si="5"/>
        <v>3269.4450000000002</v>
      </c>
      <c r="BO85" s="103">
        <v>6699</v>
      </c>
      <c r="BP85" s="75" t="s">
        <v>97</v>
      </c>
      <c r="BQ85" s="75"/>
      <c r="BR85" s="75"/>
      <c r="BS85" s="157">
        <v>2016</v>
      </c>
      <c r="BT85">
        <v>2020</v>
      </c>
      <c r="BU85">
        <v>2016</v>
      </c>
    </row>
    <row r="86" spans="1:73" ht="43.15" customHeight="1" x14ac:dyDescent="0.25">
      <c r="A86" s="242" t="s">
        <v>186</v>
      </c>
      <c r="B86" s="242" t="s">
        <v>2143</v>
      </c>
      <c r="C86" s="159">
        <v>400</v>
      </c>
      <c r="D86" s="114">
        <v>42606</v>
      </c>
      <c r="E86" s="114"/>
      <c r="F86" s="114"/>
      <c r="G86" s="114"/>
      <c r="H86" s="114">
        <v>42611</v>
      </c>
      <c r="I86" s="114">
        <v>42611</v>
      </c>
      <c r="J86" s="114">
        <v>42625</v>
      </c>
      <c r="K86" s="76"/>
      <c r="L86" s="114">
        <v>42654</v>
      </c>
      <c r="M86" s="114">
        <v>42650</v>
      </c>
      <c r="N86" s="114"/>
      <c r="O86" s="114">
        <v>42655</v>
      </c>
      <c r="P86" s="114">
        <v>42655</v>
      </c>
      <c r="Q86" s="114">
        <v>42664</v>
      </c>
      <c r="R86" s="80"/>
      <c r="S86" s="114"/>
      <c r="T86" s="75"/>
      <c r="U86" s="75"/>
      <c r="V86" s="75"/>
      <c r="W86" s="75">
        <v>1</v>
      </c>
      <c r="X86" s="75">
        <v>33594</v>
      </c>
      <c r="Y86" s="75" t="str">
        <f ca="1">IF(I86="",IF(D86="","",IF(W86+X86&lt;15,"Données Nb pers ou RFR manquantes",IF(COUNTA(INDIRECT("TabRFR["&amp;YEAR(D86)&amp;"]"))&lt;&gt;COUNTA(TabRFR[Recherche RFR]),"Data RFR manquantes", IF(X86&lt;=INDEX(TabRFR[[2021]:[2025]],MATCH(BD!W86&amp;"-Très modestes",TabRFR[Recherche RFR],0),MATCH(TEXT(YEAR(BD!D86),"Standard"),TabRFR[[#Headers],[2021]:[2025]],0)),"Très Modeste",IF(X86&lt;=INDEX(TabRFR[[2021]:[2025]],MATCH(BD!W86&amp;"-modestes",TabRFR[Recherche RFR],0),MATCH(TEXT(YEAR(BD!D86),"Standard"),TabRFR[[#Headers],[2021]:[2025]],0)),"Modeste",IF(X86&lt;=INDEX(TabRFR[[2021]:[2025]],MATCH(BD!W86&amp;"-Intermédiaire",TabRFR[Recherche RFR],0),MATCH(TEXT(YEAR(BD!D86),"Standard"),TabRFR[[#Headers],[2021]:[2025]],0)),"Intermédiaire","Supérieur")))))),IF(D86="","",IF(W86+X86&lt;15,"Données Nb pers ou RFR manquantes",IF(COUNTA(INDIRECT("TabRFR["&amp;YEAR(I86)&amp;"]"))&lt;&gt;COUNTA(TabRFR[Recherche RFR]),"Data RFR manquantes", IF(X86&lt;=INDEX(TabRFR[[2021]:[2025]],MATCH(BD!W86&amp;"-Très modestes",TabRFR[Recherche RFR],0),MATCH(TEXT(YEAR(BD!I86),"Standard"),TabRFR[[#Headers],[2021]:[2025]],0)),"Très Modeste",IF(X86&lt;=INDEX(TabRFR[[2021]:[2025]],MATCH(BD!W86&amp;"-modestes",TabRFR[Recherche RFR],0),MATCH(TEXT(YEAR(BD!I86),"Standard"),TabRFR[[#Headers],[2021]:[2025]],0)),"Modeste",IF(X86&lt;=INDEX(TabRFR[[2021]:[2025]],MATCH(BD!W86&amp;"-Intermédiaire",TabRFR[Recherche RFR],0),MATCH(TEXT(YEAR(BD!I86),"Standard"),TabRFR[[#Headers],[2021]:[2025]],0)),"Intermédiaire","Supérieur")))))))</f>
        <v>Data RFR manquantes</v>
      </c>
      <c r="Z86" s="75"/>
      <c r="AA86" s="75" t="s">
        <v>2140</v>
      </c>
      <c r="AB86" s="75">
        <v>38490</v>
      </c>
      <c r="AC86" s="75" t="s">
        <v>1133</v>
      </c>
      <c r="AD86" s="101"/>
      <c r="AE86" s="102"/>
      <c r="AF86" s="75" t="s">
        <v>95</v>
      </c>
      <c r="AG86" s="75"/>
      <c r="AH86" s="75"/>
      <c r="AI86" s="75"/>
      <c r="AJ86" s="75"/>
      <c r="AK86" s="75"/>
      <c r="AL86" s="75"/>
      <c r="AM86" s="75" t="s">
        <v>4236</v>
      </c>
      <c r="AN86" s="75" t="s">
        <v>4091</v>
      </c>
      <c r="AO86" s="75" t="s">
        <v>163</v>
      </c>
      <c r="AP86" s="75" t="s">
        <v>97</v>
      </c>
      <c r="AQ86" s="75"/>
      <c r="AR86" s="75"/>
      <c r="AS86" s="102" t="s">
        <v>164</v>
      </c>
      <c r="AT86" s="101">
        <v>476370350</v>
      </c>
      <c r="AU86" s="75" t="s">
        <v>1754</v>
      </c>
      <c r="AV86" s="75">
        <v>2001</v>
      </c>
      <c r="AW86" s="75" t="s">
        <v>100</v>
      </c>
      <c r="AX86" s="75" t="s">
        <v>2071</v>
      </c>
      <c r="AY86" s="75" t="s">
        <v>1883</v>
      </c>
      <c r="AZ86" s="75" t="s">
        <v>2138</v>
      </c>
      <c r="BA86" s="75">
        <v>23</v>
      </c>
      <c r="BB86" s="75">
        <v>9</v>
      </c>
      <c r="BC86" s="75">
        <v>90</v>
      </c>
      <c r="BD86" s="75">
        <v>0.01</v>
      </c>
      <c r="BE86" s="75" t="s">
        <v>97</v>
      </c>
      <c r="BF86" s="75"/>
      <c r="BG86" s="75">
        <v>2990</v>
      </c>
      <c r="BH86" s="77"/>
      <c r="BI86" s="77"/>
      <c r="BJ86" s="77"/>
      <c r="BK86" s="75">
        <v>590</v>
      </c>
      <c r="BL86" s="75">
        <f t="shared" si="3"/>
        <v>3580</v>
      </c>
      <c r="BM86" s="103">
        <f t="shared" si="4"/>
        <v>196.9</v>
      </c>
      <c r="BN86" s="103">
        <f t="shared" si="5"/>
        <v>3776.9</v>
      </c>
      <c r="BO86" s="103">
        <v>3980.52</v>
      </c>
      <c r="BP86" s="75" t="s">
        <v>104</v>
      </c>
      <c r="BQ86" s="75"/>
      <c r="BR86" s="75"/>
      <c r="BS86" s="157">
        <v>2016</v>
      </c>
      <c r="BU86">
        <v>2016</v>
      </c>
    </row>
    <row r="87" spans="1:73" ht="43.15" customHeight="1" x14ac:dyDescent="0.25">
      <c r="A87" s="242" t="s">
        <v>186</v>
      </c>
      <c r="B87" s="242" t="s">
        <v>2137</v>
      </c>
      <c r="C87" s="159">
        <v>400</v>
      </c>
      <c r="D87" s="114">
        <v>42608</v>
      </c>
      <c r="E87" s="114"/>
      <c r="F87" s="114" t="s">
        <v>2136</v>
      </c>
      <c r="G87" s="114"/>
      <c r="H87" s="114">
        <v>42642</v>
      </c>
      <c r="I87" s="114">
        <v>42642</v>
      </c>
      <c r="J87" s="114">
        <v>42674</v>
      </c>
      <c r="K87" s="76"/>
      <c r="L87" s="114">
        <v>42690</v>
      </c>
      <c r="M87" s="114">
        <v>42677</v>
      </c>
      <c r="N87" s="114"/>
      <c r="O87" s="114">
        <v>42695</v>
      </c>
      <c r="P87" s="114">
        <v>42695</v>
      </c>
      <c r="Q87" s="114">
        <v>42706</v>
      </c>
      <c r="R87" s="80"/>
      <c r="S87" s="114"/>
      <c r="T87" s="75"/>
      <c r="U87" s="75"/>
      <c r="V87" s="75"/>
      <c r="W87" s="75">
        <v>4</v>
      </c>
      <c r="X87" s="75">
        <v>61847</v>
      </c>
      <c r="Y87" s="75" t="str">
        <f ca="1">IF(I87="",IF(D87="","",IF(W87+X87&lt;15,"Données Nb pers ou RFR manquantes",IF(COUNTA(INDIRECT("TabRFR["&amp;YEAR(D87)&amp;"]"))&lt;&gt;COUNTA(TabRFR[Recherche RFR]),"Data RFR manquantes", IF(X87&lt;=INDEX(TabRFR[[2021]:[2025]],MATCH(BD!W87&amp;"-Très modestes",TabRFR[Recherche RFR],0),MATCH(TEXT(YEAR(BD!D87),"Standard"),TabRFR[[#Headers],[2021]:[2025]],0)),"Très Modeste",IF(X87&lt;=INDEX(TabRFR[[2021]:[2025]],MATCH(BD!W87&amp;"-modestes",TabRFR[Recherche RFR],0),MATCH(TEXT(YEAR(BD!D87),"Standard"),TabRFR[[#Headers],[2021]:[2025]],0)),"Modeste",IF(X87&lt;=INDEX(TabRFR[[2021]:[2025]],MATCH(BD!W87&amp;"-Intermédiaire",TabRFR[Recherche RFR],0),MATCH(TEXT(YEAR(BD!D87),"Standard"),TabRFR[[#Headers],[2021]:[2025]],0)),"Intermédiaire","Supérieur")))))),IF(D87="","",IF(W87+X87&lt;15,"Données Nb pers ou RFR manquantes",IF(COUNTA(INDIRECT("TabRFR["&amp;YEAR(I87)&amp;"]"))&lt;&gt;COUNTA(TabRFR[Recherche RFR]),"Data RFR manquantes", IF(X87&lt;=INDEX(TabRFR[[2021]:[2025]],MATCH(BD!W87&amp;"-Très modestes",TabRFR[Recherche RFR],0),MATCH(TEXT(YEAR(BD!I87),"Standard"),TabRFR[[#Headers],[2021]:[2025]],0)),"Très Modeste",IF(X87&lt;=INDEX(TabRFR[[2021]:[2025]],MATCH(BD!W87&amp;"-modestes",TabRFR[Recherche RFR],0),MATCH(TEXT(YEAR(BD!I87),"Standard"),TabRFR[[#Headers],[2021]:[2025]],0)),"Modeste",IF(X87&lt;=INDEX(TabRFR[[2021]:[2025]],MATCH(BD!W87&amp;"-Intermédiaire",TabRFR[Recherche RFR],0),MATCH(TEXT(YEAR(BD!I87),"Standard"),TabRFR[[#Headers],[2021]:[2025]],0)),"Intermédiaire","Supérieur")))))))</f>
        <v>Data RFR manquantes</v>
      </c>
      <c r="Z87" s="75"/>
      <c r="AA87" s="75" t="s">
        <v>2134</v>
      </c>
      <c r="AB87" s="75">
        <v>38500</v>
      </c>
      <c r="AC87" s="75" t="s">
        <v>96</v>
      </c>
      <c r="AD87" s="101"/>
      <c r="AE87" s="102"/>
      <c r="AF87" s="75" t="s">
        <v>95</v>
      </c>
      <c r="AG87" s="75"/>
      <c r="AH87" s="75">
        <v>2015</v>
      </c>
      <c r="AI87" s="75"/>
      <c r="AJ87" s="75"/>
      <c r="AK87" s="75"/>
      <c r="AL87" s="75"/>
      <c r="AM87" s="75" t="s">
        <v>4356</v>
      </c>
      <c r="AN87" s="75" t="s">
        <v>96</v>
      </c>
      <c r="AO87" s="75" t="s">
        <v>1948</v>
      </c>
      <c r="AP87" s="75" t="s">
        <v>97</v>
      </c>
      <c r="AQ87" s="75"/>
      <c r="AR87" s="75"/>
      <c r="AS87" s="102" t="s">
        <v>120</v>
      </c>
      <c r="AT87" s="101">
        <v>476071461</v>
      </c>
      <c r="AU87" s="75" t="s">
        <v>399</v>
      </c>
      <c r="AV87" s="75">
        <v>1981</v>
      </c>
      <c r="AW87" s="75" t="s">
        <v>100</v>
      </c>
      <c r="AX87" s="75" t="s">
        <v>112</v>
      </c>
      <c r="AY87" s="75" t="s">
        <v>190</v>
      </c>
      <c r="AZ87" s="75" t="s">
        <v>2132</v>
      </c>
      <c r="BA87" s="75"/>
      <c r="BB87" s="75"/>
      <c r="BC87" s="75"/>
      <c r="BD87" s="75"/>
      <c r="BE87" s="75" t="s">
        <v>97</v>
      </c>
      <c r="BF87" s="75"/>
      <c r="BG87" s="75">
        <v>3500</v>
      </c>
      <c r="BH87" s="77"/>
      <c r="BI87" s="77"/>
      <c r="BJ87" s="77"/>
      <c r="BK87" s="75">
        <v>420</v>
      </c>
      <c r="BL87" s="75">
        <f t="shared" si="3"/>
        <v>3920</v>
      </c>
      <c r="BM87" s="103">
        <f t="shared" si="4"/>
        <v>215.6</v>
      </c>
      <c r="BN87" s="103">
        <f t="shared" si="5"/>
        <v>4135.6000000000004</v>
      </c>
      <c r="BO87" s="103">
        <v>4191.5200000000004</v>
      </c>
      <c r="BP87" s="75" t="s">
        <v>97</v>
      </c>
      <c r="BQ87" s="75"/>
      <c r="BR87" s="75"/>
      <c r="BS87" s="157">
        <v>2016</v>
      </c>
      <c r="BT87">
        <v>2020</v>
      </c>
      <c r="BU87">
        <v>2016</v>
      </c>
    </row>
    <row r="88" spans="1:73" ht="43.15" customHeight="1" x14ac:dyDescent="0.25">
      <c r="A88" s="242" t="s">
        <v>186</v>
      </c>
      <c r="B88" s="242" t="s">
        <v>2131</v>
      </c>
      <c r="C88" s="159">
        <v>400</v>
      </c>
      <c r="D88" s="114">
        <v>42612</v>
      </c>
      <c r="E88" s="114"/>
      <c r="F88" s="114" t="s">
        <v>2130</v>
      </c>
      <c r="G88" s="114"/>
      <c r="H88" s="114">
        <v>42667</v>
      </c>
      <c r="I88" s="114">
        <v>42667</v>
      </c>
      <c r="J88" s="114">
        <v>42677</v>
      </c>
      <c r="K88" s="76"/>
      <c r="L88" s="114">
        <v>42737</v>
      </c>
      <c r="M88" s="114">
        <v>42710</v>
      </c>
      <c r="N88" s="114"/>
      <c r="O88" s="114">
        <v>42741</v>
      </c>
      <c r="P88" s="114">
        <v>42741</v>
      </c>
      <c r="Q88" s="114">
        <v>42747</v>
      </c>
      <c r="R88" s="80"/>
      <c r="S88" s="114"/>
      <c r="T88" s="75"/>
      <c r="U88" s="75"/>
      <c r="V88" s="75"/>
      <c r="W88" s="75">
        <v>2</v>
      </c>
      <c r="X88" s="75">
        <v>55471</v>
      </c>
      <c r="Y88" s="75" t="str">
        <f ca="1">IF(I88="",IF(D88="","",IF(W88+X88&lt;15,"Données Nb pers ou RFR manquantes",IF(COUNTA(INDIRECT("TabRFR["&amp;YEAR(D88)&amp;"]"))&lt;&gt;COUNTA(TabRFR[Recherche RFR]),"Data RFR manquantes", IF(X88&lt;=INDEX(TabRFR[[2021]:[2025]],MATCH(BD!W88&amp;"-Très modestes",TabRFR[Recherche RFR],0),MATCH(TEXT(YEAR(BD!D88),"Standard"),TabRFR[[#Headers],[2021]:[2025]],0)),"Très Modeste",IF(X88&lt;=INDEX(TabRFR[[2021]:[2025]],MATCH(BD!W88&amp;"-modestes",TabRFR[Recherche RFR],0),MATCH(TEXT(YEAR(BD!D88),"Standard"),TabRFR[[#Headers],[2021]:[2025]],0)),"Modeste",IF(X88&lt;=INDEX(TabRFR[[2021]:[2025]],MATCH(BD!W88&amp;"-Intermédiaire",TabRFR[Recherche RFR],0),MATCH(TEXT(YEAR(BD!D88),"Standard"),TabRFR[[#Headers],[2021]:[2025]],0)),"Intermédiaire","Supérieur")))))),IF(D88="","",IF(W88+X88&lt;15,"Données Nb pers ou RFR manquantes",IF(COUNTA(INDIRECT("TabRFR["&amp;YEAR(I88)&amp;"]"))&lt;&gt;COUNTA(TabRFR[Recherche RFR]),"Data RFR manquantes", IF(X88&lt;=INDEX(TabRFR[[2021]:[2025]],MATCH(BD!W88&amp;"-Très modestes",TabRFR[Recherche RFR],0),MATCH(TEXT(YEAR(BD!I88),"Standard"),TabRFR[[#Headers],[2021]:[2025]],0)),"Très Modeste",IF(X88&lt;=INDEX(TabRFR[[2021]:[2025]],MATCH(BD!W88&amp;"-modestes",TabRFR[Recherche RFR],0),MATCH(TEXT(YEAR(BD!I88),"Standard"),TabRFR[[#Headers],[2021]:[2025]],0)),"Modeste",IF(X88&lt;=INDEX(TabRFR[[2021]:[2025]],MATCH(BD!W88&amp;"-Intermédiaire",TabRFR[Recherche RFR],0),MATCH(TEXT(YEAR(BD!I88),"Standard"),TabRFR[[#Headers],[2021]:[2025]],0)),"Intermédiaire","Supérieur")))))))</f>
        <v>Data RFR manquantes</v>
      </c>
      <c r="Z88" s="75"/>
      <c r="AA88" s="75" t="s">
        <v>2127</v>
      </c>
      <c r="AB88" s="75">
        <v>38340</v>
      </c>
      <c r="AC88" s="75" t="s">
        <v>108</v>
      </c>
      <c r="AD88" s="101"/>
      <c r="AE88" s="102"/>
      <c r="AF88" s="75" t="s">
        <v>95</v>
      </c>
      <c r="AG88" s="75"/>
      <c r="AH88" s="75">
        <v>1985</v>
      </c>
      <c r="AI88" s="75"/>
      <c r="AJ88" s="75"/>
      <c r="AK88" s="75"/>
      <c r="AL88" s="75"/>
      <c r="AM88" s="75" t="s">
        <v>4359</v>
      </c>
      <c r="AN88" s="75" t="s">
        <v>829</v>
      </c>
      <c r="AO88" s="75" t="s">
        <v>1392</v>
      </c>
      <c r="AP88" s="75" t="s">
        <v>97</v>
      </c>
      <c r="AQ88" s="75"/>
      <c r="AR88" s="75"/>
      <c r="AS88" s="102" t="s">
        <v>491</v>
      </c>
      <c r="AT88" s="101">
        <v>476452433</v>
      </c>
      <c r="AU88" s="75" t="s">
        <v>399</v>
      </c>
      <c r="AV88" s="75">
        <v>1985</v>
      </c>
      <c r="AW88" s="75" t="s">
        <v>100</v>
      </c>
      <c r="AX88" s="75" t="s">
        <v>112</v>
      </c>
      <c r="AY88" s="75" t="s">
        <v>492</v>
      </c>
      <c r="AZ88" s="75" t="s">
        <v>2125</v>
      </c>
      <c r="BA88" s="75">
        <v>20</v>
      </c>
      <c r="BB88" s="75">
        <v>5</v>
      </c>
      <c r="BC88" s="75">
        <v>81</v>
      </c>
      <c r="BD88" s="75">
        <v>7.0000000000000007E-2</v>
      </c>
      <c r="BE88" s="75" t="s">
        <v>97</v>
      </c>
      <c r="BF88" s="75"/>
      <c r="BG88" s="75">
        <v>6725</v>
      </c>
      <c r="BH88" s="77"/>
      <c r="BI88" s="77"/>
      <c r="BJ88" s="77"/>
      <c r="BK88" s="75">
        <v>670</v>
      </c>
      <c r="BL88" s="75">
        <f t="shared" si="3"/>
        <v>7395</v>
      </c>
      <c r="BM88" s="103">
        <f t="shared" si="4"/>
        <v>406.72500000000002</v>
      </c>
      <c r="BN88" s="103">
        <f t="shared" si="5"/>
        <v>7801.7250000000004</v>
      </c>
      <c r="BO88" s="103"/>
      <c r="BP88" s="75" t="s">
        <v>97</v>
      </c>
      <c r="BQ88" s="75"/>
      <c r="BR88" s="75"/>
      <c r="BS88" s="157">
        <v>2016</v>
      </c>
      <c r="BT88">
        <v>2020</v>
      </c>
      <c r="BU88">
        <v>2016</v>
      </c>
    </row>
    <row r="89" spans="1:73" ht="43.15" customHeight="1" x14ac:dyDescent="0.25">
      <c r="A89" s="242" t="s">
        <v>186</v>
      </c>
      <c r="B89" s="242" t="s">
        <v>2124</v>
      </c>
      <c r="C89" s="159">
        <v>800</v>
      </c>
      <c r="D89" s="114">
        <v>42614</v>
      </c>
      <c r="E89" s="114"/>
      <c r="F89" s="114" t="s">
        <v>2123</v>
      </c>
      <c r="G89" s="114"/>
      <c r="H89" s="114">
        <v>42626</v>
      </c>
      <c r="I89" s="114">
        <v>42626</v>
      </c>
      <c r="J89" s="114">
        <v>42639</v>
      </c>
      <c r="K89" s="76"/>
      <c r="L89" s="114">
        <v>42737</v>
      </c>
      <c r="M89" s="114">
        <v>42643</v>
      </c>
      <c r="N89" s="114"/>
      <c r="O89" s="114">
        <v>42740</v>
      </c>
      <c r="P89" s="114">
        <v>42740</v>
      </c>
      <c r="Q89" s="114">
        <v>42747</v>
      </c>
      <c r="R89" s="81"/>
      <c r="S89" s="114"/>
      <c r="T89" s="75"/>
      <c r="U89" s="75"/>
      <c r="V89" s="75"/>
      <c r="W89" s="75">
        <v>1</v>
      </c>
      <c r="X89" s="75">
        <v>12884</v>
      </c>
      <c r="Y89" s="75" t="str">
        <f ca="1">IF(I89="",IF(D89="","",IF(W89+X89&lt;15,"Données Nb pers ou RFR manquantes",IF(COUNTA(INDIRECT("TabRFR["&amp;YEAR(D89)&amp;"]"))&lt;&gt;COUNTA(TabRFR[Recherche RFR]),"Data RFR manquantes", IF(X89&lt;=INDEX(TabRFR[[2021]:[2025]],MATCH(BD!W89&amp;"-Très modestes",TabRFR[Recherche RFR],0),MATCH(TEXT(YEAR(BD!D89),"Standard"),TabRFR[[#Headers],[2021]:[2025]],0)),"Très Modeste",IF(X89&lt;=INDEX(TabRFR[[2021]:[2025]],MATCH(BD!W89&amp;"-modestes",TabRFR[Recherche RFR],0),MATCH(TEXT(YEAR(BD!D89),"Standard"),TabRFR[[#Headers],[2021]:[2025]],0)),"Modeste",IF(X89&lt;=INDEX(TabRFR[[2021]:[2025]],MATCH(BD!W89&amp;"-Intermédiaire",TabRFR[Recherche RFR],0),MATCH(TEXT(YEAR(BD!D89),"Standard"),TabRFR[[#Headers],[2021]:[2025]],0)),"Intermédiaire","Supérieur")))))),IF(D89="","",IF(W89+X89&lt;15,"Données Nb pers ou RFR manquantes",IF(COUNTA(INDIRECT("TabRFR["&amp;YEAR(I89)&amp;"]"))&lt;&gt;COUNTA(TabRFR[Recherche RFR]),"Data RFR manquantes", IF(X89&lt;=INDEX(TabRFR[[2021]:[2025]],MATCH(BD!W89&amp;"-Très modestes",TabRFR[Recherche RFR],0),MATCH(TEXT(YEAR(BD!I89),"Standard"),TabRFR[[#Headers],[2021]:[2025]],0)),"Très Modeste",IF(X89&lt;=INDEX(TabRFR[[2021]:[2025]],MATCH(BD!W89&amp;"-modestes",TabRFR[Recherche RFR],0),MATCH(TEXT(YEAR(BD!I89),"Standard"),TabRFR[[#Headers],[2021]:[2025]],0)),"Modeste",IF(X89&lt;=INDEX(TabRFR[[2021]:[2025]],MATCH(BD!W89&amp;"-Intermédiaire",TabRFR[Recherche RFR],0),MATCH(TEXT(YEAR(BD!I89),"Standard"),TabRFR[[#Headers],[2021]:[2025]],0)),"Intermédiaire","Supérieur")))))))</f>
        <v>Data RFR manquantes</v>
      </c>
      <c r="Z89" s="75"/>
      <c r="AA89" s="75" t="s">
        <v>2121</v>
      </c>
      <c r="AB89" s="75">
        <v>38210</v>
      </c>
      <c r="AC89" s="75" t="s">
        <v>195</v>
      </c>
      <c r="AD89" s="101"/>
      <c r="AE89" s="102"/>
      <c r="AF89" s="75" t="s">
        <v>95</v>
      </c>
      <c r="AG89" s="75"/>
      <c r="AH89" s="75">
        <v>2016</v>
      </c>
      <c r="AI89" s="75"/>
      <c r="AJ89" s="75"/>
      <c r="AK89" s="75"/>
      <c r="AL89" s="75"/>
      <c r="AM89" s="75" t="s">
        <v>4361</v>
      </c>
      <c r="AN89" s="75" t="s">
        <v>4187</v>
      </c>
      <c r="AO89" s="75" t="s">
        <v>2119</v>
      </c>
      <c r="AP89" s="75" t="s">
        <v>97</v>
      </c>
      <c r="AQ89" s="75"/>
      <c r="AR89" s="75"/>
      <c r="AS89" s="102" t="s">
        <v>2118</v>
      </c>
      <c r="AT89" s="101">
        <v>472489541</v>
      </c>
      <c r="AU89" s="75" t="s">
        <v>100</v>
      </c>
      <c r="AV89" s="75" t="s">
        <v>112</v>
      </c>
      <c r="AW89" s="75" t="s">
        <v>100</v>
      </c>
      <c r="AX89" s="75" t="s">
        <v>2071</v>
      </c>
      <c r="AY89" s="75" t="s">
        <v>174</v>
      </c>
      <c r="AZ89" s="75" t="s">
        <v>2117</v>
      </c>
      <c r="BA89" s="75">
        <v>10</v>
      </c>
      <c r="BB89" s="75">
        <v>8</v>
      </c>
      <c r="BC89" s="75">
        <v>91.5</v>
      </c>
      <c r="BD89" s="75">
        <v>0.01</v>
      </c>
      <c r="BE89" s="75" t="s">
        <v>97</v>
      </c>
      <c r="BF89" s="75"/>
      <c r="BG89" s="75">
        <v>3580</v>
      </c>
      <c r="BH89" s="77"/>
      <c r="BI89" s="77"/>
      <c r="BJ89" s="77"/>
      <c r="BK89" s="75"/>
      <c r="BL89" s="75">
        <f t="shared" si="3"/>
        <v>3580</v>
      </c>
      <c r="BM89" s="103">
        <f t="shared" si="4"/>
        <v>196.9</v>
      </c>
      <c r="BN89" s="103">
        <f t="shared" si="5"/>
        <v>3776.9</v>
      </c>
      <c r="BO89" s="103"/>
      <c r="BP89" s="75" t="s">
        <v>104</v>
      </c>
      <c r="BQ89" s="75"/>
      <c r="BR89" s="75"/>
      <c r="BS89" s="157">
        <v>2016</v>
      </c>
      <c r="BU89">
        <v>2016</v>
      </c>
    </row>
    <row r="90" spans="1:73" ht="43.15" customHeight="1" x14ac:dyDescent="0.25">
      <c r="A90" s="242" t="s">
        <v>186</v>
      </c>
      <c r="B90" s="242" t="s">
        <v>2116</v>
      </c>
      <c r="C90" s="159">
        <v>400</v>
      </c>
      <c r="D90" s="114">
        <v>42615</v>
      </c>
      <c r="E90" s="114"/>
      <c r="F90" s="114" t="s">
        <v>2115</v>
      </c>
      <c r="G90" s="114"/>
      <c r="H90" s="114">
        <v>42641</v>
      </c>
      <c r="I90" s="114">
        <v>42641</v>
      </c>
      <c r="J90" s="114">
        <v>42661</v>
      </c>
      <c r="K90" s="76"/>
      <c r="L90" s="114">
        <v>42703</v>
      </c>
      <c r="M90" s="114">
        <v>42663</v>
      </c>
      <c r="N90" s="114"/>
      <c r="O90" s="114">
        <v>42716</v>
      </c>
      <c r="P90" s="114">
        <v>42716</v>
      </c>
      <c r="Q90" s="114">
        <v>42717</v>
      </c>
      <c r="R90" s="80"/>
      <c r="S90" s="114"/>
      <c r="T90" s="75"/>
      <c r="U90" s="75"/>
      <c r="V90" s="75"/>
      <c r="W90" s="75">
        <v>3</v>
      </c>
      <c r="X90" s="75">
        <v>61864</v>
      </c>
      <c r="Y90" s="75" t="str">
        <f ca="1">IF(I90="",IF(D90="","",IF(W90+X90&lt;15,"Données Nb pers ou RFR manquantes",IF(COUNTA(INDIRECT("TabRFR["&amp;YEAR(D90)&amp;"]"))&lt;&gt;COUNTA(TabRFR[Recherche RFR]),"Data RFR manquantes", IF(X90&lt;=INDEX(TabRFR[[2021]:[2025]],MATCH(BD!W90&amp;"-Très modestes",TabRFR[Recherche RFR],0),MATCH(TEXT(YEAR(BD!D90),"Standard"),TabRFR[[#Headers],[2021]:[2025]],0)),"Très Modeste",IF(X90&lt;=INDEX(TabRFR[[2021]:[2025]],MATCH(BD!W90&amp;"-modestes",TabRFR[Recherche RFR],0),MATCH(TEXT(YEAR(BD!D90),"Standard"),TabRFR[[#Headers],[2021]:[2025]],0)),"Modeste",IF(X90&lt;=INDEX(TabRFR[[2021]:[2025]],MATCH(BD!W90&amp;"-Intermédiaire",TabRFR[Recherche RFR],0),MATCH(TEXT(YEAR(BD!D90),"Standard"),TabRFR[[#Headers],[2021]:[2025]],0)),"Intermédiaire","Supérieur")))))),IF(D90="","",IF(W90+X90&lt;15,"Données Nb pers ou RFR manquantes",IF(COUNTA(INDIRECT("TabRFR["&amp;YEAR(I90)&amp;"]"))&lt;&gt;COUNTA(TabRFR[Recherche RFR]),"Data RFR manquantes", IF(X90&lt;=INDEX(TabRFR[[2021]:[2025]],MATCH(BD!W90&amp;"-Très modestes",TabRFR[Recherche RFR],0),MATCH(TEXT(YEAR(BD!I90),"Standard"),TabRFR[[#Headers],[2021]:[2025]],0)),"Très Modeste",IF(X90&lt;=INDEX(TabRFR[[2021]:[2025]],MATCH(BD!W90&amp;"-modestes",TabRFR[Recherche RFR],0),MATCH(TEXT(YEAR(BD!I90),"Standard"),TabRFR[[#Headers],[2021]:[2025]],0)),"Modeste",IF(X90&lt;=INDEX(TabRFR[[2021]:[2025]],MATCH(BD!W90&amp;"-Intermédiaire",TabRFR[Recherche RFR],0),MATCH(TEXT(YEAR(BD!I90),"Standard"),TabRFR[[#Headers],[2021]:[2025]],0)),"Intermédiaire","Supérieur")))))))</f>
        <v>Data RFR manquantes</v>
      </c>
      <c r="Z90" s="75"/>
      <c r="AA90" s="75" t="s">
        <v>2114</v>
      </c>
      <c r="AB90" s="75">
        <v>38500</v>
      </c>
      <c r="AC90" s="75" t="s">
        <v>96</v>
      </c>
      <c r="AD90" s="101"/>
      <c r="AE90" s="102"/>
      <c r="AF90" s="75" t="s">
        <v>95</v>
      </c>
      <c r="AG90" s="75"/>
      <c r="AH90" s="75">
        <v>1994</v>
      </c>
      <c r="AI90" s="75"/>
      <c r="AJ90" s="75"/>
      <c r="AK90" s="75"/>
      <c r="AL90" s="75"/>
      <c r="AM90" s="75" t="s">
        <v>4356</v>
      </c>
      <c r="AN90" s="75" t="s">
        <v>96</v>
      </c>
      <c r="AO90" s="75" t="s">
        <v>119</v>
      </c>
      <c r="AP90" s="75" t="s">
        <v>97</v>
      </c>
      <c r="AQ90" s="75"/>
      <c r="AR90" s="75"/>
      <c r="AS90" s="102" t="s">
        <v>120</v>
      </c>
      <c r="AT90" s="101">
        <v>476071461</v>
      </c>
      <c r="AU90" s="75" t="s">
        <v>399</v>
      </c>
      <c r="AV90" s="75">
        <v>1997</v>
      </c>
      <c r="AW90" s="75" t="s">
        <v>100</v>
      </c>
      <c r="AX90" s="75" t="s">
        <v>112</v>
      </c>
      <c r="AY90" s="75" t="s">
        <v>190</v>
      </c>
      <c r="AZ90" s="75" t="s">
        <v>2112</v>
      </c>
      <c r="BA90" s="75"/>
      <c r="BB90" s="75">
        <v>5</v>
      </c>
      <c r="BC90" s="75"/>
      <c r="BD90" s="75"/>
      <c r="BE90" s="75" t="s">
        <v>97</v>
      </c>
      <c r="BF90" s="75"/>
      <c r="BG90" s="75">
        <v>1380</v>
      </c>
      <c r="BH90" s="77"/>
      <c r="BI90" s="77"/>
      <c r="BJ90" s="77"/>
      <c r="BK90" s="75">
        <v>350</v>
      </c>
      <c r="BL90" s="75">
        <f t="shared" si="3"/>
        <v>1730</v>
      </c>
      <c r="BM90" s="103">
        <f t="shared" si="4"/>
        <v>95.15</v>
      </c>
      <c r="BN90" s="103">
        <f t="shared" si="5"/>
        <v>1825.15</v>
      </c>
      <c r="BO90" s="103">
        <v>3498.56</v>
      </c>
      <c r="BP90" s="75" t="s">
        <v>104</v>
      </c>
      <c r="BQ90" s="75"/>
      <c r="BR90" s="75"/>
      <c r="BS90" s="157">
        <v>2016</v>
      </c>
      <c r="BT90">
        <v>2020</v>
      </c>
      <c r="BU90">
        <v>2016</v>
      </c>
    </row>
    <row r="91" spans="1:73" ht="43.15" customHeight="1" x14ac:dyDescent="0.25">
      <c r="A91" s="242" t="s">
        <v>186</v>
      </c>
      <c r="B91" s="242" t="s">
        <v>2111</v>
      </c>
      <c r="C91" s="159">
        <v>400</v>
      </c>
      <c r="D91" s="114">
        <v>42620</v>
      </c>
      <c r="E91" s="114"/>
      <c r="F91" s="114"/>
      <c r="G91" s="114"/>
      <c r="H91" s="114">
        <v>42626</v>
      </c>
      <c r="I91" s="114">
        <v>42626</v>
      </c>
      <c r="J91" s="114">
        <v>42639</v>
      </c>
      <c r="K91" s="76"/>
      <c r="L91" s="114">
        <v>42682</v>
      </c>
      <c r="M91" s="114">
        <v>42661</v>
      </c>
      <c r="N91" s="114"/>
      <c r="O91" s="114">
        <v>42683</v>
      </c>
      <c r="P91" s="114">
        <v>42683</v>
      </c>
      <c r="Q91" s="114">
        <v>42695</v>
      </c>
      <c r="R91" s="80"/>
      <c r="S91" s="114"/>
      <c r="T91" s="75"/>
      <c r="U91" s="75"/>
      <c r="V91" s="75"/>
      <c r="W91" s="75">
        <v>2</v>
      </c>
      <c r="X91" s="75">
        <v>59578</v>
      </c>
      <c r="Y91" s="75" t="str">
        <f ca="1">IF(I91="",IF(D91="","",IF(W91+X91&lt;15,"Données Nb pers ou RFR manquantes",IF(COUNTA(INDIRECT("TabRFR["&amp;YEAR(D91)&amp;"]"))&lt;&gt;COUNTA(TabRFR[Recherche RFR]),"Data RFR manquantes", IF(X91&lt;=INDEX(TabRFR[[2021]:[2025]],MATCH(BD!W91&amp;"-Très modestes",TabRFR[Recherche RFR],0),MATCH(TEXT(YEAR(BD!D91),"Standard"),TabRFR[[#Headers],[2021]:[2025]],0)),"Très Modeste",IF(X91&lt;=INDEX(TabRFR[[2021]:[2025]],MATCH(BD!W91&amp;"-modestes",TabRFR[Recherche RFR],0),MATCH(TEXT(YEAR(BD!D91),"Standard"),TabRFR[[#Headers],[2021]:[2025]],0)),"Modeste",IF(X91&lt;=INDEX(TabRFR[[2021]:[2025]],MATCH(BD!W91&amp;"-Intermédiaire",TabRFR[Recherche RFR],0),MATCH(TEXT(YEAR(BD!D91),"Standard"),TabRFR[[#Headers],[2021]:[2025]],0)),"Intermédiaire","Supérieur")))))),IF(D91="","",IF(W91+X91&lt;15,"Données Nb pers ou RFR manquantes",IF(COUNTA(INDIRECT("TabRFR["&amp;YEAR(I91)&amp;"]"))&lt;&gt;COUNTA(TabRFR[Recherche RFR]),"Data RFR manquantes", IF(X91&lt;=INDEX(TabRFR[[2021]:[2025]],MATCH(BD!W91&amp;"-Très modestes",TabRFR[Recherche RFR],0),MATCH(TEXT(YEAR(BD!I91),"Standard"),TabRFR[[#Headers],[2021]:[2025]],0)),"Très Modeste",IF(X91&lt;=INDEX(TabRFR[[2021]:[2025]],MATCH(BD!W91&amp;"-modestes",TabRFR[Recherche RFR],0),MATCH(TEXT(YEAR(BD!I91),"Standard"),TabRFR[[#Headers],[2021]:[2025]],0)),"Modeste",IF(X91&lt;=INDEX(TabRFR[[2021]:[2025]],MATCH(BD!W91&amp;"-Intermédiaire",TabRFR[Recherche RFR],0),MATCH(TEXT(YEAR(BD!I91),"Standard"),TabRFR[[#Headers],[2021]:[2025]],0)),"Intermédiaire","Supérieur")))))))</f>
        <v>Data RFR manquantes</v>
      </c>
      <c r="Z91" s="75"/>
      <c r="AA91" s="75" t="s">
        <v>2109</v>
      </c>
      <c r="AB91" s="75">
        <v>38500</v>
      </c>
      <c r="AC91" s="75" t="s">
        <v>96</v>
      </c>
      <c r="AD91" s="101"/>
      <c r="AE91" s="102"/>
      <c r="AF91" s="75" t="s">
        <v>95</v>
      </c>
      <c r="AG91" s="75"/>
      <c r="AH91" s="75"/>
      <c r="AI91" s="75"/>
      <c r="AJ91" s="75"/>
      <c r="AK91" s="75"/>
      <c r="AL91" s="75"/>
      <c r="AM91" s="75" t="s">
        <v>4348</v>
      </c>
      <c r="AN91" s="75" t="s">
        <v>96</v>
      </c>
      <c r="AO91" s="75" t="s">
        <v>238</v>
      </c>
      <c r="AP91" s="75" t="s">
        <v>97</v>
      </c>
      <c r="AQ91" s="75"/>
      <c r="AR91" s="75"/>
      <c r="AS91" s="102" t="s">
        <v>1571</v>
      </c>
      <c r="AT91" s="101">
        <v>476323235</v>
      </c>
      <c r="AU91" s="75" t="s">
        <v>100</v>
      </c>
      <c r="AV91" s="75">
        <v>1994</v>
      </c>
      <c r="AW91" s="75" t="s">
        <v>100</v>
      </c>
      <c r="AX91" s="75" t="s">
        <v>2071</v>
      </c>
      <c r="AY91" s="75" t="s">
        <v>102</v>
      </c>
      <c r="AZ91" s="75" t="s">
        <v>2041</v>
      </c>
      <c r="BA91" s="75">
        <v>21</v>
      </c>
      <c r="BB91" s="75">
        <v>8</v>
      </c>
      <c r="BC91" s="75">
        <v>90</v>
      </c>
      <c r="BD91" s="75">
        <v>0.02</v>
      </c>
      <c r="BE91" s="75" t="s">
        <v>97</v>
      </c>
      <c r="BF91" s="75"/>
      <c r="BG91" s="75">
        <v>2600</v>
      </c>
      <c r="BH91" s="77"/>
      <c r="BI91" s="77"/>
      <c r="BJ91" s="77"/>
      <c r="BK91" s="75">
        <v>210</v>
      </c>
      <c r="BL91" s="75">
        <f t="shared" si="3"/>
        <v>2810</v>
      </c>
      <c r="BM91" s="103">
        <f t="shared" si="4"/>
        <v>154.55000000000001</v>
      </c>
      <c r="BN91" s="103">
        <f t="shared" si="5"/>
        <v>2964.55</v>
      </c>
      <c r="BO91" s="103"/>
      <c r="BP91" s="75" t="s">
        <v>97</v>
      </c>
      <c r="BQ91" s="75"/>
      <c r="BR91" s="75"/>
      <c r="BS91" s="157">
        <v>2016</v>
      </c>
      <c r="BU91">
        <v>2016</v>
      </c>
    </row>
    <row r="92" spans="1:73" ht="43.15" customHeight="1" x14ac:dyDescent="0.25">
      <c r="A92" s="242" t="s">
        <v>186</v>
      </c>
      <c r="B92" s="242" t="s">
        <v>2107</v>
      </c>
      <c r="C92" s="159">
        <v>800</v>
      </c>
      <c r="D92" s="114">
        <v>42625</v>
      </c>
      <c r="E92" s="114"/>
      <c r="F92" s="114" t="s">
        <v>2106</v>
      </c>
      <c r="G92" s="114"/>
      <c r="H92" s="114">
        <v>42629</v>
      </c>
      <c r="I92" s="114">
        <v>42629</v>
      </c>
      <c r="J92" s="114">
        <v>42661</v>
      </c>
      <c r="K92" s="76"/>
      <c r="L92" s="114">
        <v>42688</v>
      </c>
      <c r="M92" s="114">
        <v>42676</v>
      </c>
      <c r="N92" s="114"/>
      <c r="O92" s="114">
        <v>42695</v>
      </c>
      <c r="P92" s="114">
        <v>42695</v>
      </c>
      <c r="Q92" s="114">
        <v>42706</v>
      </c>
      <c r="R92" s="81"/>
      <c r="S92" s="114"/>
      <c r="T92" s="75"/>
      <c r="U92" s="75"/>
      <c r="V92" s="75"/>
      <c r="W92" s="75">
        <v>2</v>
      </c>
      <c r="X92" s="75">
        <v>21555</v>
      </c>
      <c r="Y92" s="75" t="str">
        <f ca="1">IF(I92="",IF(D92="","",IF(W92+X92&lt;15,"Données Nb pers ou RFR manquantes",IF(COUNTA(INDIRECT("TabRFR["&amp;YEAR(D92)&amp;"]"))&lt;&gt;COUNTA(TabRFR[Recherche RFR]),"Data RFR manquantes", IF(X92&lt;=INDEX(TabRFR[[2021]:[2025]],MATCH(BD!W92&amp;"-Très modestes",TabRFR[Recherche RFR],0),MATCH(TEXT(YEAR(BD!D92),"Standard"),TabRFR[[#Headers],[2021]:[2025]],0)),"Très Modeste",IF(X92&lt;=INDEX(TabRFR[[2021]:[2025]],MATCH(BD!W92&amp;"-modestes",TabRFR[Recherche RFR],0),MATCH(TEXT(YEAR(BD!D92),"Standard"),TabRFR[[#Headers],[2021]:[2025]],0)),"Modeste",IF(X92&lt;=INDEX(TabRFR[[2021]:[2025]],MATCH(BD!W92&amp;"-Intermédiaire",TabRFR[Recherche RFR],0),MATCH(TEXT(YEAR(BD!D92),"Standard"),TabRFR[[#Headers],[2021]:[2025]],0)),"Intermédiaire","Supérieur")))))),IF(D92="","",IF(W92+X92&lt;15,"Données Nb pers ou RFR manquantes",IF(COUNTA(INDIRECT("TabRFR["&amp;YEAR(I92)&amp;"]"))&lt;&gt;COUNTA(TabRFR[Recherche RFR]),"Data RFR manquantes", IF(X92&lt;=INDEX(TabRFR[[2021]:[2025]],MATCH(BD!W92&amp;"-Très modestes",TabRFR[Recherche RFR],0),MATCH(TEXT(YEAR(BD!I92),"Standard"),TabRFR[[#Headers],[2021]:[2025]],0)),"Très Modeste",IF(X92&lt;=INDEX(TabRFR[[2021]:[2025]],MATCH(BD!W92&amp;"-modestes",TabRFR[Recherche RFR],0),MATCH(TEXT(YEAR(BD!I92),"Standard"),TabRFR[[#Headers],[2021]:[2025]],0)),"Modeste",IF(X92&lt;=INDEX(TabRFR[[2021]:[2025]],MATCH(BD!W92&amp;"-Intermédiaire",TabRFR[Recherche RFR],0),MATCH(TEXT(YEAR(BD!I92),"Standard"),TabRFR[[#Headers],[2021]:[2025]],0)),"Intermédiaire","Supérieur")))))))</f>
        <v>Data RFR manquantes</v>
      </c>
      <c r="Z92" s="75"/>
      <c r="AA92" s="75" t="s">
        <v>2104</v>
      </c>
      <c r="AB92" s="75">
        <v>38620</v>
      </c>
      <c r="AC92" s="75" t="s">
        <v>2103</v>
      </c>
      <c r="AD92" s="101"/>
      <c r="AE92" s="102"/>
      <c r="AF92" s="75" t="s">
        <v>95</v>
      </c>
      <c r="AG92" s="75"/>
      <c r="AH92" s="75"/>
      <c r="AI92" s="75"/>
      <c r="AJ92" s="75"/>
      <c r="AK92" s="75"/>
      <c r="AL92" s="75"/>
      <c r="AM92" s="75" t="s">
        <v>4236</v>
      </c>
      <c r="AN92" s="75" t="s">
        <v>4091</v>
      </c>
      <c r="AO92" s="75" t="s">
        <v>163</v>
      </c>
      <c r="AP92" s="75" t="s">
        <v>97</v>
      </c>
      <c r="AQ92" s="75"/>
      <c r="AR92" s="75"/>
      <c r="AS92" s="102" t="s">
        <v>164</v>
      </c>
      <c r="AT92" s="101">
        <v>476370350</v>
      </c>
      <c r="AU92" s="75" t="s">
        <v>100</v>
      </c>
      <c r="AV92" s="75" t="s">
        <v>112</v>
      </c>
      <c r="AW92" s="75" t="s">
        <v>100</v>
      </c>
      <c r="AX92" s="75" t="s">
        <v>2071</v>
      </c>
      <c r="AY92" s="75" t="s">
        <v>1017</v>
      </c>
      <c r="AZ92" s="75" t="s">
        <v>2102</v>
      </c>
      <c r="BA92" s="75">
        <v>15</v>
      </c>
      <c r="BB92" s="75">
        <v>10.199999999999999</v>
      </c>
      <c r="BC92" s="75">
        <v>90</v>
      </c>
      <c r="BD92" s="75">
        <v>0.02</v>
      </c>
      <c r="BE92" s="75" t="s">
        <v>97</v>
      </c>
      <c r="BF92" s="75"/>
      <c r="BG92" s="75">
        <v>4130</v>
      </c>
      <c r="BH92" s="77"/>
      <c r="BI92" s="77"/>
      <c r="BJ92" s="77"/>
      <c r="BK92" s="75">
        <v>590</v>
      </c>
      <c r="BL92" s="75">
        <f t="shared" si="3"/>
        <v>4720</v>
      </c>
      <c r="BM92" s="103">
        <f t="shared" si="4"/>
        <v>259.60000000000002</v>
      </c>
      <c r="BN92" s="103">
        <f t="shared" si="5"/>
        <v>4979.6000000000004</v>
      </c>
      <c r="BO92" s="103">
        <v>4979.6000000000004</v>
      </c>
      <c r="BP92" s="75" t="s">
        <v>97</v>
      </c>
      <c r="BQ92" s="75"/>
      <c r="BR92" s="75"/>
      <c r="BS92" s="157">
        <v>2016</v>
      </c>
      <c r="BU92">
        <v>2016</v>
      </c>
    </row>
    <row r="93" spans="1:73" ht="43.15" customHeight="1" x14ac:dyDescent="0.25">
      <c r="A93" s="242" t="s">
        <v>186</v>
      </c>
      <c r="B93" s="242" t="s">
        <v>2101</v>
      </c>
      <c r="C93" s="159">
        <v>400</v>
      </c>
      <c r="D93" s="114">
        <v>42626</v>
      </c>
      <c r="E93" s="114"/>
      <c r="F93" s="114"/>
      <c r="G93" s="114"/>
      <c r="H93" s="114">
        <v>42641</v>
      </c>
      <c r="I93" s="114">
        <v>42641</v>
      </c>
      <c r="J93" s="114">
        <v>42661</v>
      </c>
      <c r="K93" s="76"/>
      <c r="L93" s="114">
        <v>42697</v>
      </c>
      <c r="M93" s="114">
        <v>42678</v>
      </c>
      <c r="N93" s="114"/>
      <c r="O93" s="114">
        <v>42697</v>
      </c>
      <c r="P93" s="114">
        <v>42697</v>
      </c>
      <c r="Q93" s="114">
        <v>42706</v>
      </c>
      <c r="R93" s="80"/>
      <c r="S93" s="114"/>
      <c r="T93" s="75"/>
      <c r="U93" s="75"/>
      <c r="V93" s="75"/>
      <c r="W93" s="75">
        <v>4</v>
      </c>
      <c r="X93" s="75">
        <v>54600</v>
      </c>
      <c r="Y93" s="75" t="str">
        <f ca="1">IF(I93="",IF(D93="","",IF(W93+X93&lt;15,"Données Nb pers ou RFR manquantes",IF(COUNTA(INDIRECT("TabRFR["&amp;YEAR(D93)&amp;"]"))&lt;&gt;COUNTA(TabRFR[Recherche RFR]),"Data RFR manquantes", IF(X93&lt;=INDEX(TabRFR[[2021]:[2025]],MATCH(BD!W93&amp;"-Très modestes",TabRFR[Recherche RFR],0),MATCH(TEXT(YEAR(BD!D93),"Standard"),TabRFR[[#Headers],[2021]:[2025]],0)),"Très Modeste",IF(X93&lt;=INDEX(TabRFR[[2021]:[2025]],MATCH(BD!W93&amp;"-modestes",TabRFR[Recherche RFR],0),MATCH(TEXT(YEAR(BD!D93),"Standard"),TabRFR[[#Headers],[2021]:[2025]],0)),"Modeste",IF(X93&lt;=INDEX(TabRFR[[2021]:[2025]],MATCH(BD!W93&amp;"-Intermédiaire",TabRFR[Recherche RFR],0),MATCH(TEXT(YEAR(BD!D93),"Standard"),TabRFR[[#Headers],[2021]:[2025]],0)),"Intermédiaire","Supérieur")))))),IF(D93="","",IF(W93+X93&lt;15,"Données Nb pers ou RFR manquantes",IF(COUNTA(INDIRECT("TabRFR["&amp;YEAR(I93)&amp;"]"))&lt;&gt;COUNTA(TabRFR[Recherche RFR]),"Data RFR manquantes", IF(X93&lt;=INDEX(TabRFR[[2021]:[2025]],MATCH(BD!W93&amp;"-Très modestes",TabRFR[Recherche RFR],0),MATCH(TEXT(YEAR(BD!I93),"Standard"),TabRFR[[#Headers],[2021]:[2025]],0)),"Très Modeste",IF(X93&lt;=INDEX(TabRFR[[2021]:[2025]],MATCH(BD!W93&amp;"-modestes",TabRFR[Recherche RFR],0),MATCH(TEXT(YEAR(BD!I93),"Standard"),TabRFR[[#Headers],[2021]:[2025]],0)),"Modeste",IF(X93&lt;=INDEX(TabRFR[[2021]:[2025]],MATCH(BD!W93&amp;"-Intermédiaire",TabRFR[Recherche RFR],0),MATCH(TEXT(YEAR(BD!I93),"Standard"),TabRFR[[#Headers],[2021]:[2025]],0)),"Intermédiaire","Supérieur")))))))</f>
        <v>Data RFR manquantes</v>
      </c>
      <c r="Z93" s="75"/>
      <c r="AA93" s="75" t="s">
        <v>313</v>
      </c>
      <c r="AB93" s="75">
        <v>38500</v>
      </c>
      <c r="AC93" s="75" t="s">
        <v>118</v>
      </c>
      <c r="AD93" s="101"/>
      <c r="AE93" s="102"/>
      <c r="AF93" s="75" t="s">
        <v>95</v>
      </c>
      <c r="AG93" s="75"/>
      <c r="AH93" s="75">
        <v>1994</v>
      </c>
      <c r="AI93" s="75"/>
      <c r="AJ93" s="75"/>
      <c r="AK93" s="75"/>
      <c r="AL93" s="75"/>
      <c r="AM93" s="75" t="s">
        <v>4356</v>
      </c>
      <c r="AN93" s="75" t="s">
        <v>96</v>
      </c>
      <c r="AO93" s="75" t="s">
        <v>1948</v>
      </c>
      <c r="AP93" s="75" t="s">
        <v>97</v>
      </c>
      <c r="AQ93" s="75"/>
      <c r="AR93" s="75"/>
      <c r="AS93" s="102" t="s">
        <v>120</v>
      </c>
      <c r="AT93" s="101">
        <v>476071461</v>
      </c>
      <c r="AU93" s="75" t="s">
        <v>399</v>
      </c>
      <c r="AV93" s="75" t="s">
        <v>112</v>
      </c>
      <c r="AW93" s="75" t="s">
        <v>100</v>
      </c>
      <c r="AX93" s="75" t="s">
        <v>2071</v>
      </c>
      <c r="AY93" s="75" t="s">
        <v>102</v>
      </c>
      <c r="AZ93" s="75" t="s">
        <v>2098</v>
      </c>
      <c r="BA93" s="75">
        <v>20</v>
      </c>
      <c r="BB93" s="75">
        <v>11.5</v>
      </c>
      <c r="BC93" s="75">
        <v>92</v>
      </c>
      <c r="BD93" s="75">
        <v>0.01</v>
      </c>
      <c r="BE93" s="75" t="s">
        <v>97</v>
      </c>
      <c r="BF93" s="75"/>
      <c r="BG93" s="75">
        <v>3822</v>
      </c>
      <c r="BH93" s="77"/>
      <c r="BI93" s="77"/>
      <c r="BJ93" s="77"/>
      <c r="BK93" s="75">
        <v>420</v>
      </c>
      <c r="BL93" s="75">
        <f t="shared" si="3"/>
        <v>4242</v>
      </c>
      <c r="BM93" s="103">
        <f t="shared" si="4"/>
        <v>233.31</v>
      </c>
      <c r="BN93" s="103">
        <f t="shared" si="5"/>
        <v>4475.3100000000004</v>
      </c>
      <c r="BO93" s="103">
        <v>5100</v>
      </c>
      <c r="BP93" s="75" t="s">
        <v>97</v>
      </c>
      <c r="BQ93" s="75"/>
      <c r="BR93" s="75"/>
      <c r="BS93" s="157">
        <v>2016</v>
      </c>
      <c r="BU93">
        <v>2016</v>
      </c>
    </row>
    <row r="94" spans="1:73" ht="43.15" customHeight="1" x14ac:dyDescent="0.25">
      <c r="A94" s="242" t="s">
        <v>186</v>
      </c>
      <c r="B94" s="242" t="s">
        <v>2097</v>
      </c>
      <c r="C94" s="159">
        <v>400</v>
      </c>
      <c r="D94" s="114">
        <v>42627</v>
      </c>
      <c r="E94" s="114"/>
      <c r="F94" s="114" t="s">
        <v>2096</v>
      </c>
      <c r="G94" s="114"/>
      <c r="H94" s="114">
        <v>42668</v>
      </c>
      <c r="I94" s="114">
        <v>42668</v>
      </c>
      <c r="J94" s="114">
        <v>42692</v>
      </c>
      <c r="K94" s="76"/>
      <c r="L94" s="114">
        <v>42719</v>
      </c>
      <c r="M94" s="114">
        <v>42710</v>
      </c>
      <c r="N94" s="114"/>
      <c r="O94" s="114">
        <v>42725</v>
      </c>
      <c r="P94" s="114">
        <v>42725</v>
      </c>
      <c r="Q94" s="114">
        <v>42731</v>
      </c>
      <c r="R94" s="80"/>
      <c r="S94" s="114"/>
      <c r="T94" s="75"/>
      <c r="U94" s="75"/>
      <c r="V94" s="75"/>
      <c r="W94" s="75">
        <v>4</v>
      </c>
      <c r="X94" s="75" t="s">
        <v>9</v>
      </c>
      <c r="Y94" s="75" t="e">
        <f ca="1">IF(I94="",IF(D94="","",IF(W94+X94&lt;15,"Données Nb pers ou RFR manquantes",IF(COUNTA(INDIRECT("TabRFR["&amp;YEAR(D94)&amp;"]"))&lt;&gt;COUNTA(TabRFR[Recherche RFR]),"Data RFR manquantes", IF(X94&lt;=INDEX(TabRFR[[2021]:[2025]],MATCH(BD!W94&amp;"-Très modestes",TabRFR[Recherche RFR],0),MATCH(TEXT(YEAR(BD!D94),"Standard"),TabRFR[[#Headers],[2021]:[2025]],0)),"Très Modeste",IF(X94&lt;=INDEX(TabRFR[[2021]:[2025]],MATCH(BD!W94&amp;"-modestes",TabRFR[Recherche RFR],0),MATCH(TEXT(YEAR(BD!D94),"Standard"),TabRFR[[#Headers],[2021]:[2025]],0)),"Modeste",IF(X94&lt;=INDEX(TabRFR[[2021]:[2025]],MATCH(BD!W94&amp;"-Intermédiaire",TabRFR[Recherche RFR],0),MATCH(TEXT(YEAR(BD!D94),"Standard"),TabRFR[[#Headers],[2021]:[2025]],0)),"Intermédiaire","Supérieur")))))),IF(D94="","",IF(W94+X94&lt;15,"Données Nb pers ou RFR manquantes",IF(COUNTA(INDIRECT("TabRFR["&amp;YEAR(I94)&amp;"]"))&lt;&gt;COUNTA(TabRFR[Recherche RFR]),"Data RFR manquantes", IF(X94&lt;=INDEX(TabRFR[[2021]:[2025]],MATCH(BD!W94&amp;"-Très modestes",TabRFR[Recherche RFR],0),MATCH(TEXT(YEAR(BD!I94),"Standard"),TabRFR[[#Headers],[2021]:[2025]],0)),"Très Modeste",IF(X94&lt;=INDEX(TabRFR[[2021]:[2025]],MATCH(BD!W94&amp;"-modestes",TabRFR[Recherche RFR],0),MATCH(TEXT(YEAR(BD!I94),"Standard"),TabRFR[[#Headers],[2021]:[2025]],0)),"Modeste",IF(X94&lt;=INDEX(TabRFR[[2021]:[2025]],MATCH(BD!W94&amp;"-Intermédiaire",TabRFR[Recherche RFR],0),MATCH(TEXT(YEAR(BD!I94),"Standard"),TabRFR[[#Headers],[2021]:[2025]],0)),"Intermédiaire","Supérieur")))))))</f>
        <v>#VALUE!</v>
      </c>
      <c r="Z94" s="75"/>
      <c r="AA94" s="75" t="s">
        <v>2093</v>
      </c>
      <c r="AB94" s="75">
        <v>38430</v>
      </c>
      <c r="AC94" s="75" t="s">
        <v>217</v>
      </c>
      <c r="AD94" s="101"/>
      <c r="AE94" s="102"/>
      <c r="AF94" s="75" t="s">
        <v>95</v>
      </c>
      <c r="AG94" s="75"/>
      <c r="AH94" s="75">
        <v>2010</v>
      </c>
      <c r="AI94" s="75"/>
      <c r="AJ94" s="75"/>
      <c r="AK94" s="75"/>
      <c r="AL94" s="75"/>
      <c r="AM94" s="75" t="s">
        <v>4359</v>
      </c>
      <c r="AN94" s="75" t="s">
        <v>829</v>
      </c>
      <c r="AO94" s="75" t="s">
        <v>1392</v>
      </c>
      <c r="AP94" s="75" t="s">
        <v>104</v>
      </c>
      <c r="AQ94" s="75"/>
      <c r="AR94" s="75"/>
      <c r="AS94" s="102" t="s">
        <v>491</v>
      </c>
      <c r="AT94" s="101">
        <v>476452433</v>
      </c>
      <c r="AU94" s="75" t="s">
        <v>2091</v>
      </c>
      <c r="AV94" s="75" t="s">
        <v>112</v>
      </c>
      <c r="AW94" s="75" t="s">
        <v>100</v>
      </c>
      <c r="AX94" s="75" t="s">
        <v>112</v>
      </c>
      <c r="AY94" s="75" t="s">
        <v>492</v>
      </c>
      <c r="AZ94" s="75" t="s">
        <v>1672</v>
      </c>
      <c r="BA94" s="75">
        <v>35</v>
      </c>
      <c r="BB94" s="75">
        <v>6.8</v>
      </c>
      <c r="BC94" s="75">
        <v>80</v>
      </c>
      <c r="BD94" s="75">
        <v>7.0000000000000007E-2</v>
      </c>
      <c r="BE94" s="75" t="s">
        <v>97</v>
      </c>
      <c r="BF94" s="75"/>
      <c r="BG94" s="75">
        <v>3856.71</v>
      </c>
      <c r="BH94" s="77"/>
      <c r="BI94" s="77"/>
      <c r="BJ94" s="77"/>
      <c r="BK94" s="75">
        <v>650</v>
      </c>
      <c r="BL94" s="75">
        <f t="shared" si="3"/>
        <v>4506.71</v>
      </c>
      <c r="BM94" s="103">
        <f t="shared" si="4"/>
        <v>247.86905000000002</v>
      </c>
      <c r="BN94" s="103">
        <f t="shared" si="5"/>
        <v>4754.5790500000003</v>
      </c>
      <c r="BO94" s="103">
        <v>2988.33</v>
      </c>
      <c r="BP94" s="75" t="s">
        <v>104</v>
      </c>
      <c r="BQ94" s="75"/>
      <c r="BR94" s="75"/>
      <c r="BS94" s="157">
        <v>2016</v>
      </c>
      <c r="BT94">
        <v>2020</v>
      </c>
      <c r="BU94">
        <v>2016</v>
      </c>
    </row>
    <row r="95" spans="1:73" ht="43.15" customHeight="1" x14ac:dyDescent="0.25">
      <c r="A95" s="243" t="s">
        <v>186</v>
      </c>
      <c r="B95" s="243" t="s">
        <v>2090</v>
      </c>
      <c r="C95" s="159">
        <v>800</v>
      </c>
      <c r="D95" s="117">
        <v>42627</v>
      </c>
      <c r="E95" s="117"/>
      <c r="F95" s="117" t="s">
        <v>2089</v>
      </c>
      <c r="G95" s="117"/>
      <c r="H95" s="117">
        <v>42695</v>
      </c>
      <c r="I95" s="117">
        <v>42695</v>
      </c>
      <c r="J95" s="117">
        <v>42706</v>
      </c>
      <c r="K95" s="117"/>
      <c r="L95" s="117">
        <v>42737</v>
      </c>
      <c r="M95" s="212">
        <v>42664</v>
      </c>
      <c r="N95" s="212"/>
      <c r="O95" s="212">
        <v>42741</v>
      </c>
      <c r="P95" s="212">
        <v>42741</v>
      </c>
      <c r="Q95" s="117">
        <v>42759</v>
      </c>
      <c r="R95" s="116"/>
      <c r="S95" s="117"/>
      <c r="T95" s="118"/>
      <c r="U95" s="118"/>
      <c r="V95" s="118"/>
      <c r="W95" s="118">
        <v>2</v>
      </c>
      <c r="X95" s="118">
        <v>14774</v>
      </c>
      <c r="Y95" s="75" t="str">
        <f ca="1">IF(I95="",IF(D95="","",IF(W95+X95&lt;15,"Données Nb pers ou RFR manquantes",IF(COUNTA(INDIRECT("TabRFR["&amp;YEAR(D95)&amp;"]"))&lt;&gt;COUNTA(TabRFR[Recherche RFR]),"Data RFR manquantes", IF(X95&lt;=INDEX(TabRFR[[2021]:[2025]],MATCH(BD!W95&amp;"-Très modestes",TabRFR[Recherche RFR],0),MATCH(TEXT(YEAR(BD!D95),"Standard"),TabRFR[[#Headers],[2021]:[2025]],0)),"Très Modeste",IF(X95&lt;=INDEX(TabRFR[[2021]:[2025]],MATCH(BD!W95&amp;"-modestes",TabRFR[Recherche RFR],0),MATCH(TEXT(YEAR(BD!D95),"Standard"),TabRFR[[#Headers],[2021]:[2025]],0)),"Modeste",IF(X95&lt;=INDEX(TabRFR[[2021]:[2025]],MATCH(BD!W95&amp;"-Intermédiaire",TabRFR[Recherche RFR],0),MATCH(TEXT(YEAR(BD!D95),"Standard"),TabRFR[[#Headers],[2021]:[2025]],0)),"Intermédiaire","Supérieur")))))),IF(D95="","",IF(W95+X95&lt;15,"Données Nb pers ou RFR manquantes",IF(COUNTA(INDIRECT("TabRFR["&amp;YEAR(I95)&amp;"]"))&lt;&gt;COUNTA(TabRFR[Recherche RFR]),"Data RFR manquantes", IF(X95&lt;=INDEX(TabRFR[[2021]:[2025]],MATCH(BD!W95&amp;"-Très modestes",TabRFR[Recherche RFR],0),MATCH(TEXT(YEAR(BD!I95),"Standard"),TabRFR[[#Headers],[2021]:[2025]],0)),"Très Modeste",IF(X95&lt;=INDEX(TabRFR[[2021]:[2025]],MATCH(BD!W95&amp;"-modestes",TabRFR[Recherche RFR],0),MATCH(TEXT(YEAR(BD!I95),"Standard"),TabRFR[[#Headers],[2021]:[2025]],0)),"Modeste",IF(X95&lt;=INDEX(TabRFR[[2021]:[2025]],MATCH(BD!W95&amp;"-Intermédiaire",TabRFR[Recherche RFR],0),MATCH(TEXT(YEAR(BD!I95),"Standard"),TabRFR[[#Headers],[2021]:[2025]],0)),"Intermédiaire","Supérieur")))))))</f>
        <v>Data RFR manquantes</v>
      </c>
      <c r="Z95" s="118"/>
      <c r="AA95" s="118" t="s">
        <v>2087</v>
      </c>
      <c r="AB95" s="118">
        <v>38850</v>
      </c>
      <c r="AC95" s="118" t="s">
        <v>148</v>
      </c>
      <c r="AD95" s="119"/>
      <c r="AE95" s="102"/>
      <c r="AF95" s="118" t="s">
        <v>95</v>
      </c>
      <c r="AG95" s="118"/>
      <c r="AH95" s="118">
        <v>1994</v>
      </c>
      <c r="AI95" s="118"/>
      <c r="AJ95" s="118"/>
      <c r="AK95" s="118"/>
      <c r="AL95" s="118"/>
      <c r="AM95" s="118" t="s">
        <v>4362</v>
      </c>
      <c r="AN95" s="118" t="s">
        <v>4363</v>
      </c>
      <c r="AO95" s="118" t="s">
        <v>2086</v>
      </c>
      <c r="AP95" s="118" t="s">
        <v>97</v>
      </c>
      <c r="AQ95" s="118"/>
      <c r="AR95" s="118"/>
      <c r="AS95" s="102" t="s">
        <v>2085</v>
      </c>
      <c r="AT95" s="119">
        <v>474203144</v>
      </c>
      <c r="AU95" s="118" t="s">
        <v>1754</v>
      </c>
      <c r="AV95" s="118" t="s">
        <v>112</v>
      </c>
      <c r="AW95" s="118" t="s">
        <v>100</v>
      </c>
      <c r="AX95" s="75" t="s">
        <v>2071</v>
      </c>
      <c r="AY95" s="118" t="s">
        <v>338</v>
      </c>
      <c r="AZ95" s="118"/>
      <c r="BA95" s="118"/>
      <c r="BB95" s="118"/>
      <c r="BC95" s="118"/>
      <c r="BD95" s="118"/>
      <c r="BE95" s="118"/>
      <c r="BF95" s="118"/>
      <c r="BG95" s="118">
        <v>3758</v>
      </c>
      <c r="BH95" s="118"/>
      <c r="BI95" s="118"/>
      <c r="BJ95" s="118"/>
      <c r="BK95" s="118">
        <v>784</v>
      </c>
      <c r="BL95" s="75">
        <f t="shared" si="3"/>
        <v>4542</v>
      </c>
      <c r="BM95" s="103">
        <f t="shared" si="4"/>
        <v>249.81</v>
      </c>
      <c r="BN95" s="103">
        <f t="shared" si="5"/>
        <v>4791.8100000000004</v>
      </c>
      <c r="BO95" s="120"/>
      <c r="BP95" s="118" t="s">
        <v>97</v>
      </c>
      <c r="BQ95" s="118"/>
      <c r="BR95" s="118"/>
      <c r="BS95" s="157">
        <v>2016</v>
      </c>
      <c r="BU95">
        <v>2016</v>
      </c>
    </row>
    <row r="96" spans="1:73" ht="43.15" customHeight="1" x14ac:dyDescent="0.25">
      <c r="A96" s="242" t="s">
        <v>186</v>
      </c>
      <c r="B96" s="242" t="s">
        <v>2084</v>
      </c>
      <c r="C96" s="159">
        <v>400</v>
      </c>
      <c r="D96" s="114">
        <v>42627</v>
      </c>
      <c r="E96" s="114"/>
      <c r="F96" s="114"/>
      <c r="G96" s="114"/>
      <c r="H96" s="114">
        <v>42629</v>
      </c>
      <c r="I96" s="114">
        <v>42629</v>
      </c>
      <c r="J96" s="114">
        <v>42639</v>
      </c>
      <c r="K96" s="76"/>
      <c r="L96" s="114">
        <v>42737</v>
      </c>
      <c r="M96" s="114">
        <v>42725</v>
      </c>
      <c r="N96" s="114"/>
      <c r="O96" s="114">
        <v>42741</v>
      </c>
      <c r="P96" s="114">
        <v>42741</v>
      </c>
      <c r="Q96" s="114">
        <v>42747</v>
      </c>
      <c r="R96" s="80"/>
      <c r="S96" s="114"/>
      <c r="T96" s="75"/>
      <c r="U96" s="75"/>
      <c r="V96" s="75"/>
      <c r="W96" s="75">
        <v>2</v>
      </c>
      <c r="X96" s="75">
        <v>31320</v>
      </c>
      <c r="Y96" s="75" t="str">
        <f ca="1">IF(I96="",IF(D96="","",IF(W96+X96&lt;15,"Données Nb pers ou RFR manquantes",IF(COUNTA(INDIRECT("TabRFR["&amp;YEAR(D96)&amp;"]"))&lt;&gt;COUNTA(TabRFR[Recherche RFR]),"Data RFR manquantes", IF(X96&lt;=INDEX(TabRFR[[2021]:[2025]],MATCH(BD!W96&amp;"-Très modestes",TabRFR[Recherche RFR],0),MATCH(TEXT(YEAR(BD!D96),"Standard"),TabRFR[[#Headers],[2021]:[2025]],0)),"Très Modeste",IF(X96&lt;=INDEX(TabRFR[[2021]:[2025]],MATCH(BD!W96&amp;"-modestes",TabRFR[Recherche RFR],0),MATCH(TEXT(YEAR(BD!D96),"Standard"),TabRFR[[#Headers],[2021]:[2025]],0)),"Modeste",IF(X96&lt;=INDEX(TabRFR[[2021]:[2025]],MATCH(BD!W96&amp;"-Intermédiaire",TabRFR[Recherche RFR],0),MATCH(TEXT(YEAR(BD!D96),"Standard"),TabRFR[[#Headers],[2021]:[2025]],0)),"Intermédiaire","Supérieur")))))),IF(D96="","",IF(W96+X96&lt;15,"Données Nb pers ou RFR manquantes",IF(COUNTA(INDIRECT("TabRFR["&amp;YEAR(I96)&amp;"]"))&lt;&gt;COUNTA(TabRFR[Recherche RFR]),"Data RFR manquantes", IF(X96&lt;=INDEX(TabRFR[[2021]:[2025]],MATCH(BD!W96&amp;"-Très modestes",TabRFR[Recherche RFR],0),MATCH(TEXT(YEAR(BD!I96),"Standard"),TabRFR[[#Headers],[2021]:[2025]],0)),"Très Modeste",IF(X96&lt;=INDEX(TabRFR[[2021]:[2025]],MATCH(BD!W96&amp;"-modestes",TabRFR[Recherche RFR],0),MATCH(TEXT(YEAR(BD!I96),"Standard"),TabRFR[[#Headers],[2021]:[2025]],0)),"Modeste",IF(X96&lt;=INDEX(TabRFR[[2021]:[2025]],MATCH(BD!W96&amp;"-Intermédiaire",TabRFR[Recherche RFR],0),MATCH(TEXT(YEAR(BD!I96),"Standard"),TabRFR[[#Headers],[2021]:[2025]],0)),"Intermédiaire","Supérieur")))))))</f>
        <v>Data RFR manquantes</v>
      </c>
      <c r="Z96" s="75"/>
      <c r="AA96" s="75" t="s">
        <v>2082</v>
      </c>
      <c r="AB96" s="75">
        <v>38730</v>
      </c>
      <c r="AC96" s="75" t="s">
        <v>4304</v>
      </c>
      <c r="AD96" s="101"/>
      <c r="AE96" s="102"/>
      <c r="AF96" s="75" t="s">
        <v>95</v>
      </c>
      <c r="AG96" s="75"/>
      <c r="AH96" s="75">
        <v>1973</v>
      </c>
      <c r="AI96" s="75"/>
      <c r="AJ96" s="75"/>
      <c r="AK96" s="75"/>
      <c r="AL96" s="75"/>
      <c r="AM96" s="75" t="s">
        <v>4364</v>
      </c>
      <c r="AN96" s="75" t="s">
        <v>2081</v>
      </c>
      <c r="AO96" s="75" t="s">
        <v>2080</v>
      </c>
      <c r="AP96" s="75" t="s">
        <v>97</v>
      </c>
      <c r="AQ96" s="75"/>
      <c r="AR96" s="75"/>
      <c r="AS96" s="102" t="s">
        <v>2079</v>
      </c>
      <c r="AT96" s="101">
        <v>474979051</v>
      </c>
      <c r="AU96" s="75" t="s">
        <v>2078</v>
      </c>
      <c r="AV96" s="75" t="s">
        <v>112</v>
      </c>
      <c r="AW96" s="75" t="s">
        <v>746</v>
      </c>
      <c r="AX96" s="75" t="s">
        <v>112</v>
      </c>
      <c r="AY96" s="75" t="s">
        <v>2077</v>
      </c>
      <c r="AZ96" s="75" t="s">
        <v>2076</v>
      </c>
      <c r="BA96" s="75">
        <v>13</v>
      </c>
      <c r="BB96" s="75">
        <v>20</v>
      </c>
      <c r="BC96" s="75">
        <v>92.3</v>
      </c>
      <c r="BD96" s="75">
        <v>33</v>
      </c>
      <c r="BE96" s="75" t="s">
        <v>97</v>
      </c>
      <c r="BF96" s="75"/>
      <c r="BG96" s="75">
        <v>10172</v>
      </c>
      <c r="BH96" s="77"/>
      <c r="BI96" s="77"/>
      <c r="BJ96" s="77"/>
      <c r="BK96" s="75">
        <v>2150</v>
      </c>
      <c r="BL96" s="75">
        <f t="shared" si="3"/>
        <v>12322</v>
      </c>
      <c r="BM96" s="103">
        <f t="shared" si="4"/>
        <v>677.71</v>
      </c>
      <c r="BN96" s="103">
        <f t="shared" si="5"/>
        <v>12999.71</v>
      </c>
      <c r="BO96" s="103"/>
      <c r="BP96" s="75" t="s">
        <v>97</v>
      </c>
      <c r="BQ96" s="75"/>
      <c r="BR96" s="75"/>
      <c r="BS96" s="157">
        <v>2016</v>
      </c>
      <c r="BT96">
        <v>2020</v>
      </c>
      <c r="BU96">
        <v>2016</v>
      </c>
    </row>
    <row r="97" spans="1:73" ht="43.15" customHeight="1" x14ac:dyDescent="0.25">
      <c r="A97" s="242" t="s">
        <v>186</v>
      </c>
      <c r="B97" s="242" t="s">
        <v>2075</v>
      </c>
      <c r="C97" s="159">
        <v>800</v>
      </c>
      <c r="D97" s="114">
        <v>42629</v>
      </c>
      <c r="E97" s="114"/>
      <c r="F97" s="114"/>
      <c r="G97" s="114"/>
      <c r="H97" s="114">
        <v>42629</v>
      </c>
      <c r="I97" s="114">
        <v>42629</v>
      </c>
      <c r="J97" s="114">
        <v>42639</v>
      </c>
      <c r="K97" s="76"/>
      <c r="L97" s="114">
        <v>42737</v>
      </c>
      <c r="M97" s="114">
        <v>42709</v>
      </c>
      <c r="N97" s="114"/>
      <c r="O97" s="114">
        <v>42741</v>
      </c>
      <c r="P97" s="114">
        <v>42741</v>
      </c>
      <c r="Q97" s="114">
        <v>42747</v>
      </c>
      <c r="R97" s="81"/>
      <c r="S97" s="114"/>
      <c r="T97" s="75"/>
      <c r="U97" s="75"/>
      <c r="V97" s="75"/>
      <c r="W97" s="75">
        <v>3</v>
      </c>
      <c r="X97" s="75">
        <v>16921</v>
      </c>
      <c r="Y97" s="75" t="str">
        <f ca="1">IF(I97="",IF(D97="","",IF(W97+X97&lt;15,"Données Nb pers ou RFR manquantes",IF(COUNTA(INDIRECT("TabRFR["&amp;YEAR(D97)&amp;"]"))&lt;&gt;COUNTA(TabRFR[Recherche RFR]),"Data RFR manquantes", IF(X97&lt;=INDEX(TabRFR[[2021]:[2025]],MATCH(BD!W97&amp;"-Très modestes",TabRFR[Recherche RFR],0),MATCH(TEXT(YEAR(BD!D97),"Standard"),TabRFR[[#Headers],[2021]:[2025]],0)),"Très Modeste",IF(X97&lt;=INDEX(TabRFR[[2021]:[2025]],MATCH(BD!W97&amp;"-modestes",TabRFR[Recherche RFR],0),MATCH(TEXT(YEAR(BD!D97),"Standard"),TabRFR[[#Headers],[2021]:[2025]],0)),"Modeste",IF(X97&lt;=INDEX(TabRFR[[2021]:[2025]],MATCH(BD!W97&amp;"-Intermédiaire",TabRFR[Recherche RFR],0),MATCH(TEXT(YEAR(BD!D97),"Standard"),TabRFR[[#Headers],[2021]:[2025]],0)),"Intermédiaire","Supérieur")))))),IF(D97="","",IF(W97+X97&lt;15,"Données Nb pers ou RFR manquantes",IF(COUNTA(INDIRECT("TabRFR["&amp;YEAR(I97)&amp;"]"))&lt;&gt;COUNTA(TabRFR[Recherche RFR]),"Data RFR manquantes", IF(X97&lt;=INDEX(TabRFR[[2021]:[2025]],MATCH(BD!W97&amp;"-Très modestes",TabRFR[Recherche RFR],0),MATCH(TEXT(YEAR(BD!I97),"Standard"),TabRFR[[#Headers],[2021]:[2025]],0)),"Très Modeste",IF(X97&lt;=INDEX(TabRFR[[2021]:[2025]],MATCH(BD!W97&amp;"-modestes",TabRFR[Recherche RFR],0),MATCH(TEXT(YEAR(BD!I97),"Standard"),TabRFR[[#Headers],[2021]:[2025]],0)),"Modeste",IF(X97&lt;=INDEX(TabRFR[[2021]:[2025]],MATCH(BD!W97&amp;"-Intermédiaire",TabRFR[Recherche RFR],0),MATCH(TEXT(YEAR(BD!I97),"Standard"),TabRFR[[#Headers],[2021]:[2025]],0)),"Intermédiaire","Supérieur")))))))</f>
        <v>Data RFR manquantes</v>
      </c>
      <c r="Z97" s="75"/>
      <c r="AA97" s="75" t="s">
        <v>2073</v>
      </c>
      <c r="AB97" s="75">
        <v>38850</v>
      </c>
      <c r="AC97" s="75" t="s">
        <v>148</v>
      </c>
      <c r="AD97" s="101"/>
      <c r="AE97" s="102"/>
      <c r="AF97" s="75" t="s">
        <v>95</v>
      </c>
      <c r="AG97" s="75"/>
      <c r="AH97" s="75"/>
      <c r="AI97" s="75"/>
      <c r="AJ97" s="75"/>
      <c r="AK97" s="75"/>
      <c r="AL97" s="75"/>
      <c r="AM97" s="75" t="s">
        <v>4236</v>
      </c>
      <c r="AN97" s="75" t="s">
        <v>4091</v>
      </c>
      <c r="AO97" s="75" t="s">
        <v>163</v>
      </c>
      <c r="AP97" s="75" t="s">
        <v>97</v>
      </c>
      <c r="AQ97" s="75"/>
      <c r="AR97" s="75"/>
      <c r="AS97" s="102" t="s">
        <v>164</v>
      </c>
      <c r="AT97" s="101">
        <v>476370350</v>
      </c>
      <c r="AU97" s="75" t="s">
        <v>100</v>
      </c>
      <c r="AV97" s="75" t="s">
        <v>112</v>
      </c>
      <c r="AW97" s="75" t="s">
        <v>100</v>
      </c>
      <c r="AX97" s="75" t="s">
        <v>2071</v>
      </c>
      <c r="AY97" s="75" t="s">
        <v>1017</v>
      </c>
      <c r="AZ97" s="75" t="s">
        <v>2070</v>
      </c>
      <c r="BA97" s="75">
        <v>16</v>
      </c>
      <c r="BB97" s="75">
        <v>9.1</v>
      </c>
      <c r="BC97" s="75">
        <v>91.8</v>
      </c>
      <c r="BD97" s="75">
        <v>0</v>
      </c>
      <c r="BE97" s="75" t="s">
        <v>97</v>
      </c>
      <c r="BF97" s="75"/>
      <c r="BG97" s="75">
        <v>4057</v>
      </c>
      <c r="BH97" s="77"/>
      <c r="BI97" s="77"/>
      <c r="BJ97" s="77"/>
      <c r="BK97" s="75">
        <v>590</v>
      </c>
      <c r="BL97" s="75">
        <f t="shared" si="3"/>
        <v>4647</v>
      </c>
      <c r="BM97" s="103">
        <f t="shared" si="4"/>
        <v>255.58500000000001</v>
      </c>
      <c r="BN97" s="103">
        <f t="shared" si="5"/>
        <v>4902.585</v>
      </c>
      <c r="BO97" s="103"/>
      <c r="BP97" s="75" t="s">
        <v>97</v>
      </c>
      <c r="BQ97" s="75"/>
      <c r="BR97" s="75"/>
      <c r="BS97" s="157">
        <v>2016</v>
      </c>
      <c r="BU97">
        <v>2016</v>
      </c>
    </row>
    <row r="98" spans="1:73" ht="43.15" customHeight="1" x14ac:dyDescent="0.25">
      <c r="A98" s="242" t="s">
        <v>186</v>
      </c>
      <c r="B98" s="242" t="s">
        <v>2069</v>
      </c>
      <c r="C98" s="159">
        <v>800</v>
      </c>
      <c r="D98" s="114">
        <v>42629</v>
      </c>
      <c r="E98" s="114"/>
      <c r="F98" s="114"/>
      <c r="G98" s="114"/>
      <c r="H98" s="114">
        <v>42629</v>
      </c>
      <c r="I98" s="114">
        <v>42629</v>
      </c>
      <c r="J98" s="114">
        <v>42639</v>
      </c>
      <c r="K98" s="76"/>
      <c r="L98" s="114">
        <v>42674</v>
      </c>
      <c r="M98" s="114">
        <v>42654</v>
      </c>
      <c r="N98" s="114" t="s">
        <v>2068</v>
      </c>
      <c r="O98" s="114">
        <v>42678</v>
      </c>
      <c r="P98" s="114">
        <v>43043</v>
      </c>
      <c r="Q98" s="114">
        <v>42695</v>
      </c>
      <c r="R98" s="81"/>
      <c r="S98" s="114"/>
      <c r="T98" s="75"/>
      <c r="U98" s="75"/>
      <c r="V98" s="75"/>
      <c r="W98" s="75">
        <v>2</v>
      </c>
      <c r="X98" s="75">
        <v>26151</v>
      </c>
      <c r="Y98" s="75" t="str">
        <f ca="1">IF(I98="",IF(D98="","",IF(W98+X98&lt;15,"Données Nb pers ou RFR manquantes",IF(COUNTA(INDIRECT("TabRFR["&amp;YEAR(D98)&amp;"]"))&lt;&gt;COUNTA(TabRFR[Recherche RFR]),"Data RFR manquantes", IF(X98&lt;=INDEX(TabRFR[[2021]:[2025]],MATCH(BD!W98&amp;"-Très modestes",TabRFR[Recherche RFR],0),MATCH(TEXT(YEAR(BD!D98),"Standard"),TabRFR[[#Headers],[2021]:[2025]],0)),"Très Modeste",IF(X98&lt;=INDEX(TabRFR[[2021]:[2025]],MATCH(BD!W98&amp;"-modestes",TabRFR[Recherche RFR],0),MATCH(TEXT(YEAR(BD!D98),"Standard"),TabRFR[[#Headers],[2021]:[2025]],0)),"Modeste",IF(X98&lt;=INDEX(TabRFR[[2021]:[2025]],MATCH(BD!W98&amp;"-Intermédiaire",TabRFR[Recherche RFR],0),MATCH(TEXT(YEAR(BD!D98),"Standard"),TabRFR[[#Headers],[2021]:[2025]],0)),"Intermédiaire","Supérieur")))))),IF(D98="","",IF(W98+X98&lt;15,"Données Nb pers ou RFR manquantes",IF(COUNTA(INDIRECT("TabRFR["&amp;YEAR(I98)&amp;"]"))&lt;&gt;COUNTA(TabRFR[Recherche RFR]),"Data RFR manquantes", IF(X98&lt;=INDEX(TabRFR[[2021]:[2025]],MATCH(BD!W98&amp;"-Très modestes",TabRFR[Recherche RFR],0),MATCH(TEXT(YEAR(BD!I98),"Standard"),TabRFR[[#Headers],[2021]:[2025]],0)),"Très Modeste",IF(X98&lt;=INDEX(TabRFR[[2021]:[2025]],MATCH(BD!W98&amp;"-modestes",TabRFR[Recherche RFR],0),MATCH(TEXT(YEAR(BD!I98),"Standard"),TabRFR[[#Headers],[2021]:[2025]],0)),"Modeste",IF(X98&lt;=INDEX(TabRFR[[2021]:[2025]],MATCH(BD!W98&amp;"-Intermédiaire",TabRFR[Recherche RFR],0),MATCH(TEXT(YEAR(BD!I98),"Standard"),TabRFR[[#Headers],[2021]:[2025]],0)),"Intermédiaire","Supérieur")))))))</f>
        <v>Data RFR manquantes</v>
      </c>
      <c r="Z98" s="75"/>
      <c r="AA98" s="75" t="s">
        <v>1376</v>
      </c>
      <c r="AB98" s="75">
        <v>38140</v>
      </c>
      <c r="AC98" s="75" t="s">
        <v>363</v>
      </c>
      <c r="AD98" s="101"/>
      <c r="AE98" s="102"/>
      <c r="AF98" s="75" t="s">
        <v>95</v>
      </c>
      <c r="AG98" s="75"/>
      <c r="AH98" s="75">
        <v>1999</v>
      </c>
      <c r="AI98" s="75"/>
      <c r="AJ98" s="75"/>
      <c r="AK98" s="75"/>
      <c r="AL98" s="75"/>
      <c r="AM98" s="75" t="s">
        <v>350</v>
      </c>
      <c r="AN98" s="75" t="s">
        <v>451</v>
      </c>
      <c r="AO98" s="75" t="s">
        <v>2064</v>
      </c>
      <c r="AP98" s="75" t="s">
        <v>97</v>
      </c>
      <c r="AQ98" s="75"/>
      <c r="AR98" s="75"/>
      <c r="AS98" s="102" t="s">
        <v>2063</v>
      </c>
      <c r="AT98" s="101">
        <v>616581524</v>
      </c>
      <c r="AU98" s="75" t="s">
        <v>111</v>
      </c>
      <c r="AV98" s="75" t="s">
        <v>112</v>
      </c>
      <c r="AW98" s="75" t="s">
        <v>100</v>
      </c>
      <c r="AX98" s="75" t="s">
        <v>112</v>
      </c>
      <c r="AY98" s="75" t="s">
        <v>251</v>
      </c>
      <c r="AZ98" s="75" t="s">
        <v>2062</v>
      </c>
      <c r="BA98" s="75">
        <v>20</v>
      </c>
      <c r="BB98" s="75">
        <v>5</v>
      </c>
      <c r="BC98" s="75">
        <v>83</v>
      </c>
      <c r="BD98" s="75">
        <v>0.06</v>
      </c>
      <c r="BE98" s="75" t="s">
        <v>97</v>
      </c>
      <c r="BF98" s="75"/>
      <c r="BG98" s="75">
        <v>2227</v>
      </c>
      <c r="BH98" s="77"/>
      <c r="BI98" s="77"/>
      <c r="BJ98" s="77"/>
      <c r="BK98" s="75">
        <v>332</v>
      </c>
      <c r="BL98" s="75">
        <f t="shared" si="3"/>
        <v>2559</v>
      </c>
      <c r="BM98" s="103">
        <f t="shared" si="4"/>
        <v>140.745</v>
      </c>
      <c r="BN98" s="103">
        <f t="shared" si="5"/>
        <v>2699.7449999999999</v>
      </c>
      <c r="BO98" s="103"/>
      <c r="BP98" s="75" t="s">
        <v>97</v>
      </c>
      <c r="BQ98" s="75"/>
      <c r="BR98" s="75"/>
      <c r="BS98" s="157">
        <v>2016</v>
      </c>
      <c r="BT98">
        <v>2020</v>
      </c>
      <c r="BU98">
        <v>2016</v>
      </c>
    </row>
    <row r="99" spans="1:73" ht="43.15" customHeight="1" x14ac:dyDescent="0.25">
      <c r="A99" s="242" t="s">
        <v>186</v>
      </c>
      <c r="B99" s="242" t="s">
        <v>2061</v>
      </c>
      <c r="C99" s="159">
        <v>400</v>
      </c>
      <c r="D99" s="114">
        <v>42633</v>
      </c>
      <c r="E99" s="114"/>
      <c r="F99" s="114"/>
      <c r="G99" s="114"/>
      <c r="H99" s="114">
        <v>42634</v>
      </c>
      <c r="I99" s="114">
        <v>42634</v>
      </c>
      <c r="J99" s="114">
        <v>42639</v>
      </c>
      <c r="K99" s="76"/>
      <c r="L99" s="114">
        <v>42669</v>
      </c>
      <c r="M99" s="114">
        <v>42648</v>
      </c>
      <c r="N99" s="114" t="s">
        <v>2060</v>
      </c>
      <c r="O99" s="114">
        <v>42678</v>
      </c>
      <c r="P99" s="114">
        <v>42678</v>
      </c>
      <c r="Q99" s="114">
        <v>42695</v>
      </c>
      <c r="R99" s="80"/>
      <c r="S99" s="114"/>
      <c r="T99" s="75"/>
      <c r="U99" s="75"/>
      <c r="V99" s="75"/>
      <c r="W99" s="75">
        <v>4</v>
      </c>
      <c r="X99" s="75">
        <v>62628</v>
      </c>
      <c r="Y99" s="75" t="str">
        <f ca="1">IF(I99="",IF(D99="","",IF(W99+X99&lt;15,"Données Nb pers ou RFR manquantes",IF(COUNTA(INDIRECT("TabRFR["&amp;YEAR(D99)&amp;"]"))&lt;&gt;COUNTA(TabRFR[Recherche RFR]),"Data RFR manquantes", IF(X99&lt;=INDEX(TabRFR[[2021]:[2025]],MATCH(BD!W99&amp;"-Très modestes",TabRFR[Recherche RFR],0),MATCH(TEXT(YEAR(BD!D99),"Standard"),TabRFR[[#Headers],[2021]:[2025]],0)),"Très Modeste",IF(X99&lt;=INDEX(TabRFR[[2021]:[2025]],MATCH(BD!W99&amp;"-modestes",TabRFR[Recherche RFR],0),MATCH(TEXT(YEAR(BD!D99),"Standard"),TabRFR[[#Headers],[2021]:[2025]],0)),"Modeste",IF(X99&lt;=INDEX(TabRFR[[2021]:[2025]],MATCH(BD!W99&amp;"-Intermédiaire",TabRFR[Recherche RFR],0),MATCH(TEXT(YEAR(BD!D99),"Standard"),TabRFR[[#Headers],[2021]:[2025]],0)),"Intermédiaire","Supérieur")))))),IF(D99="","",IF(W99+X99&lt;15,"Données Nb pers ou RFR manquantes",IF(COUNTA(INDIRECT("TabRFR["&amp;YEAR(I99)&amp;"]"))&lt;&gt;COUNTA(TabRFR[Recherche RFR]),"Data RFR manquantes", IF(X99&lt;=INDEX(TabRFR[[2021]:[2025]],MATCH(BD!W99&amp;"-Très modestes",TabRFR[Recherche RFR],0),MATCH(TEXT(YEAR(BD!I99),"Standard"),TabRFR[[#Headers],[2021]:[2025]],0)),"Très Modeste",IF(X99&lt;=INDEX(TabRFR[[2021]:[2025]],MATCH(BD!W99&amp;"-modestes",TabRFR[Recherche RFR],0),MATCH(TEXT(YEAR(BD!I99),"Standard"),TabRFR[[#Headers],[2021]:[2025]],0)),"Modeste",IF(X99&lt;=INDEX(TabRFR[[2021]:[2025]],MATCH(BD!W99&amp;"-Intermédiaire",TabRFR[Recherche RFR],0),MATCH(TEXT(YEAR(BD!I99),"Standard"),TabRFR[[#Headers],[2021]:[2025]],0)),"Intermédiaire","Supérieur")))))))</f>
        <v>Data RFR manquantes</v>
      </c>
      <c r="Z99" s="75"/>
      <c r="AA99" s="75" t="s">
        <v>2058</v>
      </c>
      <c r="AB99" s="75">
        <v>38850</v>
      </c>
      <c r="AC99" s="75" t="s">
        <v>242</v>
      </c>
      <c r="AD99" s="101"/>
      <c r="AE99" s="102"/>
      <c r="AF99" s="75" t="s">
        <v>95</v>
      </c>
      <c r="AG99" s="75"/>
      <c r="AH99" s="75"/>
      <c r="AI99" s="75"/>
      <c r="AJ99" s="75"/>
      <c r="AK99" s="75"/>
      <c r="AL99" s="75"/>
      <c r="AM99" s="75" t="s">
        <v>218</v>
      </c>
      <c r="AN99" s="75" t="s">
        <v>217</v>
      </c>
      <c r="AO99" s="75" t="s">
        <v>219</v>
      </c>
      <c r="AP99" s="75" t="s">
        <v>97</v>
      </c>
      <c r="AQ99" s="75"/>
      <c r="AR99" s="75"/>
      <c r="AS99" s="102" t="s">
        <v>220</v>
      </c>
      <c r="AT99" s="101">
        <v>476355605</v>
      </c>
      <c r="AU99" s="75" t="s">
        <v>399</v>
      </c>
      <c r="AV99" s="75" t="s">
        <v>112</v>
      </c>
      <c r="AW99" s="75" t="s">
        <v>111</v>
      </c>
      <c r="AX99" s="75" t="s">
        <v>112</v>
      </c>
      <c r="AY99" s="75" t="s">
        <v>1603</v>
      </c>
      <c r="AZ99" s="75" t="s">
        <v>1182</v>
      </c>
      <c r="BA99" s="75">
        <v>23</v>
      </c>
      <c r="BB99" s="75">
        <v>10</v>
      </c>
      <c r="BC99" s="75">
        <v>77</v>
      </c>
      <c r="BD99" s="75">
        <v>7.0000000000000007E-2</v>
      </c>
      <c r="BE99" s="75" t="s">
        <v>97</v>
      </c>
      <c r="BF99" s="75"/>
      <c r="BG99" s="75">
        <v>1790</v>
      </c>
      <c r="BH99" s="77"/>
      <c r="BI99" s="77"/>
      <c r="BJ99" s="77"/>
      <c r="BK99" s="75">
        <v>896</v>
      </c>
      <c r="BL99" s="75">
        <f t="shared" si="3"/>
        <v>2686</v>
      </c>
      <c r="BM99" s="103">
        <f t="shared" si="4"/>
        <v>147.72999999999999</v>
      </c>
      <c r="BN99" s="103">
        <f t="shared" si="5"/>
        <v>2833.73</v>
      </c>
      <c r="BO99" s="103">
        <v>3407.52</v>
      </c>
      <c r="BP99" s="75" t="s">
        <v>97</v>
      </c>
      <c r="BQ99" s="75"/>
      <c r="BR99" s="75"/>
      <c r="BS99" s="157">
        <v>2016</v>
      </c>
      <c r="BT99">
        <v>2020</v>
      </c>
      <c r="BU99">
        <v>2016</v>
      </c>
    </row>
    <row r="100" spans="1:73" ht="43.15" customHeight="1" x14ac:dyDescent="0.25">
      <c r="A100" s="242" t="s">
        <v>186</v>
      </c>
      <c r="B100" s="242" t="s">
        <v>2056</v>
      </c>
      <c r="C100" s="159">
        <v>800</v>
      </c>
      <c r="D100" s="114">
        <v>42636</v>
      </c>
      <c r="E100" s="114"/>
      <c r="F100" s="114"/>
      <c r="G100" s="114"/>
      <c r="H100" s="114">
        <v>42641</v>
      </c>
      <c r="I100" s="114">
        <v>42641</v>
      </c>
      <c r="J100" s="114">
        <v>42661</v>
      </c>
      <c r="K100" s="76"/>
      <c r="L100" s="114">
        <v>42690</v>
      </c>
      <c r="M100" s="114">
        <v>42673</v>
      </c>
      <c r="N100" s="114"/>
      <c r="O100" s="114">
        <v>42695</v>
      </c>
      <c r="P100" s="114">
        <v>42695</v>
      </c>
      <c r="Q100" s="114">
        <v>42706</v>
      </c>
      <c r="R100" s="81"/>
      <c r="S100" s="114"/>
      <c r="T100" s="75"/>
      <c r="U100" s="75"/>
      <c r="V100" s="75"/>
      <c r="W100" s="75">
        <v>2</v>
      </c>
      <c r="X100" s="75">
        <v>12952</v>
      </c>
      <c r="Y100" s="75" t="str">
        <f ca="1">IF(I100="",IF(D100="","",IF(W100+X100&lt;15,"Données Nb pers ou RFR manquantes",IF(COUNTA(INDIRECT("TabRFR["&amp;YEAR(D100)&amp;"]"))&lt;&gt;COUNTA(TabRFR[Recherche RFR]),"Data RFR manquantes", IF(X100&lt;=INDEX(TabRFR[[2021]:[2025]],MATCH(BD!W100&amp;"-Très modestes",TabRFR[Recherche RFR],0),MATCH(TEXT(YEAR(BD!D100),"Standard"),TabRFR[[#Headers],[2021]:[2025]],0)),"Très Modeste",IF(X100&lt;=INDEX(TabRFR[[2021]:[2025]],MATCH(BD!W100&amp;"-modestes",TabRFR[Recherche RFR],0),MATCH(TEXT(YEAR(BD!D100),"Standard"),TabRFR[[#Headers],[2021]:[2025]],0)),"Modeste",IF(X100&lt;=INDEX(TabRFR[[2021]:[2025]],MATCH(BD!W100&amp;"-Intermédiaire",TabRFR[Recherche RFR],0),MATCH(TEXT(YEAR(BD!D100),"Standard"),TabRFR[[#Headers],[2021]:[2025]],0)),"Intermédiaire","Supérieur")))))),IF(D100="","",IF(W100+X100&lt;15,"Données Nb pers ou RFR manquantes",IF(COUNTA(INDIRECT("TabRFR["&amp;YEAR(I100)&amp;"]"))&lt;&gt;COUNTA(TabRFR[Recherche RFR]),"Data RFR manquantes", IF(X100&lt;=INDEX(TabRFR[[2021]:[2025]],MATCH(BD!W100&amp;"-Très modestes",TabRFR[Recherche RFR],0),MATCH(TEXT(YEAR(BD!I100),"Standard"),TabRFR[[#Headers],[2021]:[2025]],0)),"Très Modeste",IF(X100&lt;=INDEX(TabRFR[[2021]:[2025]],MATCH(BD!W100&amp;"-modestes",TabRFR[Recherche RFR],0),MATCH(TEXT(YEAR(BD!I100),"Standard"),TabRFR[[#Headers],[2021]:[2025]],0)),"Modeste",IF(X100&lt;=INDEX(TabRFR[[2021]:[2025]],MATCH(BD!W100&amp;"-Intermédiaire",TabRFR[Recherche RFR],0),MATCH(TEXT(YEAR(BD!I100),"Standard"),TabRFR[[#Headers],[2021]:[2025]],0)),"Intermédiaire","Supérieur")))))))</f>
        <v>Data RFR manquantes</v>
      </c>
      <c r="Z100" s="75"/>
      <c r="AA100" s="75" t="s">
        <v>2053</v>
      </c>
      <c r="AB100" s="75">
        <v>38500</v>
      </c>
      <c r="AC100" s="75" t="s">
        <v>94</v>
      </c>
      <c r="AD100" s="101"/>
      <c r="AE100" s="102"/>
      <c r="AF100" s="75" t="s">
        <v>95</v>
      </c>
      <c r="AG100" s="75"/>
      <c r="AH100" s="75">
        <v>2000</v>
      </c>
      <c r="AI100" s="75"/>
      <c r="AJ100" s="75"/>
      <c r="AK100" s="75"/>
      <c r="AL100" s="75"/>
      <c r="AM100" s="75" t="s">
        <v>4348</v>
      </c>
      <c r="AN100" s="75" t="s">
        <v>96</v>
      </c>
      <c r="AO100" s="75" t="s">
        <v>238</v>
      </c>
      <c r="AP100" s="75" t="s">
        <v>97</v>
      </c>
      <c r="AQ100" s="75"/>
      <c r="AR100" s="75"/>
      <c r="AS100" s="102" t="s">
        <v>1571</v>
      </c>
      <c r="AT100" s="101">
        <v>476323235</v>
      </c>
      <c r="AU100" s="75" t="s">
        <v>100</v>
      </c>
      <c r="AV100" s="75" t="s">
        <v>112</v>
      </c>
      <c r="AW100" s="75" t="s">
        <v>100</v>
      </c>
      <c r="AX100" s="75" t="s">
        <v>2071</v>
      </c>
      <c r="AY100" s="75" t="s">
        <v>102</v>
      </c>
      <c r="AZ100" s="75" t="s">
        <v>2041</v>
      </c>
      <c r="BA100" s="75">
        <v>21</v>
      </c>
      <c r="BB100" s="75">
        <v>8</v>
      </c>
      <c r="BC100" s="75">
        <v>90</v>
      </c>
      <c r="BD100" s="75">
        <v>0.02</v>
      </c>
      <c r="BE100" s="75" t="s">
        <v>97</v>
      </c>
      <c r="BF100" s="75"/>
      <c r="BG100" s="75">
        <v>2394</v>
      </c>
      <c r="BH100" s="77"/>
      <c r="BI100" s="77"/>
      <c r="BJ100" s="77"/>
      <c r="BK100" s="75">
        <v>160</v>
      </c>
      <c r="BL100" s="75">
        <f t="shared" si="3"/>
        <v>2554</v>
      </c>
      <c r="BM100" s="103">
        <f t="shared" si="4"/>
        <v>140.47</v>
      </c>
      <c r="BN100" s="103">
        <f t="shared" si="5"/>
        <v>2694.47</v>
      </c>
      <c r="BO100" s="103">
        <v>2694.68</v>
      </c>
      <c r="BP100" s="75" t="s">
        <v>104</v>
      </c>
      <c r="BQ100" s="75"/>
      <c r="BR100" s="75"/>
      <c r="BS100" s="157">
        <v>2016</v>
      </c>
      <c r="BU100">
        <v>2016</v>
      </c>
    </row>
    <row r="101" spans="1:73" ht="43.15" customHeight="1" x14ac:dyDescent="0.25">
      <c r="A101" s="242" t="s">
        <v>186</v>
      </c>
      <c r="B101" s="242" t="s">
        <v>2052</v>
      </c>
      <c r="C101" s="159">
        <v>400</v>
      </c>
      <c r="D101" s="114">
        <v>42640</v>
      </c>
      <c r="E101" s="114"/>
      <c r="F101" s="114"/>
      <c r="G101" s="114"/>
      <c r="H101" s="114">
        <v>42641</v>
      </c>
      <c r="I101" s="114">
        <v>42641</v>
      </c>
      <c r="J101" s="114">
        <v>42661</v>
      </c>
      <c r="K101" s="76"/>
      <c r="L101" s="114">
        <v>42682</v>
      </c>
      <c r="M101" s="114">
        <v>42677</v>
      </c>
      <c r="N101" s="114"/>
      <c r="O101" s="114">
        <v>42683</v>
      </c>
      <c r="P101" s="114">
        <v>42683</v>
      </c>
      <c r="Q101" s="114">
        <v>42695</v>
      </c>
      <c r="R101" s="80"/>
      <c r="S101" s="114"/>
      <c r="T101" s="75"/>
      <c r="U101" s="75"/>
      <c r="V101" s="75"/>
      <c r="W101" s="75">
        <v>1</v>
      </c>
      <c r="X101" s="75">
        <v>31177</v>
      </c>
      <c r="Y101" s="75" t="str">
        <f ca="1">IF(I101="",IF(D101="","",IF(W101+X101&lt;15,"Données Nb pers ou RFR manquantes",IF(COUNTA(INDIRECT("TabRFR["&amp;YEAR(D101)&amp;"]"))&lt;&gt;COUNTA(TabRFR[Recherche RFR]),"Data RFR manquantes", IF(X101&lt;=INDEX(TabRFR[[2021]:[2025]],MATCH(BD!W101&amp;"-Très modestes",TabRFR[Recherche RFR],0),MATCH(TEXT(YEAR(BD!D101),"Standard"),TabRFR[[#Headers],[2021]:[2025]],0)),"Très Modeste",IF(X101&lt;=INDEX(TabRFR[[2021]:[2025]],MATCH(BD!W101&amp;"-modestes",TabRFR[Recherche RFR],0),MATCH(TEXT(YEAR(BD!D101),"Standard"),TabRFR[[#Headers],[2021]:[2025]],0)),"Modeste",IF(X101&lt;=INDEX(TabRFR[[2021]:[2025]],MATCH(BD!W101&amp;"-Intermédiaire",TabRFR[Recherche RFR],0),MATCH(TEXT(YEAR(BD!D101),"Standard"),TabRFR[[#Headers],[2021]:[2025]],0)),"Intermédiaire","Supérieur")))))),IF(D101="","",IF(W101+X101&lt;15,"Données Nb pers ou RFR manquantes",IF(COUNTA(INDIRECT("TabRFR["&amp;YEAR(I101)&amp;"]"))&lt;&gt;COUNTA(TabRFR[Recherche RFR]),"Data RFR manquantes", IF(X101&lt;=INDEX(TabRFR[[2021]:[2025]],MATCH(BD!W101&amp;"-Très modestes",TabRFR[Recherche RFR],0),MATCH(TEXT(YEAR(BD!I101),"Standard"),TabRFR[[#Headers],[2021]:[2025]],0)),"Très Modeste",IF(X101&lt;=INDEX(TabRFR[[2021]:[2025]],MATCH(BD!W101&amp;"-modestes",TabRFR[Recherche RFR],0),MATCH(TEXT(YEAR(BD!I101),"Standard"),TabRFR[[#Headers],[2021]:[2025]],0)),"Modeste",IF(X101&lt;=INDEX(TabRFR[[2021]:[2025]],MATCH(BD!W101&amp;"-Intermédiaire",TabRFR[Recherche RFR],0),MATCH(TEXT(YEAR(BD!I101),"Standard"),TabRFR[[#Headers],[2021]:[2025]],0)),"Intermédiaire","Supérieur")))))))</f>
        <v>Data RFR manquantes</v>
      </c>
      <c r="Z101" s="75"/>
      <c r="AA101" s="75" t="s">
        <v>2049</v>
      </c>
      <c r="AB101" s="75">
        <v>38430</v>
      </c>
      <c r="AC101" s="75" t="s">
        <v>3202</v>
      </c>
      <c r="AD101" s="101"/>
      <c r="AE101" s="102"/>
      <c r="AF101" s="75" t="s">
        <v>95</v>
      </c>
      <c r="AG101" s="75"/>
      <c r="AH101" s="75"/>
      <c r="AI101" s="75"/>
      <c r="AJ101" s="75"/>
      <c r="AK101" s="75"/>
      <c r="AL101" s="75"/>
      <c r="AM101" s="75" t="s">
        <v>4233</v>
      </c>
      <c r="AN101" s="75" t="s">
        <v>829</v>
      </c>
      <c r="AO101" s="75" t="s">
        <v>325</v>
      </c>
      <c r="AP101" s="75" t="s">
        <v>97</v>
      </c>
      <c r="AQ101" s="75"/>
      <c r="AR101" s="75"/>
      <c r="AS101" s="102" t="s">
        <v>211</v>
      </c>
      <c r="AT101" s="101">
        <v>438029038</v>
      </c>
      <c r="AU101" s="75" t="s">
        <v>399</v>
      </c>
      <c r="AV101" s="75" t="s">
        <v>112</v>
      </c>
      <c r="AW101" s="75" t="s">
        <v>100</v>
      </c>
      <c r="AX101" s="75" t="s">
        <v>112</v>
      </c>
      <c r="AY101" s="75" t="s">
        <v>2046</v>
      </c>
      <c r="AZ101" s="75" t="s">
        <v>2045</v>
      </c>
      <c r="BA101" s="75">
        <v>27</v>
      </c>
      <c r="BB101" s="75">
        <v>6</v>
      </c>
      <c r="BC101" s="75">
        <v>79</v>
      </c>
      <c r="BD101" s="75">
        <v>0.12</v>
      </c>
      <c r="BE101" s="75" t="s">
        <v>97</v>
      </c>
      <c r="BF101" s="75"/>
      <c r="BG101" s="75">
        <v>5010</v>
      </c>
      <c r="BH101" s="77"/>
      <c r="BI101" s="77"/>
      <c r="BJ101" s="77"/>
      <c r="BK101" s="75">
        <v>714</v>
      </c>
      <c r="BL101" s="75">
        <f t="shared" si="3"/>
        <v>5724</v>
      </c>
      <c r="BM101" s="103">
        <f t="shared" si="4"/>
        <v>314.82</v>
      </c>
      <c r="BN101" s="103">
        <f t="shared" si="5"/>
        <v>6038.82</v>
      </c>
      <c r="BO101" s="103">
        <v>6040</v>
      </c>
      <c r="BP101" s="75" t="s">
        <v>9</v>
      </c>
      <c r="BQ101" s="75"/>
      <c r="BR101" s="75"/>
      <c r="BS101" s="157">
        <v>2016</v>
      </c>
      <c r="BT101">
        <v>2020</v>
      </c>
      <c r="BU101">
        <v>2016</v>
      </c>
    </row>
    <row r="102" spans="1:73" ht="43.15" customHeight="1" x14ac:dyDescent="0.25">
      <c r="A102" s="29" t="s">
        <v>186</v>
      </c>
      <c r="B102" s="29" t="s">
        <v>1811</v>
      </c>
      <c r="C102" s="161" t="s">
        <v>9</v>
      </c>
      <c r="D102" s="110">
        <v>42640</v>
      </c>
      <c r="E102" s="110"/>
      <c r="F102" s="110" t="s">
        <v>1810</v>
      </c>
      <c r="G102" s="110"/>
      <c r="H102" s="110"/>
      <c r="I102" s="110"/>
      <c r="J102" s="110"/>
      <c r="K102" s="110"/>
      <c r="L102" s="110"/>
      <c r="M102" s="110"/>
      <c r="N102" s="110"/>
      <c r="O102" s="110"/>
      <c r="P102" s="110"/>
      <c r="Q102" s="110"/>
      <c r="R102" s="109"/>
      <c r="S102" s="110">
        <v>42913</v>
      </c>
      <c r="T102" s="111" t="s">
        <v>1809</v>
      </c>
      <c r="U102" s="111"/>
      <c r="V102" s="111"/>
      <c r="W102" s="111">
        <v>4</v>
      </c>
      <c r="X102" s="111">
        <v>36124</v>
      </c>
      <c r="Y102" s="75" t="str">
        <f ca="1">IF(I102="",IF(D102="","",IF(W102+X102&lt;15,"Données Nb pers ou RFR manquantes",IF(COUNTA(INDIRECT("TabRFR["&amp;YEAR(D102)&amp;"]"))&lt;&gt;COUNTA(TabRFR[Recherche RFR]),"Data RFR manquantes", IF(X102&lt;=INDEX(TabRFR[[2021]:[2025]],MATCH(BD!W102&amp;"-Très modestes",TabRFR[Recherche RFR],0),MATCH(TEXT(YEAR(BD!D102),"Standard"),TabRFR[[#Headers],[2021]:[2025]],0)),"Très Modeste",IF(X102&lt;=INDEX(TabRFR[[2021]:[2025]],MATCH(BD!W102&amp;"-modestes",TabRFR[Recherche RFR],0),MATCH(TEXT(YEAR(BD!D102),"Standard"),TabRFR[[#Headers],[2021]:[2025]],0)),"Modeste",IF(X102&lt;=INDEX(TabRFR[[2021]:[2025]],MATCH(BD!W102&amp;"-Intermédiaire",TabRFR[Recherche RFR],0),MATCH(TEXT(YEAR(BD!D102),"Standard"),TabRFR[[#Headers],[2021]:[2025]],0)),"Intermédiaire","Supérieur")))))),IF(D102="","",IF(W102+X102&lt;15,"Données Nb pers ou RFR manquantes",IF(COUNTA(INDIRECT("TabRFR["&amp;YEAR(I102)&amp;"]"))&lt;&gt;COUNTA(TabRFR[Recherche RFR]),"Data RFR manquantes", IF(X102&lt;=INDEX(TabRFR[[2021]:[2025]],MATCH(BD!W102&amp;"-Très modestes",TabRFR[Recherche RFR],0),MATCH(TEXT(YEAR(BD!I102),"Standard"),TabRFR[[#Headers],[2021]:[2025]],0)),"Très Modeste",IF(X102&lt;=INDEX(TabRFR[[2021]:[2025]],MATCH(BD!W102&amp;"-modestes",TabRFR[Recherche RFR],0),MATCH(TEXT(YEAR(BD!I102),"Standard"),TabRFR[[#Headers],[2021]:[2025]],0)),"Modeste",IF(X102&lt;=INDEX(TabRFR[[2021]:[2025]],MATCH(BD!W102&amp;"-Intermédiaire",TabRFR[Recherche RFR],0),MATCH(TEXT(YEAR(BD!I102),"Standard"),TabRFR[[#Headers],[2021]:[2025]],0)),"Intermédiaire","Supérieur")))))))</f>
        <v>Data RFR manquantes</v>
      </c>
      <c r="Z102" s="111"/>
      <c r="AA102" s="111" t="s">
        <v>1808</v>
      </c>
      <c r="AB102" s="111">
        <v>38620</v>
      </c>
      <c r="AC102" s="111" t="s">
        <v>857</v>
      </c>
      <c r="AD102" s="127"/>
      <c r="AE102" s="102"/>
      <c r="AF102" s="111" t="s">
        <v>95</v>
      </c>
      <c r="AG102" s="111"/>
      <c r="AH102" s="111">
        <v>2015</v>
      </c>
      <c r="AI102" s="111"/>
      <c r="AJ102" s="111"/>
      <c r="AK102" s="111"/>
      <c r="AL102" s="111"/>
      <c r="AM102" s="111" t="s">
        <v>3973</v>
      </c>
      <c r="AN102" s="111" t="s">
        <v>96</v>
      </c>
      <c r="AO102" s="111" t="s">
        <v>789</v>
      </c>
      <c r="AP102" s="111" t="s">
        <v>97</v>
      </c>
      <c r="AQ102" s="111"/>
      <c r="AR102" s="111"/>
      <c r="AS102" s="102" t="s">
        <v>141</v>
      </c>
      <c r="AT102" s="112">
        <v>476069938</v>
      </c>
      <c r="AU102" s="111" t="s">
        <v>399</v>
      </c>
      <c r="AV102" s="111" t="s">
        <v>112</v>
      </c>
      <c r="AW102" s="111" t="s">
        <v>111</v>
      </c>
      <c r="AX102" s="111" t="s">
        <v>112</v>
      </c>
      <c r="AY102" s="111" t="s">
        <v>1807</v>
      </c>
      <c r="AZ102" s="111" t="s">
        <v>1806</v>
      </c>
      <c r="BA102" s="111"/>
      <c r="BB102" s="111"/>
      <c r="BC102" s="111"/>
      <c r="BD102" s="111"/>
      <c r="BE102" s="111"/>
      <c r="BF102" s="111"/>
      <c r="BG102" s="111"/>
      <c r="BH102" s="111"/>
      <c r="BI102" s="111"/>
      <c r="BJ102" s="111"/>
      <c r="BK102" s="111"/>
      <c r="BL102" s="75">
        <f t="shared" si="3"/>
        <v>0</v>
      </c>
      <c r="BM102" s="103">
        <f t="shared" si="4"/>
        <v>0</v>
      </c>
      <c r="BN102" s="103">
        <f t="shared" si="5"/>
        <v>0</v>
      </c>
      <c r="BO102" s="111"/>
      <c r="BP102" s="111"/>
      <c r="BQ102" s="111"/>
      <c r="BR102" s="111"/>
      <c r="BS102" s="157">
        <v>2016</v>
      </c>
      <c r="BU102" t="s">
        <v>4180</v>
      </c>
    </row>
    <row r="103" spans="1:73" ht="43.15" customHeight="1" x14ac:dyDescent="0.25">
      <c r="A103" s="242" t="s">
        <v>186</v>
      </c>
      <c r="B103" s="242" t="s">
        <v>2044</v>
      </c>
      <c r="C103" s="159">
        <v>800</v>
      </c>
      <c r="D103" s="114">
        <v>42641</v>
      </c>
      <c r="E103" s="114"/>
      <c r="F103" s="114"/>
      <c r="G103" s="114"/>
      <c r="H103" s="114">
        <v>42641</v>
      </c>
      <c r="I103" s="114">
        <v>42641</v>
      </c>
      <c r="J103" s="114">
        <v>42661</v>
      </c>
      <c r="K103" s="76"/>
      <c r="L103" s="114">
        <v>42865</v>
      </c>
      <c r="M103" s="114">
        <v>42855</v>
      </c>
      <c r="N103" s="114"/>
      <c r="O103" s="114">
        <v>42870</v>
      </c>
      <c r="P103" s="114">
        <v>42870</v>
      </c>
      <c r="Q103" s="114">
        <v>42877</v>
      </c>
      <c r="R103" s="81"/>
      <c r="S103" s="114"/>
      <c r="T103" s="75"/>
      <c r="U103" s="75"/>
      <c r="V103" s="75"/>
      <c r="W103" s="75">
        <v>2</v>
      </c>
      <c r="X103" s="75">
        <v>5633</v>
      </c>
      <c r="Y103" s="75" t="str">
        <f ca="1">IF(I103="",IF(D103="","",IF(W103+X103&lt;15,"Données Nb pers ou RFR manquantes",IF(COUNTA(INDIRECT("TabRFR["&amp;YEAR(D103)&amp;"]"))&lt;&gt;COUNTA(TabRFR[Recherche RFR]),"Data RFR manquantes", IF(X103&lt;=INDEX(TabRFR[[2021]:[2025]],MATCH(BD!W103&amp;"-Très modestes",TabRFR[Recherche RFR],0),MATCH(TEXT(YEAR(BD!D103),"Standard"),TabRFR[[#Headers],[2021]:[2025]],0)),"Très Modeste",IF(X103&lt;=INDEX(TabRFR[[2021]:[2025]],MATCH(BD!W103&amp;"-modestes",TabRFR[Recherche RFR],0),MATCH(TEXT(YEAR(BD!D103),"Standard"),TabRFR[[#Headers],[2021]:[2025]],0)),"Modeste",IF(X103&lt;=INDEX(TabRFR[[2021]:[2025]],MATCH(BD!W103&amp;"-Intermédiaire",TabRFR[Recherche RFR],0),MATCH(TEXT(YEAR(BD!D103),"Standard"),TabRFR[[#Headers],[2021]:[2025]],0)),"Intermédiaire","Supérieur")))))),IF(D103="","",IF(W103+X103&lt;15,"Données Nb pers ou RFR manquantes",IF(COUNTA(INDIRECT("TabRFR["&amp;YEAR(I103)&amp;"]"))&lt;&gt;COUNTA(TabRFR[Recherche RFR]),"Data RFR manquantes", IF(X103&lt;=INDEX(TabRFR[[2021]:[2025]],MATCH(BD!W103&amp;"-Très modestes",TabRFR[Recherche RFR],0),MATCH(TEXT(YEAR(BD!I103),"Standard"),TabRFR[[#Headers],[2021]:[2025]],0)),"Très Modeste",IF(X103&lt;=INDEX(TabRFR[[2021]:[2025]],MATCH(BD!W103&amp;"-modestes",TabRFR[Recherche RFR],0),MATCH(TEXT(YEAR(BD!I103),"Standard"),TabRFR[[#Headers],[2021]:[2025]],0)),"Modeste",IF(X103&lt;=INDEX(TabRFR[[2021]:[2025]],MATCH(BD!W103&amp;"-Intermédiaire",TabRFR[Recherche RFR],0),MATCH(TEXT(YEAR(BD!I103),"Standard"),TabRFR[[#Headers],[2021]:[2025]],0)),"Intermédiaire","Supérieur")))))))</f>
        <v>Data RFR manquantes</v>
      </c>
      <c r="Z103" s="75"/>
      <c r="AA103" s="75" t="s">
        <v>2042</v>
      </c>
      <c r="AB103" s="75">
        <v>38500</v>
      </c>
      <c r="AC103" s="75" t="s">
        <v>96</v>
      </c>
      <c r="AD103" s="101"/>
      <c r="AE103" s="102"/>
      <c r="AF103" s="75" t="s">
        <v>95</v>
      </c>
      <c r="AG103" s="75"/>
      <c r="AH103" s="75"/>
      <c r="AI103" s="75"/>
      <c r="AJ103" s="75"/>
      <c r="AK103" s="75"/>
      <c r="AL103" s="75"/>
      <c r="AM103" s="75" t="s">
        <v>4348</v>
      </c>
      <c r="AN103" s="75" t="s">
        <v>96</v>
      </c>
      <c r="AO103" s="75" t="s">
        <v>238</v>
      </c>
      <c r="AP103" s="75" t="s">
        <v>97</v>
      </c>
      <c r="AQ103" s="75"/>
      <c r="AR103" s="75"/>
      <c r="AS103" s="102" t="s">
        <v>1571</v>
      </c>
      <c r="AT103" s="101">
        <v>476323235</v>
      </c>
      <c r="AU103" s="75" t="s">
        <v>399</v>
      </c>
      <c r="AV103" s="75" t="s">
        <v>112</v>
      </c>
      <c r="AW103" s="75" t="s">
        <v>100</v>
      </c>
      <c r="AX103" s="75" t="s">
        <v>2071</v>
      </c>
      <c r="AY103" s="75" t="s">
        <v>102</v>
      </c>
      <c r="AZ103" s="75" t="s">
        <v>2041</v>
      </c>
      <c r="BA103" s="75">
        <v>21</v>
      </c>
      <c r="BB103" s="75">
        <v>8</v>
      </c>
      <c r="BC103" s="75">
        <v>90</v>
      </c>
      <c r="BD103" s="75">
        <v>0.02</v>
      </c>
      <c r="BE103" s="75" t="s">
        <v>97</v>
      </c>
      <c r="BF103" s="75"/>
      <c r="BG103" s="75">
        <v>3773</v>
      </c>
      <c r="BH103" s="77"/>
      <c r="BI103" s="77"/>
      <c r="BJ103" s="77"/>
      <c r="BK103" s="75">
        <v>1430</v>
      </c>
      <c r="BL103" s="75">
        <f t="shared" si="3"/>
        <v>5203</v>
      </c>
      <c r="BM103" s="103">
        <f t="shared" si="4"/>
        <v>286.16500000000002</v>
      </c>
      <c r="BN103" s="103">
        <f t="shared" si="5"/>
        <v>5489.165</v>
      </c>
      <c r="BO103" s="103">
        <v>4829.79</v>
      </c>
      <c r="BP103" s="75" t="s">
        <v>104</v>
      </c>
      <c r="BQ103" s="75"/>
      <c r="BR103" s="75"/>
      <c r="BS103" s="157">
        <v>2016</v>
      </c>
      <c r="BU103">
        <v>2016</v>
      </c>
    </row>
    <row r="104" spans="1:73" ht="43.15" customHeight="1" x14ac:dyDescent="0.25">
      <c r="A104" s="242" t="s">
        <v>186</v>
      </c>
      <c r="B104" s="242" t="s">
        <v>2040</v>
      </c>
      <c r="C104" s="159">
        <v>400</v>
      </c>
      <c r="D104" s="114">
        <v>42641</v>
      </c>
      <c r="E104" s="114"/>
      <c r="F104" s="114" t="s">
        <v>2039</v>
      </c>
      <c r="G104" s="114"/>
      <c r="H104" s="114">
        <v>42678</v>
      </c>
      <c r="I104" s="114">
        <v>42678</v>
      </c>
      <c r="J104" s="114">
        <v>42695</v>
      </c>
      <c r="K104" s="76"/>
      <c r="L104" s="114">
        <v>42698</v>
      </c>
      <c r="M104" s="114">
        <v>42696</v>
      </c>
      <c r="N104" s="114"/>
      <c r="O104" s="114">
        <v>42716</v>
      </c>
      <c r="P104" s="114">
        <v>42716</v>
      </c>
      <c r="Q104" s="114">
        <v>42717</v>
      </c>
      <c r="R104" s="80"/>
      <c r="S104" s="114"/>
      <c r="T104" s="75"/>
      <c r="U104" s="75"/>
      <c r="V104" s="75"/>
      <c r="W104" s="75">
        <v>2</v>
      </c>
      <c r="X104" s="75">
        <v>47475</v>
      </c>
      <c r="Y104" s="75" t="str">
        <f ca="1">IF(I104="",IF(D104="","",IF(W104+X104&lt;15,"Données Nb pers ou RFR manquantes",IF(COUNTA(INDIRECT("TabRFR["&amp;YEAR(D104)&amp;"]"))&lt;&gt;COUNTA(TabRFR[Recherche RFR]),"Data RFR manquantes", IF(X104&lt;=INDEX(TabRFR[[2021]:[2025]],MATCH(BD!W104&amp;"-Très modestes",TabRFR[Recherche RFR],0),MATCH(TEXT(YEAR(BD!D104),"Standard"),TabRFR[[#Headers],[2021]:[2025]],0)),"Très Modeste",IF(X104&lt;=INDEX(TabRFR[[2021]:[2025]],MATCH(BD!W104&amp;"-modestes",TabRFR[Recherche RFR],0),MATCH(TEXT(YEAR(BD!D104),"Standard"),TabRFR[[#Headers],[2021]:[2025]],0)),"Modeste",IF(X104&lt;=INDEX(TabRFR[[2021]:[2025]],MATCH(BD!W104&amp;"-Intermédiaire",TabRFR[Recherche RFR],0),MATCH(TEXT(YEAR(BD!D104),"Standard"),TabRFR[[#Headers],[2021]:[2025]],0)),"Intermédiaire","Supérieur")))))),IF(D104="","",IF(W104+X104&lt;15,"Données Nb pers ou RFR manquantes",IF(COUNTA(INDIRECT("TabRFR["&amp;YEAR(I104)&amp;"]"))&lt;&gt;COUNTA(TabRFR[Recherche RFR]),"Data RFR manquantes", IF(X104&lt;=INDEX(TabRFR[[2021]:[2025]],MATCH(BD!W104&amp;"-Très modestes",TabRFR[Recherche RFR],0),MATCH(TEXT(YEAR(BD!I104),"Standard"),TabRFR[[#Headers],[2021]:[2025]],0)),"Très Modeste",IF(X104&lt;=INDEX(TabRFR[[2021]:[2025]],MATCH(BD!W104&amp;"-modestes",TabRFR[Recherche RFR],0),MATCH(TEXT(YEAR(BD!I104),"Standard"),TabRFR[[#Headers],[2021]:[2025]],0)),"Modeste",IF(X104&lt;=INDEX(TabRFR[[2021]:[2025]],MATCH(BD!W104&amp;"-Intermédiaire",TabRFR[Recherche RFR],0),MATCH(TEXT(YEAR(BD!I104),"Standard"),TabRFR[[#Headers],[2021]:[2025]],0)),"Intermédiaire","Supérieur")))))))</f>
        <v>Data RFR manquantes</v>
      </c>
      <c r="Z104" s="75"/>
      <c r="AA104" s="75" t="s">
        <v>304</v>
      </c>
      <c r="AB104" s="75">
        <v>38340</v>
      </c>
      <c r="AC104" s="75" t="s">
        <v>108</v>
      </c>
      <c r="AD104" s="101"/>
      <c r="AE104" s="102"/>
      <c r="AF104" s="75" t="s">
        <v>95</v>
      </c>
      <c r="AG104" s="75"/>
      <c r="AH104" s="75"/>
      <c r="AI104" s="75"/>
      <c r="AJ104" s="75"/>
      <c r="AK104" s="75"/>
      <c r="AL104" s="75"/>
      <c r="AM104" s="75" t="s">
        <v>4233</v>
      </c>
      <c r="AN104" s="75" t="s">
        <v>829</v>
      </c>
      <c r="AO104" s="75" t="s">
        <v>325</v>
      </c>
      <c r="AP104" s="75" t="s">
        <v>97</v>
      </c>
      <c r="AQ104" s="75"/>
      <c r="AR104" s="75"/>
      <c r="AS104" s="102" t="s">
        <v>211</v>
      </c>
      <c r="AT104" s="101">
        <v>438029038</v>
      </c>
      <c r="AU104" s="75" t="s">
        <v>100</v>
      </c>
      <c r="AV104" s="75" t="s">
        <v>112</v>
      </c>
      <c r="AW104" s="75" t="s">
        <v>100</v>
      </c>
      <c r="AX104" s="75" t="s">
        <v>2071</v>
      </c>
      <c r="AY104" s="75" t="s">
        <v>272</v>
      </c>
      <c r="AZ104" s="75" t="s">
        <v>2035</v>
      </c>
      <c r="BA104" s="75">
        <v>18</v>
      </c>
      <c r="BB104" s="75">
        <v>9</v>
      </c>
      <c r="BC104" s="75">
        <v>90</v>
      </c>
      <c r="BD104" s="75">
        <v>0.01</v>
      </c>
      <c r="BE104" s="75" t="s">
        <v>97</v>
      </c>
      <c r="BF104" s="75"/>
      <c r="BG104" s="75">
        <v>4250</v>
      </c>
      <c r="BH104" s="77"/>
      <c r="BI104" s="77"/>
      <c r="BJ104" s="77"/>
      <c r="BK104" s="75">
        <v>950</v>
      </c>
      <c r="BL104" s="75">
        <f t="shared" si="3"/>
        <v>5200</v>
      </c>
      <c r="BM104" s="103">
        <f t="shared" si="4"/>
        <v>286</v>
      </c>
      <c r="BN104" s="103">
        <f t="shared" si="5"/>
        <v>5486</v>
      </c>
      <c r="BO104" s="103">
        <v>5200</v>
      </c>
      <c r="BP104" s="75" t="s">
        <v>97</v>
      </c>
      <c r="BQ104" s="75"/>
      <c r="BR104" s="75"/>
      <c r="BS104" s="157">
        <v>2016</v>
      </c>
      <c r="BU104">
        <v>2016</v>
      </c>
    </row>
    <row r="105" spans="1:73" ht="43.15" customHeight="1" x14ac:dyDescent="0.25">
      <c r="A105" s="29" t="s">
        <v>186</v>
      </c>
      <c r="B105" s="29" t="s">
        <v>1805</v>
      </c>
      <c r="C105" s="161" t="s">
        <v>9</v>
      </c>
      <c r="D105" s="110">
        <v>42642</v>
      </c>
      <c r="E105" s="110"/>
      <c r="F105" s="110" t="s">
        <v>1804</v>
      </c>
      <c r="G105" s="110"/>
      <c r="H105" s="110"/>
      <c r="I105" s="110"/>
      <c r="J105" s="110"/>
      <c r="K105" s="110"/>
      <c r="L105" s="110"/>
      <c r="M105" s="110"/>
      <c r="N105" s="110"/>
      <c r="O105" s="110"/>
      <c r="P105" s="110"/>
      <c r="Q105" s="110"/>
      <c r="R105" s="109"/>
      <c r="S105" s="110">
        <v>42761</v>
      </c>
      <c r="T105" s="111" t="s">
        <v>1803</v>
      </c>
      <c r="U105" s="111"/>
      <c r="V105" s="111"/>
      <c r="W105" s="111">
        <v>2</v>
      </c>
      <c r="X105" s="111">
        <v>25818</v>
      </c>
      <c r="Y105" s="75" t="str">
        <f ca="1">IF(I105="",IF(D105="","",IF(W105+X105&lt;15,"Données Nb pers ou RFR manquantes",IF(COUNTA(INDIRECT("TabRFR["&amp;YEAR(D105)&amp;"]"))&lt;&gt;COUNTA(TabRFR[Recherche RFR]),"Data RFR manquantes", IF(X105&lt;=INDEX(TabRFR[[2021]:[2025]],MATCH(BD!W105&amp;"-Très modestes",TabRFR[Recherche RFR],0),MATCH(TEXT(YEAR(BD!D105),"Standard"),TabRFR[[#Headers],[2021]:[2025]],0)),"Très Modeste",IF(X105&lt;=INDEX(TabRFR[[2021]:[2025]],MATCH(BD!W105&amp;"-modestes",TabRFR[Recherche RFR],0),MATCH(TEXT(YEAR(BD!D105),"Standard"),TabRFR[[#Headers],[2021]:[2025]],0)),"Modeste",IF(X105&lt;=INDEX(TabRFR[[2021]:[2025]],MATCH(BD!W105&amp;"-Intermédiaire",TabRFR[Recherche RFR],0),MATCH(TEXT(YEAR(BD!D105),"Standard"),TabRFR[[#Headers],[2021]:[2025]],0)),"Intermédiaire","Supérieur")))))),IF(D105="","",IF(W105+X105&lt;15,"Données Nb pers ou RFR manquantes",IF(COUNTA(INDIRECT("TabRFR["&amp;YEAR(I105)&amp;"]"))&lt;&gt;COUNTA(TabRFR[Recherche RFR]),"Data RFR manquantes", IF(X105&lt;=INDEX(TabRFR[[2021]:[2025]],MATCH(BD!W105&amp;"-Très modestes",TabRFR[Recherche RFR],0),MATCH(TEXT(YEAR(BD!I105),"Standard"),TabRFR[[#Headers],[2021]:[2025]],0)),"Très Modeste",IF(X105&lt;=INDEX(TabRFR[[2021]:[2025]],MATCH(BD!W105&amp;"-modestes",TabRFR[Recherche RFR],0),MATCH(TEXT(YEAR(BD!I105),"Standard"),TabRFR[[#Headers],[2021]:[2025]],0)),"Modeste",IF(X105&lt;=INDEX(TabRFR[[2021]:[2025]],MATCH(BD!W105&amp;"-Intermédiaire",TabRFR[Recherche RFR],0),MATCH(TEXT(YEAR(BD!I105),"Standard"),TabRFR[[#Headers],[2021]:[2025]],0)),"Intermédiaire","Supérieur")))))))</f>
        <v>Data RFR manquantes</v>
      </c>
      <c r="Z105" s="111"/>
      <c r="AA105" s="111" t="s">
        <v>496</v>
      </c>
      <c r="AB105" s="111">
        <v>38500</v>
      </c>
      <c r="AC105" s="111" t="s">
        <v>96</v>
      </c>
      <c r="AD105" s="127"/>
      <c r="AE105" s="102"/>
      <c r="AF105" s="111" t="s">
        <v>95</v>
      </c>
      <c r="AG105" s="111"/>
      <c r="AH105" s="111">
        <v>1964</v>
      </c>
      <c r="AI105" s="111"/>
      <c r="AJ105" s="111"/>
      <c r="AK105" s="111"/>
      <c r="AL105" s="111"/>
      <c r="AM105" s="111" t="s">
        <v>4167</v>
      </c>
      <c r="AN105" s="111" t="s">
        <v>3996</v>
      </c>
      <c r="AO105" s="111"/>
      <c r="AP105" s="111" t="s">
        <v>97</v>
      </c>
      <c r="AQ105" s="111"/>
      <c r="AR105" s="111"/>
      <c r="AS105" s="102"/>
      <c r="AT105" s="112">
        <v>474974052</v>
      </c>
      <c r="AU105" s="111" t="s">
        <v>399</v>
      </c>
      <c r="AV105" s="111" t="s">
        <v>112</v>
      </c>
      <c r="AW105" s="111" t="s">
        <v>100</v>
      </c>
      <c r="AX105" s="75" t="s">
        <v>2071</v>
      </c>
      <c r="AY105" s="111" t="s">
        <v>1801</v>
      </c>
      <c r="AZ105" s="111"/>
      <c r="BA105" s="111"/>
      <c r="BB105" s="111"/>
      <c r="BC105" s="111"/>
      <c r="BD105" s="111"/>
      <c r="BE105" s="111"/>
      <c r="BF105" s="111"/>
      <c r="BG105" s="111"/>
      <c r="BH105" s="111"/>
      <c r="BI105" s="111"/>
      <c r="BJ105" s="111"/>
      <c r="BK105" s="111"/>
      <c r="BL105" s="75">
        <f t="shared" si="3"/>
        <v>0</v>
      </c>
      <c r="BM105" s="103">
        <f t="shared" si="4"/>
        <v>0</v>
      </c>
      <c r="BN105" s="103">
        <f t="shared" si="5"/>
        <v>0</v>
      </c>
      <c r="BO105" s="111"/>
      <c r="BP105" s="111"/>
      <c r="BQ105" s="111"/>
      <c r="BR105" s="111"/>
      <c r="BS105" s="157">
        <v>2016</v>
      </c>
      <c r="BU105" t="s">
        <v>4180</v>
      </c>
    </row>
    <row r="106" spans="1:73" ht="43.15" customHeight="1" x14ac:dyDescent="0.25">
      <c r="A106" s="242" t="s">
        <v>186</v>
      </c>
      <c r="B106" s="242" t="s">
        <v>2034</v>
      </c>
      <c r="C106" s="159">
        <v>400</v>
      </c>
      <c r="D106" s="114">
        <v>42642</v>
      </c>
      <c r="E106" s="114"/>
      <c r="F106" s="114"/>
      <c r="G106" s="114"/>
      <c r="H106" s="114">
        <v>42642</v>
      </c>
      <c r="I106" s="114">
        <v>42642</v>
      </c>
      <c r="J106" s="114">
        <v>42661</v>
      </c>
      <c r="K106" s="76"/>
      <c r="L106" s="114">
        <v>42684</v>
      </c>
      <c r="M106" s="114">
        <v>42667</v>
      </c>
      <c r="N106" s="114"/>
      <c r="O106" s="114">
        <v>42695</v>
      </c>
      <c r="P106" s="114">
        <v>42695</v>
      </c>
      <c r="Q106" s="114">
        <v>42706</v>
      </c>
      <c r="R106" s="80"/>
      <c r="S106" s="114"/>
      <c r="T106" s="75"/>
      <c r="U106" s="75"/>
      <c r="V106" s="75"/>
      <c r="W106" s="75">
        <v>4</v>
      </c>
      <c r="X106" s="75">
        <v>81541</v>
      </c>
      <c r="Y106" s="75" t="str">
        <f ca="1">IF(I106="",IF(D106="","",IF(W106+X106&lt;15,"Données Nb pers ou RFR manquantes",IF(COUNTA(INDIRECT("TabRFR["&amp;YEAR(D106)&amp;"]"))&lt;&gt;COUNTA(TabRFR[Recherche RFR]),"Data RFR manquantes", IF(X106&lt;=INDEX(TabRFR[[2021]:[2025]],MATCH(BD!W106&amp;"-Très modestes",TabRFR[Recherche RFR],0),MATCH(TEXT(YEAR(BD!D106),"Standard"),TabRFR[[#Headers],[2021]:[2025]],0)),"Très Modeste",IF(X106&lt;=INDEX(TabRFR[[2021]:[2025]],MATCH(BD!W106&amp;"-modestes",TabRFR[Recherche RFR],0),MATCH(TEXT(YEAR(BD!D106),"Standard"),TabRFR[[#Headers],[2021]:[2025]],0)),"Modeste",IF(X106&lt;=INDEX(TabRFR[[2021]:[2025]],MATCH(BD!W106&amp;"-Intermédiaire",TabRFR[Recherche RFR],0),MATCH(TEXT(YEAR(BD!D106),"Standard"),TabRFR[[#Headers],[2021]:[2025]],0)),"Intermédiaire","Supérieur")))))),IF(D106="","",IF(W106+X106&lt;15,"Données Nb pers ou RFR manquantes",IF(COUNTA(INDIRECT("TabRFR["&amp;YEAR(I106)&amp;"]"))&lt;&gt;COUNTA(TabRFR[Recherche RFR]),"Data RFR manquantes", IF(X106&lt;=INDEX(TabRFR[[2021]:[2025]],MATCH(BD!W106&amp;"-Très modestes",TabRFR[Recherche RFR],0),MATCH(TEXT(YEAR(BD!I106),"Standard"),TabRFR[[#Headers],[2021]:[2025]],0)),"Très Modeste",IF(X106&lt;=INDEX(TabRFR[[2021]:[2025]],MATCH(BD!W106&amp;"-modestes",TabRFR[Recherche RFR],0),MATCH(TEXT(YEAR(BD!I106),"Standard"),TabRFR[[#Headers],[2021]:[2025]],0)),"Modeste",IF(X106&lt;=INDEX(TabRFR[[2021]:[2025]],MATCH(BD!W106&amp;"-Intermédiaire",TabRFR[Recherche RFR],0),MATCH(TEXT(YEAR(BD!I106),"Standard"),TabRFR[[#Headers],[2021]:[2025]],0)),"Intermédiaire","Supérieur")))))))</f>
        <v>Data RFR manquantes</v>
      </c>
      <c r="Z106" s="75"/>
      <c r="AA106" s="75" t="s">
        <v>2032</v>
      </c>
      <c r="AB106" s="75">
        <v>38500</v>
      </c>
      <c r="AC106" s="75" t="s">
        <v>2873</v>
      </c>
      <c r="AD106" s="101"/>
      <c r="AE106" s="102"/>
      <c r="AF106" s="75" t="s">
        <v>95</v>
      </c>
      <c r="AG106" s="75"/>
      <c r="AH106" s="75"/>
      <c r="AI106" s="75"/>
      <c r="AJ106" s="75"/>
      <c r="AK106" s="75"/>
      <c r="AL106" s="75"/>
      <c r="AM106" s="75" t="s">
        <v>4356</v>
      </c>
      <c r="AN106" s="75" t="s">
        <v>96</v>
      </c>
      <c r="AO106" s="75" t="s">
        <v>119</v>
      </c>
      <c r="AP106" s="75" t="s">
        <v>97</v>
      </c>
      <c r="AQ106" s="75"/>
      <c r="AR106" s="75"/>
      <c r="AS106" s="102" t="s">
        <v>120</v>
      </c>
      <c r="AT106" s="101">
        <v>476071461</v>
      </c>
      <c r="AU106" s="75" t="s">
        <v>111</v>
      </c>
      <c r="AV106" s="75" t="s">
        <v>112</v>
      </c>
      <c r="AW106" s="75" t="s">
        <v>100</v>
      </c>
      <c r="AX106" s="75" t="s">
        <v>112</v>
      </c>
      <c r="AY106" s="75" t="s">
        <v>1603</v>
      </c>
      <c r="AZ106" s="75" t="s">
        <v>1011</v>
      </c>
      <c r="BA106" s="75">
        <v>34</v>
      </c>
      <c r="BB106" s="75">
        <v>7</v>
      </c>
      <c r="BC106" s="75">
        <v>78</v>
      </c>
      <c r="BD106" s="75">
        <v>0.09</v>
      </c>
      <c r="BE106" s="75" t="s">
        <v>97</v>
      </c>
      <c r="BF106" s="75"/>
      <c r="BG106" s="75">
        <v>2152</v>
      </c>
      <c r="BH106" s="77"/>
      <c r="BI106" s="77"/>
      <c r="BJ106" s="77"/>
      <c r="BK106" s="75">
        <v>550</v>
      </c>
      <c r="BL106" s="75">
        <f t="shared" si="3"/>
        <v>2702</v>
      </c>
      <c r="BM106" s="103">
        <f t="shared" si="4"/>
        <v>148.61000000000001</v>
      </c>
      <c r="BN106" s="103">
        <f t="shared" si="5"/>
        <v>2850.61</v>
      </c>
      <c r="BO106" s="103">
        <v>5605.22</v>
      </c>
      <c r="BP106" s="75" t="s">
        <v>97</v>
      </c>
      <c r="BQ106" s="75"/>
      <c r="BR106" s="75"/>
      <c r="BS106" s="157">
        <v>2016</v>
      </c>
      <c r="BT106">
        <v>2020</v>
      </c>
      <c r="BU106">
        <v>2016</v>
      </c>
    </row>
    <row r="107" spans="1:73" ht="43.15" customHeight="1" x14ac:dyDescent="0.25">
      <c r="A107" s="242" t="s">
        <v>186</v>
      </c>
      <c r="B107" s="242" t="s">
        <v>2030</v>
      </c>
      <c r="C107" s="159">
        <v>400</v>
      </c>
      <c r="D107" s="114">
        <v>42643</v>
      </c>
      <c r="E107" s="114"/>
      <c r="F107" s="114"/>
      <c r="G107" s="114"/>
      <c r="H107" s="114">
        <v>42650</v>
      </c>
      <c r="I107" s="114">
        <v>42650</v>
      </c>
      <c r="J107" s="114">
        <v>42663</v>
      </c>
      <c r="K107" s="76"/>
      <c r="L107" s="114">
        <v>42690</v>
      </c>
      <c r="M107" s="114" t="s">
        <v>2029</v>
      </c>
      <c r="N107" s="114"/>
      <c r="O107" s="114">
        <v>42695</v>
      </c>
      <c r="P107" s="114">
        <v>42695</v>
      </c>
      <c r="Q107" s="114">
        <v>42706</v>
      </c>
      <c r="R107" s="80"/>
      <c r="S107" s="114"/>
      <c r="T107" s="75"/>
      <c r="U107" s="75"/>
      <c r="V107" s="75"/>
      <c r="W107" s="75">
        <v>2</v>
      </c>
      <c r="X107" s="75">
        <v>33051</v>
      </c>
      <c r="Y107" s="75" t="str">
        <f ca="1">IF(I107="",IF(D107="","",IF(W107+X107&lt;15,"Données Nb pers ou RFR manquantes",IF(COUNTA(INDIRECT("TabRFR["&amp;YEAR(D107)&amp;"]"))&lt;&gt;COUNTA(TabRFR[Recherche RFR]),"Data RFR manquantes", IF(X107&lt;=INDEX(TabRFR[[2021]:[2025]],MATCH(BD!W107&amp;"-Très modestes",TabRFR[Recherche RFR],0),MATCH(TEXT(YEAR(BD!D107),"Standard"),TabRFR[[#Headers],[2021]:[2025]],0)),"Très Modeste",IF(X107&lt;=INDEX(TabRFR[[2021]:[2025]],MATCH(BD!W107&amp;"-modestes",TabRFR[Recherche RFR],0),MATCH(TEXT(YEAR(BD!D107),"Standard"),TabRFR[[#Headers],[2021]:[2025]],0)),"Modeste",IF(X107&lt;=INDEX(TabRFR[[2021]:[2025]],MATCH(BD!W107&amp;"-Intermédiaire",TabRFR[Recherche RFR],0),MATCH(TEXT(YEAR(BD!D107),"Standard"),TabRFR[[#Headers],[2021]:[2025]],0)),"Intermédiaire","Supérieur")))))),IF(D107="","",IF(W107+X107&lt;15,"Données Nb pers ou RFR manquantes",IF(COUNTA(INDIRECT("TabRFR["&amp;YEAR(I107)&amp;"]"))&lt;&gt;COUNTA(TabRFR[Recherche RFR]),"Data RFR manquantes", IF(X107&lt;=INDEX(TabRFR[[2021]:[2025]],MATCH(BD!W107&amp;"-Très modestes",TabRFR[Recherche RFR],0),MATCH(TEXT(YEAR(BD!I107),"Standard"),TabRFR[[#Headers],[2021]:[2025]],0)),"Très Modeste",IF(X107&lt;=INDEX(TabRFR[[2021]:[2025]],MATCH(BD!W107&amp;"-modestes",TabRFR[Recherche RFR],0),MATCH(TEXT(YEAR(BD!I107),"Standard"),TabRFR[[#Headers],[2021]:[2025]],0)),"Modeste",IF(X107&lt;=INDEX(TabRFR[[2021]:[2025]],MATCH(BD!W107&amp;"-Intermédiaire",TabRFR[Recherche RFR],0),MATCH(TEXT(YEAR(BD!I107),"Standard"),TabRFR[[#Headers],[2021]:[2025]],0)),"Intermédiaire","Supérieur")))))))</f>
        <v>Data RFR manquantes</v>
      </c>
      <c r="Z107" s="75"/>
      <c r="AA107" s="75" t="s">
        <v>793</v>
      </c>
      <c r="AB107" s="75">
        <v>38850</v>
      </c>
      <c r="AC107" s="75" t="s">
        <v>148</v>
      </c>
      <c r="AD107" s="101"/>
      <c r="AE107" s="102"/>
      <c r="AF107" s="75" t="s">
        <v>95</v>
      </c>
      <c r="AG107" s="75"/>
      <c r="AH107" s="75"/>
      <c r="AI107" s="75"/>
      <c r="AJ107" s="75"/>
      <c r="AK107" s="75"/>
      <c r="AL107" s="75"/>
      <c r="AM107" s="75" t="s">
        <v>4356</v>
      </c>
      <c r="AN107" s="75" t="s">
        <v>96</v>
      </c>
      <c r="AO107" s="75" t="s">
        <v>1948</v>
      </c>
      <c r="AP107" s="75" t="s">
        <v>97</v>
      </c>
      <c r="AQ107" s="75"/>
      <c r="AR107" s="75"/>
      <c r="AS107" s="102" t="s">
        <v>120</v>
      </c>
      <c r="AT107" s="101">
        <v>476071461</v>
      </c>
      <c r="AU107" s="75" t="s">
        <v>111</v>
      </c>
      <c r="AV107" s="75" t="s">
        <v>112</v>
      </c>
      <c r="AW107" s="75" t="s">
        <v>111</v>
      </c>
      <c r="AX107" s="75" t="s">
        <v>2071</v>
      </c>
      <c r="AY107" s="75" t="s">
        <v>102</v>
      </c>
      <c r="AZ107" s="75" t="s">
        <v>2026</v>
      </c>
      <c r="BA107" s="75">
        <v>28</v>
      </c>
      <c r="BB107" s="75">
        <v>8.8000000000000007</v>
      </c>
      <c r="BC107" s="75">
        <v>93</v>
      </c>
      <c r="BD107" s="75">
        <v>0.02</v>
      </c>
      <c r="BE107" s="75" t="s">
        <v>97</v>
      </c>
      <c r="BF107" s="75"/>
      <c r="BG107" s="75">
        <v>3406</v>
      </c>
      <c r="BH107" s="77"/>
      <c r="BI107" s="77"/>
      <c r="BJ107" s="77"/>
      <c r="BK107" s="75">
        <v>460</v>
      </c>
      <c r="BL107" s="75">
        <f t="shared" si="3"/>
        <v>3866</v>
      </c>
      <c r="BM107" s="103">
        <f t="shared" si="4"/>
        <v>212.63</v>
      </c>
      <c r="BN107" s="103">
        <f t="shared" si="5"/>
        <v>4078.63</v>
      </c>
      <c r="BO107" s="103">
        <v>4839.29</v>
      </c>
      <c r="BP107" s="75"/>
      <c r="BQ107" s="75"/>
      <c r="BR107" s="75"/>
      <c r="BS107" s="157">
        <v>2016</v>
      </c>
      <c r="BU107">
        <v>2016</v>
      </c>
    </row>
    <row r="108" spans="1:73" ht="43.15" customHeight="1" x14ac:dyDescent="0.25">
      <c r="A108" s="242" t="s">
        <v>186</v>
      </c>
      <c r="B108" s="242" t="s">
        <v>2025</v>
      </c>
      <c r="C108" s="159">
        <v>400</v>
      </c>
      <c r="D108" s="114">
        <v>42648</v>
      </c>
      <c r="E108" s="114"/>
      <c r="F108" s="114" t="s">
        <v>2024</v>
      </c>
      <c r="G108" s="114"/>
      <c r="H108" s="114">
        <v>42656</v>
      </c>
      <c r="I108" s="114">
        <v>42656</v>
      </c>
      <c r="J108" s="114">
        <v>42663</v>
      </c>
      <c r="K108" s="76"/>
      <c r="L108" s="114">
        <v>42745</v>
      </c>
      <c r="M108" s="114">
        <v>42731</v>
      </c>
      <c r="N108" s="114"/>
      <c r="O108" s="114">
        <v>42752</v>
      </c>
      <c r="P108" s="114">
        <v>42752</v>
      </c>
      <c r="Q108" s="114">
        <v>42755</v>
      </c>
      <c r="R108" s="80"/>
      <c r="S108" s="114"/>
      <c r="T108" s="75"/>
      <c r="U108" s="75"/>
      <c r="V108" s="75"/>
      <c r="W108" s="75">
        <v>4</v>
      </c>
      <c r="X108" s="75">
        <v>39949</v>
      </c>
      <c r="Y108" s="75" t="str">
        <f ca="1">IF(I108="",IF(D108="","",IF(W108+X108&lt;15,"Données Nb pers ou RFR manquantes",IF(COUNTA(INDIRECT("TabRFR["&amp;YEAR(D108)&amp;"]"))&lt;&gt;COUNTA(TabRFR[Recherche RFR]),"Data RFR manquantes", IF(X108&lt;=INDEX(TabRFR[[2021]:[2025]],MATCH(BD!W108&amp;"-Très modestes",TabRFR[Recherche RFR],0),MATCH(TEXT(YEAR(BD!D108),"Standard"),TabRFR[[#Headers],[2021]:[2025]],0)),"Très Modeste",IF(X108&lt;=INDEX(TabRFR[[2021]:[2025]],MATCH(BD!W108&amp;"-modestes",TabRFR[Recherche RFR],0),MATCH(TEXT(YEAR(BD!D108),"Standard"),TabRFR[[#Headers],[2021]:[2025]],0)),"Modeste",IF(X108&lt;=INDEX(TabRFR[[2021]:[2025]],MATCH(BD!W108&amp;"-Intermédiaire",TabRFR[Recherche RFR],0),MATCH(TEXT(YEAR(BD!D108),"Standard"),TabRFR[[#Headers],[2021]:[2025]],0)),"Intermédiaire","Supérieur")))))),IF(D108="","",IF(W108+X108&lt;15,"Données Nb pers ou RFR manquantes",IF(COUNTA(INDIRECT("TabRFR["&amp;YEAR(I108)&amp;"]"))&lt;&gt;COUNTA(TabRFR[Recherche RFR]),"Data RFR manquantes", IF(X108&lt;=INDEX(TabRFR[[2021]:[2025]],MATCH(BD!W108&amp;"-Très modestes",TabRFR[Recherche RFR],0),MATCH(TEXT(YEAR(BD!I108),"Standard"),TabRFR[[#Headers],[2021]:[2025]],0)),"Très Modeste",IF(X108&lt;=INDEX(TabRFR[[2021]:[2025]],MATCH(BD!W108&amp;"-modestes",TabRFR[Recherche RFR],0),MATCH(TEXT(YEAR(BD!I108),"Standard"),TabRFR[[#Headers],[2021]:[2025]],0)),"Modeste",IF(X108&lt;=INDEX(TabRFR[[2021]:[2025]],MATCH(BD!W108&amp;"-Intermédiaire",TabRFR[Recherche RFR],0),MATCH(TEXT(YEAR(BD!I108),"Standard"),TabRFR[[#Headers],[2021]:[2025]],0)),"Intermédiaire","Supérieur")))))))</f>
        <v>Data RFR manquantes</v>
      </c>
      <c r="Z108" s="75"/>
      <c r="AA108" s="75" t="s">
        <v>2022</v>
      </c>
      <c r="AB108" s="75">
        <v>38620</v>
      </c>
      <c r="AC108" s="75" t="s">
        <v>783</v>
      </c>
      <c r="AD108" s="101"/>
      <c r="AE108" s="102"/>
      <c r="AF108" s="75"/>
      <c r="AG108" s="75"/>
      <c r="AH108" s="75"/>
      <c r="AI108" s="75"/>
      <c r="AJ108" s="75"/>
      <c r="AK108" s="75"/>
      <c r="AL108" s="75"/>
      <c r="AM108" s="75" t="s">
        <v>4236</v>
      </c>
      <c r="AN108" s="75" t="s">
        <v>4091</v>
      </c>
      <c r="AO108" s="75" t="s">
        <v>163</v>
      </c>
      <c r="AP108" s="75" t="s">
        <v>97</v>
      </c>
      <c r="AQ108" s="75"/>
      <c r="AR108" s="75"/>
      <c r="AS108" s="102" t="s">
        <v>164</v>
      </c>
      <c r="AT108" s="101">
        <v>476370350</v>
      </c>
      <c r="AU108" s="75" t="s">
        <v>100</v>
      </c>
      <c r="AV108" s="75" t="s">
        <v>112</v>
      </c>
      <c r="AW108" s="75" t="s">
        <v>100</v>
      </c>
      <c r="AX108" s="75" t="s">
        <v>2071</v>
      </c>
      <c r="AY108" s="75" t="s">
        <v>1017</v>
      </c>
      <c r="AZ108" s="75" t="s">
        <v>2020</v>
      </c>
      <c r="BA108" s="75">
        <v>8</v>
      </c>
      <c r="BB108" s="75">
        <v>9</v>
      </c>
      <c r="BC108" s="75">
        <v>90.5</v>
      </c>
      <c r="BD108" s="75">
        <v>0</v>
      </c>
      <c r="BE108" s="75" t="s">
        <v>97</v>
      </c>
      <c r="BF108" s="75"/>
      <c r="BG108" s="75">
        <v>4344</v>
      </c>
      <c r="BH108" s="77"/>
      <c r="BI108" s="77"/>
      <c r="BJ108" s="77"/>
      <c r="BK108" s="75">
        <v>590</v>
      </c>
      <c r="BL108" s="75">
        <f t="shared" si="3"/>
        <v>4934</v>
      </c>
      <c r="BM108" s="103">
        <f t="shared" si="4"/>
        <v>271.37</v>
      </c>
      <c r="BN108" s="103">
        <f t="shared" si="5"/>
        <v>5205.37</v>
      </c>
      <c r="BO108" s="103">
        <v>5205.37</v>
      </c>
      <c r="BP108" s="75" t="s">
        <v>97</v>
      </c>
      <c r="BQ108" s="75"/>
      <c r="BR108" s="75"/>
      <c r="BS108" s="157">
        <v>2016</v>
      </c>
      <c r="BU108">
        <v>2016</v>
      </c>
    </row>
    <row r="109" spans="1:73" ht="43.15" customHeight="1" x14ac:dyDescent="0.25">
      <c r="A109" s="242" t="s">
        <v>186</v>
      </c>
      <c r="B109" s="242" t="s">
        <v>2019</v>
      </c>
      <c r="C109" s="159">
        <v>800</v>
      </c>
      <c r="D109" s="114">
        <v>42648</v>
      </c>
      <c r="E109" s="114"/>
      <c r="F109" s="114"/>
      <c r="G109" s="114"/>
      <c r="H109" s="114">
        <v>42650</v>
      </c>
      <c r="I109" s="114">
        <v>42650</v>
      </c>
      <c r="J109" s="114">
        <v>42663</v>
      </c>
      <c r="K109" s="76"/>
      <c r="L109" s="114">
        <v>42677</v>
      </c>
      <c r="M109" s="114">
        <v>42667</v>
      </c>
      <c r="N109" s="114"/>
      <c r="O109" s="114">
        <v>42678</v>
      </c>
      <c r="P109" s="114">
        <v>42678</v>
      </c>
      <c r="Q109" s="114">
        <v>42695</v>
      </c>
      <c r="R109" s="81"/>
      <c r="S109" s="114"/>
      <c r="T109" s="75"/>
      <c r="U109" s="75"/>
      <c r="V109" s="75"/>
      <c r="W109" s="75">
        <v>4</v>
      </c>
      <c r="X109" s="75">
        <v>23244</v>
      </c>
      <c r="Y109" s="75" t="str">
        <f ca="1">IF(I109="",IF(D109="","",IF(W109+X109&lt;15,"Données Nb pers ou RFR manquantes",IF(COUNTA(INDIRECT("TabRFR["&amp;YEAR(D109)&amp;"]"))&lt;&gt;COUNTA(TabRFR[Recherche RFR]),"Data RFR manquantes", IF(X109&lt;=INDEX(TabRFR[[2021]:[2025]],MATCH(BD!W109&amp;"-Très modestes",TabRFR[Recherche RFR],0),MATCH(TEXT(YEAR(BD!D109),"Standard"),TabRFR[[#Headers],[2021]:[2025]],0)),"Très Modeste",IF(X109&lt;=INDEX(TabRFR[[2021]:[2025]],MATCH(BD!W109&amp;"-modestes",TabRFR[Recherche RFR],0),MATCH(TEXT(YEAR(BD!D109),"Standard"),TabRFR[[#Headers],[2021]:[2025]],0)),"Modeste",IF(X109&lt;=INDEX(TabRFR[[2021]:[2025]],MATCH(BD!W109&amp;"-Intermédiaire",TabRFR[Recherche RFR],0),MATCH(TEXT(YEAR(BD!D109),"Standard"),TabRFR[[#Headers],[2021]:[2025]],0)),"Intermédiaire","Supérieur")))))),IF(D109="","",IF(W109+X109&lt;15,"Données Nb pers ou RFR manquantes",IF(COUNTA(INDIRECT("TabRFR["&amp;YEAR(I109)&amp;"]"))&lt;&gt;COUNTA(TabRFR[Recherche RFR]),"Data RFR manquantes", IF(X109&lt;=INDEX(TabRFR[[2021]:[2025]],MATCH(BD!W109&amp;"-Très modestes",TabRFR[Recherche RFR],0),MATCH(TEXT(YEAR(BD!I109),"Standard"),TabRFR[[#Headers],[2021]:[2025]],0)),"Très Modeste",IF(X109&lt;=INDEX(TabRFR[[2021]:[2025]],MATCH(BD!W109&amp;"-modestes",TabRFR[Recherche RFR],0),MATCH(TEXT(YEAR(BD!I109),"Standard"),TabRFR[[#Headers],[2021]:[2025]],0)),"Modeste",IF(X109&lt;=INDEX(TabRFR[[2021]:[2025]],MATCH(BD!W109&amp;"-Intermédiaire",TabRFR[Recherche RFR],0),MATCH(TEXT(YEAR(BD!I109),"Standard"),TabRFR[[#Headers],[2021]:[2025]],0)),"Intermédiaire","Supérieur")))))))</f>
        <v>Data RFR manquantes</v>
      </c>
      <c r="Z109" s="75"/>
      <c r="AA109" s="75" t="s">
        <v>2017</v>
      </c>
      <c r="AB109" s="75">
        <v>38960</v>
      </c>
      <c r="AC109" s="75" t="s">
        <v>2378</v>
      </c>
      <c r="AD109" s="101"/>
      <c r="AE109" s="102"/>
      <c r="AF109" s="75" t="s">
        <v>95</v>
      </c>
      <c r="AG109" s="75"/>
      <c r="AH109" s="75">
        <v>42522</v>
      </c>
      <c r="AI109" s="75"/>
      <c r="AJ109" s="75"/>
      <c r="AK109" s="75"/>
      <c r="AL109" s="75"/>
      <c r="AM109" s="75" t="s">
        <v>2016</v>
      </c>
      <c r="AN109" s="75" t="s">
        <v>3708</v>
      </c>
      <c r="AO109" s="75" t="s">
        <v>2015</v>
      </c>
      <c r="AP109" s="75" t="s">
        <v>97</v>
      </c>
      <c r="AQ109" s="75"/>
      <c r="AR109" s="75"/>
      <c r="AS109" s="102" t="s">
        <v>2014</v>
      </c>
      <c r="AT109" s="101"/>
      <c r="AU109" s="75" t="s">
        <v>111</v>
      </c>
      <c r="AV109" s="75" t="s">
        <v>112</v>
      </c>
      <c r="AW109" s="75" t="s">
        <v>100</v>
      </c>
      <c r="AX109" s="75" t="s">
        <v>2071</v>
      </c>
      <c r="AY109" s="75" t="s">
        <v>2013</v>
      </c>
      <c r="AZ109" s="75" t="s">
        <v>2012</v>
      </c>
      <c r="BA109" s="75">
        <v>11</v>
      </c>
      <c r="BB109" s="75">
        <v>10</v>
      </c>
      <c r="BC109" s="75">
        <v>90</v>
      </c>
      <c r="BD109" s="75">
        <v>0.01</v>
      </c>
      <c r="BE109" s="75" t="s">
        <v>97</v>
      </c>
      <c r="BF109" s="75"/>
      <c r="BG109" s="75">
        <v>2888</v>
      </c>
      <c r="BH109" s="77"/>
      <c r="BI109" s="77"/>
      <c r="BJ109" s="77"/>
      <c r="BK109" s="75">
        <v>270</v>
      </c>
      <c r="BL109" s="75">
        <f t="shared" si="3"/>
        <v>3158</v>
      </c>
      <c r="BM109" s="103">
        <f t="shared" si="4"/>
        <v>173.69</v>
      </c>
      <c r="BN109" s="103">
        <f t="shared" si="5"/>
        <v>3331.69</v>
      </c>
      <c r="BO109" s="103">
        <v>3047.16</v>
      </c>
      <c r="BP109" s="75" t="s">
        <v>97</v>
      </c>
      <c r="BQ109" s="75"/>
      <c r="BR109" s="75"/>
      <c r="BS109" s="157">
        <v>2016</v>
      </c>
      <c r="BU109">
        <v>2016</v>
      </c>
    </row>
    <row r="110" spans="1:73" ht="43.15" customHeight="1" x14ac:dyDescent="0.25">
      <c r="A110" s="242" t="s">
        <v>186</v>
      </c>
      <c r="B110" s="242" t="s">
        <v>2011</v>
      </c>
      <c r="C110" s="159">
        <v>400</v>
      </c>
      <c r="D110" s="114">
        <v>42650</v>
      </c>
      <c r="E110" s="114"/>
      <c r="F110" s="114"/>
      <c r="G110" s="114"/>
      <c r="H110" s="114">
        <v>42650</v>
      </c>
      <c r="I110" s="114">
        <v>42650</v>
      </c>
      <c r="J110" s="114">
        <v>42663</v>
      </c>
      <c r="K110" s="76"/>
      <c r="L110" s="114">
        <v>42699</v>
      </c>
      <c r="M110" s="114">
        <v>42681</v>
      </c>
      <c r="N110" s="114"/>
      <c r="O110" s="114">
        <v>42716</v>
      </c>
      <c r="P110" s="114">
        <v>42716</v>
      </c>
      <c r="Q110" s="114">
        <v>42717</v>
      </c>
      <c r="R110" s="80"/>
      <c r="S110" s="114"/>
      <c r="T110" s="75"/>
      <c r="U110" s="75"/>
      <c r="V110" s="75"/>
      <c r="W110" s="75">
        <v>4</v>
      </c>
      <c r="X110" s="75">
        <v>41528</v>
      </c>
      <c r="Y110" s="75" t="str">
        <f ca="1">IF(I110="",IF(D110="","",IF(W110+X110&lt;15,"Données Nb pers ou RFR manquantes",IF(COUNTA(INDIRECT("TabRFR["&amp;YEAR(D110)&amp;"]"))&lt;&gt;COUNTA(TabRFR[Recherche RFR]),"Data RFR manquantes", IF(X110&lt;=INDEX(TabRFR[[2021]:[2025]],MATCH(BD!W110&amp;"-Très modestes",TabRFR[Recherche RFR],0),MATCH(TEXT(YEAR(BD!D110),"Standard"),TabRFR[[#Headers],[2021]:[2025]],0)),"Très Modeste",IF(X110&lt;=INDEX(TabRFR[[2021]:[2025]],MATCH(BD!W110&amp;"-modestes",TabRFR[Recherche RFR],0),MATCH(TEXT(YEAR(BD!D110),"Standard"),TabRFR[[#Headers],[2021]:[2025]],0)),"Modeste",IF(X110&lt;=INDEX(TabRFR[[2021]:[2025]],MATCH(BD!W110&amp;"-Intermédiaire",TabRFR[Recherche RFR],0),MATCH(TEXT(YEAR(BD!D110),"Standard"),TabRFR[[#Headers],[2021]:[2025]],0)),"Intermédiaire","Supérieur")))))),IF(D110="","",IF(W110+X110&lt;15,"Données Nb pers ou RFR manquantes",IF(COUNTA(INDIRECT("TabRFR["&amp;YEAR(I110)&amp;"]"))&lt;&gt;COUNTA(TabRFR[Recherche RFR]),"Data RFR manquantes", IF(X110&lt;=INDEX(TabRFR[[2021]:[2025]],MATCH(BD!W110&amp;"-Très modestes",TabRFR[Recherche RFR],0),MATCH(TEXT(YEAR(BD!I110),"Standard"),TabRFR[[#Headers],[2021]:[2025]],0)),"Très Modeste",IF(X110&lt;=INDEX(TabRFR[[2021]:[2025]],MATCH(BD!W110&amp;"-modestes",TabRFR[Recherche RFR],0),MATCH(TEXT(YEAR(BD!I110),"Standard"),TabRFR[[#Headers],[2021]:[2025]],0)),"Modeste",IF(X110&lt;=INDEX(TabRFR[[2021]:[2025]],MATCH(BD!W110&amp;"-Intermédiaire",TabRFR[Recherche RFR],0),MATCH(TEXT(YEAR(BD!I110),"Standard"),TabRFR[[#Headers],[2021]:[2025]],0)),"Intermédiaire","Supérieur")))))))</f>
        <v>Data RFR manquantes</v>
      </c>
      <c r="Z110" s="75"/>
      <c r="AA110" s="75" t="s">
        <v>1300</v>
      </c>
      <c r="AB110" s="75">
        <v>38850</v>
      </c>
      <c r="AC110" s="75" t="s">
        <v>438</v>
      </c>
      <c r="AD110" s="101"/>
      <c r="AE110" s="102"/>
      <c r="AF110" s="75" t="s">
        <v>95</v>
      </c>
      <c r="AG110" s="75"/>
      <c r="AH110" s="75">
        <v>2016</v>
      </c>
      <c r="AI110" s="75"/>
      <c r="AJ110" s="75"/>
      <c r="AK110" s="75"/>
      <c r="AL110" s="75"/>
      <c r="AM110" s="75" t="s">
        <v>4191</v>
      </c>
      <c r="AN110" s="75" t="s">
        <v>96</v>
      </c>
      <c r="AO110" s="75" t="s">
        <v>229</v>
      </c>
      <c r="AP110" s="75" t="s">
        <v>97</v>
      </c>
      <c r="AQ110" s="75"/>
      <c r="AR110" s="75"/>
      <c r="AS110" s="102" t="s">
        <v>230</v>
      </c>
      <c r="AT110" s="101">
        <v>476059938</v>
      </c>
      <c r="AU110" s="75" t="s">
        <v>111</v>
      </c>
      <c r="AV110" s="75" t="s">
        <v>112</v>
      </c>
      <c r="AW110" s="75" t="s">
        <v>100</v>
      </c>
      <c r="AX110" s="75" t="s">
        <v>2071</v>
      </c>
      <c r="AY110" s="75" t="s">
        <v>232</v>
      </c>
      <c r="AZ110" s="75" t="s">
        <v>2008</v>
      </c>
      <c r="BA110" s="75">
        <v>16</v>
      </c>
      <c r="BB110" s="75">
        <v>9.3000000000000007</v>
      </c>
      <c r="BC110" s="75">
        <v>90</v>
      </c>
      <c r="BD110" s="75">
        <v>0</v>
      </c>
      <c r="BE110" s="75" t="s">
        <v>97</v>
      </c>
      <c r="BF110" s="75"/>
      <c r="BG110" s="75">
        <v>5050</v>
      </c>
      <c r="BH110" s="77"/>
      <c r="BI110" s="77"/>
      <c r="BJ110" s="77"/>
      <c r="BK110" s="75">
        <v>590</v>
      </c>
      <c r="BL110" s="75">
        <f t="shared" si="3"/>
        <v>5640</v>
      </c>
      <c r="BM110" s="103">
        <f t="shared" si="4"/>
        <v>310.2</v>
      </c>
      <c r="BN110" s="103">
        <f t="shared" si="5"/>
        <v>5950.2</v>
      </c>
      <c r="BO110" s="103">
        <v>3414.02</v>
      </c>
      <c r="BP110" s="75" t="s">
        <v>97</v>
      </c>
      <c r="BQ110" s="75"/>
      <c r="BR110" s="75"/>
      <c r="BS110" s="157">
        <v>2016</v>
      </c>
      <c r="BU110">
        <v>2016</v>
      </c>
    </row>
    <row r="111" spans="1:73" ht="43.15" customHeight="1" x14ac:dyDescent="0.25">
      <c r="A111" s="242" t="s">
        <v>186</v>
      </c>
      <c r="B111" s="242" t="s">
        <v>2007</v>
      </c>
      <c r="C111" s="159">
        <v>400</v>
      </c>
      <c r="D111" s="114">
        <v>42657</v>
      </c>
      <c r="E111" s="114"/>
      <c r="F111" s="114"/>
      <c r="G111" s="114" t="s">
        <v>2006</v>
      </c>
      <c r="H111" s="114">
        <v>42695</v>
      </c>
      <c r="I111" s="114">
        <v>42695</v>
      </c>
      <c r="J111" s="114">
        <v>42706</v>
      </c>
      <c r="K111" s="76"/>
      <c r="L111" s="114">
        <v>42754</v>
      </c>
      <c r="M111" s="114">
        <v>42713</v>
      </c>
      <c r="N111" s="114" t="s">
        <v>2005</v>
      </c>
      <c r="O111" s="114">
        <v>42761</v>
      </c>
      <c r="P111" s="114">
        <v>42761</v>
      </c>
      <c r="Q111" s="114">
        <v>42765</v>
      </c>
      <c r="R111" s="80"/>
      <c r="S111" s="114"/>
      <c r="T111" s="75"/>
      <c r="U111" s="75"/>
      <c r="V111" s="75"/>
      <c r="W111" s="75">
        <v>2</v>
      </c>
      <c r="X111" s="75">
        <v>43822</v>
      </c>
      <c r="Y111" s="75" t="str">
        <f ca="1">IF(I111="",IF(D111="","",IF(W111+X111&lt;15,"Données Nb pers ou RFR manquantes",IF(COUNTA(INDIRECT("TabRFR["&amp;YEAR(D111)&amp;"]"))&lt;&gt;COUNTA(TabRFR[Recherche RFR]),"Data RFR manquantes", IF(X111&lt;=INDEX(TabRFR[[2021]:[2025]],MATCH(BD!W111&amp;"-Très modestes",TabRFR[Recherche RFR],0),MATCH(TEXT(YEAR(BD!D111),"Standard"),TabRFR[[#Headers],[2021]:[2025]],0)),"Très Modeste",IF(X111&lt;=INDEX(TabRFR[[2021]:[2025]],MATCH(BD!W111&amp;"-modestes",TabRFR[Recherche RFR],0),MATCH(TEXT(YEAR(BD!D111),"Standard"),TabRFR[[#Headers],[2021]:[2025]],0)),"Modeste",IF(X111&lt;=INDEX(TabRFR[[2021]:[2025]],MATCH(BD!W111&amp;"-Intermédiaire",TabRFR[Recherche RFR],0),MATCH(TEXT(YEAR(BD!D111),"Standard"),TabRFR[[#Headers],[2021]:[2025]],0)),"Intermédiaire","Supérieur")))))),IF(D111="","",IF(W111+X111&lt;15,"Données Nb pers ou RFR manquantes",IF(COUNTA(INDIRECT("TabRFR["&amp;YEAR(I111)&amp;"]"))&lt;&gt;COUNTA(TabRFR[Recherche RFR]),"Data RFR manquantes", IF(X111&lt;=INDEX(TabRFR[[2021]:[2025]],MATCH(BD!W111&amp;"-Très modestes",TabRFR[Recherche RFR],0),MATCH(TEXT(YEAR(BD!I111),"Standard"),TabRFR[[#Headers],[2021]:[2025]],0)),"Très Modeste",IF(X111&lt;=INDEX(TabRFR[[2021]:[2025]],MATCH(BD!W111&amp;"-modestes",TabRFR[Recherche RFR],0),MATCH(TEXT(YEAR(BD!I111),"Standard"),TabRFR[[#Headers],[2021]:[2025]],0)),"Modeste",IF(X111&lt;=INDEX(TabRFR[[2021]:[2025]],MATCH(BD!W111&amp;"-Intermédiaire",TabRFR[Recherche RFR],0),MATCH(TEXT(YEAR(BD!I111),"Standard"),TabRFR[[#Headers],[2021]:[2025]],0)),"Intermédiaire","Supérieur")))))))</f>
        <v>Data RFR manquantes</v>
      </c>
      <c r="Z111" s="75"/>
      <c r="AA111" s="75" t="s">
        <v>2002</v>
      </c>
      <c r="AB111" s="75">
        <v>38960</v>
      </c>
      <c r="AC111" s="75" t="s">
        <v>2378</v>
      </c>
      <c r="AD111" s="101"/>
      <c r="AE111" s="102"/>
      <c r="AF111" s="75" t="s">
        <v>95</v>
      </c>
      <c r="AG111" s="75"/>
      <c r="AH111" s="75">
        <v>1984</v>
      </c>
      <c r="AI111" s="75"/>
      <c r="AJ111" s="75"/>
      <c r="AK111" s="75"/>
      <c r="AL111" s="75"/>
      <c r="AM111" s="75" t="s">
        <v>4035</v>
      </c>
      <c r="AN111" s="75" t="s">
        <v>108</v>
      </c>
      <c r="AO111" s="75" t="s">
        <v>1525</v>
      </c>
      <c r="AP111" s="75" t="s">
        <v>97</v>
      </c>
      <c r="AQ111" s="75"/>
      <c r="AR111" s="75"/>
      <c r="AS111" s="102" t="s">
        <v>110</v>
      </c>
      <c r="AT111" s="101">
        <v>476500550</v>
      </c>
      <c r="AU111" s="75" t="s">
        <v>1511</v>
      </c>
      <c r="AV111" s="75" t="s">
        <v>112</v>
      </c>
      <c r="AW111" s="75" t="s">
        <v>100</v>
      </c>
      <c r="AX111" s="75" t="s">
        <v>112</v>
      </c>
      <c r="AY111" s="75" t="s">
        <v>1958</v>
      </c>
      <c r="AZ111" s="75" t="s">
        <v>2000</v>
      </c>
      <c r="BA111" s="75">
        <v>25</v>
      </c>
      <c r="BB111" s="75">
        <v>9</v>
      </c>
      <c r="BC111" s="75">
        <v>79</v>
      </c>
      <c r="BD111" s="75">
        <v>0.12</v>
      </c>
      <c r="BE111" s="75" t="s">
        <v>97</v>
      </c>
      <c r="BF111" s="75"/>
      <c r="BG111" s="75">
        <v>4087</v>
      </c>
      <c r="BH111" s="77"/>
      <c r="BI111" s="77"/>
      <c r="BJ111" s="77"/>
      <c r="BK111" s="75">
        <v>900</v>
      </c>
      <c r="BL111" s="75">
        <f t="shared" si="3"/>
        <v>4987</v>
      </c>
      <c r="BM111" s="103">
        <f t="shared" si="4"/>
        <v>274.28500000000003</v>
      </c>
      <c r="BN111" s="103">
        <f t="shared" si="5"/>
        <v>5261.2849999999999</v>
      </c>
      <c r="BO111" s="103"/>
      <c r="BP111" s="75" t="s">
        <v>97</v>
      </c>
      <c r="BQ111" s="75"/>
      <c r="BR111" s="75"/>
      <c r="BS111" s="157">
        <v>2016</v>
      </c>
      <c r="BT111">
        <v>2020</v>
      </c>
      <c r="BU111">
        <v>2016</v>
      </c>
    </row>
    <row r="112" spans="1:73" ht="43.15" customHeight="1" x14ac:dyDescent="0.25">
      <c r="A112" s="88" t="s">
        <v>186</v>
      </c>
      <c r="B112" s="88" t="s">
        <v>1999</v>
      </c>
      <c r="C112" s="162" t="s">
        <v>9</v>
      </c>
      <c r="D112" s="121">
        <v>42660</v>
      </c>
      <c r="E112" s="121"/>
      <c r="F112" s="121"/>
      <c r="G112" s="121"/>
      <c r="H112" s="121"/>
      <c r="I112" s="121"/>
      <c r="J112" s="121">
        <v>42727</v>
      </c>
      <c r="K112" s="213"/>
      <c r="L112" s="121"/>
      <c r="M112" s="121"/>
      <c r="N112" s="121"/>
      <c r="O112" s="121"/>
      <c r="P112" s="121"/>
      <c r="Q112" s="121"/>
      <c r="R112" s="122"/>
      <c r="S112" s="121">
        <v>42727</v>
      </c>
      <c r="T112" s="123" t="s">
        <v>1998</v>
      </c>
      <c r="U112" s="123"/>
      <c r="V112" s="123"/>
      <c r="W112" s="123">
        <v>4</v>
      </c>
      <c r="X112" s="123">
        <v>50565</v>
      </c>
      <c r="Y112" s="75" t="str">
        <f ca="1">IF(I112="",IF(D112="","",IF(W112+X112&lt;15,"Données Nb pers ou RFR manquantes",IF(COUNTA(INDIRECT("TabRFR["&amp;YEAR(D112)&amp;"]"))&lt;&gt;COUNTA(TabRFR[Recherche RFR]),"Data RFR manquantes", IF(X112&lt;=INDEX(TabRFR[[2021]:[2025]],MATCH(BD!W112&amp;"-Très modestes",TabRFR[Recherche RFR],0),MATCH(TEXT(YEAR(BD!D112),"Standard"),TabRFR[[#Headers],[2021]:[2025]],0)),"Très Modeste",IF(X112&lt;=INDEX(TabRFR[[2021]:[2025]],MATCH(BD!W112&amp;"-modestes",TabRFR[Recherche RFR],0),MATCH(TEXT(YEAR(BD!D112),"Standard"),TabRFR[[#Headers],[2021]:[2025]],0)),"Modeste",IF(X112&lt;=INDEX(TabRFR[[2021]:[2025]],MATCH(BD!W112&amp;"-Intermédiaire",TabRFR[Recherche RFR],0),MATCH(TEXT(YEAR(BD!D112),"Standard"),TabRFR[[#Headers],[2021]:[2025]],0)),"Intermédiaire","Supérieur")))))),IF(D112="","",IF(W112+X112&lt;15,"Données Nb pers ou RFR manquantes",IF(COUNTA(INDIRECT("TabRFR["&amp;YEAR(I112)&amp;"]"))&lt;&gt;COUNTA(TabRFR[Recherche RFR]),"Data RFR manquantes", IF(X112&lt;=INDEX(TabRFR[[2021]:[2025]],MATCH(BD!W112&amp;"-Très modestes",TabRFR[Recherche RFR],0),MATCH(TEXT(YEAR(BD!I112),"Standard"),TabRFR[[#Headers],[2021]:[2025]],0)),"Très Modeste",IF(X112&lt;=INDEX(TabRFR[[2021]:[2025]],MATCH(BD!W112&amp;"-modestes",TabRFR[Recherche RFR],0),MATCH(TEXT(YEAR(BD!I112),"Standard"),TabRFR[[#Headers],[2021]:[2025]],0)),"Modeste",IF(X112&lt;=INDEX(TabRFR[[2021]:[2025]],MATCH(BD!W112&amp;"-Intermédiaire",TabRFR[Recherche RFR],0),MATCH(TEXT(YEAR(BD!I112),"Standard"),TabRFR[[#Headers],[2021]:[2025]],0)),"Intermédiaire","Supérieur")))))))</f>
        <v>Data RFR manquantes</v>
      </c>
      <c r="Z112" s="123"/>
      <c r="AA112" s="123" t="s">
        <v>1996</v>
      </c>
      <c r="AB112" s="123">
        <v>38430</v>
      </c>
      <c r="AC112" s="123" t="s">
        <v>217</v>
      </c>
      <c r="AD112" s="124"/>
      <c r="AE112" s="102"/>
      <c r="AF112" s="123" t="s">
        <v>95</v>
      </c>
      <c r="AG112" s="123"/>
      <c r="AH112" s="123">
        <v>2011</v>
      </c>
      <c r="AI112" s="123"/>
      <c r="AJ112" s="123"/>
      <c r="AK112" s="123"/>
      <c r="AL112" s="123"/>
      <c r="AM112" s="123" t="s">
        <v>4356</v>
      </c>
      <c r="AN112" s="123" t="s">
        <v>96</v>
      </c>
      <c r="AO112" s="123" t="s">
        <v>119</v>
      </c>
      <c r="AP112" s="123" t="s">
        <v>97</v>
      </c>
      <c r="AQ112" s="123"/>
      <c r="AR112" s="123"/>
      <c r="AS112" s="102" t="s">
        <v>120</v>
      </c>
      <c r="AT112" s="124">
        <v>476071461</v>
      </c>
      <c r="AU112" s="123" t="s">
        <v>100</v>
      </c>
      <c r="AV112" s="123" t="s">
        <v>112</v>
      </c>
      <c r="AW112" s="123" t="s">
        <v>100</v>
      </c>
      <c r="AX112" s="75" t="s">
        <v>2071</v>
      </c>
      <c r="AY112" s="123" t="s">
        <v>102</v>
      </c>
      <c r="AZ112" s="123" t="s">
        <v>1995</v>
      </c>
      <c r="BA112" s="123">
        <v>21</v>
      </c>
      <c r="BB112" s="123">
        <v>8</v>
      </c>
      <c r="BC112" s="123">
        <v>90</v>
      </c>
      <c r="BD112" s="123">
        <v>1.4999999999999999E-2</v>
      </c>
      <c r="BE112" s="123" t="s">
        <v>97</v>
      </c>
      <c r="BF112" s="123"/>
      <c r="BG112" s="123">
        <v>2574</v>
      </c>
      <c r="BH112" s="125"/>
      <c r="BI112" s="125"/>
      <c r="BJ112" s="125"/>
      <c r="BK112" s="123">
        <v>420</v>
      </c>
      <c r="BL112" s="75">
        <f t="shared" si="3"/>
        <v>2994</v>
      </c>
      <c r="BM112" s="103">
        <f t="shared" si="4"/>
        <v>164.67</v>
      </c>
      <c r="BN112" s="103">
        <f t="shared" si="5"/>
        <v>3158.67</v>
      </c>
      <c r="BO112" s="126"/>
      <c r="BP112" s="123" t="s">
        <v>97</v>
      </c>
      <c r="BQ112" s="123"/>
      <c r="BR112" s="123"/>
      <c r="BS112" s="157">
        <v>2016</v>
      </c>
      <c r="BU112" t="s">
        <v>4180</v>
      </c>
    </row>
    <row r="113" spans="1:73" ht="43.15" customHeight="1" x14ac:dyDescent="0.25">
      <c r="A113" s="242" t="s">
        <v>186</v>
      </c>
      <c r="B113" s="242" t="s">
        <v>1994</v>
      </c>
      <c r="C113" s="159">
        <v>800</v>
      </c>
      <c r="D113" s="114">
        <v>42660</v>
      </c>
      <c r="E113" s="114"/>
      <c r="F113" s="114" t="s">
        <v>1993</v>
      </c>
      <c r="G113" s="114"/>
      <c r="H113" s="114">
        <v>42695</v>
      </c>
      <c r="I113" s="114">
        <v>42695</v>
      </c>
      <c r="J113" s="114">
        <v>42712</v>
      </c>
      <c r="K113" s="76"/>
      <c r="L113" s="114">
        <v>42839</v>
      </c>
      <c r="M113" s="114">
        <v>42726</v>
      </c>
      <c r="N113" s="114"/>
      <c r="O113" s="114">
        <v>42844</v>
      </c>
      <c r="P113" s="114">
        <v>42844</v>
      </c>
      <c r="Q113" s="114">
        <v>42846</v>
      </c>
      <c r="R113" s="81"/>
      <c r="S113" s="114"/>
      <c r="T113" s="75"/>
      <c r="U113" s="75"/>
      <c r="V113" s="75"/>
      <c r="W113" s="75">
        <v>2</v>
      </c>
      <c r="X113" s="75" t="s">
        <v>9</v>
      </c>
      <c r="Y113" s="75" t="e">
        <f ca="1">IF(I113="",IF(D113="","",IF(W113+X113&lt;15,"Données Nb pers ou RFR manquantes",IF(COUNTA(INDIRECT("TabRFR["&amp;YEAR(D113)&amp;"]"))&lt;&gt;COUNTA(TabRFR[Recherche RFR]),"Data RFR manquantes", IF(X113&lt;=INDEX(TabRFR[[2021]:[2025]],MATCH(BD!W113&amp;"-Très modestes",TabRFR[Recherche RFR],0),MATCH(TEXT(YEAR(BD!D113),"Standard"),TabRFR[[#Headers],[2021]:[2025]],0)),"Très Modeste",IF(X113&lt;=INDEX(TabRFR[[2021]:[2025]],MATCH(BD!W113&amp;"-modestes",TabRFR[Recherche RFR],0),MATCH(TEXT(YEAR(BD!D113),"Standard"),TabRFR[[#Headers],[2021]:[2025]],0)),"Modeste",IF(X113&lt;=INDEX(TabRFR[[2021]:[2025]],MATCH(BD!W113&amp;"-Intermédiaire",TabRFR[Recherche RFR],0),MATCH(TEXT(YEAR(BD!D113),"Standard"),TabRFR[[#Headers],[2021]:[2025]],0)),"Intermédiaire","Supérieur")))))),IF(D113="","",IF(W113+X113&lt;15,"Données Nb pers ou RFR manquantes",IF(COUNTA(INDIRECT("TabRFR["&amp;YEAR(I113)&amp;"]"))&lt;&gt;COUNTA(TabRFR[Recherche RFR]),"Data RFR manquantes", IF(X113&lt;=INDEX(TabRFR[[2021]:[2025]],MATCH(BD!W113&amp;"-Très modestes",TabRFR[Recherche RFR],0),MATCH(TEXT(YEAR(BD!I113),"Standard"),TabRFR[[#Headers],[2021]:[2025]],0)),"Très Modeste",IF(X113&lt;=INDEX(TabRFR[[2021]:[2025]],MATCH(BD!W113&amp;"-modestes",TabRFR[Recherche RFR],0),MATCH(TEXT(YEAR(BD!I113),"Standard"),TabRFR[[#Headers],[2021]:[2025]],0)),"Modeste",IF(X113&lt;=INDEX(TabRFR[[2021]:[2025]],MATCH(BD!W113&amp;"-Intermédiaire",TabRFR[Recherche RFR],0),MATCH(TEXT(YEAR(BD!I113),"Standard"),TabRFR[[#Headers],[2021]:[2025]],0)),"Intermédiaire","Supérieur")))))))</f>
        <v>#VALUE!</v>
      </c>
      <c r="Z113" s="75"/>
      <c r="AA113" s="75" t="s">
        <v>1991</v>
      </c>
      <c r="AB113" s="75">
        <v>38340</v>
      </c>
      <c r="AC113" s="75" t="s">
        <v>108</v>
      </c>
      <c r="AD113" s="101"/>
      <c r="AE113" s="102"/>
      <c r="AF113" s="75" t="s">
        <v>95</v>
      </c>
      <c r="AG113" s="75"/>
      <c r="AH113" s="75">
        <v>2016</v>
      </c>
      <c r="AI113" s="75"/>
      <c r="AJ113" s="75"/>
      <c r="AK113" s="75"/>
      <c r="AL113" s="75"/>
      <c r="AM113" s="75" t="s">
        <v>4365</v>
      </c>
      <c r="AN113" s="75" t="s">
        <v>1989</v>
      </c>
      <c r="AO113" s="75" t="s">
        <v>1988</v>
      </c>
      <c r="AP113" s="75" t="s">
        <v>97</v>
      </c>
      <c r="AQ113" s="75"/>
      <c r="AR113" s="75"/>
      <c r="AS113" s="102" t="s">
        <v>1987</v>
      </c>
      <c r="AT113" s="101">
        <v>474887332</v>
      </c>
      <c r="AU113" s="75" t="s">
        <v>111</v>
      </c>
      <c r="AV113" s="75" t="s">
        <v>112</v>
      </c>
      <c r="AW113" s="75" t="s">
        <v>100</v>
      </c>
      <c r="AX113" s="75" t="s">
        <v>2071</v>
      </c>
      <c r="AY113" s="75"/>
      <c r="AZ113" s="75"/>
      <c r="BA113" s="75"/>
      <c r="BB113" s="75"/>
      <c r="BC113" s="75"/>
      <c r="BD113" s="75"/>
      <c r="BE113" s="75"/>
      <c r="BF113" s="75"/>
      <c r="BG113" s="75"/>
      <c r="BH113" s="77"/>
      <c r="BI113" s="77"/>
      <c r="BJ113" s="77"/>
      <c r="BK113" s="75"/>
      <c r="BL113" s="75">
        <f t="shared" si="3"/>
        <v>0</v>
      </c>
      <c r="BM113" s="103">
        <f t="shared" si="4"/>
        <v>0</v>
      </c>
      <c r="BN113" s="103">
        <f t="shared" si="5"/>
        <v>0</v>
      </c>
      <c r="BO113" s="103"/>
      <c r="BP113" s="75"/>
      <c r="BQ113" s="75"/>
      <c r="BR113" s="75"/>
      <c r="BS113" s="157">
        <v>2016</v>
      </c>
      <c r="BU113">
        <v>2016</v>
      </c>
    </row>
    <row r="114" spans="1:73" ht="43.15" customHeight="1" x14ac:dyDescent="0.25">
      <c r="A114" s="242" t="s">
        <v>186</v>
      </c>
      <c r="B114" s="242" t="s">
        <v>1986</v>
      </c>
      <c r="C114" s="159">
        <v>400</v>
      </c>
      <c r="D114" s="114">
        <v>42661</v>
      </c>
      <c r="E114" s="114"/>
      <c r="F114" s="114"/>
      <c r="G114" s="114"/>
      <c r="H114" s="114">
        <v>42667</v>
      </c>
      <c r="I114" s="114">
        <v>42667</v>
      </c>
      <c r="J114" s="114">
        <v>42677</v>
      </c>
      <c r="K114" s="76"/>
      <c r="L114" s="114">
        <v>42699</v>
      </c>
      <c r="M114" s="114">
        <v>42684</v>
      </c>
      <c r="N114" s="114"/>
      <c r="O114" s="114">
        <v>42716</v>
      </c>
      <c r="P114" s="114">
        <v>42716</v>
      </c>
      <c r="Q114" s="114">
        <v>42717</v>
      </c>
      <c r="R114" s="80"/>
      <c r="S114" s="114"/>
      <c r="T114" s="75"/>
      <c r="U114" s="75"/>
      <c r="V114" s="75"/>
      <c r="W114" s="75">
        <v>4</v>
      </c>
      <c r="X114" s="75">
        <v>41298</v>
      </c>
      <c r="Y114" s="75" t="str">
        <f ca="1">IF(I114="",IF(D114="","",IF(W114+X114&lt;15,"Données Nb pers ou RFR manquantes",IF(COUNTA(INDIRECT("TabRFR["&amp;YEAR(D114)&amp;"]"))&lt;&gt;COUNTA(TabRFR[Recherche RFR]),"Data RFR manquantes", IF(X114&lt;=INDEX(TabRFR[[2021]:[2025]],MATCH(BD!W114&amp;"-Très modestes",TabRFR[Recherche RFR],0),MATCH(TEXT(YEAR(BD!D114),"Standard"),TabRFR[[#Headers],[2021]:[2025]],0)),"Très Modeste",IF(X114&lt;=INDEX(TabRFR[[2021]:[2025]],MATCH(BD!W114&amp;"-modestes",TabRFR[Recherche RFR],0),MATCH(TEXT(YEAR(BD!D114),"Standard"),TabRFR[[#Headers],[2021]:[2025]],0)),"Modeste",IF(X114&lt;=INDEX(TabRFR[[2021]:[2025]],MATCH(BD!W114&amp;"-Intermédiaire",TabRFR[Recherche RFR],0),MATCH(TEXT(YEAR(BD!D114),"Standard"),TabRFR[[#Headers],[2021]:[2025]],0)),"Intermédiaire","Supérieur")))))),IF(D114="","",IF(W114+X114&lt;15,"Données Nb pers ou RFR manquantes",IF(COUNTA(INDIRECT("TabRFR["&amp;YEAR(I114)&amp;"]"))&lt;&gt;COUNTA(TabRFR[Recherche RFR]),"Data RFR manquantes", IF(X114&lt;=INDEX(TabRFR[[2021]:[2025]],MATCH(BD!W114&amp;"-Très modestes",TabRFR[Recherche RFR],0),MATCH(TEXT(YEAR(BD!I114),"Standard"),TabRFR[[#Headers],[2021]:[2025]],0)),"Très Modeste",IF(X114&lt;=INDEX(TabRFR[[2021]:[2025]],MATCH(BD!W114&amp;"-modestes",TabRFR[Recherche RFR],0),MATCH(TEXT(YEAR(BD!I114),"Standard"),TabRFR[[#Headers],[2021]:[2025]],0)),"Modeste",IF(X114&lt;=INDEX(TabRFR[[2021]:[2025]],MATCH(BD!W114&amp;"-Intermédiaire",TabRFR[Recherche RFR],0),MATCH(TEXT(YEAR(BD!I114),"Standard"),TabRFR[[#Headers],[2021]:[2025]],0)),"Intermédiaire","Supérieur")))))))</f>
        <v>Data RFR manquantes</v>
      </c>
      <c r="Z114" s="75"/>
      <c r="AA114" s="75" t="s">
        <v>1983</v>
      </c>
      <c r="AB114" s="75">
        <v>38500</v>
      </c>
      <c r="AC114" s="75" t="s">
        <v>2572</v>
      </c>
      <c r="AD114" s="101"/>
      <c r="AE114" s="102"/>
      <c r="AF114" s="75" t="s">
        <v>95</v>
      </c>
      <c r="AG114" s="75"/>
      <c r="AH114" s="75">
        <v>2014</v>
      </c>
      <c r="AI114" s="75"/>
      <c r="AJ114" s="75"/>
      <c r="AK114" s="75"/>
      <c r="AL114" s="75"/>
      <c r="AM114" s="75" t="s">
        <v>4348</v>
      </c>
      <c r="AN114" s="75" t="s">
        <v>96</v>
      </c>
      <c r="AO114" s="75" t="s">
        <v>238</v>
      </c>
      <c r="AP114" s="75" t="s">
        <v>97</v>
      </c>
      <c r="AQ114" s="75"/>
      <c r="AR114" s="75"/>
      <c r="AS114" s="102" t="s">
        <v>1571</v>
      </c>
      <c r="AT114" s="101">
        <v>476323235</v>
      </c>
      <c r="AU114" s="75" t="s">
        <v>111</v>
      </c>
      <c r="AV114" s="75" t="s">
        <v>112</v>
      </c>
      <c r="AW114" s="75" t="s">
        <v>100</v>
      </c>
      <c r="AX114" s="75" t="s">
        <v>112</v>
      </c>
      <c r="AY114" s="75" t="s">
        <v>873</v>
      </c>
      <c r="AZ114" s="75" t="s">
        <v>1981</v>
      </c>
      <c r="BA114" s="75">
        <v>12</v>
      </c>
      <c r="BB114" s="75">
        <v>9.1999999999999993</v>
      </c>
      <c r="BC114" s="75">
        <v>77</v>
      </c>
      <c r="BD114" s="75">
        <v>0.03</v>
      </c>
      <c r="BE114" s="75" t="s">
        <v>97</v>
      </c>
      <c r="BF114" s="75"/>
      <c r="BG114" s="75">
        <v>3140</v>
      </c>
      <c r="BH114" s="77"/>
      <c r="BI114" s="77"/>
      <c r="BJ114" s="77"/>
      <c r="BK114" s="75">
        <v>525</v>
      </c>
      <c r="BL114" s="75">
        <f t="shared" si="3"/>
        <v>3665</v>
      </c>
      <c r="BM114" s="103">
        <f t="shared" si="4"/>
        <v>201.57499999999999</v>
      </c>
      <c r="BN114" s="103">
        <f t="shared" si="5"/>
        <v>3866.5749999999998</v>
      </c>
      <c r="BO114" s="103">
        <v>3866.58</v>
      </c>
      <c r="BP114" s="75" t="s">
        <v>104</v>
      </c>
      <c r="BQ114" s="75"/>
      <c r="BR114" s="75"/>
      <c r="BS114" s="157">
        <v>2016</v>
      </c>
      <c r="BT114">
        <v>2020</v>
      </c>
      <c r="BU114">
        <v>2016</v>
      </c>
    </row>
    <row r="115" spans="1:73" ht="43.15" customHeight="1" x14ac:dyDescent="0.25">
      <c r="A115" s="242" t="s">
        <v>186</v>
      </c>
      <c r="B115" s="242" t="s">
        <v>1980</v>
      </c>
      <c r="C115" s="159">
        <v>800</v>
      </c>
      <c r="D115" s="114">
        <v>42667</v>
      </c>
      <c r="E115" s="114"/>
      <c r="F115" s="114"/>
      <c r="G115" s="114"/>
      <c r="H115" s="114">
        <v>42669</v>
      </c>
      <c r="I115" s="114">
        <v>42669</v>
      </c>
      <c r="J115" s="114">
        <v>42677</v>
      </c>
      <c r="K115" s="76"/>
      <c r="L115" s="114">
        <v>42711</v>
      </c>
      <c r="M115" s="114">
        <v>42683</v>
      </c>
      <c r="N115" s="114"/>
      <c r="O115" s="114">
        <v>42716</v>
      </c>
      <c r="P115" s="114">
        <v>42716</v>
      </c>
      <c r="Q115" s="114">
        <v>42717</v>
      </c>
      <c r="R115" s="81"/>
      <c r="S115" s="114"/>
      <c r="T115" s="75"/>
      <c r="U115" s="75"/>
      <c r="V115" s="75"/>
      <c r="W115" s="75">
        <v>4</v>
      </c>
      <c r="X115" s="75">
        <v>32741</v>
      </c>
      <c r="Y115" s="75" t="str">
        <f ca="1">IF(I115="",IF(D115="","",IF(W115+X115&lt;15,"Données Nb pers ou RFR manquantes",IF(COUNTA(INDIRECT("TabRFR["&amp;YEAR(D115)&amp;"]"))&lt;&gt;COUNTA(TabRFR[Recherche RFR]),"Data RFR manquantes", IF(X115&lt;=INDEX(TabRFR[[2021]:[2025]],MATCH(BD!W115&amp;"-Très modestes",TabRFR[Recherche RFR],0),MATCH(TEXT(YEAR(BD!D115),"Standard"),TabRFR[[#Headers],[2021]:[2025]],0)),"Très Modeste",IF(X115&lt;=INDEX(TabRFR[[2021]:[2025]],MATCH(BD!W115&amp;"-modestes",TabRFR[Recherche RFR],0),MATCH(TEXT(YEAR(BD!D115),"Standard"),TabRFR[[#Headers],[2021]:[2025]],0)),"Modeste",IF(X115&lt;=INDEX(TabRFR[[2021]:[2025]],MATCH(BD!W115&amp;"-Intermédiaire",TabRFR[Recherche RFR],0),MATCH(TEXT(YEAR(BD!D115),"Standard"),TabRFR[[#Headers],[2021]:[2025]],0)),"Intermédiaire","Supérieur")))))),IF(D115="","",IF(W115+X115&lt;15,"Données Nb pers ou RFR manquantes",IF(COUNTA(INDIRECT("TabRFR["&amp;YEAR(I115)&amp;"]"))&lt;&gt;COUNTA(TabRFR[Recherche RFR]),"Data RFR manquantes", IF(X115&lt;=INDEX(TabRFR[[2021]:[2025]],MATCH(BD!W115&amp;"-Très modestes",TabRFR[Recherche RFR],0),MATCH(TEXT(YEAR(BD!I115),"Standard"),TabRFR[[#Headers],[2021]:[2025]],0)),"Très Modeste",IF(X115&lt;=INDEX(TabRFR[[2021]:[2025]],MATCH(BD!W115&amp;"-modestes",TabRFR[Recherche RFR],0),MATCH(TEXT(YEAR(BD!I115),"Standard"),TabRFR[[#Headers],[2021]:[2025]],0)),"Modeste",IF(X115&lt;=INDEX(TabRFR[[2021]:[2025]],MATCH(BD!W115&amp;"-Intermédiaire",TabRFR[Recherche RFR],0),MATCH(TEXT(YEAR(BD!I115),"Standard"),TabRFR[[#Headers],[2021]:[2025]],0)),"Intermédiaire","Supérieur")))))))</f>
        <v>Data RFR manquantes</v>
      </c>
      <c r="Z115" s="75"/>
      <c r="AA115" s="75" t="s">
        <v>1977</v>
      </c>
      <c r="AB115" s="75">
        <v>38620</v>
      </c>
      <c r="AC115" s="75" t="s">
        <v>534</v>
      </c>
      <c r="AD115" s="101"/>
      <c r="AE115" s="102"/>
      <c r="AF115" s="75" t="s">
        <v>95</v>
      </c>
      <c r="AG115" s="75"/>
      <c r="AH115" s="75">
        <v>2016</v>
      </c>
      <c r="AI115" s="75"/>
      <c r="AJ115" s="75"/>
      <c r="AK115" s="75"/>
      <c r="AL115" s="75"/>
      <c r="AM115" s="75" t="s">
        <v>218</v>
      </c>
      <c r="AN115" s="75" t="s">
        <v>217</v>
      </c>
      <c r="AO115" s="75" t="s">
        <v>219</v>
      </c>
      <c r="AP115" s="75" t="s">
        <v>97</v>
      </c>
      <c r="AQ115" s="75"/>
      <c r="AR115" s="75"/>
      <c r="AS115" s="102" t="s">
        <v>220</v>
      </c>
      <c r="AT115" s="101">
        <v>476355605</v>
      </c>
      <c r="AU115" s="75" t="s">
        <v>100</v>
      </c>
      <c r="AV115" s="75" t="s">
        <v>112</v>
      </c>
      <c r="AW115" s="75" t="s">
        <v>100</v>
      </c>
      <c r="AX115" s="75" t="s">
        <v>112</v>
      </c>
      <c r="AY115" s="75" t="s">
        <v>1603</v>
      </c>
      <c r="AZ115" s="75" t="s">
        <v>1975</v>
      </c>
      <c r="BA115" s="75">
        <v>34</v>
      </c>
      <c r="BB115" s="75">
        <v>7</v>
      </c>
      <c r="BC115" s="75">
        <v>80</v>
      </c>
      <c r="BD115" s="75">
        <v>0.1</v>
      </c>
      <c r="BE115" s="75" t="s">
        <v>97</v>
      </c>
      <c r="BF115" s="75"/>
      <c r="BG115" s="75">
        <v>1600</v>
      </c>
      <c r="BH115" s="77"/>
      <c r="BI115" s="77"/>
      <c r="BJ115" s="77"/>
      <c r="BK115" s="75">
        <v>425</v>
      </c>
      <c r="BL115" s="75">
        <f t="shared" si="3"/>
        <v>2025</v>
      </c>
      <c r="BM115" s="103">
        <f t="shared" si="4"/>
        <v>111.375</v>
      </c>
      <c r="BN115" s="103">
        <f t="shared" si="5"/>
        <v>2136.375</v>
      </c>
      <c r="BO115" s="103">
        <v>1642</v>
      </c>
      <c r="BP115" s="75" t="s">
        <v>104</v>
      </c>
      <c r="BQ115" s="75"/>
      <c r="BR115" s="75"/>
      <c r="BS115" s="157">
        <v>2016</v>
      </c>
      <c r="BT115">
        <v>2020</v>
      </c>
      <c r="BU115">
        <v>2016</v>
      </c>
    </row>
    <row r="116" spans="1:73" ht="43.15" customHeight="1" x14ac:dyDescent="0.25">
      <c r="A116" s="242" t="s">
        <v>186</v>
      </c>
      <c r="B116" s="242" t="s">
        <v>1974</v>
      </c>
      <c r="C116" s="159">
        <v>400</v>
      </c>
      <c r="D116" s="114">
        <v>42657</v>
      </c>
      <c r="E116" s="114"/>
      <c r="F116" s="114"/>
      <c r="G116" s="114"/>
      <c r="H116" s="114">
        <v>42668</v>
      </c>
      <c r="I116" s="114">
        <v>42668</v>
      </c>
      <c r="J116" s="114">
        <v>42677</v>
      </c>
      <c r="K116" s="76"/>
      <c r="L116" s="114">
        <v>42712</v>
      </c>
      <c r="M116" s="114">
        <v>42699</v>
      </c>
      <c r="N116" s="114"/>
      <c r="O116" s="114">
        <v>42716</v>
      </c>
      <c r="P116" s="114">
        <v>42716</v>
      </c>
      <c r="Q116" s="114">
        <v>42717</v>
      </c>
      <c r="R116" s="80"/>
      <c r="S116" s="114"/>
      <c r="T116" s="75"/>
      <c r="U116" s="75"/>
      <c r="V116" s="75"/>
      <c r="W116" s="75">
        <v>2</v>
      </c>
      <c r="X116" s="75">
        <v>39313</v>
      </c>
      <c r="Y116" s="75" t="str">
        <f ca="1">IF(I116="",IF(D116="","",IF(W116+X116&lt;15,"Données Nb pers ou RFR manquantes",IF(COUNTA(INDIRECT("TabRFR["&amp;YEAR(D116)&amp;"]"))&lt;&gt;COUNTA(TabRFR[Recherche RFR]),"Data RFR manquantes", IF(X116&lt;=INDEX(TabRFR[[2021]:[2025]],MATCH(BD!W116&amp;"-Très modestes",TabRFR[Recherche RFR],0),MATCH(TEXT(YEAR(BD!D116),"Standard"),TabRFR[[#Headers],[2021]:[2025]],0)),"Très Modeste",IF(X116&lt;=INDEX(TabRFR[[2021]:[2025]],MATCH(BD!W116&amp;"-modestes",TabRFR[Recherche RFR],0),MATCH(TEXT(YEAR(BD!D116),"Standard"),TabRFR[[#Headers],[2021]:[2025]],0)),"Modeste",IF(X116&lt;=INDEX(TabRFR[[2021]:[2025]],MATCH(BD!W116&amp;"-Intermédiaire",TabRFR[Recherche RFR],0),MATCH(TEXT(YEAR(BD!D116),"Standard"),TabRFR[[#Headers],[2021]:[2025]],0)),"Intermédiaire","Supérieur")))))),IF(D116="","",IF(W116+X116&lt;15,"Données Nb pers ou RFR manquantes",IF(COUNTA(INDIRECT("TabRFR["&amp;YEAR(I116)&amp;"]"))&lt;&gt;COUNTA(TabRFR[Recherche RFR]),"Data RFR manquantes", IF(X116&lt;=INDEX(TabRFR[[2021]:[2025]],MATCH(BD!W116&amp;"-Très modestes",TabRFR[Recherche RFR],0),MATCH(TEXT(YEAR(BD!I116),"Standard"),TabRFR[[#Headers],[2021]:[2025]],0)),"Très Modeste",IF(X116&lt;=INDEX(TabRFR[[2021]:[2025]],MATCH(BD!W116&amp;"-modestes",TabRFR[Recherche RFR],0),MATCH(TEXT(YEAR(BD!I116),"Standard"),TabRFR[[#Headers],[2021]:[2025]],0)),"Modeste",IF(X116&lt;=INDEX(TabRFR[[2021]:[2025]],MATCH(BD!W116&amp;"-Intermédiaire",TabRFR[Recherche RFR],0),MATCH(TEXT(YEAR(BD!I116),"Standard"),TabRFR[[#Headers],[2021]:[2025]],0)),"Intermédiaire","Supérieur")))))))</f>
        <v>Data RFR manquantes</v>
      </c>
      <c r="Z116" s="75"/>
      <c r="AA116" s="75" t="s">
        <v>1971</v>
      </c>
      <c r="AB116" s="75">
        <v>38850</v>
      </c>
      <c r="AC116" s="75" t="s">
        <v>438</v>
      </c>
      <c r="AD116" s="101"/>
      <c r="AE116" s="102"/>
      <c r="AF116" s="75" t="s">
        <v>95</v>
      </c>
      <c r="AG116" s="75"/>
      <c r="AH116" s="75"/>
      <c r="AI116" s="75"/>
      <c r="AJ116" s="75"/>
      <c r="AK116" s="75"/>
      <c r="AL116" s="75"/>
      <c r="AM116" s="75" t="s">
        <v>4348</v>
      </c>
      <c r="AN116" s="75" t="s">
        <v>96</v>
      </c>
      <c r="AO116" s="75" t="s">
        <v>238</v>
      </c>
      <c r="AP116" s="75" t="s">
        <v>97</v>
      </c>
      <c r="AQ116" s="75"/>
      <c r="AR116" s="75"/>
      <c r="AS116" s="102" t="s">
        <v>1571</v>
      </c>
      <c r="AT116" s="101">
        <v>476323235</v>
      </c>
      <c r="AU116" s="75" t="s">
        <v>100</v>
      </c>
      <c r="AV116" s="75" t="s">
        <v>112</v>
      </c>
      <c r="AW116" s="75" t="s">
        <v>100</v>
      </c>
      <c r="AX116" s="75" t="s">
        <v>2071</v>
      </c>
      <c r="AY116" s="75" t="s">
        <v>102</v>
      </c>
      <c r="AZ116" s="75" t="s">
        <v>1902</v>
      </c>
      <c r="BA116" s="75">
        <v>17</v>
      </c>
      <c r="BB116" s="75">
        <v>10</v>
      </c>
      <c r="BC116" s="75">
        <v>90</v>
      </c>
      <c r="BD116" s="75">
        <v>0.02</v>
      </c>
      <c r="BE116" s="75" t="s">
        <v>97</v>
      </c>
      <c r="BF116" s="75"/>
      <c r="BG116" s="75">
        <v>3288</v>
      </c>
      <c r="BH116" s="77"/>
      <c r="BI116" s="77"/>
      <c r="BJ116" s="77"/>
      <c r="BK116" s="75">
        <v>450</v>
      </c>
      <c r="BL116" s="75">
        <f t="shared" si="3"/>
        <v>3738</v>
      </c>
      <c r="BM116" s="103">
        <f t="shared" si="4"/>
        <v>205.59</v>
      </c>
      <c r="BN116" s="103">
        <f t="shared" si="5"/>
        <v>3943.59</v>
      </c>
      <c r="BO116" s="103">
        <v>3944.12</v>
      </c>
      <c r="BP116" s="75" t="s">
        <v>97</v>
      </c>
      <c r="BQ116" s="75"/>
      <c r="BR116" s="75"/>
      <c r="BS116" s="157">
        <v>2016</v>
      </c>
      <c r="BU116">
        <v>2016</v>
      </c>
    </row>
    <row r="117" spans="1:73" ht="43.15" customHeight="1" x14ac:dyDescent="0.25">
      <c r="A117" s="88" t="s">
        <v>186</v>
      </c>
      <c r="B117" s="88" t="s">
        <v>1969</v>
      </c>
      <c r="C117" s="162" t="s">
        <v>9</v>
      </c>
      <c r="D117" s="121">
        <v>42664</v>
      </c>
      <c r="E117" s="121"/>
      <c r="F117" s="121"/>
      <c r="G117" s="121"/>
      <c r="H117" s="121"/>
      <c r="I117" s="121"/>
      <c r="J117" s="121"/>
      <c r="K117" s="213"/>
      <c r="L117" s="121"/>
      <c r="M117" s="121"/>
      <c r="N117" s="121"/>
      <c r="O117" s="121"/>
      <c r="P117" s="121"/>
      <c r="Q117" s="121"/>
      <c r="R117" s="122"/>
      <c r="S117" s="121">
        <v>42727</v>
      </c>
      <c r="T117" s="123" t="s">
        <v>1968</v>
      </c>
      <c r="U117" s="123"/>
      <c r="V117" s="123"/>
      <c r="W117" s="123">
        <v>2</v>
      </c>
      <c r="X117" s="123">
        <v>32117</v>
      </c>
      <c r="Y117" s="75" t="str">
        <f ca="1">IF(I117="",IF(D117="","",IF(W117+X117&lt;15,"Données Nb pers ou RFR manquantes",IF(COUNTA(INDIRECT("TabRFR["&amp;YEAR(D117)&amp;"]"))&lt;&gt;COUNTA(TabRFR[Recherche RFR]),"Data RFR manquantes", IF(X117&lt;=INDEX(TabRFR[[2021]:[2025]],MATCH(BD!W117&amp;"-Très modestes",TabRFR[Recherche RFR],0),MATCH(TEXT(YEAR(BD!D117),"Standard"),TabRFR[[#Headers],[2021]:[2025]],0)),"Très Modeste",IF(X117&lt;=INDEX(TabRFR[[2021]:[2025]],MATCH(BD!W117&amp;"-modestes",TabRFR[Recherche RFR],0),MATCH(TEXT(YEAR(BD!D117),"Standard"),TabRFR[[#Headers],[2021]:[2025]],0)),"Modeste",IF(X117&lt;=INDEX(TabRFR[[2021]:[2025]],MATCH(BD!W117&amp;"-Intermédiaire",TabRFR[Recherche RFR],0),MATCH(TEXT(YEAR(BD!D117),"Standard"),TabRFR[[#Headers],[2021]:[2025]],0)),"Intermédiaire","Supérieur")))))),IF(D117="","",IF(W117+X117&lt;15,"Données Nb pers ou RFR manquantes",IF(COUNTA(INDIRECT("TabRFR["&amp;YEAR(I117)&amp;"]"))&lt;&gt;COUNTA(TabRFR[Recherche RFR]),"Data RFR manquantes", IF(X117&lt;=INDEX(TabRFR[[2021]:[2025]],MATCH(BD!W117&amp;"-Très modestes",TabRFR[Recherche RFR],0),MATCH(TEXT(YEAR(BD!I117),"Standard"),TabRFR[[#Headers],[2021]:[2025]],0)),"Très Modeste",IF(X117&lt;=INDEX(TabRFR[[2021]:[2025]],MATCH(BD!W117&amp;"-modestes",TabRFR[Recherche RFR],0),MATCH(TEXT(YEAR(BD!I117),"Standard"),TabRFR[[#Headers],[2021]:[2025]],0)),"Modeste",IF(X117&lt;=INDEX(TabRFR[[2021]:[2025]],MATCH(BD!W117&amp;"-Intermédiaire",TabRFR[Recherche RFR],0),MATCH(TEXT(YEAR(BD!I117),"Standard"),TabRFR[[#Headers],[2021]:[2025]],0)),"Intermédiaire","Supérieur")))))))</f>
        <v>Data RFR manquantes</v>
      </c>
      <c r="Z117" s="123"/>
      <c r="AA117" s="123" t="s">
        <v>1966</v>
      </c>
      <c r="AB117" s="123">
        <v>38340</v>
      </c>
      <c r="AC117" s="123" t="s">
        <v>108</v>
      </c>
      <c r="AD117" s="124"/>
      <c r="AE117" s="102"/>
      <c r="AF117" s="123" t="s">
        <v>95</v>
      </c>
      <c r="AG117" s="123"/>
      <c r="AH117" s="123"/>
      <c r="AI117" s="123"/>
      <c r="AJ117" s="123"/>
      <c r="AK117" s="123"/>
      <c r="AL117" s="123"/>
      <c r="AM117" s="123" t="s">
        <v>4035</v>
      </c>
      <c r="AN117" s="123" t="s">
        <v>108</v>
      </c>
      <c r="AO117" s="123" t="s">
        <v>1525</v>
      </c>
      <c r="AP117" s="123" t="s">
        <v>97</v>
      </c>
      <c r="AQ117" s="123"/>
      <c r="AR117" s="123"/>
      <c r="AS117" s="102" t="s">
        <v>110</v>
      </c>
      <c r="AT117" s="124">
        <v>476500550</v>
      </c>
      <c r="AU117" s="123" t="s">
        <v>430</v>
      </c>
      <c r="AV117" s="123" t="s">
        <v>112</v>
      </c>
      <c r="AW117" s="123" t="s">
        <v>111</v>
      </c>
      <c r="AX117" s="123" t="s">
        <v>112</v>
      </c>
      <c r="AY117" s="123" t="s">
        <v>1958</v>
      </c>
      <c r="AZ117" s="123" t="s">
        <v>1965</v>
      </c>
      <c r="BA117" s="123"/>
      <c r="BB117" s="123"/>
      <c r="BC117" s="123"/>
      <c r="BD117" s="123"/>
      <c r="BE117" s="123" t="s">
        <v>104</v>
      </c>
      <c r="BF117" s="123"/>
      <c r="BG117" s="123">
        <v>2944</v>
      </c>
      <c r="BH117" s="125"/>
      <c r="BI117" s="125"/>
      <c r="BJ117" s="125"/>
      <c r="BK117" s="123">
        <v>1890</v>
      </c>
      <c r="BL117" s="75">
        <f t="shared" si="3"/>
        <v>4834</v>
      </c>
      <c r="BM117" s="103">
        <f t="shared" si="4"/>
        <v>265.87</v>
      </c>
      <c r="BN117" s="103">
        <f t="shared" si="5"/>
        <v>5099.87</v>
      </c>
      <c r="BO117" s="126"/>
      <c r="BP117" s="123" t="s">
        <v>97</v>
      </c>
      <c r="BQ117" s="123"/>
      <c r="BR117" s="123"/>
      <c r="BS117" s="157">
        <v>2016</v>
      </c>
      <c r="BU117" t="s">
        <v>4180</v>
      </c>
    </row>
    <row r="118" spans="1:73" ht="43.15" customHeight="1" x14ac:dyDescent="0.25">
      <c r="A118" s="242" t="s">
        <v>186</v>
      </c>
      <c r="B118" s="242" t="s">
        <v>1964</v>
      </c>
      <c r="C118" s="159">
        <v>400</v>
      </c>
      <c r="D118" s="114">
        <v>42664</v>
      </c>
      <c r="E118" s="114"/>
      <c r="F118" s="114" t="s">
        <v>1963</v>
      </c>
      <c r="G118" s="114"/>
      <c r="H118" s="114">
        <v>42695</v>
      </c>
      <c r="I118" s="114">
        <v>42695</v>
      </c>
      <c r="J118" s="114">
        <v>42712</v>
      </c>
      <c r="K118" s="76"/>
      <c r="L118" s="114">
        <v>42737</v>
      </c>
      <c r="M118" s="114">
        <v>42724</v>
      </c>
      <c r="N118" s="114"/>
      <c r="O118" s="114">
        <v>42741</v>
      </c>
      <c r="P118" s="114">
        <v>42741</v>
      </c>
      <c r="Q118" s="114">
        <v>42747</v>
      </c>
      <c r="R118" s="80"/>
      <c r="S118" s="114"/>
      <c r="T118" s="75"/>
      <c r="U118" s="75"/>
      <c r="V118" s="75"/>
      <c r="W118" s="75">
        <v>1</v>
      </c>
      <c r="X118" s="75">
        <v>20895</v>
      </c>
      <c r="Y118" s="75" t="str">
        <f ca="1">IF(I118="",IF(D118="","",IF(W118+X118&lt;15,"Données Nb pers ou RFR manquantes",IF(COUNTA(INDIRECT("TabRFR["&amp;YEAR(D118)&amp;"]"))&lt;&gt;COUNTA(TabRFR[Recherche RFR]),"Data RFR manquantes", IF(X118&lt;=INDEX(TabRFR[[2021]:[2025]],MATCH(BD!W118&amp;"-Très modestes",TabRFR[Recherche RFR],0),MATCH(TEXT(YEAR(BD!D118),"Standard"),TabRFR[[#Headers],[2021]:[2025]],0)),"Très Modeste",IF(X118&lt;=INDEX(TabRFR[[2021]:[2025]],MATCH(BD!W118&amp;"-modestes",TabRFR[Recherche RFR],0),MATCH(TEXT(YEAR(BD!D118),"Standard"),TabRFR[[#Headers],[2021]:[2025]],0)),"Modeste",IF(X118&lt;=INDEX(TabRFR[[2021]:[2025]],MATCH(BD!W118&amp;"-Intermédiaire",TabRFR[Recherche RFR],0),MATCH(TEXT(YEAR(BD!D118),"Standard"),TabRFR[[#Headers],[2021]:[2025]],0)),"Intermédiaire","Supérieur")))))),IF(D118="","",IF(W118+X118&lt;15,"Données Nb pers ou RFR manquantes",IF(COUNTA(INDIRECT("TabRFR["&amp;YEAR(I118)&amp;"]"))&lt;&gt;COUNTA(TabRFR[Recherche RFR]),"Data RFR manquantes", IF(X118&lt;=INDEX(TabRFR[[2021]:[2025]],MATCH(BD!W118&amp;"-Très modestes",TabRFR[Recherche RFR],0),MATCH(TEXT(YEAR(BD!I118),"Standard"),TabRFR[[#Headers],[2021]:[2025]],0)),"Très Modeste",IF(X118&lt;=INDEX(TabRFR[[2021]:[2025]],MATCH(BD!W118&amp;"-modestes",TabRFR[Recherche RFR],0),MATCH(TEXT(YEAR(BD!I118),"Standard"),TabRFR[[#Headers],[2021]:[2025]],0)),"Modeste",IF(X118&lt;=INDEX(TabRFR[[2021]:[2025]],MATCH(BD!W118&amp;"-Intermédiaire",TabRFR[Recherche RFR],0),MATCH(TEXT(YEAR(BD!I118),"Standard"),TabRFR[[#Headers],[2021]:[2025]],0)),"Intermédiaire","Supérieur")))))))</f>
        <v>Data RFR manquantes</v>
      </c>
      <c r="Z118" s="75"/>
      <c r="AA118" s="75" t="s">
        <v>1960</v>
      </c>
      <c r="AB118" s="75">
        <v>38340</v>
      </c>
      <c r="AC118" s="75" t="s">
        <v>108</v>
      </c>
      <c r="AD118" s="101"/>
      <c r="AE118" s="102"/>
      <c r="AF118" s="75" t="s">
        <v>95</v>
      </c>
      <c r="AG118" s="75"/>
      <c r="AH118" s="75"/>
      <c r="AI118" s="75"/>
      <c r="AJ118" s="75"/>
      <c r="AK118" s="75"/>
      <c r="AL118" s="75"/>
      <c r="AM118" s="75" t="s">
        <v>4035</v>
      </c>
      <c r="AN118" s="75" t="s">
        <v>108</v>
      </c>
      <c r="AO118" s="75" t="s">
        <v>1525</v>
      </c>
      <c r="AP118" s="75" t="s">
        <v>97</v>
      </c>
      <c r="AQ118" s="75"/>
      <c r="AR118" s="75"/>
      <c r="AS118" s="102" t="s">
        <v>110</v>
      </c>
      <c r="AT118" s="101">
        <v>476500550</v>
      </c>
      <c r="AU118" s="75" t="s">
        <v>1754</v>
      </c>
      <c r="AV118" s="75" t="s">
        <v>112</v>
      </c>
      <c r="AW118" s="75" t="s">
        <v>100</v>
      </c>
      <c r="AX118" s="75" t="s">
        <v>112</v>
      </c>
      <c r="AY118" s="75" t="s">
        <v>1958</v>
      </c>
      <c r="AZ118" s="75" t="s">
        <v>1957</v>
      </c>
      <c r="BA118" s="75">
        <v>39</v>
      </c>
      <c r="BB118" s="75">
        <v>6</v>
      </c>
      <c r="BC118" s="75">
        <v>80</v>
      </c>
      <c r="BD118" s="75">
        <v>0.06</v>
      </c>
      <c r="BE118" s="75" t="s">
        <v>97</v>
      </c>
      <c r="BF118" s="75"/>
      <c r="BG118" s="75">
        <v>3580</v>
      </c>
      <c r="BH118" s="77"/>
      <c r="BI118" s="77"/>
      <c r="BJ118" s="77"/>
      <c r="BK118" s="75">
        <v>900</v>
      </c>
      <c r="BL118" s="75">
        <f t="shared" si="3"/>
        <v>4480</v>
      </c>
      <c r="BM118" s="103">
        <f t="shared" si="4"/>
        <v>246.4</v>
      </c>
      <c r="BN118" s="103">
        <f t="shared" si="5"/>
        <v>4726.3999999999996</v>
      </c>
      <c r="BO118" s="103"/>
      <c r="BP118" s="75" t="s">
        <v>97</v>
      </c>
      <c r="BQ118" s="75"/>
      <c r="BR118" s="75"/>
      <c r="BS118" s="157">
        <v>2016</v>
      </c>
      <c r="BT118">
        <v>2020</v>
      </c>
      <c r="BU118">
        <v>2016</v>
      </c>
    </row>
    <row r="119" spans="1:73" ht="43.15" customHeight="1" x14ac:dyDescent="0.25">
      <c r="A119" s="242" t="s">
        <v>186</v>
      </c>
      <c r="B119" s="242" t="s">
        <v>1956</v>
      </c>
      <c r="C119" s="159">
        <v>400</v>
      </c>
      <c r="D119" s="114">
        <v>42669</v>
      </c>
      <c r="E119" s="114"/>
      <c r="F119" s="114"/>
      <c r="G119" s="114"/>
      <c r="H119" s="114">
        <v>42669</v>
      </c>
      <c r="I119" s="114">
        <v>42669</v>
      </c>
      <c r="J119" s="114">
        <v>42677</v>
      </c>
      <c r="K119" s="76"/>
      <c r="L119" s="114">
        <v>42737</v>
      </c>
      <c r="M119" s="114">
        <v>42716</v>
      </c>
      <c r="N119" s="114"/>
      <c r="O119" s="114">
        <v>42741</v>
      </c>
      <c r="P119" s="114">
        <v>42741</v>
      </c>
      <c r="Q119" s="114">
        <v>42747</v>
      </c>
      <c r="R119" s="80"/>
      <c r="S119" s="114"/>
      <c r="T119" s="75"/>
      <c r="U119" s="75"/>
      <c r="V119" s="75"/>
      <c r="W119" s="75">
        <v>2</v>
      </c>
      <c r="X119" s="75">
        <v>36668</v>
      </c>
      <c r="Y119" s="75" t="str">
        <f ca="1">IF(I119="",IF(D119="","",IF(W119+X119&lt;15,"Données Nb pers ou RFR manquantes",IF(COUNTA(INDIRECT("TabRFR["&amp;YEAR(D119)&amp;"]"))&lt;&gt;COUNTA(TabRFR[Recherche RFR]),"Data RFR manquantes", IF(X119&lt;=INDEX(TabRFR[[2021]:[2025]],MATCH(BD!W119&amp;"-Très modestes",TabRFR[Recherche RFR],0),MATCH(TEXT(YEAR(BD!D119),"Standard"),TabRFR[[#Headers],[2021]:[2025]],0)),"Très Modeste",IF(X119&lt;=INDEX(TabRFR[[2021]:[2025]],MATCH(BD!W119&amp;"-modestes",TabRFR[Recherche RFR],0),MATCH(TEXT(YEAR(BD!D119),"Standard"),TabRFR[[#Headers],[2021]:[2025]],0)),"Modeste",IF(X119&lt;=INDEX(TabRFR[[2021]:[2025]],MATCH(BD!W119&amp;"-Intermédiaire",TabRFR[Recherche RFR],0),MATCH(TEXT(YEAR(BD!D119),"Standard"),TabRFR[[#Headers],[2021]:[2025]],0)),"Intermédiaire","Supérieur")))))),IF(D119="","",IF(W119+X119&lt;15,"Données Nb pers ou RFR manquantes",IF(COUNTA(INDIRECT("TabRFR["&amp;YEAR(I119)&amp;"]"))&lt;&gt;COUNTA(TabRFR[Recherche RFR]),"Data RFR manquantes", IF(X119&lt;=INDEX(TabRFR[[2021]:[2025]],MATCH(BD!W119&amp;"-Très modestes",TabRFR[Recherche RFR],0),MATCH(TEXT(YEAR(BD!I119),"Standard"),TabRFR[[#Headers],[2021]:[2025]],0)),"Très Modeste",IF(X119&lt;=INDEX(TabRFR[[2021]:[2025]],MATCH(BD!W119&amp;"-modestes",TabRFR[Recherche RFR],0),MATCH(TEXT(YEAR(BD!I119),"Standard"),TabRFR[[#Headers],[2021]:[2025]],0)),"Modeste",IF(X119&lt;=INDEX(TabRFR[[2021]:[2025]],MATCH(BD!W119&amp;"-Intermédiaire",TabRFR[Recherche RFR],0),MATCH(TEXT(YEAR(BD!I119),"Standard"),TabRFR[[#Headers],[2021]:[2025]],0)),"Intermédiaire","Supérieur")))))))</f>
        <v>Data RFR manquantes</v>
      </c>
      <c r="Z119" s="75"/>
      <c r="AA119" s="75" t="s">
        <v>1954</v>
      </c>
      <c r="AB119" s="75">
        <v>38140</v>
      </c>
      <c r="AC119" s="75" t="s">
        <v>321</v>
      </c>
      <c r="AD119" s="101"/>
      <c r="AE119" s="102"/>
      <c r="AF119" s="75" t="s">
        <v>95</v>
      </c>
      <c r="AG119" s="75"/>
      <c r="AH119" s="75"/>
      <c r="AI119" s="75"/>
      <c r="AJ119" s="75"/>
      <c r="AK119" s="75"/>
      <c r="AL119" s="75"/>
      <c r="AM119" s="75" t="s">
        <v>4356</v>
      </c>
      <c r="AN119" s="75" t="s">
        <v>96</v>
      </c>
      <c r="AO119" s="75" t="s">
        <v>1948</v>
      </c>
      <c r="AP119" s="75" t="s">
        <v>97</v>
      </c>
      <c r="AQ119" s="75"/>
      <c r="AR119" s="75"/>
      <c r="AS119" s="102" t="s">
        <v>120</v>
      </c>
      <c r="AT119" s="101">
        <v>476071461</v>
      </c>
      <c r="AU119" s="75" t="s">
        <v>399</v>
      </c>
      <c r="AV119" s="75" t="s">
        <v>112</v>
      </c>
      <c r="AW119" s="75" t="s">
        <v>100</v>
      </c>
      <c r="AX119" s="75" t="s">
        <v>2071</v>
      </c>
      <c r="AY119" s="75" t="s">
        <v>102</v>
      </c>
      <c r="AZ119" s="75" t="s">
        <v>1952</v>
      </c>
      <c r="BA119" s="75">
        <v>21</v>
      </c>
      <c r="BB119" s="75">
        <v>8</v>
      </c>
      <c r="BC119" s="75">
        <v>90.1</v>
      </c>
      <c r="BD119" s="75">
        <v>0.06</v>
      </c>
      <c r="BE119" s="75" t="s">
        <v>97</v>
      </c>
      <c r="BF119" s="75"/>
      <c r="BG119" s="75">
        <v>2795</v>
      </c>
      <c r="BH119" s="77"/>
      <c r="BI119" s="77"/>
      <c r="BJ119" s="77"/>
      <c r="BK119" s="75">
        <v>450</v>
      </c>
      <c r="BL119" s="75">
        <f t="shared" si="3"/>
        <v>3245</v>
      </c>
      <c r="BM119" s="103">
        <f t="shared" si="4"/>
        <v>178.47499999999999</v>
      </c>
      <c r="BN119" s="103">
        <f t="shared" si="5"/>
        <v>3423.4749999999999</v>
      </c>
      <c r="BO119" s="103"/>
      <c r="BP119" s="75" t="s">
        <v>97</v>
      </c>
      <c r="BQ119" s="75"/>
      <c r="BR119" s="75"/>
      <c r="BS119" s="157">
        <v>2016</v>
      </c>
      <c r="BU119">
        <v>2016</v>
      </c>
    </row>
    <row r="120" spans="1:73" ht="43.15" customHeight="1" x14ac:dyDescent="0.25">
      <c r="A120" s="242" t="s">
        <v>186</v>
      </c>
      <c r="B120" s="242" t="s">
        <v>1951</v>
      </c>
      <c r="C120" s="159">
        <v>800</v>
      </c>
      <c r="D120" s="114">
        <v>42668</v>
      </c>
      <c r="E120" s="114"/>
      <c r="F120" s="114"/>
      <c r="G120" s="114"/>
      <c r="H120" s="114">
        <v>42669</v>
      </c>
      <c r="I120" s="114">
        <v>42669</v>
      </c>
      <c r="J120" s="114">
        <v>42677</v>
      </c>
      <c r="K120" s="76"/>
      <c r="L120" s="114">
        <v>42699</v>
      </c>
      <c r="M120" s="114">
        <v>42681</v>
      </c>
      <c r="N120" s="114"/>
      <c r="O120" s="114">
        <v>42716</v>
      </c>
      <c r="P120" s="114">
        <v>42716</v>
      </c>
      <c r="Q120" s="114">
        <v>42717</v>
      </c>
      <c r="R120" s="81"/>
      <c r="S120" s="114"/>
      <c r="T120" s="75"/>
      <c r="U120" s="75"/>
      <c r="V120" s="75"/>
      <c r="W120" s="75">
        <v>2</v>
      </c>
      <c r="X120" s="75">
        <v>18153</v>
      </c>
      <c r="Y120" s="75" t="str">
        <f ca="1">IF(I120="",IF(D120="","",IF(W120+X120&lt;15,"Données Nb pers ou RFR manquantes",IF(COUNTA(INDIRECT("TabRFR["&amp;YEAR(D120)&amp;"]"))&lt;&gt;COUNTA(TabRFR[Recherche RFR]),"Data RFR manquantes", IF(X120&lt;=INDEX(TabRFR[[2021]:[2025]],MATCH(BD!W120&amp;"-Très modestes",TabRFR[Recherche RFR],0),MATCH(TEXT(YEAR(BD!D120),"Standard"),TabRFR[[#Headers],[2021]:[2025]],0)),"Très Modeste",IF(X120&lt;=INDEX(TabRFR[[2021]:[2025]],MATCH(BD!W120&amp;"-modestes",TabRFR[Recherche RFR],0),MATCH(TEXT(YEAR(BD!D120),"Standard"),TabRFR[[#Headers],[2021]:[2025]],0)),"Modeste",IF(X120&lt;=INDEX(TabRFR[[2021]:[2025]],MATCH(BD!W120&amp;"-Intermédiaire",TabRFR[Recherche RFR],0),MATCH(TEXT(YEAR(BD!D120),"Standard"),TabRFR[[#Headers],[2021]:[2025]],0)),"Intermédiaire","Supérieur")))))),IF(D120="","",IF(W120+X120&lt;15,"Données Nb pers ou RFR manquantes",IF(COUNTA(INDIRECT("TabRFR["&amp;YEAR(I120)&amp;"]"))&lt;&gt;COUNTA(TabRFR[Recherche RFR]),"Data RFR manquantes", IF(X120&lt;=INDEX(TabRFR[[2021]:[2025]],MATCH(BD!W120&amp;"-Très modestes",TabRFR[Recherche RFR],0),MATCH(TEXT(YEAR(BD!I120),"Standard"),TabRFR[[#Headers],[2021]:[2025]],0)),"Très Modeste",IF(X120&lt;=INDEX(TabRFR[[2021]:[2025]],MATCH(BD!W120&amp;"-modestes",TabRFR[Recherche RFR],0),MATCH(TEXT(YEAR(BD!I120),"Standard"),TabRFR[[#Headers],[2021]:[2025]],0)),"Modeste",IF(X120&lt;=INDEX(TabRFR[[2021]:[2025]],MATCH(BD!W120&amp;"-Intermédiaire",TabRFR[Recherche RFR],0),MATCH(TEXT(YEAR(BD!I120),"Standard"),TabRFR[[#Headers],[2021]:[2025]],0)),"Intermédiaire","Supérieur")))))))</f>
        <v>Data RFR manquantes</v>
      </c>
      <c r="Z120" s="75"/>
      <c r="AA120" s="75" t="s">
        <v>1949</v>
      </c>
      <c r="AB120" s="75">
        <v>38620</v>
      </c>
      <c r="AC120" s="75" t="s">
        <v>3754</v>
      </c>
      <c r="AD120" s="101"/>
      <c r="AE120" s="102"/>
      <c r="AF120" s="75"/>
      <c r="AG120" s="75"/>
      <c r="AH120" s="75"/>
      <c r="AI120" s="75"/>
      <c r="AJ120" s="75"/>
      <c r="AK120" s="75"/>
      <c r="AL120" s="75"/>
      <c r="AM120" s="75" t="s">
        <v>4356</v>
      </c>
      <c r="AN120" s="75" t="s">
        <v>96</v>
      </c>
      <c r="AO120" s="75" t="s">
        <v>1948</v>
      </c>
      <c r="AP120" s="75" t="s">
        <v>97</v>
      </c>
      <c r="AQ120" s="75"/>
      <c r="AR120" s="75"/>
      <c r="AS120" s="102" t="s">
        <v>120</v>
      </c>
      <c r="AT120" s="101">
        <v>476071461</v>
      </c>
      <c r="AU120" s="75" t="s">
        <v>100</v>
      </c>
      <c r="AV120" s="75" t="s">
        <v>112</v>
      </c>
      <c r="AW120" s="75" t="s">
        <v>100</v>
      </c>
      <c r="AX120" s="75" t="s">
        <v>112</v>
      </c>
      <c r="AY120" s="75" t="s">
        <v>1603</v>
      </c>
      <c r="AZ120" s="75" t="s">
        <v>1011</v>
      </c>
      <c r="BA120" s="75">
        <v>34</v>
      </c>
      <c r="BB120" s="75">
        <v>7</v>
      </c>
      <c r="BC120" s="75">
        <v>80</v>
      </c>
      <c r="BD120" s="75">
        <v>0.08</v>
      </c>
      <c r="BE120" s="75" t="s">
        <v>97</v>
      </c>
      <c r="BF120" s="75"/>
      <c r="BG120" s="75">
        <v>2691</v>
      </c>
      <c r="BH120" s="77"/>
      <c r="BI120" s="77"/>
      <c r="BJ120" s="77"/>
      <c r="BK120" s="75">
        <v>300</v>
      </c>
      <c r="BL120" s="75">
        <f t="shared" si="3"/>
        <v>2991</v>
      </c>
      <c r="BM120" s="103">
        <f t="shared" si="4"/>
        <v>164.505</v>
      </c>
      <c r="BN120" s="103">
        <f t="shared" si="5"/>
        <v>3155.5050000000001</v>
      </c>
      <c r="BO120" s="103">
        <v>2382.84</v>
      </c>
      <c r="BP120" s="75" t="s">
        <v>97</v>
      </c>
      <c r="BQ120" s="75"/>
      <c r="BR120" s="75"/>
      <c r="BS120" s="157">
        <v>2016</v>
      </c>
      <c r="BT120">
        <v>2020</v>
      </c>
      <c r="BU120">
        <v>2016</v>
      </c>
    </row>
    <row r="121" spans="1:73" ht="43.15" customHeight="1" x14ac:dyDescent="0.25">
      <c r="A121" s="242" t="s">
        <v>186</v>
      </c>
      <c r="B121" s="242" t="s">
        <v>1947</v>
      </c>
      <c r="C121" s="159">
        <v>400</v>
      </c>
      <c r="D121" s="114">
        <v>42670</v>
      </c>
      <c r="E121" s="114"/>
      <c r="F121" s="114"/>
      <c r="G121" s="114"/>
      <c r="H121" s="114">
        <v>42670</v>
      </c>
      <c r="I121" s="114">
        <v>42670</v>
      </c>
      <c r="J121" s="114">
        <v>42677</v>
      </c>
      <c r="K121" s="76"/>
      <c r="L121" s="114">
        <v>42765</v>
      </c>
      <c r="M121" s="114">
        <v>42759</v>
      </c>
      <c r="N121" s="114"/>
      <c r="O121" s="114">
        <v>42769</v>
      </c>
      <c r="P121" s="114">
        <v>42769</v>
      </c>
      <c r="Q121" s="114">
        <v>42787</v>
      </c>
      <c r="R121" s="80"/>
      <c r="S121" s="114"/>
      <c r="T121" s="75"/>
      <c r="U121" s="75"/>
      <c r="V121" s="75"/>
      <c r="W121" s="75">
        <v>5</v>
      </c>
      <c r="X121" s="75">
        <v>75595</v>
      </c>
      <c r="Y121" s="75" t="str">
        <f ca="1">IF(I121="",IF(D121="","",IF(W121+X121&lt;15,"Données Nb pers ou RFR manquantes",IF(COUNTA(INDIRECT("TabRFR["&amp;YEAR(D121)&amp;"]"))&lt;&gt;COUNTA(TabRFR[Recherche RFR]),"Data RFR manquantes", IF(X121&lt;=INDEX(TabRFR[[2021]:[2025]],MATCH(BD!W121&amp;"-Très modestes",TabRFR[Recherche RFR],0),MATCH(TEXT(YEAR(BD!D121),"Standard"),TabRFR[[#Headers],[2021]:[2025]],0)),"Très Modeste",IF(X121&lt;=INDEX(TabRFR[[2021]:[2025]],MATCH(BD!W121&amp;"-modestes",TabRFR[Recherche RFR],0),MATCH(TEXT(YEAR(BD!D121),"Standard"),TabRFR[[#Headers],[2021]:[2025]],0)),"Modeste",IF(X121&lt;=INDEX(TabRFR[[2021]:[2025]],MATCH(BD!W121&amp;"-Intermédiaire",TabRFR[Recherche RFR],0),MATCH(TEXT(YEAR(BD!D121),"Standard"),TabRFR[[#Headers],[2021]:[2025]],0)),"Intermédiaire","Supérieur")))))),IF(D121="","",IF(W121+X121&lt;15,"Données Nb pers ou RFR manquantes",IF(COUNTA(INDIRECT("TabRFR["&amp;YEAR(I121)&amp;"]"))&lt;&gt;COUNTA(TabRFR[Recherche RFR]),"Data RFR manquantes", IF(X121&lt;=INDEX(TabRFR[[2021]:[2025]],MATCH(BD!W121&amp;"-Très modestes",TabRFR[Recherche RFR],0),MATCH(TEXT(YEAR(BD!I121),"Standard"),TabRFR[[#Headers],[2021]:[2025]],0)),"Très Modeste",IF(X121&lt;=INDEX(TabRFR[[2021]:[2025]],MATCH(BD!W121&amp;"-modestes",TabRFR[Recherche RFR],0),MATCH(TEXT(YEAR(BD!I121),"Standard"),TabRFR[[#Headers],[2021]:[2025]],0)),"Modeste",IF(X121&lt;=INDEX(TabRFR[[2021]:[2025]],MATCH(BD!W121&amp;"-Intermédiaire",TabRFR[Recherche RFR],0),MATCH(TEXT(YEAR(BD!I121),"Standard"),TabRFR[[#Headers],[2021]:[2025]],0)),"Intermédiaire","Supérieur")))))))</f>
        <v>Data RFR manquantes</v>
      </c>
      <c r="Z121" s="75"/>
      <c r="AA121" s="75" t="s">
        <v>1945</v>
      </c>
      <c r="AB121" s="75">
        <v>38340</v>
      </c>
      <c r="AC121" s="75" t="s">
        <v>108</v>
      </c>
      <c r="AD121" s="101"/>
      <c r="AE121" s="102"/>
      <c r="AF121" s="75" t="s">
        <v>95</v>
      </c>
      <c r="AG121" s="75"/>
      <c r="AH121" s="75">
        <v>2015</v>
      </c>
      <c r="AI121" s="75"/>
      <c r="AJ121" s="75"/>
      <c r="AK121" s="75"/>
      <c r="AL121" s="75"/>
      <c r="AM121" s="75" t="s">
        <v>4359</v>
      </c>
      <c r="AN121" s="75" t="s">
        <v>829</v>
      </c>
      <c r="AO121" s="75" t="s">
        <v>1392</v>
      </c>
      <c r="AP121" s="75" t="s">
        <v>97</v>
      </c>
      <c r="AQ121" s="75"/>
      <c r="AR121" s="75"/>
      <c r="AS121" s="102" t="s">
        <v>491</v>
      </c>
      <c r="AT121" s="101">
        <v>476452433</v>
      </c>
      <c r="AU121" s="75" t="s">
        <v>430</v>
      </c>
      <c r="AV121" s="75" t="s">
        <v>112</v>
      </c>
      <c r="AW121" s="75" t="s">
        <v>100</v>
      </c>
      <c r="AX121" s="75" t="s">
        <v>112</v>
      </c>
      <c r="AY121" s="75" t="s">
        <v>492</v>
      </c>
      <c r="AZ121" s="75" t="s">
        <v>1519</v>
      </c>
      <c r="BA121" s="75">
        <v>16</v>
      </c>
      <c r="BB121" s="75">
        <v>6.4</v>
      </c>
      <c r="BC121" s="75">
        <v>81</v>
      </c>
      <c r="BD121" s="75">
        <v>0.08</v>
      </c>
      <c r="BE121" s="75" t="s">
        <v>97</v>
      </c>
      <c r="BF121" s="75"/>
      <c r="BG121" s="75">
        <v>3308</v>
      </c>
      <c r="BH121" s="77"/>
      <c r="BI121" s="77"/>
      <c r="BJ121" s="77"/>
      <c r="BK121" s="75">
        <v>650</v>
      </c>
      <c r="BL121" s="75">
        <f t="shared" si="3"/>
        <v>3958</v>
      </c>
      <c r="BM121" s="103">
        <f t="shared" si="4"/>
        <v>217.69</v>
      </c>
      <c r="BN121" s="103">
        <f t="shared" si="5"/>
        <v>4175.6899999999996</v>
      </c>
      <c r="BO121" s="103">
        <v>4911.1499999999996</v>
      </c>
      <c r="BP121" s="75" t="s">
        <v>104</v>
      </c>
      <c r="BQ121" s="75"/>
      <c r="BR121" s="75"/>
      <c r="BS121" s="157">
        <v>2016</v>
      </c>
      <c r="BT121">
        <v>2020</v>
      </c>
      <c r="BU121">
        <v>2016</v>
      </c>
    </row>
    <row r="122" spans="1:73" ht="43.15" customHeight="1" x14ac:dyDescent="0.25">
      <c r="A122" s="242" t="s">
        <v>186</v>
      </c>
      <c r="B122" s="242" t="s">
        <v>1943</v>
      </c>
      <c r="C122" s="159">
        <v>400</v>
      </c>
      <c r="D122" s="114">
        <v>42671</v>
      </c>
      <c r="E122" s="114"/>
      <c r="F122" s="114"/>
      <c r="G122" s="114"/>
      <c r="H122" s="114">
        <v>42678</v>
      </c>
      <c r="I122" s="114">
        <v>42678</v>
      </c>
      <c r="J122" s="114">
        <v>42695</v>
      </c>
      <c r="K122" s="76"/>
      <c r="L122" s="114">
        <v>42758</v>
      </c>
      <c r="M122" s="114">
        <v>42716</v>
      </c>
      <c r="N122" s="114"/>
      <c r="O122" s="114">
        <v>42761</v>
      </c>
      <c r="P122" s="114">
        <v>42761</v>
      </c>
      <c r="Q122" s="114">
        <v>42765</v>
      </c>
      <c r="R122" s="80"/>
      <c r="S122" s="114"/>
      <c r="T122" s="75"/>
      <c r="U122" s="75"/>
      <c r="V122" s="75"/>
      <c r="W122" s="75">
        <v>3</v>
      </c>
      <c r="X122" s="75">
        <v>47132</v>
      </c>
      <c r="Y122" s="75" t="str">
        <f ca="1">IF(I122="",IF(D122="","",IF(W122+X122&lt;15,"Données Nb pers ou RFR manquantes",IF(COUNTA(INDIRECT("TabRFR["&amp;YEAR(D122)&amp;"]"))&lt;&gt;COUNTA(TabRFR[Recherche RFR]),"Data RFR manquantes", IF(X122&lt;=INDEX(TabRFR[[2021]:[2025]],MATCH(BD!W122&amp;"-Très modestes",TabRFR[Recherche RFR],0),MATCH(TEXT(YEAR(BD!D122),"Standard"),TabRFR[[#Headers],[2021]:[2025]],0)),"Très Modeste",IF(X122&lt;=INDEX(TabRFR[[2021]:[2025]],MATCH(BD!W122&amp;"-modestes",TabRFR[Recherche RFR],0),MATCH(TEXT(YEAR(BD!D122),"Standard"),TabRFR[[#Headers],[2021]:[2025]],0)),"Modeste",IF(X122&lt;=INDEX(TabRFR[[2021]:[2025]],MATCH(BD!W122&amp;"-Intermédiaire",TabRFR[Recherche RFR],0),MATCH(TEXT(YEAR(BD!D122),"Standard"),TabRFR[[#Headers],[2021]:[2025]],0)),"Intermédiaire","Supérieur")))))),IF(D122="","",IF(W122+X122&lt;15,"Données Nb pers ou RFR manquantes",IF(COUNTA(INDIRECT("TabRFR["&amp;YEAR(I122)&amp;"]"))&lt;&gt;COUNTA(TabRFR[Recherche RFR]),"Data RFR manquantes", IF(X122&lt;=INDEX(TabRFR[[2021]:[2025]],MATCH(BD!W122&amp;"-Très modestes",TabRFR[Recherche RFR],0),MATCH(TEXT(YEAR(BD!I122),"Standard"),TabRFR[[#Headers],[2021]:[2025]],0)),"Très Modeste",IF(X122&lt;=INDEX(TabRFR[[2021]:[2025]],MATCH(BD!W122&amp;"-modestes",TabRFR[Recherche RFR],0),MATCH(TEXT(YEAR(BD!I122),"Standard"),TabRFR[[#Headers],[2021]:[2025]],0)),"Modeste",IF(X122&lt;=INDEX(TabRFR[[2021]:[2025]],MATCH(BD!W122&amp;"-Intermédiaire",TabRFR[Recherche RFR],0),MATCH(TEXT(YEAR(BD!I122),"Standard"),TabRFR[[#Headers],[2021]:[2025]],0)),"Intermédiaire","Supérieur")))))))</f>
        <v>Data RFR manquantes</v>
      </c>
      <c r="Z122" s="75"/>
      <c r="AA122" s="75" t="s">
        <v>1941</v>
      </c>
      <c r="AB122" s="75">
        <v>38430</v>
      </c>
      <c r="AC122" s="75" t="s">
        <v>217</v>
      </c>
      <c r="AD122" s="101"/>
      <c r="AE122" s="102"/>
      <c r="AF122" s="75" t="s">
        <v>95</v>
      </c>
      <c r="AG122" s="75"/>
      <c r="AH122" s="75"/>
      <c r="AI122" s="75"/>
      <c r="AJ122" s="75"/>
      <c r="AK122" s="75"/>
      <c r="AL122" s="75"/>
      <c r="AM122" s="75" t="s">
        <v>4356</v>
      </c>
      <c r="AN122" s="75" t="s">
        <v>96</v>
      </c>
      <c r="AO122" s="75" t="s">
        <v>119</v>
      </c>
      <c r="AP122" s="75" t="s">
        <v>97</v>
      </c>
      <c r="AQ122" s="75"/>
      <c r="AR122" s="75"/>
      <c r="AS122" s="102" t="s">
        <v>120</v>
      </c>
      <c r="AT122" s="101">
        <v>476071461</v>
      </c>
      <c r="AU122" s="75" t="s">
        <v>100</v>
      </c>
      <c r="AV122" s="75" t="s">
        <v>112</v>
      </c>
      <c r="AW122" s="75" t="s">
        <v>100</v>
      </c>
      <c r="AX122" s="75" t="s">
        <v>112</v>
      </c>
      <c r="AY122" s="75" t="s">
        <v>1603</v>
      </c>
      <c r="AZ122" s="75" t="s">
        <v>1011</v>
      </c>
      <c r="BA122" s="75">
        <v>34</v>
      </c>
      <c r="BB122" s="75">
        <v>7</v>
      </c>
      <c r="BC122" s="75">
        <v>80</v>
      </c>
      <c r="BD122" s="75">
        <v>0.08</v>
      </c>
      <c r="BE122" s="75" t="s">
        <v>97</v>
      </c>
      <c r="BF122" s="75"/>
      <c r="BG122" s="75">
        <v>2753</v>
      </c>
      <c r="BH122" s="77"/>
      <c r="BI122" s="77"/>
      <c r="BJ122" s="77"/>
      <c r="BK122" s="75">
        <v>420</v>
      </c>
      <c r="BL122" s="75">
        <f t="shared" si="3"/>
        <v>3173</v>
      </c>
      <c r="BM122" s="103">
        <f t="shared" si="4"/>
        <v>174.51500000000001</v>
      </c>
      <c r="BN122" s="103">
        <f t="shared" si="5"/>
        <v>3347.5149999999999</v>
      </c>
      <c r="BO122" s="103">
        <v>630077277</v>
      </c>
      <c r="BP122" s="75" t="s">
        <v>104</v>
      </c>
      <c r="BQ122" s="75"/>
      <c r="BR122" s="75"/>
      <c r="BS122" s="157">
        <v>2016</v>
      </c>
      <c r="BT122">
        <v>2020</v>
      </c>
      <c r="BU122">
        <v>2016</v>
      </c>
    </row>
    <row r="123" spans="1:73" ht="43.15" customHeight="1" x14ac:dyDescent="0.25">
      <c r="A123" s="242" t="s">
        <v>186</v>
      </c>
      <c r="B123" s="242" t="s">
        <v>1939</v>
      </c>
      <c r="C123" s="159">
        <v>400</v>
      </c>
      <c r="D123" s="114">
        <v>42674</v>
      </c>
      <c r="E123" s="114"/>
      <c r="F123" s="114" t="s">
        <v>1938</v>
      </c>
      <c r="G123" s="114"/>
      <c r="H123" s="114">
        <v>42716</v>
      </c>
      <c r="I123" s="114">
        <v>42716</v>
      </c>
      <c r="J123" s="114">
        <v>42723</v>
      </c>
      <c r="K123" s="76"/>
      <c r="L123" s="114">
        <v>42762</v>
      </c>
      <c r="M123" s="114">
        <v>42735</v>
      </c>
      <c r="N123" s="114"/>
      <c r="O123" s="114">
        <v>42769</v>
      </c>
      <c r="P123" s="114">
        <v>42769</v>
      </c>
      <c r="Q123" s="114">
        <v>42787</v>
      </c>
      <c r="R123" s="80"/>
      <c r="S123" s="114"/>
      <c r="T123" s="75"/>
      <c r="U123" s="75"/>
      <c r="V123" s="75"/>
      <c r="W123" s="75">
        <v>4</v>
      </c>
      <c r="X123" s="75">
        <v>74600</v>
      </c>
      <c r="Y123" s="75" t="str">
        <f ca="1">IF(I123="",IF(D123="","",IF(W123+X123&lt;15,"Données Nb pers ou RFR manquantes",IF(COUNTA(INDIRECT("TabRFR["&amp;YEAR(D123)&amp;"]"))&lt;&gt;COUNTA(TabRFR[Recherche RFR]),"Data RFR manquantes", IF(X123&lt;=INDEX(TabRFR[[2021]:[2025]],MATCH(BD!W123&amp;"-Très modestes",TabRFR[Recherche RFR],0),MATCH(TEXT(YEAR(BD!D123),"Standard"),TabRFR[[#Headers],[2021]:[2025]],0)),"Très Modeste",IF(X123&lt;=INDEX(TabRFR[[2021]:[2025]],MATCH(BD!W123&amp;"-modestes",TabRFR[Recherche RFR],0),MATCH(TEXT(YEAR(BD!D123),"Standard"),TabRFR[[#Headers],[2021]:[2025]],0)),"Modeste",IF(X123&lt;=INDEX(TabRFR[[2021]:[2025]],MATCH(BD!W123&amp;"-Intermédiaire",TabRFR[Recherche RFR],0),MATCH(TEXT(YEAR(BD!D123),"Standard"),TabRFR[[#Headers],[2021]:[2025]],0)),"Intermédiaire","Supérieur")))))),IF(D123="","",IF(W123+X123&lt;15,"Données Nb pers ou RFR manquantes",IF(COUNTA(INDIRECT("TabRFR["&amp;YEAR(I123)&amp;"]"))&lt;&gt;COUNTA(TabRFR[Recherche RFR]),"Data RFR manquantes", IF(X123&lt;=INDEX(TabRFR[[2021]:[2025]],MATCH(BD!W123&amp;"-Très modestes",TabRFR[Recherche RFR],0),MATCH(TEXT(YEAR(BD!I123),"Standard"),TabRFR[[#Headers],[2021]:[2025]],0)),"Très Modeste",IF(X123&lt;=INDEX(TabRFR[[2021]:[2025]],MATCH(BD!W123&amp;"-modestes",TabRFR[Recherche RFR],0),MATCH(TEXT(YEAR(BD!I123),"Standard"),TabRFR[[#Headers],[2021]:[2025]],0)),"Modeste",IF(X123&lt;=INDEX(TabRFR[[2021]:[2025]],MATCH(BD!W123&amp;"-Intermédiaire",TabRFR[Recherche RFR],0),MATCH(TEXT(YEAR(BD!I123),"Standard"),TabRFR[[#Headers],[2021]:[2025]],0)),"Intermédiaire","Supérieur")))))))</f>
        <v>Data RFR manquantes</v>
      </c>
      <c r="Z123" s="75"/>
      <c r="AA123" s="75" t="s">
        <v>1935</v>
      </c>
      <c r="AB123" s="75">
        <v>38340</v>
      </c>
      <c r="AC123" s="75" t="s">
        <v>108</v>
      </c>
      <c r="AD123" s="101"/>
      <c r="AE123" s="102"/>
      <c r="AF123" s="75" t="s">
        <v>95</v>
      </c>
      <c r="AG123" s="75"/>
      <c r="AH123" s="75">
        <v>2014</v>
      </c>
      <c r="AI123" s="75"/>
      <c r="AJ123" s="75"/>
      <c r="AK123" s="75"/>
      <c r="AL123" s="75"/>
      <c r="AM123" s="75" t="s">
        <v>4233</v>
      </c>
      <c r="AN123" s="75" t="s">
        <v>829</v>
      </c>
      <c r="AO123" s="75" t="s">
        <v>325</v>
      </c>
      <c r="AP123" s="75" t="s">
        <v>97</v>
      </c>
      <c r="AQ123" s="75"/>
      <c r="AR123" s="75"/>
      <c r="AS123" s="102" t="s">
        <v>211</v>
      </c>
      <c r="AT123" s="101">
        <v>438029038</v>
      </c>
      <c r="AU123" s="75" t="s">
        <v>430</v>
      </c>
      <c r="AV123" s="75" t="s">
        <v>112</v>
      </c>
      <c r="AW123" s="75" t="s">
        <v>111</v>
      </c>
      <c r="AX123" s="75" t="s">
        <v>112</v>
      </c>
      <c r="AY123" s="75" t="s">
        <v>212</v>
      </c>
      <c r="AZ123" s="75" t="s">
        <v>1933</v>
      </c>
      <c r="BA123" s="75">
        <v>31</v>
      </c>
      <c r="BB123" s="75">
        <v>7</v>
      </c>
      <c r="BC123" s="75">
        <v>78</v>
      </c>
      <c r="BD123" s="75">
        <v>0.1</v>
      </c>
      <c r="BE123" s="75" t="s">
        <v>97</v>
      </c>
      <c r="BF123" s="75"/>
      <c r="BG123" s="75">
        <v>2991.5</v>
      </c>
      <c r="BH123" s="77"/>
      <c r="BI123" s="77"/>
      <c r="BJ123" s="77"/>
      <c r="BK123" s="75">
        <v>800</v>
      </c>
      <c r="BL123" s="75">
        <f t="shared" si="3"/>
        <v>3791.5</v>
      </c>
      <c r="BM123" s="103">
        <f t="shared" si="4"/>
        <v>208.5325</v>
      </c>
      <c r="BN123" s="103">
        <f t="shared" si="5"/>
        <v>4000.0324999999998</v>
      </c>
      <c r="BO123" s="103">
        <v>4000</v>
      </c>
      <c r="BP123" s="75"/>
      <c r="BQ123" s="75"/>
      <c r="BR123" s="75"/>
      <c r="BS123" s="157">
        <v>2016</v>
      </c>
      <c r="BT123">
        <v>2020</v>
      </c>
      <c r="BU123">
        <v>2016</v>
      </c>
    </row>
    <row r="124" spans="1:73" ht="43.15" customHeight="1" x14ac:dyDescent="0.25">
      <c r="A124" s="242" t="s">
        <v>186</v>
      </c>
      <c r="B124" s="242" t="s">
        <v>1932</v>
      </c>
      <c r="C124" s="159">
        <v>400</v>
      </c>
      <c r="D124" s="114">
        <v>42677</v>
      </c>
      <c r="E124" s="114"/>
      <c r="F124" s="114" t="s">
        <v>1931</v>
      </c>
      <c r="G124" s="114"/>
      <c r="H124" s="114">
        <v>42697</v>
      </c>
      <c r="I124" s="114">
        <v>42697</v>
      </c>
      <c r="J124" s="114">
        <v>42713</v>
      </c>
      <c r="K124" s="76"/>
      <c r="L124" s="114">
        <v>42737</v>
      </c>
      <c r="M124" s="114">
        <v>42717</v>
      </c>
      <c r="N124" s="114" t="s">
        <v>1930</v>
      </c>
      <c r="O124" s="114">
        <v>42769</v>
      </c>
      <c r="P124" s="114">
        <v>42769</v>
      </c>
      <c r="Q124" s="114">
        <v>42808</v>
      </c>
      <c r="R124" s="80"/>
      <c r="S124" s="114"/>
      <c r="T124" s="75"/>
      <c r="U124" s="75"/>
      <c r="V124" s="75"/>
      <c r="W124" s="75">
        <v>4</v>
      </c>
      <c r="X124" s="75">
        <v>53643</v>
      </c>
      <c r="Y124" s="75" t="str">
        <f ca="1">IF(I124="",IF(D124="","",IF(W124+X124&lt;15,"Données Nb pers ou RFR manquantes",IF(COUNTA(INDIRECT("TabRFR["&amp;YEAR(D124)&amp;"]"))&lt;&gt;COUNTA(TabRFR[Recherche RFR]),"Data RFR manquantes", IF(X124&lt;=INDEX(TabRFR[[2021]:[2025]],MATCH(BD!W124&amp;"-Très modestes",TabRFR[Recherche RFR],0),MATCH(TEXT(YEAR(BD!D124),"Standard"),TabRFR[[#Headers],[2021]:[2025]],0)),"Très Modeste",IF(X124&lt;=INDEX(TabRFR[[2021]:[2025]],MATCH(BD!W124&amp;"-modestes",TabRFR[Recherche RFR],0),MATCH(TEXT(YEAR(BD!D124),"Standard"),TabRFR[[#Headers],[2021]:[2025]],0)),"Modeste",IF(X124&lt;=INDEX(TabRFR[[2021]:[2025]],MATCH(BD!W124&amp;"-Intermédiaire",TabRFR[Recherche RFR],0),MATCH(TEXT(YEAR(BD!D124),"Standard"),TabRFR[[#Headers],[2021]:[2025]],0)),"Intermédiaire","Supérieur")))))),IF(D124="","",IF(W124+X124&lt;15,"Données Nb pers ou RFR manquantes",IF(COUNTA(INDIRECT("TabRFR["&amp;YEAR(I124)&amp;"]"))&lt;&gt;COUNTA(TabRFR[Recherche RFR]),"Data RFR manquantes", IF(X124&lt;=INDEX(TabRFR[[2021]:[2025]],MATCH(BD!W124&amp;"-Très modestes",TabRFR[Recherche RFR],0),MATCH(TEXT(YEAR(BD!I124),"Standard"),TabRFR[[#Headers],[2021]:[2025]],0)),"Très Modeste",IF(X124&lt;=INDEX(TabRFR[[2021]:[2025]],MATCH(BD!W124&amp;"-modestes",TabRFR[Recherche RFR],0),MATCH(TEXT(YEAR(BD!I124),"Standard"),TabRFR[[#Headers],[2021]:[2025]],0)),"Modeste",IF(X124&lt;=INDEX(TabRFR[[2021]:[2025]],MATCH(BD!W124&amp;"-Intermédiaire",TabRFR[Recherche RFR],0),MATCH(TEXT(YEAR(BD!I124),"Standard"),TabRFR[[#Headers],[2021]:[2025]],0)),"Intermédiaire","Supérieur")))))))</f>
        <v>Data RFR manquantes</v>
      </c>
      <c r="Z124" s="75"/>
      <c r="AA124" s="75" t="s">
        <v>1928</v>
      </c>
      <c r="AB124" s="75">
        <v>38850</v>
      </c>
      <c r="AC124" s="75" t="s">
        <v>148</v>
      </c>
      <c r="AD124" s="101"/>
      <c r="AE124" s="102"/>
      <c r="AF124" s="75" t="s">
        <v>95</v>
      </c>
      <c r="AG124" s="75"/>
      <c r="AH124" s="75"/>
      <c r="AI124" s="75"/>
      <c r="AJ124" s="75"/>
      <c r="AK124" s="75"/>
      <c r="AL124" s="75"/>
      <c r="AM124" s="75" t="s">
        <v>3973</v>
      </c>
      <c r="AN124" s="75" t="s">
        <v>96</v>
      </c>
      <c r="AO124" s="75" t="s">
        <v>789</v>
      </c>
      <c r="AP124" s="75" t="s">
        <v>104</v>
      </c>
      <c r="AQ124" s="75"/>
      <c r="AR124" s="75"/>
      <c r="AS124" s="102" t="s">
        <v>141</v>
      </c>
      <c r="AT124" s="101">
        <v>476069938</v>
      </c>
      <c r="AU124" s="75" t="s">
        <v>100</v>
      </c>
      <c r="AV124" s="75" t="s">
        <v>112</v>
      </c>
      <c r="AW124" s="75" t="s">
        <v>100</v>
      </c>
      <c r="AX124" s="75" t="s">
        <v>2071</v>
      </c>
      <c r="AY124" s="75" t="s">
        <v>1883</v>
      </c>
      <c r="AZ124" s="75" t="s">
        <v>1926</v>
      </c>
      <c r="BA124" s="75">
        <v>8</v>
      </c>
      <c r="BB124" s="75">
        <v>9</v>
      </c>
      <c r="BC124" s="75">
        <v>94</v>
      </c>
      <c r="BD124" s="75">
        <v>0.01</v>
      </c>
      <c r="BE124" s="75" t="s">
        <v>97</v>
      </c>
      <c r="BF124" s="75"/>
      <c r="BG124" s="75">
        <v>3970</v>
      </c>
      <c r="BH124" s="77"/>
      <c r="BI124" s="77"/>
      <c r="BJ124" s="77"/>
      <c r="BK124" s="75">
        <v>295</v>
      </c>
      <c r="BL124" s="75">
        <f t="shared" si="3"/>
        <v>4265</v>
      </c>
      <c r="BM124" s="103">
        <f t="shared" si="4"/>
        <v>234.57499999999999</v>
      </c>
      <c r="BN124" s="103">
        <f t="shared" si="5"/>
        <v>4499.5749999999998</v>
      </c>
      <c r="BO124" s="103"/>
      <c r="BP124" s="75" t="s">
        <v>97</v>
      </c>
      <c r="BQ124" s="75"/>
      <c r="BR124" s="75"/>
      <c r="BS124" s="157">
        <v>2016</v>
      </c>
      <c r="BU124">
        <v>2016</v>
      </c>
    </row>
    <row r="125" spans="1:73" ht="43.15" customHeight="1" x14ac:dyDescent="0.25">
      <c r="A125" s="29" t="s">
        <v>186</v>
      </c>
      <c r="B125" s="29" t="s">
        <v>1800</v>
      </c>
      <c r="C125" s="161" t="s">
        <v>9</v>
      </c>
      <c r="D125" s="110">
        <v>42683</v>
      </c>
      <c r="E125" s="110"/>
      <c r="F125" s="110" t="s">
        <v>1799</v>
      </c>
      <c r="G125" s="110"/>
      <c r="H125" s="110"/>
      <c r="I125" s="110"/>
      <c r="J125" s="110"/>
      <c r="K125" s="110"/>
      <c r="L125" s="110"/>
      <c r="M125" s="110"/>
      <c r="N125" s="110"/>
      <c r="O125" s="110"/>
      <c r="P125" s="110"/>
      <c r="Q125" s="110"/>
      <c r="R125" s="109"/>
      <c r="S125" s="110">
        <v>42736</v>
      </c>
      <c r="T125" s="111" t="s">
        <v>9</v>
      </c>
      <c r="U125" s="111"/>
      <c r="V125" s="111"/>
      <c r="W125" s="111">
        <v>3</v>
      </c>
      <c r="X125" s="111">
        <v>69824</v>
      </c>
      <c r="Y125" s="75" t="str">
        <f ca="1">IF(I125="",IF(D125="","",IF(W125+X125&lt;15,"Données Nb pers ou RFR manquantes",IF(COUNTA(INDIRECT("TabRFR["&amp;YEAR(D125)&amp;"]"))&lt;&gt;COUNTA(TabRFR[Recherche RFR]),"Data RFR manquantes", IF(X125&lt;=INDEX(TabRFR[[2021]:[2025]],MATCH(BD!W125&amp;"-Très modestes",TabRFR[Recherche RFR],0),MATCH(TEXT(YEAR(BD!D125),"Standard"),TabRFR[[#Headers],[2021]:[2025]],0)),"Très Modeste",IF(X125&lt;=INDEX(TabRFR[[2021]:[2025]],MATCH(BD!W125&amp;"-modestes",TabRFR[Recherche RFR],0),MATCH(TEXT(YEAR(BD!D125),"Standard"),TabRFR[[#Headers],[2021]:[2025]],0)),"Modeste",IF(X125&lt;=INDEX(TabRFR[[2021]:[2025]],MATCH(BD!W125&amp;"-Intermédiaire",TabRFR[Recherche RFR],0),MATCH(TEXT(YEAR(BD!D125),"Standard"),TabRFR[[#Headers],[2021]:[2025]],0)),"Intermédiaire","Supérieur")))))),IF(D125="","",IF(W125+X125&lt;15,"Données Nb pers ou RFR manquantes",IF(COUNTA(INDIRECT("TabRFR["&amp;YEAR(I125)&amp;"]"))&lt;&gt;COUNTA(TabRFR[Recherche RFR]),"Data RFR manquantes", IF(X125&lt;=INDEX(TabRFR[[2021]:[2025]],MATCH(BD!W125&amp;"-Très modestes",TabRFR[Recherche RFR],0),MATCH(TEXT(YEAR(BD!I125),"Standard"),TabRFR[[#Headers],[2021]:[2025]],0)),"Très Modeste",IF(X125&lt;=INDEX(TabRFR[[2021]:[2025]],MATCH(BD!W125&amp;"-modestes",TabRFR[Recherche RFR],0),MATCH(TEXT(YEAR(BD!I125),"Standard"),TabRFR[[#Headers],[2021]:[2025]],0)),"Modeste",IF(X125&lt;=INDEX(TabRFR[[2021]:[2025]],MATCH(BD!W125&amp;"-Intermédiaire",TabRFR[Recherche RFR],0),MATCH(TEXT(YEAR(BD!I125),"Standard"),TabRFR[[#Headers],[2021]:[2025]],0)),"Intermédiaire","Supérieur")))))))</f>
        <v>Data RFR manquantes</v>
      </c>
      <c r="Z125" s="111"/>
      <c r="AA125" s="111" t="s">
        <v>1798</v>
      </c>
      <c r="AB125" s="111">
        <v>38210</v>
      </c>
      <c r="AC125" s="111" t="s">
        <v>195</v>
      </c>
      <c r="AD125" s="127"/>
      <c r="AE125" s="102"/>
      <c r="AF125" s="111" t="s">
        <v>95</v>
      </c>
      <c r="AG125" s="111"/>
      <c r="AH125" s="111"/>
      <c r="AI125" s="111"/>
      <c r="AJ125" s="111"/>
      <c r="AK125" s="111"/>
      <c r="AL125" s="111"/>
      <c r="AM125" s="111" t="s">
        <v>4359</v>
      </c>
      <c r="AN125" s="111" t="s">
        <v>829</v>
      </c>
      <c r="AO125" s="111" t="s">
        <v>1392</v>
      </c>
      <c r="AP125" s="111" t="s">
        <v>97</v>
      </c>
      <c r="AQ125" s="111"/>
      <c r="AR125" s="111"/>
      <c r="AS125" s="102" t="s">
        <v>491</v>
      </c>
      <c r="AT125" s="112">
        <v>476452433</v>
      </c>
      <c r="AU125" s="111" t="s">
        <v>399</v>
      </c>
      <c r="AV125" s="111" t="s">
        <v>112</v>
      </c>
      <c r="AW125" s="111" t="s">
        <v>100</v>
      </c>
      <c r="AX125" s="111" t="s">
        <v>112</v>
      </c>
      <c r="AY125" s="111" t="s">
        <v>1797</v>
      </c>
      <c r="AZ125" s="111" t="s">
        <v>1796</v>
      </c>
      <c r="BA125" s="111">
        <v>20</v>
      </c>
      <c r="BB125" s="111">
        <v>5</v>
      </c>
      <c r="BC125" s="111">
        <v>80</v>
      </c>
      <c r="BD125" s="111">
        <v>0.08</v>
      </c>
      <c r="BE125" s="111" t="s">
        <v>97</v>
      </c>
      <c r="BF125" s="111"/>
      <c r="BG125" s="111">
        <f>3730+1543</f>
        <v>5273</v>
      </c>
      <c r="BH125" s="111"/>
      <c r="BI125" s="111"/>
      <c r="BJ125" s="111"/>
      <c r="BK125" s="111">
        <v>1066</v>
      </c>
      <c r="BL125" s="75">
        <f t="shared" si="3"/>
        <v>6339</v>
      </c>
      <c r="BM125" s="103">
        <f t="shared" si="4"/>
        <v>348.64499999999998</v>
      </c>
      <c r="BN125" s="103">
        <f t="shared" si="5"/>
        <v>6687.6450000000004</v>
      </c>
      <c r="BO125" s="111"/>
      <c r="BP125" s="111" t="s">
        <v>97</v>
      </c>
      <c r="BQ125" s="111"/>
      <c r="BR125" s="111"/>
      <c r="BS125" s="157">
        <v>2016</v>
      </c>
      <c r="BU125" t="s">
        <v>4180</v>
      </c>
    </row>
    <row r="126" spans="1:73" ht="43.15" customHeight="1" x14ac:dyDescent="0.25">
      <c r="A126" s="242" t="s">
        <v>186</v>
      </c>
      <c r="B126" s="242" t="s">
        <v>1925</v>
      </c>
      <c r="C126" s="159">
        <v>400</v>
      </c>
      <c r="D126" s="114">
        <v>42683</v>
      </c>
      <c r="E126" s="114"/>
      <c r="F126" s="114"/>
      <c r="G126" s="114"/>
      <c r="H126" s="114">
        <v>42683</v>
      </c>
      <c r="I126" s="114">
        <v>42683</v>
      </c>
      <c r="J126" s="114">
        <v>42695</v>
      </c>
      <c r="K126" s="76"/>
      <c r="L126" s="114">
        <v>42706</v>
      </c>
      <c r="M126" s="114">
        <v>42702</v>
      </c>
      <c r="N126" s="114"/>
      <c r="O126" s="114">
        <v>42716</v>
      </c>
      <c r="P126" s="114">
        <v>42716</v>
      </c>
      <c r="Q126" s="114">
        <v>42717</v>
      </c>
      <c r="R126" s="80"/>
      <c r="S126" s="114"/>
      <c r="T126" s="75"/>
      <c r="U126" s="75"/>
      <c r="V126" s="75"/>
      <c r="W126" s="75">
        <v>2</v>
      </c>
      <c r="X126" s="75">
        <v>31665</v>
      </c>
      <c r="Y126" s="75" t="str">
        <f ca="1">IF(I126="",IF(D126="","",IF(W126+X126&lt;15,"Données Nb pers ou RFR manquantes",IF(COUNTA(INDIRECT("TabRFR["&amp;YEAR(D126)&amp;"]"))&lt;&gt;COUNTA(TabRFR[Recherche RFR]),"Data RFR manquantes", IF(X126&lt;=INDEX(TabRFR[[2021]:[2025]],MATCH(BD!W126&amp;"-Très modestes",TabRFR[Recherche RFR],0),MATCH(TEXT(YEAR(BD!D126),"Standard"),TabRFR[[#Headers],[2021]:[2025]],0)),"Très Modeste",IF(X126&lt;=INDEX(TabRFR[[2021]:[2025]],MATCH(BD!W126&amp;"-modestes",TabRFR[Recherche RFR],0),MATCH(TEXT(YEAR(BD!D126),"Standard"),TabRFR[[#Headers],[2021]:[2025]],0)),"Modeste",IF(X126&lt;=INDEX(TabRFR[[2021]:[2025]],MATCH(BD!W126&amp;"-Intermédiaire",TabRFR[Recherche RFR],0),MATCH(TEXT(YEAR(BD!D126),"Standard"),TabRFR[[#Headers],[2021]:[2025]],0)),"Intermédiaire","Supérieur")))))),IF(D126="","",IF(W126+X126&lt;15,"Données Nb pers ou RFR manquantes",IF(COUNTA(INDIRECT("TabRFR["&amp;YEAR(I126)&amp;"]"))&lt;&gt;COUNTA(TabRFR[Recherche RFR]),"Data RFR manquantes", IF(X126&lt;=INDEX(TabRFR[[2021]:[2025]],MATCH(BD!W126&amp;"-Très modestes",TabRFR[Recherche RFR],0),MATCH(TEXT(YEAR(BD!I126),"Standard"),TabRFR[[#Headers],[2021]:[2025]],0)),"Très Modeste",IF(X126&lt;=INDEX(TabRFR[[2021]:[2025]],MATCH(BD!W126&amp;"-modestes",TabRFR[Recherche RFR],0),MATCH(TEXT(YEAR(BD!I126),"Standard"),TabRFR[[#Headers],[2021]:[2025]],0)),"Modeste",IF(X126&lt;=INDEX(TabRFR[[2021]:[2025]],MATCH(BD!W126&amp;"-Intermédiaire",TabRFR[Recherche RFR],0),MATCH(TEXT(YEAR(BD!I126),"Standard"),TabRFR[[#Headers],[2021]:[2025]],0)),"Intermédiaire","Supérieur")))))))</f>
        <v>Data RFR manquantes</v>
      </c>
      <c r="Z126" s="75"/>
      <c r="AA126" s="75" t="s">
        <v>1923</v>
      </c>
      <c r="AB126" s="75">
        <v>38500</v>
      </c>
      <c r="AC126" s="75" t="s">
        <v>96</v>
      </c>
      <c r="AD126" s="101"/>
      <c r="AE126" s="102"/>
      <c r="AF126" s="75" t="s">
        <v>95</v>
      </c>
      <c r="AG126" s="75"/>
      <c r="AH126" s="75">
        <v>1991</v>
      </c>
      <c r="AI126" s="75"/>
      <c r="AJ126" s="75"/>
      <c r="AK126" s="75"/>
      <c r="AL126" s="75"/>
      <c r="AM126" s="75" t="s">
        <v>218</v>
      </c>
      <c r="AN126" s="75" t="s">
        <v>217</v>
      </c>
      <c r="AO126" s="75" t="s">
        <v>219</v>
      </c>
      <c r="AP126" s="75" t="s">
        <v>97</v>
      </c>
      <c r="AQ126" s="75"/>
      <c r="AR126" s="75"/>
      <c r="AS126" s="102" t="s">
        <v>220</v>
      </c>
      <c r="AT126" s="101">
        <v>476355605</v>
      </c>
      <c r="AU126" s="75" t="s">
        <v>111</v>
      </c>
      <c r="AV126" s="75" t="s">
        <v>112</v>
      </c>
      <c r="AW126" s="75" t="s">
        <v>111</v>
      </c>
      <c r="AX126" s="75" t="s">
        <v>112</v>
      </c>
      <c r="AY126" s="75" t="s">
        <v>1603</v>
      </c>
      <c r="AZ126" s="75" t="s">
        <v>1921</v>
      </c>
      <c r="BA126" s="75">
        <v>19</v>
      </c>
      <c r="BB126" s="75">
        <v>13</v>
      </c>
      <c r="BC126" s="75">
        <v>81</v>
      </c>
      <c r="BD126" s="75">
        <v>7.0000000000000007E-2</v>
      </c>
      <c r="BE126" s="75" t="s">
        <v>97</v>
      </c>
      <c r="BF126" s="75"/>
      <c r="BG126" s="75">
        <v>3001.5</v>
      </c>
      <c r="BH126" s="77"/>
      <c r="BI126" s="77"/>
      <c r="BJ126" s="77"/>
      <c r="BK126" s="75">
        <v>1232</v>
      </c>
      <c r="BL126" s="75">
        <f t="shared" si="3"/>
        <v>4233.5</v>
      </c>
      <c r="BM126" s="103">
        <f t="shared" si="4"/>
        <v>232.8425</v>
      </c>
      <c r="BN126" s="103">
        <f t="shared" si="5"/>
        <v>4466.3424999999997</v>
      </c>
      <c r="BO126" s="103">
        <v>4466.37</v>
      </c>
      <c r="BP126" s="75" t="s">
        <v>97</v>
      </c>
      <c r="BQ126" s="75"/>
      <c r="BR126" s="75"/>
      <c r="BS126" s="157">
        <v>2016</v>
      </c>
      <c r="BT126">
        <v>2020</v>
      </c>
      <c r="BU126">
        <v>2016</v>
      </c>
    </row>
    <row r="127" spans="1:73" ht="43.15" customHeight="1" x14ac:dyDescent="0.25">
      <c r="A127" s="242" t="s">
        <v>186</v>
      </c>
      <c r="B127" s="242" t="s">
        <v>1920</v>
      </c>
      <c r="C127" s="159">
        <v>800</v>
      </c>
      <c r="D127" s="114">
        <v>42683</v>
      </c>
      <c r="E127" s="114"/>
      <c r="F127" s="114" t="s">
        <v>1919</v>
      </c>
      <c r="G127" s="114"/>
      <c r="H127" s="114">
        <v>42683</v>
      </c>
      <c r="I127" s="114">
        <v>42683</v>
      </c>
      <c r="J127" s="114">
        <v>42695</v>
      </c>
      <c r="K127" s="76"/>
      <c r="L127" s="114">
        <v>42744</v>
      </c>
      <c r="M127" s="114">
        <v>42714</v>
      </c>
      <c r="N127" s="114"/>
      <c r="O127" s="114">
        <v>42754</v>
      </c>
      <c r="P127" s="114">
        <v>42754</v>
      </c>
      <c r="Q127" s="114">
        <v>42755</v>
      </c>
      <c r="R127" s="81"/>
      <c r="S127" s="114"/>
      <c r="T127" s="75"/>
      <c r="U127" s="75"/>
      <c r="V127" s="75"/>
      <c r="W127" s="75">
        <v>2</v>
      </c>
      <c r="X127" s="75">
        <v>23268</v>
      </c>
      <c r="Y127" s="75" t="str">
        <f ca="1">IF(I127="",IF(D127="","",IF(W127+X127&lt;15,"Données Nb pers ou RFR manquantes",IF(COUNTA(INDIRECT("TabRFR["&amp;YEAR(D127)&amp;"]"))&lt;&gt;COUNTA(TabRFR[Recherche RFR]),"Data RFR manquantes", IF(X127&lt;=INDEX(TabRFR[[2021]:[2025]],MATCH(BD!W127&amp;"-Très modestes",TabRFR[Recherche RFR],0),MATCH(TEXT(YEAR(BD!D127),"Standard"),TabRFR[[#Headers],[2021]:[2025]],0)),"Très Modeste",IF(X127&lt;=INDEX(TabRFR[[2021]:[2025]],MATCH(BD!W127&amp;"-modestes",TabRFR[Recherche RFR],0),MATCH(TEXT(YEAR(BD!D127),"Standard"),TabRFR[[#Headers],[2021]:[2025]],0)),"Modeste",IF(X127&lt;=INDEX(TabRFR[[2021]:[2025]],MATCH(BD!W127&amp;"-Intermédiaire",TabRFR[Recherche RFR],0),MATCH(TEXT(YEAR(BD!D127),"Standard"),TabRFR[[#Headers],[2021]:[2025]],0)),"Intermédiaire","Supérieur")))))),IF(D127="","",IF(W127+X127&lt;15,"Données Nb pers ou RFR manquantes",IF(COUNTA(INDIRECT("TabRFR["&amp;YEAR(I127)&amp;"]"))&lt;&gt;COUNTA(TabRFR[Recherche RFR]),"Data RFR manquantes", IF(X127&lt;=INDEX(TabRFR[[2021]:[2025]],MATCH(BD!W127&amp;"-Très modestes",TabRFR[Recherche RFR],0),MATCH(TEXT(YEAR(BD!I127),"Standard"),TabRFR[[#Headers],[2021]:[2025]],0)),"Très Modeste",IF(X127&lt;=INDEX(TabRFR[[2021]:[2025]],MATCH(BD!W127&amp;"-modestes",TabRFR[Recherche RFR],0),MATCH(TEXT(YEAR(BD!I127),"Standard"),TabRFR[[#Headers],[2021]:[2025]],0)),"Modeste",IF(X127&lt;=INDEX(TabRFR[[2021]:[2025]],MATCH(BD!W127&amp;"-Intermédiaire",TabRFR[Recherche RFR],0),MATCH(TEXT(YEAR(BD!I127),"Standard"),TabRFR[[#Headers],[2021]:[2025]],0)),"Intermédiaire","Supérieur")))))))</f>
        <v>Data RFR manquantes</v>
      </c>
      <c r="Z127" s="75"/>
      <c r="AA127" s="75" t="s">
        <v>1917</v>
      </c>
      <c r="AB127" s="75">
        <v>38730</v>
      </c>
      <c r="AC127" s="75" t="s">
        <v>4304</v>
      </c>
      <c r="AD127" s="101"/>
      <c r="AE127" s="102"/>
      <c r="AF127" s="75" t="s">
        <v>95</v>
      </c>
      <c r="AG127" s="75"/>
      <c r="AH127" s="75"/>
      <c r="AI127" s="75"/>
      <c r="AJ127" s="75"/>
      <c r="AK127" s="75"/>
      <c r="AL127" s="75"/>
      <c r="AM127" s="75" t="s">
        <v>4236</v>
      </c>
      <c r="AN127" s="75" t="s">
        <v>4091</v>
      </c>
      <c r="AO127" s="75" t="s">
        <v>163</v>
      </c>
      <c r="AP127" s="75" t="s">
        <v>97</v>
      </c>
      <c r="AQ127" s="75"/>
      <c r="AR127" s="75"/>
      <c r="AS127" s="102" t="s">
        <v>164</v>
      </c>
      <c r="AT127" s="101">
        <v>476370350</v>
      </c>
      <c r="AU127" s="75" t="s">
        <v>111</v>
      </c>
      <c r="AV127" s="75" t="s">
        <v>112</v>
      </c>
      <c r="AW127" s="75" t="s">
        <v>100</v>
      </c>
      <c r="AX127" s="75" t="s">
        <v>2071</v>
      </c>
      <c r="AY127" s="75" t="s">
        <v>1883</v>
      </c>
      <c r="AZ127" s="75" t="s">
        <v>1915</v>
      </c>
      <c r="BA127" s="75">
        <v>23</v>
      </c>
      <c r="BB127" s="75">
        <v>12</v>
      </c>
      <c r="BC127" s="75">
        <v>90.1</v>
      </c>
      <c r="BD127" s="75">
        <v>0.01</v>
      </c>
      <c r="BE127" s="75" t="s">
        <v>97</v>
      </c>
      <c r="BF127" s="75"/>
      <c r="BG127" s="75">
        <v>5111</v>
      </c>
      <c r="BH127" s="77"/>
      <c r="BI127" s="77"/>
      <c r="BJ127" s="77"/>
      <c r="BK127" s="75">
        <v>590</v>
      </c>
      <c r="BL127" s="75">
        <f t="shared" si="3"/>
        <v>5701</v>
      </c>
      <c r="BM127" s="103">
        <f t="shared" si="4"/>
        <v>313.55500000000001</v>
      </c>
      <c r="BN127" s="103">
        <f t="shared" si="5"/>
        <v>6014.5550000000003</v>
      </c>
      <c r="BO127" s="103">
        <v>6014.56</v>
      </c>
      <c r="BP127" s="75" t="s">
        <v>97</v>
      </c>
      <c r="BQ127" s="75"/>
      <c r="BR127" s="75"/>
      <c r="BS127" s="157">
        <v>2016</v>
      </c>
      <c r="BU127">
        <v>2016</v>
      </c>
    </row>
    <row r="128" spans="1:73" ht="43.15" customHeight="1" x14ac:dyDescent="0.25">
      <c r="A128" s="29" t="s">
        <v>186</v>
      </c>
      <c r="B128" s="29" t="s">
        <v>1795</v>
      </c>
      <c r="C128" s="161" t="s">
        <v>9</v>
      </c>
      <c r="D128" s="110">
        <v>42684</v>
      </c>
      <c r="E128" s="110"/>
      <c r="F128" s="110" t="s">
        <v>1794</v>
      </c>
      <c r="G128" s="110"/>
      <c r="H128" s="110"/>
      <c r="I128" s="110"/>
      <c r="J128" s="110"/>
      <c r="K128" s="110"/>
      <c r="L128" s="110"/>
      <c r="M128" s="110"/>
      <c r="N128" s="110"/>
      <c r="O128" s="110"/>
      <c r="P128" s="110"/>
      <c r="Q128" s="110"/>
      <c r="R128" s="109"/>
      <c r="S128" s="110">
        <v>42769</v>
      </c>
      <c r="T128" s="111" t="s">
        <v>1793</v>
      </c>
      <c r="U128" s="111"/>
      <c r="V128" s="111"/>
      <c r="W128" s="111">
        <v>2</v>
      </c>
      <c r="X128" s="111">
        <v>32401</v>
      </c>
      <c r="Y128" s="75" t="str">
        <f ca="1">IF(I128="",IF(D128="","",IF(W128+X128&lt;15,"Données Nb pers ou RFR manquantes",IF(COUNTA(INDIRECT("TabRFR["&amp;YEAR(D128)&amp;"]"))&lt;&gt;COUNTA(TabRFR[Recherche RFR]),"Data RFR manquantes", IF(X128&lt;=INDEX(TabRFR[[2021]:[2025]],MATCH(BD!W128&amp;"-Très modestes",TabRFR[Recherche RFR],0),MATCH(TEXT(YEAR(BD!D128),"Standard"),TabRFR[[#Headers],[2021]:[2025]],0)),"Très Modeste",IF(X128&lt;=INDEX(TabRFR[[2021]:[2025]],MATCH(BD!W128&amp;"-modestes",TabRFR[Recherche RFR],0),MATCH(TEXT(YEAR(BD!D128),"Standard"),TabRFR[[#Headers],[2021]:[2025]],0)),"Modeste",IF(X128&lt;=INDEX(TabRFR[[2021]:[2025]],MATCH(BD!W128&amp;"-Intermédiaire",TabRFR[Recherche RFR],0),MATCH(TEXT(YEAR(BD!D128),"Standard"),TabRFR[[#Headers],[2021]:[2025]],0)),"Intermédiaire","Supérieur")))))),IF(D128="","",IF(W128+X128&lt;15,"Données Nb pers ou RFR manquantes",IF(COUNTA(INDIRECT("TabRFR["&amp;YEAR(I128)&amp;"]"))&lt;&gt;COUNTA(TabRFR[Recherche RFR]),"Data RFR manquantes", IF(X128&lt;=INDEX(TabRFR[[2021]:[2025]],MATCH(BD!W128&amp;"-Très modestes",TabRFR[Recherche RFR],0),MATCH(TEXT(YEAR(BD!I128),"Standard"),TabRFR[[#Headers],[2021]:[2025]],0)),"Très Modeste",IF(X128&lt;=INDEX(TabRFR[[2021]:[2025]],MATCH(BD!W128&amp;"-modestes",TabRFR[Recherche RFR],0),MATCH(TEXT(YEAR(BD!I128),"Standard"),TabRFR[[#Headers],[2021]:[2025]],0)),"Modeste",IF(X128&lt;=INDEX(TabRFR[[2021]:[2025]],MATCH(BD!W128&amp;"-Intermédiaire",TabRFR[Recherche RFR],0),MATCH(TEXT(YEAR(BD!I128),"Standard"),TabRFR[[#Headers],[2021]:[2025]],0)),"Intermédiaire","Supérieur")))))))</f>
        <v>Data RFR manquantes</v>
      </c>
      <c r="Z128" s="111"/>
      <c r="AA128" s="111" t="s">
        <v>1792</v>
      </c>
      <c r="AB128" s="111">
        <v>38134</v>
      </c>
      <c r="AC128" s="111" t="s">
        <v>4344</v>
      </c>
      <c r="AD128" s="127"/>
      <c r="AE128" s="102"/>
      <c r="AF128" s="111"/>
      <c r="AG128" s="111"/>
      <c r="AH128" s="111"/>
      <c r="AI128" s="111"/>
      <c r="AJ128" s="111"/>
      <c r="AK128" s="111"/>
      <c r="AL128" s="111"/>
      <c r="AM128" s="111" t="s">
        <v>218</v>
      </c>
      <c r="AN128" s="111" t="s">
        <v>217</v>
      </c>
      <c r="AO128" s="111" t="s">
        <v>219</v>
      </c>
      <c r="AP128" s="111" t="s">
        <v>97</v>
      </c>
      <c r="AQ128" s="111"/>
      <c r="AR128" s="111"/>
      <c r="AS128" s="102" t="s">
        <v>220</v>
      </c>
      <c r="AT128" s="112">
        <v>476355605</v>
      </c>
      <c r="AU128" s="111" t="s">
        <v>100</v>
      </c>
      <c r="AV128" s="111" t="s">
        <v>112</v>
      </c>
      <c r="AW128" s="111" t="s">
        <v>100</v>
      </c>
      <c r="AX128" s="111" t="s">
        <v>112</v>
      </c>
      <c r="AY128" s="111" t="s">
        <v>1603</v>
      </c>
      <c r="AZ128" s="111" t="s">
        <v>1791</v>
      </c>
      <c r="BA128" s="111"/>
      <c r="BB128" s="111"/>
      <c r="BC128" s="111"/>
      <c r="BD128" s="111"/>
      <c r="BE128" s="111" t="s">
        <v>104</v>
      </c>
      <c r="BF128" s="111"/>
      <c r="BG128" s="111">
        <v>1916</v>
      </c>
      <c r="BH128" s="111"/>
      <c r="BI128" s="111"/>
      <c r="BJ128" s="111"/>
      <c r="BK128" s="111">
        <f>225+125</f>
        <v>350</v>
      </c>
      <c r="BL128" s="75">
        <f t="shared" si="3"/>
        <v>2266</v>
      </c>
      <c r="BM128" s="103">
        <f t="shared" si="4"/>
        <v>124.63</v>
      </c>
      <c r="BN128" s="103">
        <f t="shared" si="5"/>
        <v>2390.63</v>
      </c>
      <c r="BO128" s="113"/>
      <c r="BP128" s="111"/>
      <c r="BQ128" s="111"/>
      <c r="BR128" s="111"/>
      <c r="BS128" s="157">
        <v>2016</v>
      </c>
      <c r="BU128" t="s">
        <v>4180</v>
      </c>
    </row>
    <row r="129" spans="1:73" ht="43.15" customHeight="1" x14ac:dyDescent="0.25">
      <c r="A129" s="242" t="s">
        <v>186</v>
      </c>
      <c r="B129" s="242" t="s">
        <v>1914</v>
      </c>
      <c r="C129" s="159">
        <v>400</v>
      </c>
      <c r="D129" s="114">
        <v>42687</v>
      </c>
      <c r="E129" s="114"/>
      <c r="F129" s="114"/>
      <c r="G129" s="114"/>
      <c r="H129" s="114">
        <v>42696</v>
      </c>
      <c r="I129" s="114">
        <v>42696</v>
      </c>
      <c r="J129" s="114">
        <v>42713</v>
      </c>
      <c r="K129" s="76"/>
      <c r="L129" s="114">
        <v>42757</v>
      </c>
      <c r="M129" s="114">
        <v>42723</v>
      </c>
      <c r="N129" s="114"/>
      <c r="O129" s="114">
        <v>42761</v>
      </c>
      <c r="P129" s="114">
        <v>42761</v>
      </c>
      <c r="Q129" s="114">
        <v>42765</v>
      </c>
      <c r="R129" s="80"/>
      <c r="S129" s="114"/>
      <c r="T129" s="75"/>
      <c r="U129" s="75"/>
      <c r="V129" s="75"/>
      <c r="W129" s="75">
        <v>4</v>
      </c>
      <c r="X129" s="75">
        <v>44216</v>
      </c>
      <c r="Y129" s="75" t="str">
        <f ca="1">IF(I129="",IF(D129="","",IF(W129+X129&lt;15,"Données Nb pers ou RFR manquantes",IF(COUNTA(INDIRECT("TabRFR["&amp;YEAR(D129)&amp;"]"))&lt;&gt;COUNTA(TabRFR[Recherche RFR]),"Data RFR manquantes", IF(X129&lt;=INDEX(TabRFR[[2021]:[2025]],MATCH(BD!W129&amp;"-Très modestes",TabRFR[Recherche RFR],0),MATCH(TEXT(YEAR(BD!D129),"Standard"),TabRFR[[#Headers],[2021]:[2025]],0)),"Très Modeste",IF(X129&lt;=INDEX(TabRFR[[2021]:[2025]],MATCH(BD!W129&amp;"-modestes",TabRFR[Recherche RFR],0),MATCH(TEXT(YEAR(BD!D129),"Standard"),TabRFR[[#Headers],[2021]:[2025]],0)),"Modeste",IF(X129&lt;=INDEX(TabRFR[[2021]:[2025]],MATCH(BD!W129&amp;"-Intermédiaire",TabRFR[Recherche RFR],0),MATCH(TEXT(YEAR(BD!D129),"Standard"),TabRFR[[#Headers],[2021]:[2025]],0)),"Intermédiaire","Supérieur")))))),IF(D129="","",IF(W129+X129&lt;15,"Données Nb pers ou RFR manquantes",IF(COUNTA(INDIRECT("TabRFR["&amp;YEAR(I129)&amp;"]"))&lt;&gt;COUNTA(TabRFR[Recherche RFR]),"Data RFR manquantes", IF(X129&lt;=INDEX(TabRFR[[2021]:[2025]],MATCH(BD!W129&amp;"-Très modestes",TabRFR[Recherche RFR],0),MATCH(TEXT(YEAR(BD!I129),"Standard"),TabRFR[[#Headers],[2021]:[2025]],0)),"Très Modeste",IF(X129&lt;=INDEX(TabRFR[[2021]:[2025]],MATCH(BD!W129&amp;"-modestes",TabRFR[Recherche RFR],0),MATCH(TEXT(YEAR(BD!I129),"Standard"),TabRFR[[#Headers],[2021]:[2025]],0)),"Modeste",IF(X129&lt;=INDEX(TabRFR[[2021]:[2025]],MATCH(BD!W129&amp;"-Intermédiaire",TabRFR[Recherche RFR],0),MATCH(TEXT(YEAR(BD!I129),"Standard"),TabRFR[[#Headers],[2021]:[2025]],0)),"Intermédiaire","Supérieur")))))))</f>
        <v>Data RFR manquantes</v>
      </c>
      <c r="Z129" s="75"/>
      <c r="AA129" s="75" t="s">
        <v>1912</v>
      </c>
      <c r="AB129" s="75">
        <v>38500</v>
      </c>
      <c r="AC129" s="75" t="s">
        <v>94</v>
      </c>
      <c r="AD129" s="101"/>
      <c r="AE129" s="102"/>
      <c r="AF129" s="75" t="s">
        <v>95</v>
      </c>
      <c r="AG129" s="75"/>
      <c r="AH129" s="75"/>
      <c r="AI129" s="75"/>
      <c r="AJ129" s="75"/>
      <c r="AK129" s="75"/>
      <c r="AL129" s="75"/>
      <c r="AM129" s="75" t="s">
        <v>4348</v>
      </c>
      <c r="AN129" s="75" t="s">
        <v>96</v>
      </c>
      <c r="AO129" s="75" t="s">
        <v>238</v>
      </c>
      <c r="AP129" s="75" t="s">
        <v>97</v>
      </c>
      <c r="AQ129" s="75"/>
      <c r="AR129" s="75"/>
      <c r="AS129" s="102" t="s">
        <v>1571</v>
      </c>
      <c r="AT129" s="101">
        <v>476323235</v>
      </c>
      <c r="AU129" s="75" t="s">
        <v>111</v>
      </c>
      <c r="AV129" s="75" t="s">
        <v>112</v>
      </c>
      <c r="AW129" s="75" t="s">
        <v>100</v>
      </c>
      <c r="AX129" s="75" t="s">
        <v>112</v>
      </c>
      <c r="AY129" s="75" t="s">
        <v>873</v>
      </c>
      <c r="AZ129" s="75" t="s">
        <v>1910</v>
      </c>
      <c r="BA129" s="75">
        <v>26</v>
      </c>
      <c r="BB129" s="75">
        <v>7.7</v>
      </c>
      <c r="BC129" s="75">
        <v>78</v>
      </c>
      <c r="BD129" s="75">
        <v>0.08</v>
      </c>
      <c r="BE129" s="75" t="s">
        <v>97</v>
      </c>
      <c r="BF129" s="75"/>
      <c r="BG129" s="75">
        <v>2130</v>
      </c>
      <c r="BH129" s="77"/>
      <c r="BI129" s="77"/>
      <c r="BJ129" s="77"/>
      <c r="BK129" s="75">
        <v>380</v>
      </c>
      <c r="BL129" s="75">
        <f t="shared" si="3"/>
        <v>2510</v>
      </c>
      <c r="BM129" s="103">
        <f t="shared" si="4"/>
        <v>138.05000000000001</v>
      </c>
      <c r="BN129" s="103">
        <f t="shared" si="5"/>
        <v>2648.05</v>
      </c>
      <c r="BO129" s="103">
        <v>2250</v>
      </c>
      <c r="BP129" s="75" t="s">
        <v>97</v>
      </c>
      <c r="BQ129" s="75"/>
      <c r="BR129" s="75"/>
      <c r="BS129" s="157">
        <v>2016</v>
      </c>
      <c r="BT129">
        <v>2020</v>
      </c>
      <c r="BU129">
        <v>2016</v>
      </c>
    </row>
    <row r="130" spans="1:73" ht="43.15" customHeight="1" x14ac:dyDescent="0.25">
      <c r="A130" s="242" t="s">
        <v>186</v>
      </c>
      <c r="B130" s="242" t="s">
        <v>1909</v>
      </c>
      <c r="C130" s="159">
        <v>400</v>
      </c>
      <c r="D130" s="114">
        <v>42688</v>
      </c>
      <c r="E130" s="114"/>
      <c r="F130" s="114"/>
      <c r="G130" s="114"/>
      <c r="H130" s="114">
        <v>42697</v>
      </c>
      <c r="I130" s="114">
        <v>42697</v>
      </c>
      <c r="J130" s="114">
        <v>42713</v>
      </c>
      <c r="K130" s="76"/>
      <c r="L130" s="114">
        <v>42744</v>
      </c>
      <c r="M130" s="114">
        <v>42716</v>
      </c>
      <c r="N130" s="114"/>
      <c r="O130" s="114">
        <v>42752</v>
      </c>
      <c r="P130" s="114">
        <v>42752</v>
      </c>
      <c r="Q130" s="114">
        <v>42755</v>
      </c>
      <c r="R130" s="80"/>
      <c r="S130" s="114"/>
      <c r="T130" s="75"/>
      <c r="U130" s="75"/>
      <c r="V130" s="75"/>
      <c r="W130" s="75">
        <v>4</v>
      </c>
      <c r="X130" s="75">
        <v>85799</v>
      </c>
      <c r="Y130" s="75" t="str">
        <f ca="1">IF(I130="",IF(D130="","",IF(W130+X130&lt;15,"Données Nb pers ou RFR manquantes",IF(COUNTA(INDIRECT("TabRFR["&amp;YEAR(D130)&amp;"]"))&lt;&gt;COUNTA(TabRFR[Recherche RFR]),"Data RFR manquantes", IF(X130&lt;=INDEX(TabRFR[[2021]:[2025]],MATCH(BD!W130&amp;"-Très modestes",TabRFR[Recherche RFR],0),MATCH(TEXT(YEAR(BD!D130),"Standard"),TabRFR[[#Headers],[2021]:[2025]],0)),"Très Modeste",IF(X130&lt;=INDEX(TabRFR[[2021]:[2025]],MATCH(BD!W130&amp;"-modestes",TabRFR[Recherche RFR],0),MATCH(TEXT(YEAR(BD!D130),"Standard"),TabRFR[[#Headers],[2021]:[2025]],0)),"Modeste",IF(X130&lt;=INDEX(TabRFR[[2021]:[2025]],MATCH(BD!W130&amp;"-Intermédiaire",TabRFR[Recherche RFR],0),MATCH(TEXT(YEAR(BD!D130),"Standard"),TabRFR[[#Headers],[2021]:[2025]],0)),"Intermédiaire","Supérieur")))))),IF(D130="","",IF(W130+X130&lt;15,"Données Nb pers ou RFR manquantes",IF(COUNTA(INDIRECT("TabRFR["&amp;YEAR(I130)&amp;"]"))&lt;&gt;COUNTA(TabRFR[Recherche RFR]),"Data RFR manquantes", IF(X130&lt;=INDEX(TabRFR[[2021]:[2025]],MATCH(BD!W130&amp;"-Très modestes",TabRFR[Recherche RFR],0),MATCH(TEXT(YEAR(BD!I130),"Standard"),TabRFR[[#Headers],[2021]:[2025]],0)),"Très Modeste",IF(X130&lt;=INDEX(TabRFR[[2021]:[2025]],MATCH(BD!W130&amp;"-modestes",TabRFR[Recherche RFR],0),MATCH(TEXT(YEAR(BD!I130),"Standard"),TabRFR[[#Headers],[2021]:[2025]],0)),"Modeste",IF(X130&lt;=INDEX(TabRFR[[2021]:[2025]],MATCH(BD!W130&amp;"-Intermédiaire",TabRFR[Recherche RFR],0),MATCH(TEXT(YEAR(BD!I130),"Standard"),TabRFR[[#Headers],[2021]:[2025]],0)),"Intermédiaire","Supérieur")))))))</f>
        <v>Data RFR manquantes</v>
      </c>
      <c r="Z130" s="75"/>
      <c r="AA130" s="75" t="s">
        <v>1906</v>
      </c>
      <c r="AB130" s="75">
        <v>38140</v>
      </c>
      <c r="AC130" s="75" t="s">
        <v>2357</v>
      </c>
      <c r="AD130" s="101"/>
      <c r="AE130" s="102"/>
      <c r="AF130" s="75" t="s">
        <v>95</v>
      </c>
      <c r="AG130" s="75"/>
      <c r="AH130" s="75"/>
      <c r="AI130" s="75"/>
      <c r="AJ130" s="75"/>
      <c r="AK130" s="75"/>
      <c r="AL130" s="75"/>
      <c r="AM130" s="75" t="s">
        <v>4366</v>
      </c>
      <c r="AN130" s="75" t="s">
        <v>4367</v>
      </c>
      <c r="AO130" s="75" t="s">
        <v>1904</v>
      </c>
      <c r="AP130" s="75" t="s">
        <v>97</v>
      </c>
      <c r="AQ130" s="75"/>
      <c r="AR130" s="75"/>
      <c r="AS130" s="102" t="s">
        <v>1903</v>
      </c>
      <c r="AT130" s="101">
        <v>689180465</v>
      </c>
      <c r="AU130" s="75" t="s">
        <v>100</v>
      </c>
      <c r="AV130" s="75" t="s">
        <v>112</v>
      </c>
      <c r="AW130" s="75" t="s">
        <v>100</v>
      </c>
      <c r="AX130" s="75" t="s">
        <v>2071</v>
      </c>
      <c r="AY130" s="75" t="s">
        <v>102</v>
      </c>
      <c r="AZ130" s="75" t="s">
        <v>1902</v>
      </c>
      <c r="BA130" s="75">
        <v>17</v>
      </c>
      <c r="BB130" s="75">
        <v>10</v>
      </c>
      <c r="BC130" s="75">
        <v>92</v>
      </c>
      <c r="BD130" s="75">
        <v>0.05</v>
      </c>
      <c r="BE130" s="75" t="s">
        <v>97</v>
      </c>
      <c r="BF130" s="75"/>
      <c r="BG130" s="75">
        <v>3798</v>
      </c>
      <c r="BH130" s="77"/>
      <c r="BI130" s="77"/>
      <c r="BJ130" s="77"/>
      <c r="BK130" s="75">
        <v>930</v>
      </c>
      <c r="BL130" s="75">
        <f t="shared" si="3"/>
        <v>4728</v>
      </c>
      <c r="BM130" s="103">
        <f t="shared" si="4"/>
        <v>260.04000000000002</v>
      </c>
      <c r="BN130" s="103">
        <f t="shared" si="5"/>
        <v>4988.04</v>
      </c>
      <c r="BO130" s="103">
        <v>3933.04</v>
      </c>
      <c r="BP130" s="75" t="s">
        <v>104</v>
      </c>
      <c r="BQ130" s="75"/>
      <c r="BR130" s="75"/>
      <c r="BS130" s="157">
        <v>2016</v>
      </c>
      <c r="BU130">
        <v>2016</v>
      </c>
    </row>
    <row r="131" spans="1:73" ht="43.15" customHeight="1" x14ac:dyDescent="0.25">
      <c r="A131" s="242" t="s">
        <v>186</v>
      </c>
      <c r="B131" s="242" t="s">
        <v>1901</v>
      </c>
      <c r="C131" s="159">
        <v>400</v>
      </c>
      <c r="D131" s="114">
        <v>42688</v>
      </c>
      <c r="E131" s="114"/>
      <c r="F131" s="114"/>
      <c r="G131" s="114"/>
      <c r="H131" s="114">
        <v>42696</v>
      </c>
      <c r="I131" s="114">
        <v>42696</v>
      </c>
      <c r="J131" s="114">
        <v>42713</v>
      </c>
      <c r="K131" s="76"/>
      <c r="L131" s="114">
        <v>42747</v>
      </c>
      <c r="M131" s="114">
        <v>42721</v>
      </c>
      <c r="N131" s="114"/>
      <c r="O131" s="114">
        <v>42752</v>
      </c>
      <c r="P131" s="114">
        <v>42752</v>
      </c>
      <c r="Q131" s="114">
        <v>42755</v>
      </c>
      <c r="R131" s="80"/>
      <c r="S131" s="114"/>
      <c r="T131" s="75"/>
      <c r="U131" s="75"/>
      <c r="V131" s="75"/>
      <c r="W131" s="75">
        <v>5</v>
      </c>
      <c r="X131" s="75">
        <v>69534</v>
      </c>
      <c r="Y131" s="75" t="str">
        <f ca="1">IF(I131="",IF(D131="","",IF(W131+X131&lt;15,"Données Nb pers ou RFR manquantes",IF(COUNTA(INDIRECT("TabRFR["&amp;YEAR(D131)&amp;"]"))&lt;&gt;COUNTA(TabRFR[Recherche RFR]),"Data RFR manquantes", IF(X131&lt;=INDEX(TabRFR[[2021]:[2025]],MATCH(BD!W131&amp;"-Très modestes",TabRFR[Recherche RFR],0),MATCH(TEXT(YEAR(BD!D131),"Standard"),TabRFR[[#Headers],[2021]:[2025]],0)),"Très Modeste",IF(X131&lt;=INDEX(TabRFR[[2021]:[2025]],MATCH(BD!W131&amp;"-modestes",TabRFR[Recherche RFR],0),MATCH(TEXT(YEAR(BD!D131),"Standard"),TabRFR[[#Headers],[2021]:[2025]],0)),"Modeste",IF(X131&lt;=INDEX(TabRFR[[2021]:[2025]],MATCH(BD!W131&amp;"-Intermédiaire",TabRFR[Recherche RFR],0),MATCH(TEXT(YEAR(BD!D131),"Standard"),TabRFR[[#Headers],[2021]:[2025]],0)),"Intermédiaire","Supérieur")))))),IF(D131="","",IF(W131+X131&lt;15,"Données Nb pers ou RFR manquantes",IF(COUNTA(INDIRECT("TabRFR["&amp;YEAR(I131)&amp;"]"))&lt;&gt;COUNTA(TabRFR[Recherche RFR]),"Data RFR manquantes", IF(X131&lt;=INDEX(TabRFR[[2021]:[2025]],MATCH(BD!W131&amp;"-Très modestes",TabRFR[Recherche RFR],0),MATCH(TEXT(YEAR(BD!I131),"Standard"),TabRFR[[#Headers],[2021]:[2025]],0)),"Très Modeste",IF(X131&lt;=INDEX(TabRFR[[2021]:[2025]],MATCH(BD!W131&amp;"-modestes",TabRFR[Recherche RFR],0),MATCH(TEXT(YEAR(BD!I131),"Standard"),TabRFR[[#Headers],[2021]:[2025]],0)),"Modeste",IF(X131&lt;=INDEX(TabRFR[[2021]:[2025]],MATCH(BD!W131&amp;"-Intermédiaire",TabRFR[Recherche RFR],0),MATCH(TEXT(YEAR(BD!I131),"Standard"),TabRFR[[#Headers],[2021]:[2025]],0)),"Intermédiaire","Supérieur")))))))</f>
        <v>Data RFR manquantes</v>
      </c>
      <c r="Z131" s="75"/>
      <c r="AA131" s="75" t="s">
        <v>1898</v>
      </c>
      <c r="AB131" s="75">
        <v>38140</v>
      </c>
      <c r="AC131" s="75" t="s">
        <v>321</v>
      </c>
      <c r="AD131" s="101"/>
      <c r="AE131" s="102"/>
      <c r="AF131" s="75" t="s">
        <v>95</v>
      </c>
      <c r="AG131" s="75"/>
      <c r="AH131" s="75">
        <v>2001</v>
      </c>
      <c r="AI131" s="75"/>
      <c r="AJ131" s="75"/>
      <c r="AK131" s="75"/>
      <c r="AL131" s="75"/>
      <c r="AM131" s="75" t="s">
        <v>4035</v>
      </c>
      <c r="AN131" s="75" t="s">
        <v>108</v>
      </c>
      <c r="AO131" s="75" t="s">
        <v>1525</v>
      </c>
      <c r="AP131" s="75" t="s">
        <v>97</v>
      </c>
      <c r="AQ131" s="75"/>
      <c r="AR131" s="75"/>
      <c r="AS131" s="102" t="s">
        <v>110</v>
      </c>
      <c r="AT131" s="101">
        <v>476500550</v>
      </c>
      <c r="AU131" s="75" t="s">
        <v>111</v>
      </c>
      <c r="AV131" s="75" t="s">
        <v>112</v>
      </c>
      <c r="AW131" s="75" t="s">
        <v>100</v>
      </c>
      <c r="AX131" s="75" t="s">
        <v>112</v>
      </c>
      <c r="AY131" s="75" t="s">
        <v>1896</v>
      </c>
      <c r="AZ131" s="75" t="s">
        <v>1895</v>
      </c>
      <c r="BA131" s="75">
        <v>15</v>
      </c>
      <c r="BB131" s="75">
        <v>8</v>
      </c>
      <c r="BC131" s="75">
        <v>79</v>
      </c>
      <c r="BD131" s="75">
        <v>0.09</v>
      </c>
      <c r="BE131" s="75" t="s">
        <v>97</v>
      </c>
      <c r="BF131" s="75"/>
      <c r="BG131" s="75">
        <f>3830+416.66</f>
        <v>4246.66</v>
      </c>
      <c r="BH131" s="77"/>
      <c r="BI131" s="77"/>
      <c r="BJ131" s="77"/>
      <c r="BK131" s="75">
        <v>900</v>
      </c>
      <c r="BL131" s="75">
        <f t="shared" si="3"/>
        <v>5146.66</v>
      </c>
      <c r="BM131" s="103">
        <f t="shared" si="4"/>
        <v>283.06630000000001</v>
      </c>
      <c r="BN131" s="103">
        <f t="shared" si="5"/>
        <v>5429.7263000000003</v>
      </c>
      <c r="BO131" s="103">
        <v>6512.2</v>
      </c>
      <c r="BP131" s="75" t="s">
        <v>97</v>
      </c>
      <c r="BQ131" s="75"/>
      <c r="BR131" s="75"/>
      <c r="BS131" s="157">
        <v>2016</v>
      </c>
      <c r="BT131">
        <v>2020</v>
      </c>
      <c r="BU131">
        <v>2016</v>
      </c>
    </row>
    <row r="132" spans="1:73" ht="43.15" customHeight="1" x14ac:dyDescent="0.25">
      <c r="A132" s="242" t="s">
        <v>186</v>
      </c>
      <c r="B132" s="242" t="s">
        <v>1894</v>
      </c>
      <c r="C132" s="159">
        <v>800</v>
      </c>
      <c r="D132" s="114">
        <v>42689</v>
      </c>
      <c r="E132" s="114"/>
      <c r="F132" s="114" t="s">
        <v>1880</v>
      </c>
      <c r="G132" s="114"/>
      <c r="H132" s="114">
        <v>42696</v>
      </c>
      <c r="I132" s="114">
        <v>42696</v>
      </c>
      <c r="J132" s="114">
        <v>42713</v>
      </c>
      <c r="K132" s="76"/>
      <c r="L132" s="114">
        <v>42748</v>
      </c>
      <c r="M132" s="114">
        <v>42718</v>
      </c>
      <c r="N132" s="114"/>
      <c r="O132" s="114">
        <v>42752</v>
      </c>
      <c r="P132" s="114">
        <v>42752</v>
      </c>
      <c r="Q132" s="114">
        <v>42755</v>
      </c>
      <c r="R132" s="81"/>
      <c r="S132" s="114"/>
      <c r="T132" s="75"/>
      <c r="U132" s="75"/>
      <c r="V132" s="75"/>
      <c r="W132" s="75">
        <v>4</v>
      </c>
      <c r="X132" s="75">
        <v>20683</v>
      </c>
      <c r="Y132" s="75" t="str">
        <f ca="1">IF(I132="",IF(D132="","",IF(W132+X132&lt;15,"Données Nb pers ou RFR manquantes",IF(COUNTA(INDIRECT("TabRFR["&amp;YEAR(D132)&amp;"]"))&lt;&gt;COUNTA(TabRFR[Recherche RFR]),"Data RFR manquantes", IF(X132&lt;=INDEX(TabRFR[[2021]:[2025]],MATCH(BD!W132&amp;"-Très modestes",TabRFR[Recherche RFR],0),MATCH(TEXT(YEAR(BD!D132),"Standard"),TabRFR[[#Headers],[2021]:[2025]],0)),"Très Modeste",IF(X132&lt;=INDEX(TabRFR[[2021]:[2025]],MATCH(BD!W132&amp;"-modestes",TabRFR[Recherche RFR],0),MATCH(TEXT(YEAR(BD!D132),"Standard"),TabRFR[[#Headers],[2021]:[2025]],0)),"Modeste",IF(X132&lt;=INDEX(TabRFR[[2021]:[2025]],MATCH(BD!W132&amp;"-Intermédiaire",TabRFR[Recherche RFR],0),MATCH(TEXT(YEAR(BD!D132),"Standard"),TabRFR[[#Headers],[2021]:[2025]],0)),"Intermédiaire","Supérieur")))))),IF(D132="","",IF(W132+X132&lt;15,"Données Nb pers ou RFR manquantes",IF(COUNTA(INDIRECT("TabRFR["&amp;YEAR(I132)&amp;"]"))&lt;&gt;COUNTA(TabRFR[Recherche RFR]),"Data RFR manquantes", IF(X132&lt;=INDEX(TabRFR[[2021]:[2025]],MATCH(BD!W132&amp;"-Très modestes",TabRFR[Recherche RFR],0),MATCH(TEXT(YEAR(BD!I132),"Standard"),TabRFR[[#Headers],[2021]:[2025]],0)),"Très Modeste",IF(X132&lt;=INDEX(TabRFR[[2021]:[2025]],MATCH(BD!W132&amp;"-modestes",TabRFR[Recherche RFR],0),MATCH(TEXT(YEAR(BD!I132),"Standard"),TabRFR[[#Headers],[2021]:[2025]],0)),"Modeste",IF(X132&lt;=INDEX(TabRFR[[2021]:[2025]],MATCH(BD!W132&amp;"-Intermédiaire",TabRFR[Recherche RFR],0),MATCH(TEXT(YEAR(BD!I132),"Standard"),TabRFR[[#Headers],[2021]:[2025]],0)),"Intermédiaire","Supérieur")))))))</f>
        <v>Data RFR manquantes</v>
      </c>
      <c r="Z132" s="75"/>
      <c r="AA132" s="75" t="s">
        <v>1893</v>
      </c>
      <c r="AB132" s="75">
        <v>38140</v>
      </c>
      <c r="AC132" s="75" t="s">
        <v>237</v>
      </c>
      <c r="AD132" s="101"/>
      <c r="AE132" s="102"/>
      <c r="AF132" s="75" t="s">
        <v>95</v>
      </c>
      <c r="AG132" s="75"/>
      <c r="AH132" s="75">
        <v>1998</v>
      </c>
      <c r="AI132" s="75"/>
      <c r="AJ132" s="75"/>
      <c r="AK132" s="75"/>
      <c r="AL132" s="75"/>
      <c r="AM132" s="75" t="s">
        <v>4368</v>
      </c>
      <c r="AN132" s="75" t="s">
        <v>917</v>
      </c>
      <c r="AO132" s="75" t="s">
        <v>1405</v>
      </c>
      <c r="AP132" s="75" t="s">
        <v>97</v>
      </c>
      <c r="AQ132" s="75"/>
      <c r="AR132" s="75"/>
      <c r="AS132" s="102"/>
      <c r="AT132" s="101"/>
      <c r="AU132" s="75" t="s">
        <v>100</v>
      </c>
      <c r="AV132" s="75" t="s">
        <v>112</v>
      </c>
      <c r="AW132" s="75" t="s">
        <v>100</v>
      </c>
      <c r="AX132" s="75" t="s">
        <v>2071</v>
      </c>
      <c r="AY132" s="75" t="s">
        <v>174</v>
      </c>
      <c r="AZ132" s="75" t="s">
        <v>1891</v>
      </c>
      <c r="BA132" s="75">
        <v>9</v>
      </c>
      <c r="BB132" s="75">
        <v>12</v>
      </c>
      <c r="BC132" s="75">
        <v>90</v>
      </c>
      <c r="BD132" s="75">
        <v>0.02</v>
      </c>
      <c r="BE132" s="75" t="s">
        <v>97</v>
      </c>
      <c r="BF132" s="75"/>
      <c r="BG132" s="75">
        <v>3190</v>
      </c>
      <c r="BH132" s="77"/>
      <c r="BI132" s="77"/>
      <c r="BJ132" s="77"/>
      <c r="BK132" s="75">
        <v>600</v>
      </c>
      <c r="BL132" s="75">
        <f t="shared" si="3"/>
        <v>3790</v>
      </c>
      <c r="BM132" s="103">
        <f t="shared" si="4"/>
        <v>208.45</v>
      </c>
      <c r="BN132" s="103">
        <f t="shared" si="5"/>
        <v>3998.45</v>
      </c>
      <c r="BO132" s="103">
        <v>3998</v>
      </c>
      <c r="BP132" s="75" t="s">
        <v>97</v>
      </c>
      <c r="BQ132" s="75"/>
      <c r="BR132" s="75"/>
      <c r="BS132" s="157">
        <v>2016</v>
      </c>
      <c r="BU132">
        <v>2016</v>
      </c>
    </row>
    <row r="133" spans="1:73" ht="43.15" customHeight="1" x14ac:dyDescent="0.25">
      <c r="A133" s="242" t="s">
        <v>186</v>
      </c>
      <c r="B133" s="242" t="s">
        <v>1890</v>
      </c>
      <c r="C133" s="159">
        <v>400</v>
      </c>
      <c r="D133" s="114">
        <v>42689</v>
      </c>
      <c r="E133" s="114"/>
      <c r="F133" s="114"/>
      <c r="G133" s="114"/>
      <c r="H133" s="114">
        <v>42696</v>
      </c>
      <c r="I133" s="114">
        <v>42696</v>
      </c>
      <c r="J133" s="114">
        <v>42713</v>
      </c>
      <c r="K133" s="76"/>
      <c r="L133" s="114">
        <v>42783</v>
      </c>
      <c r="M133" s="114">
        <v>42735</v>
      </c>
      <c r="N133" s="114"/>
      <c r="O133" s="114">
        <v>42789</v>
      </c>
      <c r="P133" s="114">
        <v>42789</v>
      </c>
      <c r="Q133" s="114">
        <v>42811</v>
      </c>
      <c r="R133" s="80"/>
      <c r="S133" s="114"/>
      <c r="T133" s="75"/>
      <c r="U133" s="75"/>
      <c r="V133" s="75"/>
      <c r="W133" s="75">
        <v>3</v>
      </c>
      <c r="X133" s="75">
        <v>60983</v>
      </c>
      <c r="Y133" s="75" t="str">
        <f ca="1">IF(I133="",IF(D133="","",IF(W133+X133&lt;15,"Données Nb pers ou RFR manquantes",IF(COUNTA(INDIRECT("TabRFR["&amp;YEAR(D133)&amp;"]"))&lt;&gt;COUNTA(TabRFR[Recherche RFR]),"Data RFR manquantes", IF(X133&lt;=INDEX(TabRFR[[2021]:[2025]],MATCH(BD!W133&amp;"-Très modestes",TabRFR[Recherche RFR],0),MATCH(TEXT(YEAR(BD!D133),"Standard"),TabRFR[[#Headers],[2021]:[2025]],0)),"Très Modeste",IF(X133&lt;=INDEX(TabRFR[[2021]:[2025]],MATCH(BD!W133&amp;"-modestes",TabRFR[Recherche RFR],0),MATCH(TEXT(YEAR(BD!D133),"Standard"),TabRFR[[#Headers],[2021]:[2025]],0)),"Modeste",IF(X133&lt;=INDEX(TabRFR[[2021]:[2025]],MATCH(BD!W133&amp;"-Intermédiaire",TabRFR[Recherche RFR],0),MATCH(TEXT(YEAR(BD!D133),"Standard"),TabRFR[[#Headers],[2021]:[2025]],0)),"Intermédiaire","Supérieur")))))),IF(D133="","",IF(W133+X133&lt;15,"Données Nb pers ou RFR manquantes",IF(COUNTA(INDIRECT("TabRFR["&amp;YEAR(I133)&amp;"]"))&lt;&gt;COUNTA(TabRFR[Recherche RFR]),"Data RFR manquantes", IF(X133&lt;=INDEX(TabRFR[[2021]:[2025]],MATCH(BD!W133&amp;"-Très modestes",TabRFR[Recherche RFR],0),MATCH(TEXT(YEAR(BD!I133),"Standard"),TabRFR[[#Headers],[2021]:[2025]],0)),"Très Modeste",IF(X133&lt;=INDEX(TabRFR[[2021]:[2025]],MATCH(BD!W133&amp;"-modestes",TabRFR[Recherche RFR],0),MATCH(TEXT(YEAR(BD!I133),"Standard"),TabRFR[[#Headers],[2021]:[2025]],0)),"Modeste",IF(X133&lt;=INDEX(TabRFR[[2021]:[2025]],MATCH(BD!W133&amp;"-Intermédiaire",TabRFR[Recherche RFR],0),MATCH(TEXT(YEAR(BD!I133),"Standard"),TabRFR[[#Headers],[2021]:[2025]],0)),"Intermédiaire","Supérieur")))))))</f>
        <v>Data RFR manquantes</v>
      </c>
      <c r="Z133" s="75"/>
      <c r="AA133" s="75" t="s">
        <v>1888</v>
      </c>
      <c r="AB133" s="75">
        <v>38210</v>
      </c>
      <c r="AC133" s="75" t="s">
        <v>195</v>
      </c>
      <c r="AD133" s="101"/>
      <c r="AE133" s="102"/>
      <c r="AF133" s="75" t="s">
        <v>95</v>
      </c>
      <c r="AG133" s="75"/>
      <c r="AH133" s="75">
        <v>1994</v>
      </c>
      <c r="AI133" s="75"/>
      <c r="AJ133" s="75"/>
      <c r="AK133" s="75"/>
      <c r="AL133" s="75"/>
      <c r="AM133" s="75" t="s">
        <v>1886</v>
      </c>
      <c r="AN133" s="75" t="s">
        <v>195</v>
      </c>
      <c r="AO133" s="75" t="s">
        <v>196</v>
      </c>
      <c r="AP133" s="75" t="s">
        <v>1885</v>
      </c>
      <c r="AQ133" s="75"/>
      <c r="AR133" s="75"/>
      <c r="AS133" s="102" t="s">
        <v>1884</v>
      </c>
      <c r="AT133" s="101">
        <v>476065876</v>
      </c>
      <c r="AU133" s="75" t="s">
        <v>111</v>
      </c>
      <c r="AV133" s="75" t="s">
        <v>112</v>
      </c>
      <c r="AW133" s="75" t="s">
        <v>100</v>
      </c>
      <c r="AX133" s="75" t="s">
        <v>2071</v>
      </c>
      <c r="AY133" s="75" t="s">
        <v>1883</v>
      </c>
      <c r="AZ133" s="75" t="s">
        <v>1882</v>
      </c>
      <c r="BA133" s="75">
        <v>15</v>
      </c>
      <c r="BB133" s="75">
        <v>9</v>
      </c>
      <c r="BC133" s="75">
        <v>90</v>
      </c>
      <c r="BD133" s="75">
        <v>0.02</v>
      </c>
      <c r="BE133" s="75" t="s">
        <v>97</v>
      </c>
      <c r="BF133" s="75"/>
      <c r="BG133" s="75">
        <v>2700</v>
      </c>
      <c r="BH133" s="77"/>
      <c r="BI133" s="77"/>
      <c r="BJ133" s="77"/>
      <c r="BK133" s="75">
        <v>200</v>
      </c>
      <c r="BL133" s="75">
        <f t="shared" si="3"/>
        <v>2900</v>
      </c>
      <c r="BM133" s="103">
        <f t="shared" si="4"/>
        <v>159.5</v>
      </c>
      <c r="BN133" s="103">
        <f t="shared" si="5"/>
        <v>3059.5</v>
      </c>
      <c r="BO133" s="103">
        <v>2663</v>
      </c>
      <c r="BP133" s="75" t="s">
        <v>104</v>
      </c>
      <c r="BQ133" s="75"/>
      <c r="BR133" s="75"/>
      <c r="BS133" s="157">
        <v>2016</v>
      </c>
      <c r="BU133">
        <v>2016</v>
      </c>
    </row>
    <row r="134" spans="1:73" ht="43.15" customHeight="1" x14ac:dyDescent="0.25">
      <c r="A134" s="242" t="s">
        <v>186</v>
      </c>
      <c r="B134" s="242" t="s">
        <v>1881</v>
      </c>
      <c r="C134" s="159">
        <v>400</v>
      </c>
      <c r="D134" s="114">
        <v>42692</v>
      </c>
      <c r="E134" s="114"/>
      <c r="F134" s="114" t="s">
        <v>1880</v>
      </c>
      <c r="G134" s="114"/>
      <c r="H134" s="114">
        <v>42697</v>
      </c>
      <c r="I134" s="114">
        <v>42697</v>
      </c>
      <c r="J134" s="114">
        <v>42713</v>
      </c>
      <c r="K134" s="76"/>
      <c r="L134" s="114">
        <v>42723</v>
      </c>
      <c r="M134" s="114">
        <v>42713</v>
      </c>
      <c r="N134" s="114" t="s">
        <v>1879</v>
      </c>
      <c r="O134" s="114">
        <v>42789</v>
      </c>
      <c r="P134" s="114">
        <v>42789</v>
      </c>
      <c r="Q134" s="114">
        <v>42787</v>
      </c>
      <c r="R134" s="80"/>
      <c r="S134" s="114"/>
      <c r="T134" s="75"/>
      <c r="U134" s="75"/>
      <c r="V134" s="75"/>
      <c r="W134" s="75">
        <v>3</v>
      </c>
      <c r="X134" s="75">
        <v>38718</v>
      </c>
      <c r="Y134" s="75" t="str">
        <f ca="1">IF(I134="",IF(D134="","",IF(W134+X134&lt;15,"Données Nb pers ou RFR manquantes",IF(COUNTA(INDIRECT("TabRFR["&amp;YEAR(D134)&amp;"]"))&lt;&gt;COUNTA(TabRFR[Recherche RFR]),"Data RFR manquantes", IF(X134&lt;=INDEX(TabRFR[[2021]:[2025]],MATCH(BD!W134&amp;"-Très modestes",TabRFR[Recherche RFR],0),MATCH(TEXT(YEAR(BD!D134),"Standard"),TabRFR[[#Headers],[2021]:[2025]],0)),"Très Modeste",IF(X134&lt;=INDEX(TabRFR[[2021]:[2025]],MATCH(BD!W134&amp;"-modestes",TabRFR[Recherche RFR],0),MATCH(TEXT(YEAR(BD!D134),"Standard"),TabRFR[[#Headers],[2021]:[2025]],0)),"Modeste",IF(X134&lt;=INDEX(TabRFR[[2021]:[2025]],MATCH(BD!W134&amp;"-Intermédiaire",TabRFR[Recherche RFR],0),MATCH(TEXT(YEAR(BD!D134),"Standard"),TabRFR[[#Headers],[2021]:[2025]],0)),"Intermédiaire","Supérieur")))))),IF(D134="","",IF(W134+X134&lt;15,"Données Nb pers ou RFR manquantes",IF(COUNTA(INDIRECT("TabRFR["&amp;YEAR(I134)&amp;"]"))&lt;&gt;COUNTA(TabRFR[Recherche RFR]),"Data RFR manquantes", IF(X134&lt;=INDEX(TabRFR[[2021]:[2025]],MATCH(BD!W134&amp;"-Très modestes",TabRFR[Recherche RFR],0),MATCH(TEXT(YEAR(BD!I134),"Standard"),TabRFR[[#Headers],[2021]:[2025]],0)),"Très Modeste",IF(X134&lt;=INDEX(TabRFR[[2021]:[2025]],MATCH(BD!W134&amp;"-modestes",TabRFR[Recherche RFR],0),MATCH(TEXT(YEAR(BD!I134),"Standard"),TabRFR[[#Headers],[2021]:[2025]],0)),"Modeste",IF(X134&lt;=INDEX(TabRFR[[2021]:[2025]],MATCH(BD!W134&amp;"-Intermédiaire",TabRFR[Recherche RFR],0),MATCH(TEXT(YEAR(BD!I134),"Standard"),TabRFR[[#Headers],[2021]:[2025]],0)),"Intermédiaire","Supérieur")))))))</f>
        <v>Data RFR manquantes</v>
      </c>
      <c r="Z134" s="75"/>
      <c r="AA134" s="75" t="s">
        <v>1876</v>
      </c>
      <c r="AB134" s="75">
        <v>38500</v>
      </c>
      <c r="AC134" s="75" t="s">
        <v>96</v>
      </c>
      <c r="AD134" s="101"/>
      <c r="AE134" s="102"/>
      <c r="AF134" s="75" t="s">
        <v>95</v>
      </c>
      <c r="AG134" s="75"/>
      <c r="AH134" s="75">
        <v>2014</v>
      </c>
      <c r="AI134" s="75"/>
      <c r="AJ134" s="75"/>
      <c r="AK134" s="75"/>
      <c r="AL134" s="75"/>
      <c r="AM134" s="75" t="s">
        <v>4356</v>
      </c>
      <c r="AN134" s="75" t="s">
        <v>96</v>
      </c>
      <c r="AO134" s="75" t="s">
        <v>119</v>
      </c>
      <c r="AP134" s="75" t="s">
        <v>97</v>
      </c>
      <c r="AQ134" s="75"/>
      <c r="AR134" s="75"/>
      <c r="AS134" s="102" t="s">
        <v>120</v>
      </c>
      <c r="AT134" s="101">
        <v>476071461</v>
      </c>
      <c r="AU134" s="75" t="s">
        <v>100</v>
      </c>
      <c r="AV134" s="75" t="s">
        <v>112</v>
      </c>
      <c r="AW134" s="75" t="s">
        <v>100</v>
      </c>
      <c r="AX134" s="75" t="s">
        <v>2071</v>
      </c>
      <c r="AY134" s="75" t="s">
        <v>102</v>
      </c>
      <c r="AZ134" s="75" t="s">
        <v>1874</v>
      </c>
      <c r="BA134" s="75">
        <v>20</v>
      </c>
      <c r="BB134" s="75">
        <v>8</v>
      </c>
      <c r="BC134" s="75">
        <v>91</v>
      </c>
      <c r="BD134" s="75">
        <v>0.01</v>
      </c>
      <c r="BE134" s="75" t="s">
        <v>97</v>
      </c>
      <c r="BF134" s="75"/>
      <c r="BG134" s="75">
        <v>3042</v>
      </c>
      <c r="BH134" s="77"/>
      <c r="BI134" s="77"/>
      <c r="BJ134" s="77"/>
      <c r="BK134" s="75">
        <v>400</v>
      </c>
      <c r="BL134" s="75">
        <f t="shared" ref="BL134:BL197" si="6">BG134+BK134</f>
        <v>3442</v>
      </c>
      <c r="BM134" s="103">
        <f t="shared" ref="BM134:BM197" si="7">BL134*0.055</f>
        <v>189.31</v>
      </c>
      <c r="BN134" s="103">
        <f t="shared" ref="BN134:BN197" si="8">BL134+BM134</f>
        <v>3631.31</v>
      </c>
      <c r="BO134" s="103"/>
      <c r="BP134" s="75" t="s">
        <v>97</v>
      </c>
      <c r="BQ134" s="75"/>
      <c r="BR134" s="75"/>
      <c r="BS134" s="157">
        <v>2016</v>
      </c>
      <c r="BU134">
        <v>2016</v>
      </c>
    </row>
    <row r="135" spans="1:73" ht="43.15" customHeight="1" x14ac:dyDescent="0.25">
      <c r="A135" s="242" t="s">
        <v>1241</v>
      </c>
      <c r="B135" s="242" t="s">
        <v>1873</v>
      </c>
      <c r="C135" s="159">
        <v>800</v>
      </c>
      <c r="D135" s="114">
        <v>42702</v>
      </c>
      <c r="E135" s="114"/>
      <c r="F135" s="114"/>
      <c r="G135" s="114">
        <v>42709</v>
      </c>
      <c r="H135" s="114">
        <v>42716</v>
      </c>
      <c r="I135" s="114">
        <v>42716</v>
      </c>
      <c r="J135" s="114">
        <v>42723</v>
      </c>
      <c r="K135" s="76"/>
      <c r="L135" s="114">
        <v>42828</v>
      </c>
      <c r="M135" s="114">
        <v>42783</v>
      </c>
      <c r="N135" s="114"/>
      <c r="O135" s="114">
        <v>42830</v>
      </c>
      <c r="P135" s="114">
        <v>42830</v>
      </c>
      <c r="Q135" s="114">
        <v>42839</v>
      </c>
      <c r="R135" s="81"/>
      <c r="S135" s="114"/>
      <c r="T135" s="75"/>
      <c r="U135" s="75"/>
      <c r="V135" s="75"/>
      <c r="W135" s="75">
        <v>3</v>
      </c>
      <c r="X135" s="75">
        <v>31838</v>
      </c>
      <c r="Y135" s="75" t="str">
        <f ca="1">IF(I135="",IF(D135="","",IF(W135+X135&lt;15,"Données Nb pers ou RFR manquantes",IF(COUNTA(INDIRECT("TabRFR["&amp;YEAR(D135)&amp;"]"))&lt;&gt;COUNTA(TabRFR[Recherche RFR]),"Data RFR manquantes", IF(X135&lt;=INDEX(TabRFR[[2021]:[2025]],MATCH(BD!W135&amp;"-Très modestes",TabRFR[Recherche RFR],0),MATCH(TEXT(YEAR(BD!D135),"Standard"),TabRFR[[#Headers],[2021]:[2025]],0)),"Très Modeste",IF(X135&lt;=INDEX(TabRFR[[2021]:[2025]],MATCH(BD!W135&amp;"-modestes",TabRFR[Recherche RFR],0),MATCH(TEXT(YEAR(BD!D135),"Standard"),TabRFR[[#Headers],[2021]:[2025]],0)),"Modeste",IF(X135&lt;=INDEX(TabRFR[[2021]:[2025]],MATCH(BD!W135&amp;"-Intermédiaire",TabRFR[Recherche RFR],0),MATCH(TEXT(YEAR(BD!D135),"Standard"),TabRFR[[#Headers],[2021]:[2025]],0)),"Intermédiaire","Supérieur")))))),IF(D135="","",IF(W135+X135&lt;15,"Données Nb pers ou RFR manquantes",IF(COUNTA(INDIRECT("TabRFR["&amp;YEAR(I135)&amp;"]"))&lt;&gt;COUNTA(TabRFR[Recherche RFR]),"Data RFR manquantes", IF(X135&lt;=INDEX(TabRFR[[2021]:[2025]],MATCH(BD!W135&amp;"-Très modestes",TabRFR[Recherche RFR],0),MATCH(TEXT(YEAR(BD!I135),"Standard"),TabRFR[[#Headers],[2021]:[2025]],0)),"Très Modeste",IF(X135&lt;=INDEX(TabRFR[[2021]:[2025]],MATCH(BD!W135&amp;"-modestes",TabRFR[Recherche RFR],0),MATCH(TEXT(YEAR(BD!I135),"Standard"),TabRFR[[#Headers],[2021]:[2025]],0)),"Modeste",IF(X135&lt;=INDEX(TabRFR[[2021]:[2025]],MATCH(BD!W135&amp;"-Intermédiaire",TabRFR[Recherche RFR],0),MATCH(TEXT(YEAR(BD!I135),"Standard"),TabRFR[[#Headers],[2021]:[2025]],0)),"Intermédiaire","Supérieur")))))))</f>
        <v>Data RFR manquantes</v>
      </c>
      <c r="Z135" s="75"/>
      <c r="AA135" s="75" t="s">
        <v>533</v>
      </c>
      <c r="AB135" s="75">
        <v>38260</v>
      </c>
      <c r="AC135" s="75" t="s">
        <v>851</v>
      </c>
      <c r="AD135" s="101"/>
      <c r="AE135" s="102"/>
      <c r="AF135" s="75" t="s">
        <v>95</v>
      </c>
      <c r="AG135" s="75">
        <v>110</v>
      </c>
      <c r="AH135" s="75">
        <v>2016</v>
      </c>
      <c r="AI135" s="75"/>
      <c r="AJ135" s="75"/>
      <c r="AK135" s="75"/>
      <c r="AL135" s="75"/>
      <c r="AM135" s="75" t="s">
        <v>4357</v>
      </c>
      <c r="AN135" s="75" t="s">
        <v>829</v>
      </c>
      <c r="AO135" s="75" t="s">
        <v>1868</v>
      </c>
      <c r="AP135" s="75" t="s">
        <v>97</v>
      </c>
      <c r="AQ135" s="75" t="s">
        <v>154</v>
      </c>
      <c r="AR135" s="75"/>
      <c r="AS135" s="102" t="s">
        <v>156</v>
      </c>
      <c r="AT135" s="101" t="s">
        <v>1867</v>
      </c>
      <c r="AU135" s="75" t="s">
        <v>430</v>
      </c>
      <c r="AV135" s="75" t="s">
        <v>112</v>
      </c>
      <c r="AW135" s="75" t="s">
        <v>100</v>
      </c>
      <c r="AX135" s="75" t="s">
        <v>112</v>
      </c>
      <c r="AY135" s="75" t="s">
        <v>1866</v>
      </c>
      <c r="AZ135" s="75" t="s">
        <v>1865</v>
      </c>
      <c r="BA135" s="75">
        <v>40</v>
      </c>
      <c r="BB135" s="75">
        <v>10</v>
      </c>
      <c r="BC135" s="75">
        <v>77</v>
      </c>
      <c r="BD135" s="75">
        <v>0.12</v>
      </c>
      <c r="BE135" s="75" t="s">
        <v>97</v>
      </c>
      <c r="BF135" s="75"/>
      <c r="BG135" s="75">
        <v>983.79</v>
      </c>
      <c r="BH135" s="77"/>
      <c r="BI135" s="77"/>
      <c r="BJ135" s="77"/>
      <c r="BK135" s="75">
        <v>1124.79</v>
      </c>
      <c r="BL135" s="75">
        <f t="shared" si="6"/>
        <v>2108.58</v>
      </c>
      <c r="BM135" s="103">
        <f t="shared" si="7"/>
        <v>115.97189999999999</v>
      </c>
      <c r="BN135" s="103">
        <f t="shared" si="8"/>
        <v>2224.5518999999999</v>
      </c>
      <c r="BO135" s="103">
        <v>3084.45</v>
      </c>
      <c r="BP135" s="75" t="s">
        <v>97</v>
      </c>
      <c r="BQ135" s="75"/>
      <c r="BR135" s="75"/>
      <c r="BS135" s="157">
        <v>2016</v>
      </c>
      <c r="BT135">
        <v>2020</v>
      </c>
      <c r="BU135">
        <v>2016</v>
      </c>
    </row>
    <row r="136" spans="1:73" ht="43.15" customHeight="1" x14ac:dyDescent="0.25">
      <c r="A136" s="242" t="s">
        <v>1241</v>
      </c>
      <c r="B136" s="242" t="s">
        <v>1864</v>
      </c>
      <c r="C136" s="159">
        <v>400</v>
      </c>
      <c r="D136" s="114">
        <v>42710</v>
      </c>
      <c r="E136" s="114"/>
      <c r="F136" s="114"/>
      <c r="G136" s="114"/>
      <c r="H136" s="114">
        <v>42716</v>
      </c>
      <c r="I136" s="114">
        <v>42716</v>
      </c>
      <c r="J136" s="114">
        <v>42723</v>
      </c>
      <c r="K136" s="76"/>
      <c r="L136" s="114">
        <v>42788</v>
      </c>
      <c r="M136" s="114">
        <v>42775</v>
      </c>
      <c r="N136" s="114" t="s">
        <v>1863</v>
      </c>
      <c r="O136" s="114">
        <v>42789</v>
      </c>
      <c r="P136" s="114">
        <v>42789</v>
      </c>
      <c r="Q136" s="114">
        <v>42811</v>
      </c>
      <c r="R136" s="80"/>
      <c r="S136" s="114"/>
      <c r="T136" s="75"/>
      <c r="U136" s="75"/>
      <c r="V136" s="75"/>
      <c r="W136" s="75">
        <v>4</v>
      </c>
      <c r="X136" s="75">
        <v>59541</v>
      </c>
      <c r="Y136" s="75" t="str">
        <f ca="1">IF(I136="",IF(D136="","",IF(W136+X136&lt;15,"Données Nb pers ou RFR manquantes",IF(COUNTA(INDIRECT("TabRFR["&amp;YEAR(D136)&amp;"]"))&lt;&gt;COUNTA(TabRFR[Recherche RFR]),"Data RFR manquantes", IF(X136&lt;=INDEX(TabRFR[[2021]:[2025]],MATCH(BD!W136&amp;"-Très modestes",TabRFR[Recherche RFR],0),MATCH(TEXT(YEAR(BD!D136),"Standard"),TabRFR[[#Headers],[2021]:[2025]],0)),"Très Modeste",IF(X136&lt;=INDEX(TabRFR[[2021]:[2025]],MATCH(BD!W136&amp;"-modestes",TabRFR[Recherche RFR],0),MATCH(TEXT(YEAR(BD!D136),"Standard"),TabRFR[[#Headers],[2021]:[2025]],0)),"Modeste",IF(X136&lt;=INDEX(TabRFR[[2021]:[2025]],MATCH(BD!W136&amp;"-Intermédiaire",TabRFR[Recherche RFR],0),MATCH(TEXT(YEAR(BD!D136),"Standard"),TabRFR[[#Headers],[2021]:[2025]],0)),"Intermédiaire","Supérieur")))))),IF(D136="","",IF(W136+X136&lt;15,"Données Nb pers ou RFR manquantes",IF(COUNTA(INDIRECT("TabRFR["&amp;YEAR(I136)&amp;"]"))&lt;&gt;COUNTA(TabRFR[Recherche RFR]),"Data RFR manquantes", IF(X136&lt;=INDEX(TabRFR[[2021]:[2025]],MATCH(BD!W136&amp;"-Très modestes",TabRFR[Recherche RFR],0),MATCH(TEXT(YEAR(BD!I136),"Standard"),TabRFR[[#Headers],[2021]:[2025]],0)),"Très Modeste",IF(X136&lt;=INDEX(TabRFR[[2021]:[2025]],MATCH(BD!W136&amp;"-modestes",TabRFR[Recherche RFR],0),MATCH(TEXT(YEAR(BD!I136),"Standard"),TabRFR[[#Headers],[2021]:[2025]],0)),"Modeste",IF(X136&lt;=INDEX(TabRFR[[2021]:[2025]],MATCH(BD!W136&amp;"-Intermédiaire",TabRFR[Recherche RFR],0),MATCH(TEXT(YEAR(BD!I136),"Standard"),TabRFR[[#Headers],[2021]:[2025]],0)),"Intermédiaire","Supérieur")))))))</f>
        <v>Data RFR manquantes</v>
      </c>
      <c r="Z136" s="75"/>
      <c r="AA136" s="75" t="s">
        <v>1861</v>
      </c>
      <c r="AB136" s="75">
        <v>38380</v>
      </c>
      <c r="AC136" s="75" t="s">
        <v>4345</v>
      </c>
      <c r="AD136" s="101"/>
      <c r="AE136" s="102"/>
      <c r="AF136" s="75" t="s">
        <v>95</v>
      </c>
      <c r="AG136" s="75">
        <v>137</v>
      </c>
      <c r="AH136" s="75">
        <v>2007</v>
      </c>
      <c r="AI136" s="75"/>
      <c r="AJ136" s="75"/>
      <c r="AK136" s="75"/>
      <c r="AL136" s="75"/>
      <c r="AM136" s="75" t="s">
        <v>3973</v>
      </c>
      <c r="AN136" s="75" t="s">
        <v>96</v>
      </c>
      <c r="AO136" s="75" t="s">
        <v>789</v>
      </c>
      <c r="AP136" s="75" t="s">
        <v>97</v>
      </c>
      <c r="AQ136" s="75"/>
      <c r="AR136" s="75"/>
      <c r="AS136" s="102" t="s">
        <v>141</v>
      </c>
      <c r="AT136" s="101">
        <v>476069938</v>
      </c>
      <c r="AU136" s="75" t="s">
        <v>111</v>
      </c>
      <c r="AV136" s="75">
        <v>2000</v>
      </c>
      <c r="AW136" s="75" t="s">
        <v>100</v>
      </c>
      <c r="AX136" s="75" t="s">
        <v>112</v>
      </c>
      <c r="AY136" s="75" t="s">
        <v>1859</v>
      </c>
      <c r="AZ136" s="75" t="s">
        <v>1858</v>
      </c>
      <c r="BA136" s="75">
        <v>35</v>
      </c>
      <c r="BB136" s="75">
        <v>4</v>
      </c>
      <c r="BC136" s="75">
        <v>80</v>
      </c>
      <c r="BD136" s="75">
        <v>0.09</v>
      </c>
      <c r="BE136" s="75" t="s">
        <v>1857</v>
      </c>
      <c r="BF136" s="75"/>
      <c r="BG136" s="75">
        <v>1900</v>
      </c>
      <c r="BH136" s="77"/>
      <c r="BI136" s="77"/>
      <c r="BJ136" s="77"/>
      <c r="BK136" s="75">
        <v>650</v>
      </c>
      <c r="BL136" s="75">
        <f t="shared" si="6"/>
        <v>2550</v>
      </c>
      <c r="BM136" s="103">
        <f t="shared" si="7"/>
        <v>140.25</v>
      </c>
      <c r="BN136" s="103">
        <f t="shared" si="8"/>
        <v>2690.25</v>
      </c>
      <c r="BO136" s="103"/>
      <c r="BP136" s="75" t="s">
        <v>104</v>
      </c>
      <c r="BQ136" s="75"/>
      <c r="BR136" s="75"/>
      <c r="BS136" s="157">
        <v>2016</v>
      </c>
      <c r="BT136">
        <v>2020</v>
      </c>
      <c r="BU136">
        <v>2016</v>
      </c>
    </row>
    <row r="137" spans="1:73" ht="43.15" customHeight="1" x14ac:dyDescent="0.25">
      <c r="A137" s="242" t="s">
        <v>1241</v>
      </c>
      <c r="B137" s="242" t="s">
        <v>1856</v>
      </c>
      <c r="C137" s="159">
        <v>400</v>
      </c>
      <c r="D137" s="114">
        <v>42712</v>
      </c>
      <c r="E137" s="114"/>
      <c r="F137" s="114"/>
      <c r="G137" s="114"/>
      <c r="H137" s="114">
        <v>42716</v>
      </c>
      <c r="I137" s="114">
        <v>42716</v>
      </c>
      <c r="J137" s="114">
        <v>42723</v>
      </c>
      <c r="K137" s="76"/>
      <c r="L137" s="114">
        <v>43021</v>
      </c>
      <c r="M137" s="114">
        <v>43075</v>
      </c>
      <c r="N137" s="114" t="s">
        <v>1855</v>
      </c>
      <c r="O137" s="114">
        <v>43041</v>
      </c>
      <c r="P137" s="114">
        <v>43041</v>
      </c>
      <c r="Q137" s="114">
        <v>43048</v>
      </c>
      <c r="R137" s="80"/>
      <c r="S137" s="114"/>
      <c r="T137" s="75"/>
      <c r="U137" s="75"/>
      <c r="V137" s="75"/>
      <c r="W137" s="75">
        <v>4</v>
      </c>
      <c r="X137" s="75">
        <v>56775</v>
      </c>
      <c r="Y137" s="75" t="str">
        <f ca="1">IF(I137="",IF(D137="","",IF(W137+X137&lt;15,"Données Nb pers ou RFR manquantes",IF(COUNTA(INDIRECT("TabRFR["&amp;YEAR(D137)&amp;"]"))&lt;&gt;COUNTA(TabRFR[Recherche RFR]),"Data RFR manquantes", IF(X137&lt;=INDEX(TabRFR[[2021]:[2025]],MATCH(BD!W137&amp;"-Très modestes",TabRFR[Recherche RFR],0),MATCH(TEXT(YEAR(BD!D137),"Standard"),TabRFR[[#Headers],[2021]:[2025]],0)),"Très Modeste",IF(X137&lt;=INDEX(TabRFR[[2021]:[2025]],MATCH(BD!W137&amp;"-modestes",TabRFR[Recherche RFR],0),MATCH(TEXT(YEAR(BD!D137),"Standard"),TabRFR[[#Headers],[2021]:[2025]],0)),"Modeste",IF(X137&lt;=INDEX(TabRFR[[2021]:[2025]],MATCH(BD!W137&amp;"-Intermédiaire",TabRFR[Recherche RFR],0),MATCH(TEXT(YEAR(BD!D137),"Standard"),TabRFR[[#Headers],[2021]:[2025]],0)),"Intermédiaire","Supérieur")))))),IF(D137="","",IF(W137+X137&lt;15,"Données Nb pers ou RFR manquantes",IF(COUNTA(INDIRECT("TabRFR["&amp;YEAR(I137)&amp;"]"))&lt;&gt;COUNTA(TabRFR[Recherche RFR]),"Data RFR manquantes", IF(X137&lt;=INDEX(TabRFR[[2021]:[2025]],MATCH(BD!W137&amp;"-Très modestes",TabRFR[Recherche RFR],0),MATCH(TEXT(YEAR(BD!I137),"Standard"),TabRFR[[#Headers],[2021]:[2025]],0)),"Très Modeste",IF(X137&lt;=INDEX(TabRFR[[2021]:[2025]],MATCH(BD!W137&amp;"-modestes",TabRFR[Recherche RFR],0),MATCH(TEXT(YEAR(BD!I137),"Standard"),TabRFR[[#Headers],[2021]:[2025]],0)),"Modeste",IF(X137&lt;=INDEX(TabRFR[[2021]:[2025]],MATCH(BD!W137&amp;"-Intermédiaire",TabRFR[Recherche RFR],0),MATCH(TEXT(YEAR(BD!I137),"Standard"),TabRFR[[#Headers],[2021]:[2025]],0)),"Intermédiaire","Supérieur")))))))</f>
        <v>Data RFR manquantes</v>
      </c>
      <c r="Z137" s="75"/>
      <c r="AA137" s="75" t="s">
        <v>1852</v>
      </c>
      <c r="AB137" s="75">
        <v>38210</v>
      </c>
      <c r="AC137" s="75" t="s">
        <v>195</v>
      </c>
      <c r="AD137" s="101"/>
      <c r="AE137" s="102"/>
      <c r="AF137" s="75" t="s">
        <v>95</v>
      </c>
      <c r="AG137" s="75">
        <v>140</v>
      </c>
      <c r="AH137" s="75">
        <v>2015</v>
      </c>
      <c r="AI137" s="75"/>
      <c r="AJ137" s="75"/>
      <c r="AK137" s="75"/>
      <c r="AL137" s="75"/>
      <c r="AM137" s="75" t="s">
        <v>4191</v>
      </c>
      <c r="AN137" s="75" t="s">
        <v>96</v>
      </c>
      <c r="AO137" s="75" t="s">
        <v>1850</v>
      </c>
      <c r="AP137" s="75" t="s">
        <v>97</v>
      </c>
      <c r="AQ137" s="75"/>
      <c r="AR137" s="75"/>
      <c r="AS137" s="102" t="s">
        <v>230</v>
      </c>
      <c r="AT137" s="101">
        <v>476059938</v>
      </c>
      <c r="AU137" s="75" t="s">
        <v>430</v>
      </c>
      <c r="AV137" s="75" t="s">
        <v>112</v>
      </c>
      <c r="AW137" s="75" t="s">
        <v>100</v>
      </c>
      <c r="AX137" s="75" t="s">
        <v>326</v>
      </c>
      <c r="AY137" s="75" t="s">
        <v>232</v>
      </c>
      <c r="AZ137" s="75" t="s">
        <v>1849</v>
      </c>
      <c r="BA137" s="75" t="s">
        <v>1848</v>
      </c>
      <c r="BB137" s="75" t="s">
        <v>1847</v>
      </c>
      <c r="BC137" s="75" t="s">
        <v>1846</v>
      </c>
      <c r="BD137" s="75" t="s">
        <v>1845</v>
      </c>
      <c r="BE137" s="75" t="s">
        <v>97</v>
      </c>
      <c r="BF137" s="75"/>
      <c r="BG137" s="75">
        <v>6958</v>
      </c>
      <c r="BH137" s="77"/>
      <c r="BI137" s="77"/>
      <c r="BJ137" s="77"/>
      <c r="BK137" s="75">
        <v>680</v>
      </c>
      <c r="BL137" s="75">
        <f t="shared" si="6"/>
        <v>7638</v>
      </c>
      <c r="BM137" s="103">
        <f t="shared" si="7"/>
        <v>420.09</v>
      </c>
      <c r="BN137" s="103">
        <f t="shared" si="8"/>
        <v>8058.09</v>
      </c>
      <c r="BO137" s="103">
        <v>9296.66</v>
      </c>
      <c r="BP137" s="75" t="s">
        <v>97</v>
      </c>
      <c r="BQ137" s="75"/>
      <c r="BR137" s="75"/>
      <c r="BS137" s="157">
        <v>2016</v>
      </c>
      <c r="BT137">
        <v>2020</v>
      </c>
      <c r="BU137">
        <v>2016</v>
      </c>
    </row>
    <row r="138" spans="1:73" ht="43.15" customHeight="1" x14ac:dyDescent="0.25">
      <c r="A138" s="242" t="s">
        <v>1241</v>
      </c>
      <c r="B138" s="242" t="s">
        <v>1790</v>
      </c>
      <c r="C138" s="159">
        <v>800</v>
      </c>
      <c r="D138" s="114">
        <v>42712</v>
      </c>
      <c r="E138" s="114"/>
      <c r="F138" s="114" t="s">
        <v>1789</v>
      </c>
      <c r="G138" s="114"/>
      <c r="H138" s="114">
        <v>42739</v>
      </c>
      <c r="I138" s="114">
        <v>42739</v>
      </c>
      <c r="J138" s="114">
        <v>42748</v>
      </c>
      <c r="K138" s="114"/>
      <c r="L138" s="114">
        <v>42769</v>
      </c>
      <c r="M138" s="114">
        <v>42019</v>
      </c>
      <c r="N138" s="114" t="s">
        <v>1788</v>
      </c>
      <c r="O138" s="114">
        <v>42808</v>
      </c>
      <c r="P138" s="114">
        <v>42808</v>
      </c>
      <c r="Q138" s="114">
        <v>42824</v>
      </c>
      <c r="R138" s="100"/>
      <c r="S138" s="114"/>
      <c r="T138" s="75"/>
      <c r="U138" s="75"/>
      <c r="V138" s="75"/>
      <c r="W138" s="75">
        <v>1</v>
      </c>
      <c r="X138" s="75">
        <v>17505</v>
      </c>
      <c r="Y138" s="75" t="str">
        <f ca="1">IF(I138="",IF(D138="","",IF(W138+X138&lt;15,"Données Nb pers ou RFR manquantes",IF(COUNTA(INDIRECT("TabRFR["&amp;YEAR(D138)&amp;"]"))&lt;&gt;COUNTA(TabRFR[Recherche RFR]),"Data RFR manquantes", IF(X138&lt;=INDEX(TabRFR[[2021]:[2025]],MATCH(BD!W138&amp;"-Très modestes",TabRFR[Recherche RFR],0),MATCH(TEXT(YEAR(BD!D138),"Standard"),TabRFR[[#Headers],[2021]:[2025]],0)),"Très Modeste",IF(X138&lt;=INDEX(TabRFR[[2021]:[2025]],MATCH(BD!W138&amp;"-modestes",TabRFR[Recherche RFR],0),MATCH(TEXT(YEAR(BD!D138),"Standard"),TabRFR[[#Headers],[2021]:[2025]],0)),"Modeste",IF(X138&lt;=INDEX(TabRFR[[2021]:[2025]],MATCH(BD!W138&amp;"-Intermédiaire",TabRFR[Recherche RFR],0),MATCH(TEXT(YEAR(BD!D138),"Standard"),TabRFR[[#Headers],[2021]:[2025]],0)),"Intermédiaire","Supérieur")))))),IF(D138="","",IF(W138+X138&lt;15,"Données Nb pers ou RFR manquantes",IF(COUNTA(INDIRECT("TabRFR["&amp;YEAR(I138)&amp;"]"))&lt;&gt;COUNTA(TabRFR[Recherche RFR]),"Data RFR manquantes", IF(X138&lt;=INDEX(TabRFR[[2021]:[2025]],MATCH(BD!W138&amp;"-Très modestes",TabRFR[Recherche RFR],0),MATCH(TEXT(YEAR(BD!I138),"Standard"),TabRFR[[#Headers],[2021]:[2025]],0)),"Très Modeste",IF(X138&lt;=INDEX(TabRFR[[2021]:[2025]],MATCH(BD!W138&amp;"-modestes",TabRFR[Recherche RFR],0),MATCH(TEXT(YEAR(BD!I138),"Standard"),TabRFR[[#Headers],[2021]:[2025]],0)),"Modeste",IF(X138&lt;=INDEX(TabRFR[[2021]:[2025]],MATCH(BD!W138&amp;"-Intermédiaire",TabRFR[Recherche RFR],0),MATCH(TEXT(YEAR(BD!I138),"Standard"),TabRFR[[#Headers],[2021]:[2025]],0)),"Intermédiaire","Supérieur")))))))</f>
        <v>Data RFR manquantes</v>
      </c>
      <c r="Z138" s="75"/>
      <c r="AA138" s="75" t="s">
        <v>624</v>
      </c>
      <c r="AB138" s="75">
        <v>38140</v>
      </c>
      <c r="AC138" s="75" t="s">
        <v>237</v>
      </c>
      <c r="AD138" s="73"/>
      <c r="AE138" s="102"/>
      <c r="AF138" s="75"/>
      <c r="AG138" s="75"/>
      <c r="AH138" s="75"/>
      <c r="AI138" s="75"/>
      <c r="AJ138" s="75"/>
      <c r="AK138" s="75"/>
      <c r="AL138" s="75"/>
      <c r="AM138" s="75" t="s">
        <v>4167</v>
      </c>
      <c r="AN138" s="75" t="s">
        <v>3996</v>
      </c>
      <c r="AO138" s="75" t="s">
        <v>1653</v>
      </c>
      <c r="AP138" s="75" t="s">
        <v>97</v>
      </c>
      <c r="AQ138" s="75"/>
      <c r="AR138" s="75"/>
      <c r="AS138" s="102" t="s">
        <v>536</v>
      </c>
      <c r="AT138" s="101" t="s">
        <v>1652</v>
      </c>
      <c r="AU138" s="75" t="s">
        <v>100</v>
      </c>
      <c r="AV138" s="75">
        <v>1980</v>
      </c>
      <c r="AW138" s="75" t="s">
        <v>100</v>
      </c>
      <c r="AX138" s="75" t="s">
        <v>2071</v>
      </c>
      <c r="AY138" s="75" t="s">
        <v>734</v>
      </c>
      <c r="AZ138" s="75" t="s">
        <v>1784</v>
      </c>
      <c r="BA138" s="75">
        <v>3</v>
      </c>
      <c r="BB138" s="75">
        <v>8.1</v>
      </c>
      <c r="BC138" s="75">
        <v>90</v>
      </c>
      <c r="BD138" s="75">
        <v>0.01</v>
      </c>
      <c r="BE138" s="75" t="s">
        <v>97</v>
      </c>
      <c r="BF138" s="75"/>
      <c r="BG138" s="75" t="s">
        <v>1783</v>
      </c>
      <c r="BH138" s="75"/>
      <c r="BI138" s="75"/>
      <c r="BJ138" s="75"/>
      <c r="BK138" s="75" t="s">
        <v>1782</v>
      </c>
      <c r="BL138" s="75" t="e">
        <f t="shared" si="6"/>
        <v>#VALUE!</v>
      </c>
      <c r="BM138" s="103" t="e">
        <f t="shared" si="7"/>
        <v>#VALUE!</v>
      </c>
      <c r="BN138" s="103" t="e">
        <f t="shared" si="8"/>
        <v>#VALUE!</v>
      </c>
      <c r="BO138" s="103">
        <v>2435.9699999999998</v>
      </c>
      <c r="BP138" s="75" t="s">
        <v>1781</v>
      </c>
      <c r="BQ138" s="75"/>
      <c r="BR138" s="75"/>
      <c r="BS138" s="157">
        <v>2017</v>
      </c>
      <c r="BU138">
        <v>2017</v>
      </c>
    </row>
    <row r="139" spans="1:73" ht="43.15" customHeight="1" x14ac:dyDescent="0.25">
      <c r="A139" s="242" t="s">
        <v>1241</v>
      </c>
      <c r="B139" s="242" t="s">
        <v>1844</v>
      </c>
      <c r="C139" s="159">
        <v>400</v>
      </c>
      <c r="D139" s="114">
        <v>42712</v>
      </c>
      <c r="E139" s="114"/>
      <c r="F139" s="114" t="s">
        <v>1843</v>
      </c>
      <c r="G139" s="114"/>
      <c r="H139" s="114">
        <v>42716</v>
      </c>
      <c r="I139" s="114">
        <v>42716</v>
      </c>
      <c r="J139" s="114">
        <v>42724</v>
      </c>
      <c r="K139" s="76"/>
      <c r="L139" s="114">
        <v>42816</v>
      </c>
      <c r="M139" s="114">
        <v>42724</v>
      </c>
      <c r="N139" s="114"/>
      <c r="O139" s="114">
        <v>42824</v>
      </c>
      <c r="P139" s="114">
        <v>42824</v>
      </c>
      <c r="Q139" s="114">
        <v>42839</v>
      </c>
      <c r="R139" s="80"/>
      <c r="S139" s="114"/>
      <c r="T139" s="75"/>
      <c r="U139" s="75"/>
      <c r="V139" s="75"/>
      <c r="W139" s="75">
        <v>1</v>
      </c>
      <c r="X139" s="75">
        <v>22262</v>
      </c>
      <c r="Y139" s="75" t="str">
        <f ca="1">IF(I139="",IF(D139="","",IF(W139+X139&lt;15,"Données Nb pers ou RFR manquantes",IF(COUNTA(INDIRECT("TabRFR["&amp;YEAR(D139)&amp;"]"))&lt;&gt;COUNTA(TabRFR[Recherche RFR]),"Data RFR manquantes", IF(X139&lt;=INDEX(TabRFR[[2021]:[2025]],MATCH(BD!W139&amp;"-Très modestes",TabRFR[Recherche RFR],0),MATCH(TEXT(YEAR(BD!D139),"Standard"),TabRFR[[#Headers],[2021]:[2025]],0)),"Très Modeste",IF(X139&lt;=INDEX(TabRFR[[2021]:[2025]],MATCH(BD!W139&amp;"-modestes",TabRFR[Recherche RFR],0),MATCH(TEXT(YEAR(BD!D139),"Standard"),TabRFR[[#Headers],[2021]:[2025]],0)),"Modeste",IF(X139&lt;=INDEX(TabRFR[[2021]:[2025]],MATCH(BD!W139&amp;"-Intermédiaire",TabRFR[Recherche RFR],0),MATCH(TEXT(YEAR(BD!D139),"Standard"),TabRFR[[#Headers],[2021]:[2025]],0)),"Intermédiaire","Supérieur")))))),IF(D139="","",IF(W139+X139&lt;15,"Données Nb pers ou RFR manquantes",IF(COUNTA(INDIRECT("TabRFR["&amp;YEAR(I139)&amp;"]"))&lt;&gt;COUNTA(TabRFR[Recherche RFR]),"Data RFR manquantes", IF(X139&lt;=INDEX(TabRFR[[2021]:[2025]],MATCH(BD!W139&amp;"-Très modestes",TabRFR[Recherche RFR],0),MATCH(TEXT(YEAR(BD!I139),"Standard"),TabRFR[[#Headers],[2021]:[2025]],0)),"Très Modeste",IF(X139&lt;=INDEX(TabRFR[[2021]:[2025]],MATCH(BD!W139&amp;"-modestes",TabRFR[Recherche RFR],0),MATCH(TEXT(YEAR(BD!I139),"Standard"),TabRFR[[#Headers],[2021]:[2025]],0)),"Modeste",IF(X139&lt;=INDEX(TabRFR[[2021]:[2025]],MATCH(BD!W139&amp;"-Intermédiaire",TabRFR[Recherche RFR],0),MATCH(TEXT(YEAR(BD!I139),"Standard"),TabRFR[[#Headers],[2021]:[2025]],0)),"Intermédiaire","Supérieur")))))))</f>
        <v>Data RFR manquantes</v>
      </c>
      <c r="Z139" s="75"/>
      <c r="AA139" s="75" t="s">
        <v>1841</v>
      </c>
      <c r="AB139" s="75">
        <v>38430</v>
      </c>
      <c r="AC139" s="75" t="s">
        <v>217</v>
      </c>
      <c r="AD139" s="101"/>
      <c r="AE139" s="102"/>
      <c r="AF139" s="75"/>
      <c r="AG139" s="75"/>
      <c r="AH139" s="75"/>
      <c r="AI139" s="75"/>
      <c r="AJ139" s="75"/>
      <c r="AK139" s="75"/>
      <c r="AL139" s="75"/>
      <c r="AM139" s="75" t="s">
        <v>4368</v>
      </c>
      <c r="AN139" s="75" t="s">
        <v>917</v>
      </c>
      <c r="AO139" s="75" t="s">
        <v>1405</v>
      </c>
      <c r="AP139" s="75" t="s">
        <v>97</v>
      </c>
      <c r="AQ139" s="75"/>
      <c r="AR139" s="75"/>
      <c r="AS139" s="102" t="s">
        <v>9</v>
      </c>
      <c r="AT139" s="101">
        <v>476333850</v>
      </c>
      <c r="AU139" s="75" t="s">
        <v>430</v>
      </c>
      <c r="AV139" s="75" t="s">
        <v>112</v>
      </c>
      <c r="AW139" s="75" t="s">
        <v>100</v>
      </c>
      <c r="AX139" s="75" t="s">
        <v>2071</v>
      </c>
      <c r="AY139" s="75" t="s">
        <v>174</v>
      </c>
      <c r="AZ139" s="75" t="s">
        <v>1840</v>
      </c>
      <c r="BA139" s="75">
        <v>26</v>
      </c>
      <c r="BB139" s="75">
        <v>8</v>
      </c>
      <c r="BC139" s="75">
        <v>90.1</v>
      </c>
      <c r="BD139" s="75">
        <v>0.01</v>
      </c>
      <c r="BE139" s="75" t="s">
        <v>97</v>
      </c>
      <c r="BF139" s="75"/>
      <c r="BG139" s="75">
        <v>3700</v>
      </c>
      <c r="BH139" s="77"/>
      <c r="BI139" s="77"/>
      <c r="BJ139" s="77"/>
      <c r="BK139" s="75">
        <v>600</v>
      </c>
      <c r="BL139" s="75">
        <f t="shared" si="6"/>
        <v>4300</v>
      </c>
      <c r="BM139" s="103">
        <f t="shared" si="7"/>
        <v>236.5</v>
      </c>
      <c r="BN139" s="103">
        <f t="shared" si="8"/>
        <v>4536.5</v>
      </c>
      <c r="BO139" s="103">
        <v>6604</v>
      </c>
      <c r="BP139" s="75" t="s">
        <v>97</v>
      </c>
      <c r="BQ139" s="75"/>
      <c r="BR139" s="75"/>
      <c r="BS139" s="157">
        <v>2016</v>
      </c>
      <c r="BU139">
        <v>2016</v>
      </c>
    </row>
    <row r="140" spans="1:73" ht="43.15" customHeight="1" x14ac:dyDescent="0.25">
      <c r="A140" s="242" t="s">
        <v>1241</v>
      </c>
      <c r="B140" s="242" t="s">
        <v>1839</v>
      </c>
      <c r="C140" s="159">
        <v>400</v>
      </c>
      <c r="D140" s="114">
        <v>42699</v>
      </c>
      <c r="E140" s="114"/>
      <c r="F140" s="114"/>
      <c r="G140" s="114" t="s">
        <v>1838</v>
      </c>
      <c r="H140" s="114">
        <v>42717</v>
      </c>
      <c r="I140" s="114">
        <v>42717</v>
      </c>
      <c r="J140" s="114">
        <v>42724</v>
      </c>
      <c r="K140" s="76"/>
      <c r="L140" s="114">
        <v>42761</v>
      </c>
      <c r="M140" s="114">
        <v>42738</v>
      </c>
      <c r="N140" s="114" t="s">
        <v>1837</v>
      </c>
      <c r="O140" s="114">
        <v>42789</v>
      </c>
      <c r="P140" s="114">
        <v>42789</v>
      </c>
      <c r="Q140" s="114">
        <v>42811</v>
      </c>
      <c r="R140" s="80"/>
      <c r="S140" s="114"/>
      <c r="T140" s="75"/>
      <c r="U140" s="75"/>
      <c r="V140" s="75"/>
      <c r="W140" s="75">
        <v>2</v>
      </c>
      <c r="X140" s="75">
        <v>44350</v>
      </c>
      <c r="Y140" s="75" t="str">
        <f ca="1">IF(I140="",IF(D140="","",IF(W140+X140&lt;15,"Données Nb pers ou RFR manquantes",IF(COUNTA(INDIRECT("TabRFR["&amp;YEAR(D140)&amp;"]"))&lt;&gt;COUNTA(TabRFR[Recherche RFR]),"Data RFR manquantes", IF(X140&lt;=INDEX(TabRFR[[2021]:[2025]],MATCH(BD!W140&amp;"-Très modestes",TabRFR[Recherche RFR],0),MATCH(TEXT(YEAR(BD!D140),"Standard"),TabRFR[[#Headers],[2021]:[2025]],0)),"Très Modeste",IF(X140&lt;=INDEX(TabRFR[[2021]:[2025]],MATCH(BD!W140&amp;"-modestes",TabRFR[Recherche RFR],0),MATCH(TEXT(YEAR(BD!D140),"Standard"),TabRFR[[#Headers],[2021]:[2025]],0)),"Modeste",IF(X140&lt;=INDEX(TabRFR[[2021]:[2025]],MATCH(BD!W140&amp;"-Intermédiaire",TabRFR[Recherche RFR],0),MATCH(TEXT(YEAR(BD!D140),"Standard"),TabRFR[[#Headers],[2021]:[2025]],0)),"Intermédiaire","Supérieur")))))),IF(D140="","",IF(W140+X140&lt;15,"Données Nb pers ou RFR manquantes",IF(COUNTA(INDIRECT("TabRFR["&amp;YEAR(I140)&amp;"]"))&lt;&gt;COUNTA(TabRFR[Recherche RFR]),"Data RFR manquantes", IF(X140&lt;=INDEX(TabRFR[[2021]:[2025]],MATCH(BD!W140&amp;"-Très modestes",TabRFR[Recherche RFR],0),MATCH(TEXT(YEAR(BD!I140),"Standard"),TabRFR[[#Headers],[2021]:[2025]],0)),"Très Modeste",IF(X140&lt;=INDEX(TabRFR[[2021]:[2025]],MATCH(BD!W140&amp;"-modestes",TabRFR[Recherche RFR],0),MATCH(TEXT(YEAR(BD!I140),"Standard"),TabRFR[[#Headers],[2021]:[2025]],0)),"Modeste",IF(X140&lt;=INDEX(TabRFR[[2021]:[2025]],MATCH(BD!W140&amp;"-Intermédiaire",TabRFR[Recherche RFR],0),MATCH(TEXT(YEAR(BD!I140),"Standard"),TabRFR[[#Headers],[2021]:[2025]],0)),"Intermédiaire","Supérieur")))))))</f>
        <v>Data RFR manquantes</v>
      </c>
      <c r="Z140" s="75"/>
      <c r="AA140" s="75" t="s">
        <v>1834</v>
      </c>
      <c r="AB140" s="75">
        <v>38500</v>
      </c>
      <c r="AC140" s="75" t="s">
        <v>118</v>
      </c>
      <c r="AD140" s="101"/>
      <c r="AE140" s="102"/>
      <c r="AF140" s="75" t="s">
        <v>95</v>
      </c>
      <c r="AG140" s="75">
        <v>120</v>
      </c>
      <c r="AH140" s="75">
        <v>2016</v>
      </c>
      <c r="AI140" s="75"/>
      <c r="AJ140" s="75"/>
      <c r="AK140" s="75"/>
      <c r="AL140" s="75"/>
      <c r="AM140" s="75" t="s">
        <v>4369</v>
      </c>
      <c r="AN140" s="75" t="s">
        <v>4370</v>
      </c>
      <c r="AO140" s="75"/>
      <c r="AP140" s="75" t="s">
        <v>97</v>
      </c>
      <c r="AQ140" s="75"/>
      <c r="AR140" s="75"/>
      <c r="AS140" s="102" t="s">
        <v>245</v>
      </c>
      <c r="AT140" s="101">
        <v>387079026</v>
      </c>
      <c r="AU140" s="75" t="s">
        <v>1754</v>
      </c>
      <c r="AV140" s="75">
        <v>1985</v>
      </c>
      <c r="AW140" s="75" t="s">
        <v>1832</v>
      </c>
      <c r="AX140" s="75" t="s">
        <v>112</v>
      </c>
      <c r="AY140" s="75" t="s">
        <v>243</v>
      </c>
      <c r="AZ140" s="75" t="s">
        <v>246</v>
      </c>
      <c r="BA140" s="75">
        <v>30</v>
      </c>
      <c r="BB140" s="75">
        <v>14</v>
      </c>
      <c r="BC140" s="75">
        <v>80.8</v>
      </c>
      <c r="BD140" s="75">
        <v>0.09</v>
      </c>
      <c r="BE140" s="75" t="s">
        <v>97</v>
      </c>
      <c r="BF140" s="75"/>
      <c r="BG140" s="75"/>
      <c r="BH140" s="77"/>
      <c r="BI140" s="77"/>
      <c r="BJ140" s="77"/>
      <c r="BK140" s="75"/>
      <c r="BL140" s="75">
        <f t="shared" si="6"/>
        <v>0</v>
      </c>
      <c r="BM140" s="103">
        <f t="shared" si="7"/>
        <v>0</v>
      </c>
      <c r="BN140" s="103">
        <f t="shared" si="8"/>
        <v>0</v>
      </c>
      <c r="BO140" s="103"/>
      <c r="BP140" s="75"/>
      <c r="BQ140" s="75"/>
      <c r="BR140" s="75"/>
      <c r="BS140" s="157">
        <v>2016</v>
      </c>
      <c r="BT140">
        <v>2020</v>
      </c>
      <c r="BU140">
        <v>2017</v>
      </c>
    </row>
    <row r="141" spans="1:73" ht="43.15" customHeight="1" x14ac:dyDescent="0.25">
      <c r="A141" s="242" t="s">
        <v>1241</v>
      </c>
      <c r="B141" s="242" t="s">
        <v>1831</v>
      </c>
      <c r="C141" s="159">
        <v>400</v>
      </c>
      <c r="D141" s="114">
        <v>42704</v>
      </c>
      <c r="E141" s="114"/>
      <c r="F141" s="114"/>
      <c r="G141" s="114"/>
      <c r="H141" s="114">
        <v>42716</v>
      </c>
      <c r="I141" s="114">
        <v>42716</v>
      </c>
      <c r="J141" s="114">
        <v>42723</v>
      </c>
      <c r="K141" s="76"/>
      <c r="L141" s="114">
        <v>42909</v>
      </c>
      <c r="M141" s="114">
        <v>42730</v>
      </c>
      <c r="N141" s="114"/>
      <c r="O141" s="114">
        <v>42912</v>
      </c>
      <c r="P141" s="114">
        <v>42912</v>
      </c>
      <c r="Q141" s="114">
        <v>42916</v>
      </c>
      <c r="R141" s="80"/>
      <c r="S141" s="114"/>
      <c r="T141" s="75"/>
      <c r="U141" s="75"/>
      <c r="V141" s="75"/>
      <c r="W141" s="75">
        <v>2</v>
      </c>
      <c r="X141" s="75">
        <f>14107+23971</f>
        <v>38078</v>
      </c>
      <c r="Y141" s="75" t="str">
        <f ca="1">IF(I141="",IF(D141="","",IF(W141+X141&lt;15,"Données Nb pers ou RFR manquantes",IF(COUNTA(INDIRECT("TabRFR["&amp;YEAR(D141)&amp;"]"))&lt;&gt;COUNTA(TabRFR[Recherche RFR]),"Data RFR manquantes", IF(X141&lt;=INDEX(TabRFR[[2021]:[2025]],MATCH(BD!W141&amp;"-Très modestes",TabRFR[Recherche RFR],0),MATCH(TEXT(YEAR(BD!D141),"Standard"),TabRFR[[#Headers],[2021]:[2025]],0)),"Très Modeste",IF(X141&lt;=INDEX(TabRFR[[2021]:[2025]],MATCH(BD!W141&amp;"-modestes",TabRFR[Recherche RFR],0),MATCH(TEXT(YEAR(BD!D141),"Standard"),TabRFR[[#Headers],[2021]:[2025]],0)),"Modeste",IF(X141&lt;=INDEX(TabRFR[[2021]:[2025]],MATCH(BD!W141&amp;"-Intermédiaire",TabRFR[Recherche RFR],0),MATCH(TEXT(YEAR(BD!D141),"Standard"),TabRFR[[#Headers],[2021]:[2025]],0)),"Intermédiaire","Supérieur")))))),IF(D141="","",IF(W141+X141&lt;15,"Données Nb pers ou RFR manquantes",IF(COUNTA(INDIRECT("TabRFR["&amp;YEAR(I141)&amp;"]"))&lt;&gt;COUNTA(TabRFR[Recherche RFR]),"Data RFR manquantes", IF(X141&lt;=INDEX(TabRFR[[2021]:[2025]],MATCH(BD!W141&amp;"-Très modestes",TabRFR[Recherche RFR],0),MATCH(TEXT(YEAR(BD!I141),"Standard"),TabRFR[[#Headers],[2021]:[2025]],0)),"Très Modeste",IF(X141&lt;=INDEX(TabRFR[[2021]:[2025]],MATCH(BD!W141&amp;"-modestes",TabRFR[Recherche RFR],0),MATCH(TEXT(YEAR(BD!I141),"Standard"),TabRFR[[#Headers],[2021]:[2025]],0)),"Modeste",IF(X141&lt;=INDEX(TabRFR[[2021]:[2025]],MATCH(BD!W141&amp;"-Intermédiaire",TabRFR[Recherche RFR],0),MATCH(TEXT(YEAR(BD!I141),"Standard"),TabRFR[[#Headers],[2021]:[2025]],0)),"Intermédiaire","Supérieur")))))))</f>
        <v>Data RFR manquantes</v>
      </c>
      <c r="Z141" s="75"/>
      <c r="AA141" s="75" t="s">
        <v>1828</v>
      </c>
      <c r="AB141" s="75">
        <v>38430</v>
      </c>
      <c r="AC141" s="75" t="s">
        <v>217</v>
      </c>
      <c r="AD141" s="101"/>
      <c r="AE141" s="102"/>
      <c r="AF141" s="75" t="s">
        <v>95</v>
      </c>
      <c r="AG141" s="75">
        <v>120</v>
      </c>
      <c r="AH141" s="75">
        <v>2016</v>
      </c>
      <c r="AI141" s="75"/>
      <c r="AJ141" s="75"/>
      <c r="AK141" s="75"/>
      <c r="AL141" s="75"/>
      <c r="AM141" s="75" t="s">
        <v>1621</v>
      </c>
      <c r="AN141" s="75" t="s">
        <v>1620</v>
      </c>
      <c r="AO141" s="75" t="s">
        <v>1826</v>
      </c>
      <c r="AP141" s="75" t="s">
        <v>97</v>
      </c>
      <c r="AQ141" s="75"/>
      <c r="AR141" s="75"/>
      <c r="AS141" s="102" t="s">
        <v>1618</v>
      </c>
      <c r="AT141" s="101">
        <v>479750979</v>
      </c>
      <c r="AU141" s="75" t="s">
        <v>100</v>
      </c>
      <c r="AV141" s="75">
        <v>1985</v>
      </c>
      <c r="AW141" s="75" t="s">
        <v>100</v>
      </c>
      <c r="AX141" s="75" t="s">
        <v>2071</v>
      </c>
      <c r="AY141" s="75" t="s">
        <v>102</v>
      </c>
      <c r="AZ141" s="75" t="s">
        <v>1825</v>
      </c>
      <c r="BA141" s="75">
        <v>22</v>
      </c>
      <c r="BB141" s="75">
        <v>8</v>
      </c>
      <c r="BC141" s="75">
        <v>90.1</v>
      </c>
      <c r="BD141" s="75">
        <v>5.1999999999999998E-2</v>
      </c>
      <c r="BE141" s="75" t="s">
        <v>97</v>
      </c>
      <c r="BF141" s="75"/>
      <c r="BG141" s="75">
        <v>3015.97</v>
      </c>
      <c r="BH141" s="77"/>
      <c r="BI141" s="77"/>
      <c r="BJ141" s="77"/>
      <c r="BK141" s="75">
        <v>379</v>
      </c>
      <c r="BL141" s="75">
        <f t="shared" si="6"/>
        <v>3394.97</v>
      </c>
      <c r="BM141" s="103">
        <f t="shared" si="7"/>
        <v>186.72334999999998</v>
      </c>
      <c r="BN141" s="103">
        <f t="shared" si="8"/>
        <v>3581.6933499999996</v>
      </c>
      <c r="BO141" s="103">
        <v>2592.3200000000002</v>
      </c>
      <c r="BP141" s="75" t="s">
        <v>104</v>
      </c>
      <c r="BQ141" s="75"/>
      <c r="BR141" s="75"/>
      <c r="BS141" s="157">
        <v>2016</v>
      </c>
      <c r="BU141">
        <v>2016</v>
      </c>
    </row>
    <row r="142" spans="1:73" ht="43.15" customHeight="1" x14ac:dyDescent="0.25">
      <c r="A142" s="242" t="s">
        <v>186</v>
      </c>
      <c r="B142" s="242" t="s">
        <v>1780</v>
      </c>
      <c r="C142" s="159">
        <v>400</v>
      </c>
      <c r="D142" s="114">
        <v>42713</v>
      </c>
      <c r="E142" s="114" t="s">
        <v>3698</v>
      </c>
      <c r="F142" s="114"/>
      <c r="G142" s="114"/>
      <c r="H142" s="114">
        <v>42716</v>
      </c>
      <c r="I142" s="114">
        <v>42716</v>
      </c>
      <c r="J142" s="114">
        <v>42724</v>
      </c>
      <c r="K142" s="114"/>
      <c r="L142" s="114">
        <v>42738</v>
      </c>
      <c r="M142" s="114">
        <v>42730</v>
      </c>
      <c r="N142" s="114"/>
      <c r="O142" s="114">
        <v>42741</v>
      </c>
      <c r="P142" s="114">
        <v>42741</v>
      </c>
      <c r="Q142" s="114">
        <v>42747</v>
      </c>
      <c r="R142" s="80"/>
      <c r="S142" s="114"/>
      <c r="T142" s="75"/>
      <c r="U142" s="75"/>
      <c r="V142" s="75"/>
      <c r="W142" s="75">
        <v>2</v>
      </c>
      <c r="X142" s="75">
        <v>46563</v>
      </c>
      <c r="Y142" s="75" t="str">
        <f ca="1">IF(I142="",IF(D142="","",IF(W142+X142&lt;15,"Données Nb pers ou RFR manquantes",IF(COUNTA(INDIRECT("TabRFR["&amp;YEAR(D142)&amp;"]"))&lt;&gt;COUNTA(TabRFR[Recherche RFR]),"Data RFR manquantes", IF(X142&lt;=INDEX(TabRFR[[2021]:[2025]],MATCH(BD!W142&amp;"-Très modestes",TabRFR[Recherche RFR],0),MATCH(TEXT(YEAR(BD!D142),"Standard"),TabRFR[[#Headers],[2021]:[2025]],0)),"Très Modeste",IF(X142&lt;=INDEX(TabRFR[[2021]:[2025]],MATCH(BD!W142&amp;"-modestes",TabRFR[Recherche RFR],0),MATCH(TEXT(YEAR(BD!D142),"Standard"),TabRFR[[#Headers],[2021]:[2025]],0)),"Modeste",IF(X142&lt;=INDEX(TabRFR[[2021]:[2025]],MATCH(BD!W142&amp;"-Intermédiaire",TabRFR[Recherche RFR],0),MATCH(TEXT(YEAR(BD!D142),"Standard"),TabRFR[[#Headers],[2021]:[2025]],0)),"Intermédiaire","Supérieur")))))),IF(D142="","",IF(W142+X142&lt;15,"Données Nb pers ou RFR manquantes",IF(COUNTA(INDIRECT("TabRFR["&amp;YEAR(I142)&amp;"]"))&lt;&gt;COUNTA(TabRFR[Recherche RFR]),"Data RFR manquantes", IF(X142&lt;=INDEX(TabRFR[[2021]:[2025]],MATCH(BD!W142&amp;"-Très modestes",TabRFR[Recherche RFR],0),MATCH(TEXT(YEAR(BD!I142),"Standard"),TabRFR[[#Headers],[2021]:[2025]],0)),"Très Modeste",IF(X142&lt;=INDEX(TabRFR[[2021]:[2025]],MATCH(BD!W142&amp;"-modestes",TabRFR[Recherche RFR],0),MATCH(TEXT(YEAR(BD!I142),"Standard"),TabRFR[[#Headers],[2021]:[2025]],0)),"Modeste",IF(X142&lt;=INDEX(TabRFR[[2021]:[2025]],MATCH(BD!W142&amp;"-Intermédiaire",TabRFR[Recherche RFR],0),MATCH(TEXT(YEAR(BD!I142),"Standard"),TabRFR[[#Headers],[2021]:[2025]],0)),"Intermédiaire","Supérieur")))))))</f>
        <v>Data RFR manquantes</v>
      </c>
      <c r="Z142" s="75"/>
      <c r="AA142" s="75" t="s">
        <v>638</v>
      </c>
      <c r="AB142" s="75">
        <v>38730</v>
      </c>
      <c r="AC142" s="75" t="s">
        <v>4304</v>
      </c>
      <c r="AD142" s="73"/>
      <c r="AE142" s="102"/>
      <c r="AF142" s="75" t="s">
        <v>95</v>
      </c>
      <c r="AG142" s="75"/>
      <c r="AH142" s="75"/>
      <c r="AI142" s="75"/>
      <c r="AJ142" s="75"/>
      <c r="AK142" s="75"/>
      <c r="AL142" s="75"/>
      <c r="AM142" s="75" t="s">
        <v>4356</v>
      </c>
      <c r="AN142" s="75" t="s">
        <v>96</v>
      </c>
      <c r="AO142" s="75" t="s">
        <v>119</v>
      </c>
      <c r="AP142" s="75" t="s">
        <v>97</v>
      </c>
      <c r="AQ142" s="75"/>
      <c r="AR142" s="75"/>
      <c r="AS142" s="102" t="s">
        <v>120</v>
      </c>
      <c r="AT142" s="101">
        <v>476071461</v>
      </c>
      <c r="AU142" s="75" t="s">
        <v>111</v>
      </c>
      <c r="AV142" s="75">
        <v>1993</v>
      </c>
      <c r="AW142" s="75" t="s">
        <v>100</v>
      </c>
      <c r="AX142" s="77" t="s">
        <v>112</v>
      </c>
      <c r="AY142" s="75" t="s">
        <v>1603</v>
      </c>
      <c r="AZ142" s="75" t="s">
        <v>1011</v>
      </c>
      <c r="BA142" s="75">
        <v>34</v>
      </c>
      <c r="BB142" s="75">
        <v>7</v>
      </c>
      <c r="BC142" s="75">
        <v>80</v>
      </c>
      <c r="BD142" s="75">
        <v>0.08</v>
      </c>
      <c r="BE142" s="75" t="s">
        <v>97</v>
      </c>
      <c r="BF142" s="75"/>
      <c r="BG142" s="75">
        <v>3395</v>
      </c>
      <c r="BH142" s="75"/>
      <c r="BI142" s="75"/>
      <c r="BJ142" s="75"/>
      <c r="BK142" s="75">
        <v>150</v>
      </c>
      <c r="BL142" s="75">
        <f t="shared" si="6"/>
        <v>3545</v>
      </c>
      <c r="BM142" s="103">
        <f t="shared" si="7"/>
        <v>194.97499999999999</v>
      </c>
      <c r="BN142" s="103">
        <f t="shared" si="8"/>
        <v>3739.9749999999999</v>
      </c>
      <c r="BO142" s="103"/>
      <c r="BP142" s="75" t="s">
        <v>97</v>
      </c>
      <c r="BQ142" s="75"/>
      <c r="BR142" s="75"/>
      <c r="BS142" s="157">
        <v>2017</v>
      </c>
      <c r="BT142">
        <v>2020</v>
      </c>
      <c r="BU142">
        <v>2017</v>
      </c>
    </row>
    <row r="143" spans="1:73" ht="43.15" customHeight="1" x14ac:dyDescent="0.25">
      <c r="A143" s="242" t="s">
        <v>186</v>
      </c>
      <c r="B143" s="242" t="s">
        <v>1777</v>
      </c>
      <c r="C143" s="159">
        <v>400</v>
      </c>
      <c r="D143" s="114">
        <v>42713</v>
      </c>
      <c r="E143" s="114"/>
      <c r="F143" s="114"/>
      <c r="G143" s="114"/>
      <c r="H143" s="114">
        <v>42716</v>
      </c>
      <c r="I143" s="114">
        <v>42716</v>
      </c>
      <c r="J143" s="114">
        <v>42724</v>
      </c>
      <c r="K143" s="114"/>
      <c r="L143" s="114">
        <v>42913</v>
      </c>
      <c r="M143" s="114">
        <v>42856</v>
      </c>
      <c r="N143" s="114"/>
      <c r="O143" s="114">
        <v>42913</v>
      </c>
      <c r="P143" s="114">
        <v>42913</v>
      </c>
      <c r="Q143" s="114">
        <v>42916</v>
      </c>
      <c r="R143" s="80"/>
      <c r="S143" s="114"/>
      <c r="T143" s="75"/>
      <c r="U143" s="75"/>
      <c r="V143" s="75"/>
      <c r="W143" s="75">
        <v>2</v>
      </c>
      <c r="X143" s="75">
        <v>33030</v>
      </c>
      <c r="Y143" s="75" t="str">
        <f ca="1">IF(I143="",IF(D143="","",IF(W143+X143&lt;15,"Données Nb pers ou RFR manquantes",IF(COUNTA(INDIRECT("TabRFR["&amp;YEAR(D143)&amp;"]"))&lt;&gt;COUNTA(TabRFR[Recherche RFR]),"Data RFR manquantes", IF(X143&lt;=INDEX(TabRFR[[2021]:[2025]],MATCH(BD!W143&amp;"-Très modestes",TabRFR[Recherche RFR],0),MATCH(TEXT(YEAR(BD!D143),"Standard"),TabRFR[[#Headers],[2021]:[2025]],0)),"Très Modeste",IF(X143&lt;=INDEX(TabRFR[[2021]:[2025]],MATCH(BD!W143&amp;"-modestes",TabRFR[Recherche RFR],0),MATCH(TEXT(YEAR(BD!D143),"Standard"),TabRFR[[#Headers],[2021]:[2025]],0)),"Modeste",IF(X143&lt;=INDEX(TabRFR[[2021]:[2025]],MATCH(BD!W143&amp;"-Intermédiaire",TabRFR[Recherche RFR],0),MATCH(TEXT(YEAR(BD!D143),"Standard"),TabRFR[[#Headers],[2021]:[2025]],0)),"Intermédiaire","Supérieur")))))),IF(D143="","",IF(W143+X143&lt;15,"Données Nb pers ou RFR manquantes",IF(COUNTA(INDIRECT("TabRFR["&amp;YEAR(I143)&amp;"]"))&lt;&gt;COUNTA(TabRFR[Recherche RFR]),"Data RFR manquantes", IF(X143&lt;=INDEX(TabRFR[[2021]:[2025]],MATCH(BD!W143&amp;"-Très modestes",TabRFR[Recherche RFR],0),MATCH(TEXT(YEAR(BD!I143),"Standard"),TabRFR[[#Headers],[2021]:[2025]],0)),"Très Modeste",IF(X143&lt;=INDEX(TabRFR[[2021]:[2025]],MATCH(BD!W143&amp;"-modestes",TabRFR[Recherche RFR],0),MATCH(TEXT(YEAR(BD!I143),"Standard"),TabRFR[[#Headers],[2021]:[2025]],0)),"Modeste",IF(X143&lt;=INDEX(TabRFR[[2021]:[2025]],MATCH(BD!W143&amp;"-Intermédiaire",TabRFR[Recherche RFR],0),MATCH(TEXT(YEAR(BD!I143),"Standard"),TabRFR[[#Headers],[2021]:[2025]],0)),"Intermédiaire","Supérieur")))))))</f>
        <v>Data RFR manquantes</v>
      </c>
      <c r="Z143" s="75"/>
      <c r="AA143" s="75" t="s">
        <v>1774</v>
      </c>
      <c r="AB143" s="75">
        <v>38500</v>
      </c>
      <c r="AC143" s="75" t="s">
        <v>96</v>
      </c>
      <c r="AD143" s="73"/>
      <c r="AE143" s="102"/>
      <c r="AF143" s="75" t="s">
        <v>95</v>
      </c>
      <c r="AG143" s="75"/>
      <c r="AH143" s="75">
        <v>1996</v>
      </c>
      <c r="AI143" s="75"/>
      <c r="AJ143" s="75"/>
      <c r="AK143" s="75"/>
      <c r="AL143" s="75"/>
      <c r="AM143" s="75" t="s">
        <v>4348</v>
      </c>
      <c r="AN143" s="75" t="s">
        <v>96</v>
      </c>
      <c r="AO143" s="75" t="s">
        <v>238</v>
      </c>
      <c r="AP143" s="75" t="s">
        <v>97</v>
      </c>
      <c r="AQ143" s="75"/>
      <c r="AR143" s="75"/>
      <c r="AS143" s="102" t="s">
        <v>1571</v>
      </c>
      <c r="AT143" s="101">
        <v>476323235</v>
      </c>
      <c r="AU143" s="75" t="s">
        <v>99</v>
      </c>
      <c r="AV143" s="75">
        <v>1996</v>
      </c>
      <c r="AW143" s="75" t="s">
        <v>100</v>
      </c>
      <c r="AX143" s="75" t="s">
        <v>2071</v>
      </c>
      <c r="AY143" s="75" t="s">
        <v>102</v>
      </c>
      <c r="AZ143" s="75" t="s">
        <v>1772</v>
      </c>
      <c r="BA143" s="75">
        <v>12</v>
      </c>
      <c r="BB143" s="75">
        <v>12</v>
      </c>
      <c r="BC143" s="75">
        <v>90</v>
      </c>
      <c r="BD143" s="75">
        <v>0.02</v>
      </c>
      <c r="BE143" s="75" t="s">
        <v>97</v>
      </c>
      <c r="BF143" s="75"/>
      <c r="BG143" s="75">
        <v>3375</v>
      </c>
      <c r="BH143" s="75"/>
      <c r="BI143" s="75"/>
      <c r="BJ143" s="75"/>
      <c r="BK143" s="75">
        <v>335</v>
      </c>
      <c r="BL143" s="75">
        <f t="shared" si="6"/>
        <v>3710</v>
      </c>
      <c r="BM143" s="103">
        <f t="shared" si="7"/>
        <v>204.05</v>
      </c>
      <c r="BN143" s="103">
        <f t="shared" si="8"/>
        <v>3914.05</v>
      </c>
      <c r="BO143" s="103"/>
      <c r="BP143" s="75" t="s">
        <v>97</v>
      </c>
      <c r="BQ143" s="75"/>
      <c r="BR143" s="75"/>
      <c r="BS143" s="157">
        <v>2017</v>
      </c>
      <c r="BU143">
        <v>2017</v>
      </c>
    </row>
    <row r="144" spans="1:73" ht="43.15" customHeight="1" x14ac:dyDescent="0.25">
      <c r="A144" s="242" t="s">
        <v>186</v>
      </c>
      <c r="B144" s="242" t="s">
        <v>1771</v>
      </c>
      <c r="C144" s="159">
        <v>400</v>
      </c>
      <c r="D144" s="114">
        <v>42717</v>
      </c>
      <c r="E144" s="114"/>
      <c r="F144" s="114"/>
      <c r="G144" s="114"/>
      <c r="H144" s="114">
        <v>42726</v>
      </c>
      <c r="I144" s="114">
        <v>42726</v>
      </c>
      <c r="J144" s="114" t="s">
        <v>1770</v>
      </c>
      <c r="K144" s="114"/>
      <c r="L144" s="114">
        <v>42789</v>
      </c>
      <c r="M144" s="114">
        <v>42734</v>
      </c>
      <c r="N144" s="114"/>
      <c r="O144" s="114">
        <v>42789</v>
      </c>
      <c r="P144" s="114">
        <v>42789</v>
      </c>
      <c r="Q144" s="114">
        <v>42808</v>
      </c>
      <c r="R144" s="80"/>
      <c r="S144" s="114"/>
      <c r="T144" s="75"/>
      <c r="U144" s="75"/>
      <c r="V144" s="75"/>
      <c r="W144" s="75">
        <v>4</v>
      </c>
      <c r="X144" s="75">
        <v>92662</v>
      </c>
      <c r="Y144" s="75" t="str">
        <f ca="1">IF(I144="",IF(D144="","",IF(W144+X144&lt;15,"Données Nb pers ou RFR manquantes",IF(COUNTA(INDIRECT("TabRFR["&amp;YEAR(D144)&amp;"]"))&lt;&gt;COUNTA(TabRFR[Recherche RFR]),"Data RFR manquantes", IF(X144&lt;=INDEX(TabRFR[[2021]:[2025]],MATCH(BD!W144&amp;"-Très modestes",TabRFR[Recherche RFR],0),MATCH(TEXT(YEAR(BD!D144),"Standard"),TabRFR[[#Headers],[2021]:[2025]],0)),"Très Modeste",IF(X144&lt;=INDEX(TabRFR[[2021]:[2025]],MATCH(BD!W144&amp;"-modestes",TabRFR[Recherche RFR],0),MATCH(TEXT(YEAR(BD!D144),"Standard"),TabRFR[[#Headers],[2021]:[2025]],0)),"Modeste",IF(X144&lt;=INDEX(TabRFR[[2021]:[2025]],MATCH(BD!W144&amp;"-Intermédiaire",TabRFR[Recherche RFR],0),MATCH(TEXT(YEAR(BD!D144),"Standard"),TabRFR[[#Headers],[2021]:[2025]],0)),"Intermédiaire","Supérieur")))))),IF(D144="","",IF(W144+X144&lt;15,"Données Nb pers ou RFR manquantes",IF(COUNTA(INDIRECT("TabRFR["&amp;YEAR(I144)&amp;"]"))&lt;&gt;COUNTA(TabRFR[Recherche RFR]),"Data RFR manquantes", IF(X144&lt;=INDEX(TabRFR[[2021]:[2025]],MATCH(BD!W144&amp;"-Très modestes",TabRFR[Recherche RFR],0),MATCH(TEXT(YEAR(BD!I144),"Standard"),TabRFR[[#Headers],[2021]:[2025]],0)),"Très Modeste",IF(X144&lt;=INDEX(TabRFR[[2021]:[2025]],MATCH(BD!W144&amp;"-modestes",TabRFR[Recherche RFR],0),MATCH(TEXT(YEAR(BD!I144),"Standard"),TabRFR[[#Headers],[2021]:[2025]],0)),"Modeste",IF(X144&lt;=INDEX(TabRFR[[2021]:[2025]],MATCH(BD!W144&amp;"-Intermédiaire",TabRFR[Recherche RFR],0),MATCH(TEXT(YEAR(BD!I144),"Standard"),TabRFR[[#Headers],[2021]:[2025]],0)),"Intermédiaire","Supérieur")))))))</f>
        <v>Data RFR manquantes</v>
      </c>
      <c r="Z144" s="75"/>
      <c r="AA144" s="75" t="s">
        <v>1768</v>
      </c>
      <c r="AB144" s="75">
        <v>38140</v>
      </c>
      <c r="AC144" s="75" t="s">
        <v>3048</v>
      </c>
      <c r="AD144" s="73"/>
      <c r="AE144" s="102"/>
      <c r="AF144" s="75" t="s">
        <v>95</v>
      </c>
      <c r="AG144" s="75"/>
      <c r="AH144" s="75"/>
      <c r="AI144" s="75"/>
      <c r="AJ144" s="75"/>
      <c r="AK144" s="75"/>
      <c r="AL144" s="75"/>
      <c r="AM144" s="75" t="s">
        <v>4348</v>
      </c>
      <c r="AN144" s="75" t="s">
        <v>96</v>
      </c>
      <c r="AO144" s="75" t="s">
        <v>238</v>
      </c>
      <c r="AP144" s="75" t="s">
        <v>97</v>
      </c>
      <c r="AQ144" s="75"/>
      <c r="AR144" s="75"/>
      <c r="AS144" s="102" t="s">
        <v>1571</v>
      </c>
      <c r="AT144" s="101">
        <v>476323235</v>
      </c>
      <c r="AU144" s="75" t="s">
        <v>100</v>
      </c>
      <c r="AV144" s="75">
        <v>2001</v>
      </c>
      <c r="AW144" s="75" t="s">
        <v>100</v>
      </c>
      <c r="AX144" s="75" t="s">
        <v>112</v>
      </c>
      <c r="AY144" s="75" t="s">
        <v>251</v>
      </c>
      <c r="AZ144" s="75" t="s">
        <v>1766</v>
      </c>
      <c r="BA144" s="75">
        <v>14</v>
      </c>
      <c r="BB144" s="75">
        <v>7.9</v>
      </c>
      <c r="BC144" s="75">
        <v>77</v>
      </c>
      <c r="BD144" s="75">
        <v>7.0000000000000007E-2</v>
      </c>
      <c r="BE144" s="75" t="s">
        <v>97</v>
      </c>
      <c r="BF144" s="75"/>
      <c r="BG144" s="75">
        <v>4601</v>
      </c>
      <c r="BH144" s="75"/>
      <c r="BI144" s="75"/>
      <c r="BJ144" s="75"/>
      <c r="BK144" s="75">
        <v>605</v>
      </c>
      <c r="BL144" s="75">
        <f t="shared" si="6"/>
        <v>5206</v>
      </c>
      <c r="BM144" s="103">
        <f t="shared" si="7"/>
        <v>286.33</v>
      </c>
      <c r="BN144" s="103">
        <f t="shared" si="8"/>
        <v>5492.33</v>
      </c>
      <c r="BO144" s="103">
        <v>5440</v>
      </c>
      <c r="BP144" s="75" t="s">
        <v>104</v>
      </c>
      <c r="BQ144" s="75"/>
      <c r="BR144" s="75"/>
      <c r="BS144" s="157">
        <v>2017</v>
      </c>
      <c r="BT144">
        <v>2020</v>
      </c>
      <c r="BU144">
        <v>2017</v>
      </c>
    </row>
    <row r="145" spans="1:73" ht="43.15" customHeight="1" x14ac:dyDescent="0.25">
      <c r="A145" s="242" t="s">
        <v>186</v>
      </c>
      <c r="B145" s="242" t="s">
        <v>1765</v>
      </c>
      <c r="C145" s="159">
        <v>800</v>
      </c>
      <c r="D145" s="114">
        <v>42719</v>
      </c>
      <c r="E145" s="114"/>
      <c r="F145" s="114" t="s">
        <v>1764</v>
      </c>
      <c r="G145" s="114"/>
      <c r="H145" s="114">
        <v>42761</v>
      </c>
      <c r="I145" s="114">
        <v>42761</v>
      </c>
      <c r="J145" s="114">
        <v>42768</v>
      </c>
      <c r="K145" s="114"/>
      <c r="L145" s="114">
        <v>42814</v>
      </c>
      <c r="M145" s="114">
        <v>42777</v>
      </c>
      <c r="N145" s="114"/>
      <c r="O145" s="114">
        <v>42815</v>
      </c>
      <c r="P145" s="114">
        <v>42815</v>
      </c>
      <c r="Q145" s="114">
        <v>42824</v>
      </c>
      <c r="R145" s="100"/>
      <c r="S145" s="114"/>
      <c r="T145" s="75"/>
      <c r="U145" s="75"/>
      <c r="V145" s="75"/>
      <c r="W145" s="75">
        <v>2</v>
      </c>
      <c r="X145" s="75">
        <v>18597</v>
      </c>
      <c r="Y145" s="75" t="str">
        <f ca="1">IF(I145="",IF(D145="","",IF(W145+X145&lt;15,"Données Nb pers ou RFR manquantes",IF(COUNTA(INDIRECT("TabRFR["&amp;YEAR(D145)&amp;"]"))&lt;&gt;COUNTA(TabRFR[Recherche RFR]),"Data RFR manquantes", IF(X145&lt;=INDEX(TabRFR[[2021]:[2025]],MATCH(BD!W145&amp;"-Très modestes",TabRFR[Recherche RFR],0),MATCH(TEXT(YEAR(BD!D145),"Standard"),TabRFR[[#Headers],[2021]:[2025]],0)),"Très Modeste",IF(X145&lt;=INDEX(TabRFR[[2021]:[2025]],MATCH(BD!W145&amp;"-modestes",TabRFR[Recherche RFR],0),MATCH(TEXT(YEAR(BD!D145),"Standard"),TabRFR[[#Headers],[2021]:[2025]],0)),"Modeste",IF(X145&lt;=INDEX(TabRFR[[2021]:[2025]],MATCH(BD!W145&amp;"-Intermédiaire",TabRFR[Recherche RFR],0),MATCH(TEXT(YEAR(BD!D145),"Standard"),TabRFR[[#Headers],[2021]:[2025]],0)),"Intermédiaire","Supérieur")))))),IF(D145="","",IF(W145+X145&lt;15,"Données Nb pers ou RFR manquantes",IF(COUNTA(INDIRECT("TabRFR["&amp;YEAR(I145)&amp;"]"))&lt;&gt;COUNTA(TabRFR[Recherche RFR]),"Data RFR manquantes", IF(X145&lt;=INDEX(TabRFR[[2021]:[2025]],MATCH(BD!W145&amp;"-Très modestes",TabRFR[Recherche RFR],0),MATCH(TEXT(YEAR(BD!I145),"Standard"),TabRFR[[#Headers],[2021]:[2025]],0)),"Très Modeste",IF(X145&lt;=INDEX(TabRFR[[2021]:[2025]],MATCH(BD!W145&amp;"-modestes",TabRFR[Recherche RFR],0),MATCH(TEXT(YEAR(BD!I145),"Standard"),TabRFR[[#Headers],[2021]:[2025]],0)),"Modeste",IF(X145&lt;=INDEX(TabRFR[[2021]:[2025]],MATCH(BD!W145&amp;"-Intermédiaire",TabRFR[Recherche RFR],0),MATCH(TEXT(YEAR(BD!I145),"Standard"),TabRFR[[#Headers],[2021]:[2025]],0)),"Intermédiaire","Supérieur")))))))</f>
        <v>Data RFR manquantes</v>
      </c>
      <c r="Z145" s="75"/>
      <c r="AA145" s="75" t="s">
        <v>1762</v>
      </c>
      <c r="AB145" s="75">
        <v>38620</v>
      </c>
      <c r="AC145" s="75" t="s">
        <v>3833</v>
      </c>
      <c r="AD145" s="73"/>
      <c r="AE145" s="102"/>
      <c r="AF145" s="75" t="s">
        <v>95</v>
      </c>
      <c r="AG145" s="75"/>
      <c r="AH145" s="75"/>
      <c r="AI145" s="75"/>
      <c r="AJ145" s="75"/>
      <c r="AK145" s="75"/>
      <c r="AL145" s="75"/>
      <c r="AM145" s="75" t="s">
        <v>4236</v>
      </c>
      <c r="AN145" s="75" t="s">
        <v>4091</v>
      </c>
      <c r="AO145" s="75" t="s">
        <v>163</v>
      </c>
      <c r="AP145" s="75" t="s">
        <v>97</v>
      </c>
      <c r="AQ145" s="75"/>
      <c r="AR145" s="75"/>
      <c r="AS145" s="102" t="s">
        <v>164</v>
      </c>
      <c r="AT145" s="101">
        <v>476370350</v>
      </c>
      <c r="AU145" s="75" t="s">
        <v>1760</v>
      </c>
      <c r="AV145" s="75">
        <v>2001</v>
      </c>
      <c r="AW145" s="75" t="s">
        <v>100</v>
      </c>
      <c r="AX145" s="77" t="s">
        <v>112</v>
      </c>
      <c r="AY145" s="75" t="s">
        <v>278</v>
      </c>
      <c r="AZ145" s="75" t="s">
        <v>1759</v>
      </c>
      <c r="BA145" s="75">
        <v>34</v>
      </c>
      <c r="BB145" s="75">
        <v>8</v>
      </c>
      <c r="BC145" s="75">
        <v>81</v>
      </c>
      <c r="BD145" s="75">
        <v>0.06</v>
      </c>
      <c r="BE145" s="75" t="s">
        <v>97</v>
      </c>
      <c r="BF145" s="75">
        <v>2843</v>
      </c>
      <c r="BG145" s="75">
        <v>370</v>
      </c>
      <c r="BH145" s="75"/>
      <c r="BI145" s="75"/>
      <c r="BJ145" s="75"/>
      <c r="BK145" s="75"/>
      <c r="BL145" s="75">
        <f t="shared" si="6"/>
        <v>370</v>
      </c>
      <c r="BM145" s="103">
        <f t="shared" si="7"/>
        <v>20.350000000000001</v>
      </c>
      <c r="BN145" s="103">
        <f t="shared" si="8"/>
        <v>390.35</v>
      </c>
      <c r="BO145" s="103"/>
      <c r="BP145" s="75" t="s">
        <v>97</v>
      </c>
      <c r="BQ145" s="75"/>
      <c r="BR145" s="75"/>
      <c r="BS145" s="157">
        <v>2017</v>
      </c>
      <c r="BT145">
        <v>2020</v>
      </c>
      <c r="BU145">
        <v>2017</v>
      </c>
    </row>
    <row r="146" spans="1:73" ht="43.15" customHeight="1" x14ac:dyDescent="0.25">
      <c r="A146" s="29" t="s">
        <v>186</v>
      </c>
      <c r="B146" s="29" t="s">
        <v>1758</v>
      </c>
      <c r="C146" s="161" t="s">
        <v>9</v>
      </c>
      <c r="D146" s="110">
        <v>42719</v>
      </c>
      <c r="E146" s="110"/>
      <c r="F146" s="110"/>
      <c r="G146" s="110"/>
      <c r="H146" s="110"/>
      <c r="I146" s="110"/>
      <c r="J146" s="110"/>
      <c r="K146" s="110"/>
      <c r="L146" s="110"/>
      <c r="M146" s="110"/>
      <c r="N146" s="110"/>
      <c r="O146" s="110"/>
      <c r="P146" s="110"/>
      <c r="Q146" s="110"/>
      <c r="R146" s="109"/>
      <c r="S146" s="110">
        <v>42922</v>
      </c>
      <c r="T146" s="111" t="s">
        <v>1757</v>
      </c>
      <c r="U146" s="111"/>
      <c r="V146" s="111"/>
      <c r="W146" s="111">
        <v>4</v>
      </c>
      <c r="X146" s="111">
        <v>23248</v>
      </c>
      <c r="Y146" s="75" t="str">
        <f ca="1">IF(I146="",IF(D146="","",IF(W146+X146&lt;15,"Données Nb pers ou RFR manquantes",IF(COUNTA(INDIRECT("TabRFR["&amp;YEAR(D146)&amp;"]"))&lt;&gt;COUNTA(TabRFR[Recherche RFR]),"Data RFR manquantes", IF(X146&lt;=INDEX(TabRFR[[2021]:[2025]],MATCH(BD!W146&amp;"-Très modestes",TabRFR[Recherche RFR],0),MATCH(TEXT(YEAR(BD!D146),"Standard"),TabRFR[[#Headers],[2021]:[2025]],0)),"Très Modeste",IF(X146&lt;=INDEX(TabRFR[[2021]:[2025]],MATCH(BD!W146&amp;"-modestes",TabRFR[Recherche RFR],0),MATCH(TEXT(YEAR(BD!D146),"Standard"),TabRFR[[#Headers],[2021]:[2025]],0)),"Modeste",IF(X146&lt;=INDEX(TabRFR[[2021]:[2025]],MATCH(BD!W146&amp;"-Intermédiaire",TabRFR[Recherche RFR],0),MATCH(TEXT(YEAR(BD!D146),"Standard"),TabRFR[[#Headers],[2021]:[2025]],0)),"Intermédiaire","Supérieur")))))),IF(D146="","",IF(W146+X146&lt;15,"Données Nb pers ou RFR manquantes",IF(COUNTA(INDIRECT("TabRFR["&amp;YEAR(I146)&amp;"]"))&lt;&gt;COUNTA(TabRFR[Recherche RFR]),"Data RFR manquantes", IF(X146&lt;=INDEX(TabRFR[[2021]:[2025]],MATCH(BD!W146&amp;"-Très modestes",TabRFR[Recherche RFR],0),MATCH(TEXT(YEAR(BD!I146),"Standard"),TabRFR[[#Headers],[2021]:[2025]],0)),"Très Modeste",IF(X146&lt;=INDEX(TabRFR[[2021]:[2025]],MATCH(BD!W146&amp;"-modestes",TabRFR[Recherche RFR],0),MATCH(TEXT(YEAR(BD!I146),"Standard"),TabRFR[[#Headers],[2021]:[2025]],0)),"Modeste",IF(X146&lt;=INDEX(TabRFR[[2021]:[2025]],MATCH(BD!W146&amp;"-Intermédiaire",TabRFR[Recherche RFR],0),MATCH(TEXT(YEAR(BD!I146),"Standard"),TabRFR[[#Headers],[2021]:[2025]],0)),"Intermédiaire","Supérieur")))))))</f>
        <v>Data RFR manquantes</v>
      </c>
      <c r="Z146" s="111"/>
      <c r="AA146" s="111" t="s">
        <v>1756</v>
      </c>
      <c r="AB146" s="111">
        <v>38960</v>
      </c>
      <c r="AC146" s="111" t="s">
        <v>2403</v>
      </c>
      <c r="AD146" s="127"/>
      <c r="AE146" s="102"/>
      <c r="AF146" s="111" t="s">
        <v>95</v>
      </c>
      <c r="AG146" s="111"/>
      <c r="AH146" s="111"/>
      <c r="AI146" s="111"/>
      <c r="AJ146" s="111"/>
      <c r="AK146" s="111"/>
      <c r="AL146" s="111"/>
      <c r="AM146" s="111" t="s">
        <v>4371</v>
      </c>
      <c r="AN146" s="111" t="s">
        <v>2923</v>
      </c>
      <c r="AO146" s="111" t="s">
        <v>1755</v>
      </c>
      <c r="AP146" s="111" t="s">
        <v>97</v>
      </c>
      <c r="AQ146" s="111"/>
      <c r="AR146" s="111"/>
      <c r="AS146" s="102"/>
      <c r="AT146" s="112"/>
      <c r="AU146" s="111" t="s">
        <v>1754</v>
      </c>
      <c r="AV146" s="111">
        <v>1950</v>
      </c>
      <c r="AW146" s="111" t="s">
        <v>746</v>
      </c>
      <c r="AX146" s="75" t="s">
        <v>2071</v>
      </c>
      <c r="AY146" s="111" t="s">
        <v>1753</v>
      </c>
      <c r="AZ146" s="111" t="s">
        <v>1752</v>
      </c>
      <c r="BA146" s="111">
        <v>18</v>
      </c>
      <c r="BB146" s="111">
        <v>15</v>
      </c>
      <c r="BC146" s="111">
        <v>91</v>
      </c>
      <c r="BD146" s="111">
        <v>0.57999999999999996</v>
      </c>
      <c r="BE146" s="111" t="s">
        <v>97</v>
      </c>
      <c r="BF146" s="111">
        <v>15104</v>
      </c>
      <c r="BG146" s="111">
        <v>2520</v>
      </c>
      <c r="BH146" s="111"/>
      <c r="BI146" s="111"/>
      <c r="BJ146" s="111"/>
      <c r="BK146" s="111"/>
      <c r="BL146" s="75">
        <f t="shared" si="6"/>
        <v>2520</v>
      </c>
      <c r="BM146" s="103">
        <f t="shared" si="7"/>
        <v>138.6</v>
      </c>
      <c r="BN146" s="103">
        <f t="shared" si="8"/>
        <v>2658.6</v>
      </c>
      <c r="BO146" s="113"/>
      <c r="BP146" s="111" t="s">
        <v>97</v>
      </c>
      <c r="BQ146" s="111"/>
      <c r="BR146" s="111"/>
      <c r="BS146" s="157">
        <v>2017</v>
      </c>
      <c r="BU146" t="s">
        <v>4180</v>
      </c>
    </row>
    <row r="147" spans="1:73" ht="43.15" customHeight="1" x14ac:dyDescent="0.25">
      <c r="A147" s="242" t="s">
        <v>186</v>
      </c>
      <c r="B147" s="242" t="s">
        <v>1751</v>
      </c>
      <c r="C147" s="159">
        <v>800</v>
      </c>
      <c r="D147" s="114">
        <v>42725</v>
      </c>
      <c r="E147" s="114"/>
      <c r="F147" s="114" t="s">
        <v>1750</v>
      </c>
      <c r="G147" s="114"/>
      <c r="H147" s="114">
        <v>42739</v>
      </c>
      <c r="I147" s="114">
        <v>42739</v>
      </c>
      <c r="J147" s="114">
        <v>42748</v>
      </c>
      <c r="K147" s="114"/>
      <c r="L147" s="114">
        <v>42814</v>
      </c>
      <c r="M147" s="114">
        <v>42773</v>
      </c>
      <c r="N147" s="114"/>
      <c r="O147" s="114">
        <v>42815</v>
      </c>
      <c r="P147" s="114">
        <v>42815</v>
      </c>
      <c r="Q147" s="114">
        <v>42824</v>
      </c>
      <c r="R147" s="100"/>
      <c r="S147" s="114"/>
      <c r="T147" s="75"/>
      <c r="U147" s="75"/>
      <c r="V147" s="75"/>
      <c r="W147" s="75">
        <v>1</v>
      </c>
      <c r="X147" s="75">
        <v>1227</v>
      </c>
      <c r="Y147" s="75" t="str">
        <f ca="1">IF(I147="",IF(D147="","",IF(W147+X147&lt;15,"Données Nb pers ou RFR manquantes",IF(COUNTA(INDIRECT("TabRFR["&amp;YEAR(D147)&amp;"]"))&lt;&gt;COUNTA(TabRFR[Recherche RFR]),"Data RFR manquantes", IF(X147&lt;=INDEX(TabRFR[[2021]:[2025]],MATCH(BD!W147&amp;"-Très modestes",TabRFR[Recherche RFR],0),MATCH(TEXT(YEAR(BD!D147),"Standard"),TabRFR[[#Headers],[2021]:[2025]],0)),"Très Modeste",IF(X147&lt;=INDEX(TabRFR[[2021]:[2025]],MATCH(BD!W147&amp;"-modestes",TabRFR[Recherche RFR],0),MATCH(TEXT(YEAR(BD!D147),"Standard"),TabRFR[[#Headers],[2021]:[2025]],0)),"Modeste",IF(X147&lt;=INDEX(TabRFR[[2021]:[2025]],MATCH(BD!W147&amp;"-Intermédiaire",TabRFR[Recherche RFR],0),MATCH(TEXT(YEAR(BD!D147),"Standard"),TabRFR[[#Headers],[2021]:[2025]],0)),"Intermédiaire","Supérieur")))))),IF(D147="","",IF(W147+X147&lt;15,"Données Nb pers ou RFR manquantes",IF(COUNTA(INDIRECT("TabRFR["&amp;YEAR(I147)&amp;"]"))&lt;&gt;COUNTA(TabRFR[Recherche RFR]),"Data RFR manquantes", IF(X147&lt;=INDEX(TabRFR[[2021]:[2025]],MATCH(BD!W147&amp;"-Très modestes",TabRFR[Recherche RFR],0),MATCH(TEXT(YEAR(BD!I147),"Standard"),TabRFR[[#Headers],[2021]:[2025]],0)),"Très Modeste",IF(X147&lt;=INDEX(TabRFR[[2021]:[2025]],MATCH(BD!W147&amp;"-modestes",TabRFR[Recherche RFR],0),MATCH(TEXT(YEAR(BD!I147),"Standard"),TabRFR[[#Headers],[2021]:[2025]],0)),"Modeste",IF(X147&lt;=INDEX(TabRFR[[2021]:[2025]],MATCH(BD!W147&amp;"-Intermédiaire",TabRFR[Recherche RFR],0),MATCH(TEXT(YEAR(BD!I147),"Standard"),TabRFR[[#Headers],[2021]:[2025]],0)),"Intermédiaire","Supérieur")))))))</f>
        <v>Data RFR manquantes</v>
      </c>
      <c r="Z147" s="75"/>
      <c r="AA147" s="75" t="s">
        <v>1747</v>
      </c>
      <c r="AB147" s="75">
        <v>38340</v>
      </c>
      <c r="AC147" s="75" t="s">
        <v>108</v>
      </c>
      <c r="AD147" s="73"/>
      <c r="AE147" s="102"/>
      <c r="AF147" s="75" t="s">
        <v>95</v>
      </c>
      <c r="AG147" s="75"/>
      <c r="AH147" s="75"/>
      <c r="AI147" s="75"/>
      <c r="AJ147" s="75"/>
      <c r="AK147" s="75"/>
      <c r="AL147" s="75"/>
      <c r="AM147" s="75" t="s">
        <v>4035</v>
      </c>
      <c r="AN147" s="75" t="s">
        <v>108</v>
      </c>
      <c r="AO147" s="75" t="s">
        <v>1525</v>
      </c>
      <c r="AP147" s="75" t="s">
        <v>97</v>
      </c>
      <c r="AQ147" s="75"/>
      <c r="AR147" s="75"/>
      <c r="AS147" s="102" t="s">
        <v>110</v>
      </c>
      <c r="AT147" s="101">
        <v>476500550</v>
      </c>
      <c r="AU147" s="75" t="s">
        <v>1745</v>
      </c>
      <c r="AV147" s="75">
        <v>1976</v>
      </c>
      <c r="AW147" s="75" t="s">
        <v>100</v>
      </c>
      <c r="AX147" s="75" t="s">
        <v>112</v>
      </c>
      <c r="AY147" s="75" t="s">
        <v>113</v>
      </c>
      <c r="AZ147" s="75" t="s">
        <v>1744</v>
      </c>
      <c r="BA147" s="75">
        <v>25</v>
      </c>
      <c r="BB147" s="75">
        <v>9</v>
      </c>
      <c r="BC147" s="75">
        <v>79</v>
      </c>
      <c r="BD147" s="75">
        <v>0.12</v>
      </c>
      <c r="BE147" s="75" t="s">
        <v>97</v>
      </c>
      <c r="BF147" s="75"/>
      <c r="BG147" s="75"/>
      <c r="BH147" s="75"/>
      <c r="BI147" s="75"/>
      <c r="BJ147" s="75"/>
      <c r="BK147" s="75"/>
      <c r="BL147" s="75">
        <f t="shared" si="6"/>
        <v>0</v>
      </c>
      <c r="BM147" s="103">
        <f t="shared" si="7"/>
        <v>0</v>
      </c>
      <c r="BN147" s="103">
        <f t="shared" si="8"/>
        <v>0</v>
      </c>
      <c r="BO147" s="103"/>
      <c r="BP147" s="75" t="s">
        <v>97</v>
      </c>
      <c r="BQ147" s="75"/>
      <c r="BR147" s="75"/>
      <c r="BS147" s="157">
        <v>2017</v>
      </c>
      <c r="BT147">
        <v>2020</v>
      </c>
      <c r="BU147">
        <v>2017</v>
      </c>
    </row>
    <row r="148" spans="1:73" ht="43.15" customHeight="1" x14ac:dyDescent="0.25">
      <c r="A148" s="242" t="s">
        <v>186</v>
      </c>
      <c r="B148" s="242" t="s">
        <v>1743</v>
      </c>
      <c r="C148" s="159">
        <v>800</v>
      </c>
      <c r="D148" s="114">
        <v>42725</v>
      </c>
      <c r="E148" s="114"/>
      <c r="F148" s="114" t="s">
        <v>1742</v>
      </c>
      <c r="G148" s="114"/>
      <c r="H148" s="114">
        <v>42739</v>
      </c>
      <c r="I148" s="114">
        <v>42739</v>
      </c>
      <c r="J148" s="114">
        <v>42748</v>
      </c>
      <c r="K148" s="114"/>
      <c r="L148" s="114">
        <v>42800</v>
      </c>
      <c r="M148" s="114">
        <v>42758</v>
      </c>
      <c r="N148" s="114"/>
      <c r="O148" s="114">
        <v>42808</v>
      </c>
      <c r="P148" s="114">
        <v>42808</v>
      </c>
      <c r="Q148" s="114">
        <v>42824</v>
      </c>
      <c r="R148" s="100"/>
      <c r="S148" s="114"/>
      <c r="T148" s="75"/>
      <c r="U148" s="75"/>
      <c r="V148" s="75"/>
      <c r="W148" s="75">
        <v>3</v>
      </c>
      <c r="X148" s="75">
        <v>13458</v>
      </c>
      <c r="Y148" s="75" t="str">
        <f ca="1">IF(I148="",IF(D148="","",IF(W148+X148&lt;15,"Données Nb pers ou RFR manquantes",IF(COUNTA(INDIRECT("TabRFR["&amp;YEAR(D148)&amp;"]"))&lt;&gt;COUNTA(TabRFR[Recherche RFR]),"Data RFR manquantes", IF(X148&lt;=INDEX(TabRFR[[2021]:[2025]],MATCH(BD!W148&amp;"-Très modestes",TabRFR[Recherche RFR],0),MATCH(TEXT(YEAR(BD!D148),"Standard"),TabRFR[[#Headers],[2021]:[2025]],0)),"Très Modeste",IF(X148&lt;=INDEX(TabRFR[[2021]:[2025]],MATCH(BD!W148&amp;"-modestes",TabRFR[Recherche RFR],0),MATCH(TEXT(YEAR(BD!D148),"Standard"),TabRFR[[#Headers],[2021]:[2025]],0)),"Modeste",IF(X148&lt;=INDEX(TabRFR[[2021]:[2025]],MATCH(BD!W148&amp;"-Intermédiaire",TabRFR[Recherche RFR],0),MATCH(TEXT(YEAR(BD!D148),"Standard"),TabRFR[[#Headers],[2021]:[2025]],0)),"Intermédiaire","Supérieur")))))),IF(D148="","",IF(W148+X148&lt;15,"Données Nb pers ou RFR manquantes",IF(COUNTA(INDIRECT("TabRFR["&amp;YEAR(I148)&amp;"]"))&lt;&gt;COUNTA(TabRFR[Recherche RFR]),"Data RFR manquantes", IF(X148&lt;=INDEX(TabRFR[[2021]:[2025]],MATCH(BD!W148&amp;"-Très modestes",TabRFR[Recherche RFR],0),MATCH(TEXT(YEAR(BD!I148),"Standard"),TabRFR[[#Headers],[2021]:[2025]],0)),"Très Modeste",IF(X148&lt;=INDEX(TabRFR[[2021]:[2025]],MATCH(BD!W148&amp;"-modestes",TabRFR[Recherche RFR],0),MATCH(TEXT(YEAR(BD!I148),"Standard"),TabRFR[[#Headers],[2021]:[2025]],0)),"Modeste",IF(X148&lt;=INDEX(TabRFR[[2021]:[2025]],MATCH(BD!W148&amp;"-Intermédiaire",TabRFR[Recherche RFR],0),MATCH(TEXT(YEAR(BD!I148),"Standard"),TabRFR[[#Headers],[2021]:[2025]],0)),"Intermédiaire","Supérieur")))))))</f>
        <v>Data RFR manquantes</v>
      </c>
      <c r="Z148" s="75"/>
      <c r="AA148" s="75" t="s">
        <v>1739</v>
      </c>
      <c r="AB148" s="75">
        <v>38500</v>
      </c>
      <c r="AC148" s="75" t="s">
        <v>118</v>
      </c>
      <c r="AD148" s="73"/>
      <c r="AE148" s="102"/>
      <c r="AF148" s="75" t="s">
        <v>95</v>
      </c>
      <c r="AG148" s="75"/>
      <c r="AH148" s="75">
        <v>2012</v>
      </c>
      <c r="AI148" s="75"/>
      <c r="AJ148" s="75"/>
      <c r="AK148" s="75"/>
      <c r="AL148" s="75"/>
      <c r="AM148" s="75" t="s">
        <v>4356</v>
      </c>
      <c r="AN148" s="75" t="s">
        <v>96</v>
      </c>
      <c r="AO148" s="75" t="s">
        <v>119</v>
      </c>
      <c r="AP148" s="75" t="s">
        <v>97</v>
      </c>
      <c r="AQ148" s="75"/>
      <c r="AR148" s="75"/>
      <c r="AS148" s="102" t="s">
        <v>120</v>
      </c>
      <c r="AT148" s="101">
        <v>476071461</v>
      </c>
      <c r="AU148" s="75" t="s">
        <v>100</v>
      </c>
      <c r="AV148" s="75">
        <v>1999</v>
      </c>
      <c r="AW148" s="75" t="s">
        <v>100</v>
      </c>
      <c r="AX148" s="75" t="s">
        <v>112</v>
      </c>
      <c r="AY148" s="75" t="s">
        <v>190</v>
      </c>
      <c r="AZ148" s="75" t="s">
        <v>1737</v>
      </c>
      <c r="BA148" s="75">
        <v>33</v>
      </c>
      <c r="BB148" s="75">
        <v>5</v>
      </c>
      <c r="BC148" s="75">
        <v>80.2</v>
      </c>
      <c r="BD148" s="75">
        <v>0.08</v>
      </c>
      <c r="BE148" s="75" t="s">
        <v>1736</v>
      </c>
      <c r="BF148" s="75"/>
      <c r="BG148" s="75"/>
      <c r="BH148" s="75"/>
      <c r="BI148" s="75"/>
      <c r="BJ148" s="75"/>
      <c r="BK148" s="75"/>
      <c r="BL148" s="75">
        <f t="shared" si="6"/>
        <v>0</v>
      </c>
      <c r="BM148" s="103">
        <f t="shared" si="7"/>
        <v>0</v>
      </c>
      <c r="BN148" s="103">
        <f t="shared" si="8"/>
        <v>0</v>
      </c>
      <c r="BO148" s="103">
        <v>3576.45</v>
      </c>
      <c r="BP148" s="75" t="s">
        <v>104</v>
      </c>
      <c r="BQ148" s="75"/>
      <c r="BR148" s="75"/>
      <c r="BS148" s="157">
        <v>2017</v>
      </c>
      <c r="BT148">
        <v>2020</v>
      </c>
      <c r="BU148">
        <v>2017</v>
      </c>
    </row>
    <row r="149" spans="1:73" ht="43.15" customHeight="1" x14ac:dyDescent="0.25">
      <c r="A149" s="29" t="s">
        <v>186</v>
      </c>
      <c r="B149" s="29" t="s">
        <v>1735</v>
      </c>
      <c r="C149" s="161" t="s">
        <v>9</v>
      </c>
      <c r="D149" s="110">
        <v>42725</v>
      </c>
      <c r="E149" s="110"/>
      <c r="F149" s="110" t="s">
        <v>1734</v>
      </c>
      <c r="G149" s="110"/>
      <c r="H149" s="110">
        <v>42844</v>
      </c>
      <c r="I149" s="110">
        <v>42844</v>
      </c>
      <c r="J149" s="110">
        <v>42859</v>
      </c>
      <c r="K149" s="110"/>
      <c r="L149" s="110">
        <v>42884</v>
      </c>
      <c r="M149" s="214">
        <v>42696</v>
      </c>
      <c r="N149" s="110" t="s">
        <v>282</v>
      </c>
      <c r="O149" s="110"/>
      <c r="P149" s="110"/>
      <c r="Q149" s="110"/>
      <c r="R149" s="109"/>
      <c r="S149" s="110">
        <v>42929</v>
      </c>
      <c r="T149" s="128" t="s">
        <v>3896</v>
      </c>
      <c r="U149" s="111"/>
      <c r="V149" s="111"/>
      <c r="W149" s="111">
        <v>1</v>
      </c>
      <c r="X149" s="111">
        <v>18614</v>
      </c>
      <c r="Y149" s="75" t="str">
        <f ca="1">IF(I149="",IF(D149="","",IF(W149+X149&lt;15,"Données Nb pers ou RFR manquantes",IF(COUNTA(INDIRECT("TabRFR["&amp;YEAR(D149)&amp;"]"))&lt;&gt;COUNTA(TabRFR[Recherche RFR]),"Data RFR manquantes", IF(X149&lt;=INDEX(TabRFR[[2021]:[2025]],MATCH(BD!W149&amp;"-Très modestes",TabRFR[Recherche RFR],0),MATCH(TEXT(YEAR(BD!D149),"Standard"),TabRFR[[#Headers],[2021]:[2025]],0)),"Très Modeste",IF(X149&lt;=INDEX(TabRFR[[2021]:[2025]],MATCH(BD!W149&amp;"-modestes",TabRFR[Recherche RFR],0),MATCH(TEXT(YEAR(BD!D149),"Standard"),TabRFR[[#Headers],[2021]:[2025]],0)),"Modeste",IF(X149&lt;=INDEX(TabRFR[[2021]:[2025]],MATCH(BD!W149&amp;"-Intermédiaire",TabRFR[Recherche RFR],0),MATCH(TEXT(YEAR(BD!D149),"Standard"),TabRFR[[#Headers],[2021]:[2025]],0)),"Intermédiaire","Supérieur")))))),IF(D149="","",IF(W149+X149&lt;15,"Données Nb pers ou RFR manquantes",IF(COUNTA(INDIRECT("TabRFR["&amp;YEAR(I149)&amp;"]"))&lt;&gt;COUNTA(TabRFR[Recherche RFR]),"Data RFR manquantes", IF(X149&lt;=INDEX(TabRFR[[2021]:[2025]],MATCH(BD!W149&amp;"-Très modestes",TabRFR[Recherche RFR],0),MATCH(TEXT(YEAR(BD!I149),"Standard"),TabRFR[[#Headers],[2021]:[2025]],0)),"Très Modeste",IF(X149&lt;=INDEX(TabRFR[[2021]:[2025]],MATCH(BD!W149&amp;"-modestes",TabRFR[Recherche RFR],0),MATCH(TEXT(YEAR(BD!I149),"Standard"),TabRFR[[#Headers],[2021]:[2025]],0)),"Modeste",IF(X149&lt;=INDEX(TabRFR[[2021]:[2025]],MATCH(BD!W149&amp;"-Intermédiaire",TabRFR[Recherche RFR],0),MATCH(TEXT(YEAR(BD!I149),"Standard"),TabRFR[[#Headers],[2021]:[2025]],0)),"Intermédiaire","Supérieur")))))))</f>
        <v>Data RFR manquantes</v>
      </c>
      <c r="Z149" s="111"/>
      <c r="AA149" s="111" t="s">
        <v>1732</v>
      </c>
      <c r="AB149" s="111">
        <v>38850</v>
      </c>
      <c r="AC149" s="111" t="s">
        <v>148</v>
      </c>
      <c r="AD149" s="127"/>
      <c r="AE149" s="102"/>
      <c r="AF149" s="111"/>
      <c r="AG149" s="111"/>
      <c r="AH149" s="111"/>
      <c r="AI149" s="111"/>
      <c r="AJ149" s="111"/>
      <c r="AK149" s="111"/>
      <c r="AL149" s="111"/>
      <c r="AM149" s="111" t="s">
        <v>4372</v>
      </c>
      <c r="AN149" s="111" t="s">
        <v>321</v>
      </c>
      <c r="AO149" s="111"/>
      <c r="AP149" s="111" t="s">
        <v>97</v>
      </c>
      <c r="AQ149" s="111"/>
      <c r="AR149" s="111"/>
      <c r="AS149" s="102" t="s">
        <v>1731</v>
      </c>
      <c r="AT149" s="112">
        <v>476919068</v>
      </c>
      <c r="AU149" s="111" t="s">
        <v>746</v>
      </c>
      <c r="AV149" s="111" t="s">
        <v>1570</v>
      </c>
      <c r="AW149" s="111" t="s">
        <v>746</v>
      </c>
      <c r="AX149" s="111" t="s">
        <v>112</v>
      </c>
      <c r="AY149" s="111" t="s">
        <v>1730</v>
      </c>
      <c r="AZ149" s="111" t="s">
        <v>1729</v>
      </c>
      <c r="BA149" s="111"/>
      <c r="BB149" s="111"/>
      <c r="BC149" s="111"/>
      <c r="BD149" s="111"/>
      <c r="BE149" s="111" t="s">
        <v>1728</v>
      </c>
      <c r="BF149" s="111">
        <v>10065</v>
      </c>
      <c r="BG149" s="111">
        <v>10065</v>
      </c>
      <c r="BH149" s="111"/>
      <c r="BI149" s="111"/>
      <c r="BJ149" s="111"/>
      <c r="BK149" s="111">
        <v>1018</v>
      </c>
      <c r="BL149" s="75">
        <f t="shared" si="6"/>
        <v>11083</v>
      </c>
      <c r="BM149" s="103">
        <f t="shared" si="7"/>
        <v>609.56500000000005</v>
      </c>
      <c r="BN149" s="103">
        <f t="shared" si="8"/>
        <v>11692.565000000001</v>
      </c>
      <c r="BO149" s="113">
        <v>11745.32</v>
      </c>
      <c r="BP149" s="111" t="s">
        <v>104</v>
      </c>
      <c r="BQ149" s="111"/>
      <c r="BR149" s="111"/>
      <c r="BS149" s="157">
        <v>2017</v>
      </c>
      <c r="BU149" t="s">
        <v>4180</v>
      </c>
    </row>
    <row r="150" spans="1:73" ht="43.15" customHeight="1" x14ac:dyDescent="0.25">
      <c r="A150" s="242" t="s">
        <v>186</v>
      </c>
      <c r="B150" s="242" t="s">
        <v>1727</v>
      </c>
      <c r="C150" s="159">
        <v>800</v>
      </c>
      <c r="D150" s="114">
        <v>42737</v>
      </c>
      <c r="E150" s="114"/>
      <c r="F150" s="114"/>
      <c r="G150" s="114"/>
      <c r="H150" s="114">
        <v>42741</v>
      </c>
      <c r="I150" s="114">
        <v>42741</v>
      </c>
      <c r="J150" s="114">
        <v>42748</v>
      </c>
      <c r="K150" s="114"/>
      <c r="L150" s="114">
        <v>42832</v>
      </c>
      <c r="M150" s="114">
        <v>42819</v>
      </c>
      <c r="N150" s="114"/>
      <c r="O150" s="114">
        <v>42837</v>
      </c>
      <c r="P150" s="114">
        <v>42837</v>
      </c>
      <c r="Q150" s="114">
        <v>42839</v>
      </c>
      <c r="R150" s="100"/>
      <c r="S150" s="114"/>
      <c r="T150" s="75"/>
      <c r="U150" s="75"/>
      <c r="V150" s="75"/>
      <c r="W150" s="75">
        <v>2</v>
      </c>
      <c r="X150" s="75">
        <v>24191</v>
      </c>
      <c r="Y150" s="75" t="str">
        <f ca="1">IF(I150="",IF(D150="","",IF(W150+X150&lt;15,"Données Nb pers ou RFR manquantes",IF(COUNTA(INDIRECT("TabRFR["&amp;YEAR(D150)&amp;"]"))&lt;&gt;COUNTA(TabRFR[Recherche RFR]),"Data RFR manquantes", IF(X150&lt;=INDEX(TabRFR[[2021]:[2025]],MATCH(BD!W150&amp;"-Très modestes",TabRFR[Recherche RFR],0),MATCH(TEXT(YEAR(BD!D150),"Standard"),TabRFR[[#Headers],[2021]:[2025]],0)),"Très Modeste",IF(X150&lt;=INDEX(TabRFR[[2021]:[2025]],MATCH(BD!W150&amp;"-modestes",TabRFR[Recherche RFR],0),MATCH(TEXT(YEAR(BD!D150),"Standard"),TabRFR[[#Headers],[2021]:[2025]],0)),"Modeste",IF(X150&lt;=INDEX(TabRFR[[2021]:[2025]],MATCH(BD!W150&amp;"-Intermédiaire",TabRFR[Recherche RFR],0),MATCH(TEXT(YEAR(BD!D150),"Standard"),TabRFR[[#Headers],[2021]:[2025]],0)),"Intermédiaire","Supérieur")))))),IF(D150="","",IF(W150+X150&lt;15,"Données Nb pers ou RFR manquantes",IF(COUNTA(INDIRECT("TabRFR["&amp;YEAR(I150)&amp;"]"))&lt;&gt;COUNTA(TabRFR[Recherche RFR]),"Data RFR manquantes", IF(X150&lt;=INDEX(TabRFR[[2021]:[2025]],MATCH(BD!W150&amp;"-Très modestes",TabRFR[Recherche RFR],0),MATCH(TEXT(YEAR(BD!I150),"Standard"),TabRFR[[#Headers],[2021]:[2025]],0)),"Très Modeste",IF(X150&lt;=INDEX(TabRFR[[2021]:[2025]],MATCH(BD!W150&amp;"-modestes",TabRFR[Recherche RFR],0),MATCH(TEXT(YEAR(BD!I150),"Standard"),TabRFR[[#Headers],[2021]:[2025]],0)),"Modeste",IF(X150&lt;=INDEX(TabRFR[[2021]:[2025]],MATCH(BD!W150&amp;"-Intermédiaire",TabRFR[Recherche RFR],0),MATCH(TEXT(YEAR(BD!I150),"Standard"),TabRFR[[#Headers],[2021]:[2025]],0)),"Intermédiaire","Supérieur")))))))</f>
        <v>Data RFR manquantes</v>
      </c>
      <c r="Z150" s="75"/>
      <c r="AA150" s="75" t="s">
        <v>1725</v>
      </c>
      <c r="AB150" s="75">
        <v>38620</v>
      </c>
      <c r="AC150" s="75" t="s">
        <v>857</v>
      </c>
      <c r="AD150" s="73"/>
      <c r="AE150" s="102"/>
      <c r="AF150" s="75" t="s">
        <v>95</v>
      </c>
      <c r="AG150" s="75"/>
      <c r="AH150" s="75">
        <v>1988</v>
      </c>
      <c r="AI150" s="75"/>
      <c r="AJ150" s="75"/>
      <c r="AK150" s="75"/>
      <c r="AL150" s="75"/>
      <c r="AM150" s="75" t="s">
        <v>4236</v>
      </c>
      <c r="AN150" s="75" t="s">
        <v>4091</v>
      </c>
      <c r="AO150" s="75" t="s">
        <v>163</v>
      </c>
      <c r="AP150" s="75" t="s">
        <v>97</v>
      </c>
      <c r="AQ150" s="75"/>
      <c r="AR150" s="75"/>
      <c r="AS150" s="102" t="s">
        <v>164</v>
      </c>
      <c r="AT150" s="101">
        <v>476370350</v>
      </c>
      <c r="AU150" s="75" t="s">
        <v>99</v>
      </c>
      <c r="AV150" s="75">
        <v>1982</v>
      </c>
      <c r="AW150" s="75" t="s">
        <v>100</v>
      </c>
      <c r="AX150" s="75" t="s">
        <v>2071</v>
      </c>
      <c r="AY150" s="75" t="s">
        <v>1660</v>
      </c>
      <c r="AZ150" s="75" t="s">
        <v>1723</v>
      </c>
      <c r="BA150" s="75">
        <v>16</v>
      </c>
      <c r="BB150" s="75">
        <v>9.1</v>
      </c>
      <c r="BC150" s="75">
        <v>91.8</v>
      </c>
      <c r="BD150" s="75">
        <v>0</v>
      </c>
      <c r="BE150" s="75" t="s">
        <v>97</v>
      </c>
      <c r="BF150" s="75">
        <v>965</v>
      </c>
      <c r="BG150" s="75">
        <v>4065</v>
      </c>
      <c r="BH150" s="75"/>
      <c r="BI150" s="75"/>
      <c r="BJ150" s="75"/>
      <c r="BK150" s="75">
        <v>965</v>
      </c>
      <c r="BL150" s="75">
        <f t="shared" si="6"/>
        <v>5030</v>
      </c>
      <c r="BM150" s="103">
        <f t="shared" si="7"/>
        <v>276.64999999999998</v>
      </c>
      <c r="BN150" s="103">
        <f t="shared" si="8"/>
        <v>5306.65</v>
      </c>
      <c r="BO150" s="103"/>
      <c r="BP150" s="75"/>
      <c r="BQ150" s="75"/>
      <c r="BR150" s="75"/>
      <c r="BS150" s="157">
        <v>2017</v>
      </c>
      <c r="BU150">
        <v>2017</v>
      </c>
    </row>
    <row r="151" spans="1:73" ht="43.15" customHeight="1" x14ac:dyDescent="0.25">
      <c r="A151" s="242" t="s">
        <v>186</v>
      </c>
      <c r="B151" s="242" t="s">
        <v>1722</v>
      </c>
      <c r="C151" s="159">
        <v>400</v>
      </c>
      <c r="D151" s="114">
        <v>42737</v>
      </c>
      <c r="E151" s="114"/>
      <c r="F151" s="114"/>
      <c r="G151" s="114"/>
      <c r="H151" s="114">
        <v>42741</v>
      </c>
      <c r="I151" s="114">
        <v>42741</v>
      </c>
      <c r="J151" s="114">
        <v>42748</v>
      </c>
      <c r="K151" s="114"/>
      <c r="L151" s="114">
        <v>42934</v>
      </c>
      <c r="M151" s="114">
        <v>42922</v>
      </c>
      <c r="N151" s="114"/>
      <c r="O151" s="114">
        <v>42954</v>
      </c>
      <c r="P151" s="114">
        <v>42954</v>
      </c>
      <c r="Q151" s="114">
        <v>42956</v>
      </c>
      <c r="R151" s="80"/>
      <c r="S151" s="114"/>
      <c r="T151" s="75"/>
      <c r="U151" s="75"/>
      <c r="V151" s="75"/>
      <c r="W151" s="75">
        <v>3</v>
      </c>
      <c r="X151" s="75">
        <v>45819</v>
      </c>
      <c r="Y151" s="75" t="str">
        <f ca="1">IF(I151="",IF(D151="","",IF(W151+X151&lt;15,"Données Nb pers ou RFR manquantes",IF(COUNTA(INDIRECT("TabRFR["&amp;YEAR(D151)&amp;"]"))&lt;&gt;COUNTA(TabRFR[Recherche RFR]),"Data RFR manquantes", IF(X151&lt;=INDEX(TabRFR[[2021]:[2025]],MATCH(BD!W151&amp;"-Très modestes",TabRFR[Recherche RFR],0),MATCH(TEXT(YEAR(BD!D151),"Standard"),TabRFR[[#Headers],[2021]:[2025]],0)),"Très Modeste",IF(X151&lt;=INDEX(TabRFR[[2021]:[2025]],MATCH(BD!W151&amp;"-modestes",TabRFR[Recherche RFR],0),MATCH(TEXT(YEAR(BD!D151),"Standard"),TabRFR[[#Headers],[2021]:[2025]],0)),"Modeste",IF(X151&lt;=INDEX(TabRFR[[2021]:[2025]],MATCH(BD!W151&amp;"-Intermédiaire",TabRFR[Recherche RFR],0),MATCH(TEXT(YEAR(BD!D151),"Standard"),TabRFR[[#Headers],[2021]:[2025]],0)),"Intermédiaire","Supérieur")))))),IF(D151="","",IF(W151+X151&lt;15,"Données Nb pers ou RFR manquantes",IF(COUNTA(INDIRECT("TabRFR["&amp;YEAR(I151)&amp;"]"))&lt;&gt;COUNTA(TabRFR[Recherche RFR]),"Data RFR manquantes", IF(X151&lt;=INDEX(TabRFR[[2021]:[2025]],MATCH(BD!W151&amp;"-Très modestes",TabRFR[Recherche RFR],0),MATCH(TEXT(YEAR(BD!I151),"Standard"),TabRFR[[#Headers],[2021]:[2025]],0)),"Très Modeste",IF(X151&lt;=INDEX(TabRFR[[2021]:[2025]],MATCH(BD!W151&amp;"-modestes",TabRFR[Recherche RFR],0),MATCH(TEXT(YEAR(BD!I151),"Standard"),TabRFR[[#Headers],[2021]:[2025]],0)),"Modeste",IF(X151&lt;=INDEX(TabRFR[[2021]:[2025]],MATCH(BD!W151&amp;"-Intermédiaire",TabRFR[Recherche RFR],0),MATCH(TEXT(YEAR(BD!I151),"Standard"),TabRFR[[#Headers],[2021]:[2025]],0)),"Intermédiaire","Supérieur")))))))</f>
        <v>Data RFR manquantes</v>
      </c>
      <c r="Z151" s="75"/>
      <c r="AA151" s="75" t="s">
        <v>1719</v>
      </c>
      <c r="AB151" s="75">
        <v>38500</v>
      </c>
      <c r="AC151" s="75" t="s">
        <v>96</v>
      </c>
      <c r="AD151" s="73"/>
      <c r="AE151" s="102"/>
      <c r="AF151" s="75" t="s">
        <v>95</v>
      </c>
      <c r="AG151" s="75"/>
      <c r="AH151" s="75"/>
      <c r="AI151" s="75"/>
      <c r="AJ151" s="75"/>
      <c r="AK151" s="75"/>
      <c r="AL151" s="75"/>
      <c r="AM151" s="75" t="s">
        <v>4035</v>
      </c>
      <c r="AN151" s="75" t="s">
        <v>108</v>
      </c>
      <c r="AO151" s="75" t="s">
        <v>1525</v>
      </c>
      <c r="AP151" s="75" t="s">
        <v>97</v>
      </c>
      <c r="AQ151" s="75"/>
      <c r="AR151" s="75"/>
      <c r="AS151" s="102" t="s">
        <v>110</v>
      </c>
      <c r="AT151" s="101">
        <v>476500550</v>
      </c>
      <c r="AU151" s="75" t="s">
        <v>111</v>
      </c>
      <c r="AV151" s="75" t="s">
        <v>1717</v>
      </c>
      <c r="AW151" s="75" t="s">
        <v>100</v>
      </c>
      <c r="AX151" s="77" t="s">
        <v>112</v>
      </c>
      <c r="AY151" s="75" t="s">
        <v>113</v>
      </c>
      <c r="AZ151" s="75" t="s">
        <v>1716</v>
      </c>
      <c r="BA151" s="75">
        <v>4</v>
      </c>
      <c r="BB151" s="75">
        <v>5</v>
      </c>
      <c r="BC151" s="75">
        <v>82</v>
      </c>
      <c r="BD151" s="75">
        <v>7.0000000000000007E-2</v>
      </c>
      <c r="BE151" s="75" t="s">
        <v>97</v>
      </c>
      <c r="BF151" s="75">
        <v>1958</v>
      </c>
      <c r="BG151" s="75">
        <v>900</v>
      </c>
      <c r="BH151" s="75"/>
      <c r="BI151" s="75"/>
      <c r="BJ151" s="75"/>
      <c r="BK151" s="75"/>
      <c r="BL151" s="75">
        <f t="shared" si="6"/>
        <v>900</v>
      </c>
      <c r="BM151" s="103">
        <f t="shared" si="7"/>
        <v>49.5</v>
      </c>
      <c r="BN151" s="103">
        <f t="shared" si="8"/>
        <v>949.5</v>
      </c>
      <c r="BO151" s="103"/>
      <c r="BP151" s="75"/>
      <c r="BQ151" s="75"/>
      <c r="BR151" s="75"/>
      <c r="BS151" s="157">
        <v>2017</v>
      </c>
      <c r="BT151">
        <v>2020</v>
      </c>
      <c r="BU151">
        <v>2017</v>
      </c>
    </row>
    <row r="152" spans="1:73" ht="43.15" customHeight="1" x14ac:dyDescent="0.25">
      <c r="A152" s="242" t="s">
        <v>186</v>
      </c>
      <c r="B152" s="242" t="s">
        <v>1715</v>
      </c>
      <c r="C152" s="159">
        <v>400</v>
      </c>
      <c r="D152" s="114">
        <v>42752</v>
      </c>
      <c r="E152" s="114"/>
      <c r="F152" s="114"/>
      <c r="G152" s="114" t="s">
        <v>1714</v>
      </c>
      <c r="H152" s="114">
        <v>42755</v>
      </c>
      <c r="I152" s="114">
        <v>42755</v>
      </c>
      <c r="J152" s="114">
        <v>42758</v>
      </c>
      <c r="K152" s="114"/>
      <c r="L152" s="114">
        <v>42812</v>
      </c>
      <c r="M152" s="114">
        <v>42797</v>
      </c>
      <c r="N152" s="114"/>
      <c r="O152" s="114">
        <v>42837</v>
      </c>
      <c r="P152" s="114">
        <v>42837</v>
      </c>
      <c r="Q152" s="114">
        <v>42839</v>
      </c>
      <c r="R152" s="80"/>
      <c r="S152" s="114"/>
      <c r="T152" s="75"/>
      <c r="U152" s="75"/>
      <c r="V152" s="75"/>
      <c r="W152" s="75">
        <v>3</v>
      </c>
      <c r="X152" s="75">
        <v>54927</v>
      </c>
      <c r="Y152" s="75" t="str">
        <f ca="1">IF(I152="",IF(D152="","",IF(W152+X152&lt;15,"Données Nb pers ou RFR manquantes",IF(COUNTA(INDIRECT("TabRFR["&amp;YEAR(D152)&amp;"]"))&lt;&gt;COUNTA(TabRFR[Recherche RFR]),"Data RFR manquantes", IF(X152&lt;=INDEX(TabRFR[[2021]:[2025]],MATCH(BD!W152&amp;"-Très modestes",TabRFR[Recherche RFR],0),MATCH(TEXT(YEAR(BD!D152),"Standard"),TabRFR[[#Headers],[2021]:[2025]],0)),"Très Modeste",IF(X152&lt;=INDEX(TabRFR[[2021]:[2025]],MATCH(BD!W152&amp;"-modestes",TabRFR[Recherche RFR],0),MATCH(TEXT(YEAR(BD!D152),"Standard"),TabRFR[[#Headers],[2021]:[2025]],0)),"Modeste",IF(X152&lt;=INDEX(TabRFR[[2021]:[2025]],MATCH(BD!W152&amp;"-Intermédiaire",TabRFR[Recherche RFR],0),MATCH(TEXT(YEAR(BD!D152),"Standard"),TabRFR[[#Headers],[2021]:[2025]],0)),"Intermédiaire","Supérieur")))))),IF(D152="","",IF(W152+X152&lt;15,"Données Nb pers ou RFR manquantes",IF(COUNTA(INDIRECT("TabRFR["&amp;YEAR(I152)&amp;"]"))&lt;&gt;COUNTA(TabRFR[Recherche RFR]),"Data RFR manquantes", IF(X152&lt;=INDEX(TabRFR[[2021]:[2025]],MATCH(BD!W152&amp;"-Très modestes",TabRFR[Recherche RFR],0),MATCH(TEXT(YEAR(BD!I152),"Standard"),TabRFR[[#Headers],[2021]:[2025]],0)),"Très Modeste",IF(X152&lt;=INDEX(TabRFR[[2021]:[2025]],MATCH(BD!W152&amp;"-modestes",TabRFR[Recherche RFR],0),MATCH(TEXT(YEAR(BD!I152),"Standard"),TabRFR[[#Headers],[2021]:[2025]],0)),"Modeste",IF(X152&lt;=INDEX(TabRFR[[2021]:[2025]],MATCH(BD!W152&amp;"-Intermédiaire",TabRFR[Recherche RFR],0),MATCH(TEXT(YEAR(BD!I152),"Standard"),TabRFR[[#Headers],[2021]:[2025]],0)),"Intermédiaire","Supérieur")))))))</f>
        <v>Data RFR manquantes</v>
      </c>
      <c r="Z152" s="75"/>
      <c r="AA152" s="75" t="s">
        <v>1712</v>
      </c>
      <c r="AB152" s="75">
        <v>38000</v>
      </c>
      <c r="AC152" s="75" t="s">
        <v>598</v>
      </c>
      <c r="AD152" s="73"/>
      <c r="AE152" s="102"/>
      <c r="AF152" s="75" t="s">
        <v>95</v>
      </c>
      <c r="AG152" s="75"/>
      <c r="AH152" s="75">
        <v>2016</v>
      </c>
      <c r="AI152" s="75">
        <v>536</v>
      </c>
      <c r="AJ152" s="75" t="s">
        <v>1710</v>
      </c>
      <c r="AK152" s="75">
        <v>38500</v>
      </c>
      <c r="AL152" s="75" t="s">
        <v>118</v>
      </c>
      <c r="AM152" s="75" t="s">
        <v>4233</v>
      </c>
      <c r="AN152" s="75" t="s">
        <v>829</v>
      </c>
      <c r="AO152" s="75" t="s">
        <v>1709</v>
      </c>
      <c r="AP152" s="75" t="s">
        <v>97</v>
      </c>
      <c r="AQ152" s="75"/>
      <c r="AR152" s="75"/>
      <c r="AS152" s="102" t="s">
        <v>211</v>
      </c>
      <c r="AT152" s="101">
        <v>438029038</v>
      </c>
      <c r="AU152" s="75" t="s">
        <v>99</v>
      </c>
      <c r="AV152" s="75">
        <v>1984</v>
      </c>
      <c r="AW152" s="75" t="s">
        <v>100</v>
      </c>
      <c r="AX152" s="75" t="s">
        <v>2071</v>
      </c>
      <c r="AY152" s="75" t="s">
        <v>272</v>
      </c>
      <c r="AZ152" s="75" t="s">
        <v>1707</v>
      </c>
      <c r="BA152" s="75">
        <v>18</v>
      </c>
      <c r="BB152" s="75">
        <v>9</v>
      </c>
      <c r="BC152" s="75">
        <v>85</v>
      </c>
      <c r="BD152" s="75">
        <v>0.01</v>
      </c>
      <c r="BE152" s="75" t="s">
        <v>97</v>
      </c>
      <c r="BF152" s="75">
        <v>3692</v>
      </c>
      <c r="BG152" s="75">
        <v>620</v>
      </c>
      <c r="BH152" s="75"/>
      <c r="BI152" s="75">
        <v>1259</v>
      </c>
      <c r="BJ152" s="75"/>
      <c r="BK152" s="75"/>
      <c r="BL152" s="75">
        <f t="shared" si="6"/>
        <v>620</v>
      </c>
      <c r="BM152" s="103">
        <f t="shared" si="7"/>
        <v>34.1</v>
      </c>
      <c r="BN152" s="103">
        <f t="shared" si="8"/>
        <v>654.1</v>
      </c>
      <c r="BO152" s="103"/>
      <c r="BP152" s="75" t="s">
        <v>104</v>
      </c>
      <c r="BQ152" s="75"/>
      <c r="BR152" s="75"/>
      <c r="BS152" s="157">
        <v>2017</v>
      </c>
      <c r="BU152">
        <v>2017</v>
      </c>
    </row>
    <row r="153" spans="1:73" ht="43.15" customHeight="1" x14ac:dyDescent="0.25">
      <c r="A153" s="29" t="s">
        <v>186</v>
      </c>
      <c r="B153" s="29" t="s">
        <v>1706</v>
      </c>
      <c r="C153" s="161" t="s">
        <v>9</v>
      </c>
      <c r="D153" s="110">
        <v>42745</v>
      </c>
      <c r="E153" s="110"/>
      <c r="F153" s="110"/>
      <c r="G153" s="110" t="s">
        <v>1705</v>
      </c>
      <c r="H153" s="110"/>
      <c r="I153" s="110"/>
      <c r="J153" s="110">
        <v>42758</v>
      </c>
      <c r="K153" s="110"/>
      <c r="L153" s="110"/>
      <c r="M153" s="110"/>
      <c r="N153" s="110"/>
      <c r="O153" s="110"/>
      <c r="P153" s="110"/>
      <c r="Q153" s="110"/>
      <c r="R153" s="109"/>
      <c r="S153" s="110">
        <v>42754</v>
      </c>
      <c r="T153" s="111" t="s">
        <v>1704</v>
      </c>
      <c r="U153" s="111"/>
      <c r="V153" s="111"/>
      <c r="W153" s="111">
        <v>1</v>
      </c>
      <c r="X153" s="129">
        <v>31210</v>
      </c>
      <c r="Y153" s="75" t="str">
        <f ca="1">IF(I153="",IF(D153="","",IF(W153+X153&lt;15,"Données Nb pers ou RFR manquantes",IF(COUNTA(INDIRECT("TabRFR["&amp;YEAR(D153)&amp;"]"))&lt;&gt;COUNTA(TabRFR[Recherche RFR]),"Data RFR manquantes", IF(X153&lt;=INDEX(TabRFR[[2021]:[2025]],MATCH(BD!W153&amp;"-Très modestes",TabRFR[Recherche RFR],0),MATCH(TEXT(YEAR(BD!D153),"Standard"),TabRFR[[#Headers],[2021]:[2025]],0)),"Très Modeste",IF(X153&lt;=INDEX(TabRFR[[2021]:[2025]],MATCH(BD!W153&amp;"-modestes",TabRFR[Recherche RFR],0),MATCH(TEXT(YEAR(BD!D153),"Standard"),TabRFR[[#Headers],[2021]:[2025]],0)),"Modeste",IF(X153&lt;=INDEX(TabRFR[[2021]:[2025]],MATCH(BD!W153&amp;"-Intermédiaire",TabRFR[Recherche RFR],0),MATCH(TEXT(YEAR(BD!D153),"Standard"),TabRFR[[#Headers],[2021]:[2025]],0)),"Intermédiaire","Supérieur")))))),IF(D153="","",IF(W153+X153&lt;15,"Données Nb pers ou RFR manquantes",IF(COUNTA(INDIRECT("TabRFR["&amp;YEAR(I153)&amp;"]"))&lt;&gt;COUNTA(TabRFR[Recherche RFR]),"Data RFR manquantes", IF(X153&lt;=INDEX(TabRFR[[2021]:[2025]],MATCH(BD!W153&amp;"-Très modestes",TabRFR[Recherche RFR],0),MATCH(TEXT(YEAR(BD!I153),"Standard"),TabRFR[[#Headers],[2021]:[2025]],0)),"Très Modeste",IF(X153&lt;=INDEX(TabRFR[[2021]:[2025]],MATCH(BD!W153&amp;"-modestes",TabRFR[Recherche RFR],0),MATCH(TEXT(YEAR(BD!I153),"Standard"),TabRFR[[#Headers],[2021]:[2025]],0)),"Modeste",IF(X153&lt;=INDEX(TabRFR[[2021]:[2025]],MATCH(BD!W153&amp;"-Intermédiaire",TabRFR[Recherche RFR],0),MATCH(TEXT(YEAR(BD!I153),"Standard"),TabRFR[[#Headers],[2021]:[2025]],0)),"Intermédiaire","Supérieur")))))))</f>
        <v>Data RFR manquantes</v>
      </c>
      <c r="Z153" s="111"/>
      <c r="AA153" s="111" t="s">
        <v>1703</v>
      </c>
      <c r="AB153" s="111">
        <v>38850</v>
      </c>
      <c r="AC153" s="111" t="s">
        <v>438</v>
      </c>
      <c r="AD153" s="127"/>
      <c r="AE153" s="102"/>
      <c r="AF153" s="111" t="s">
        <v>95</v>
      </c>
      <c r="AG153" s="111"/>
      <c r="AH153" s="111"/>
      <c r="AI153" s="111"/>
      <c r="AJ153" s="111"/>
      <c r="AK153" s="111"/>
      <c r="AL153" s="111"/>
      <c r="AM153" s="111" t="s">
        <v>4236</v>
      </c>
      <c r="AN153" s="111" t="s">
        <v>4091</v>
      </c>
      <c r="AO153" s="111" t="s">
        <v>163</v>
      </c>
      <c r="AP153" s="111" t="s">
        <v>97</v>
      </c>
      <c r="AQ153" s="111"/>
      <c r="AR153" s="111"/>
      <c r="AS153" s="102" t="s">
        <v>164</v>
      </c>
      <c r="AT153" s="112">
        <v>476370350</v>
      </c>
      <c r="AU153" s="111" t="s">
        <v>99</v>
      </c>
      <c r="AV153" s="111">
        <v>2003</v>
      </c>
      <c r="AW153" s="111" t="s">
        <v>100</v>
      </c>
      <c r="AX153" s="77" t="s">
        <v>112</v>
      </c>
      <c r="AY153" s="111" t="s">
        <v>1660</v>
      </c>
      <c r="AZ153" s="111" t="s">
        <v>1309</v>
      </c>
      <c r="BA153" s="111">
        <v>11</v>
      </c>
      <c r="BB153" s="111">
        <v>12</v>
      </c>
      <c r="BC153" s="111">
        <v>88.5</v>
      </c>
      <c r="BD153" s="111">
        <v>0.01</v>
      </c>
      <c r="BE153" s="111" t="s">
        <v>1702</v>
      </c>
      <c r="BF153" s="111">
        <v>4866</v>
      </c>
      <c r="BG153" s="111">
        <v>590</v>
      </c>
      <c r="BH153" s="111"/>
      <c r="BI153" s="111"/>
      <c r="BJ153" s="111"/>
      <c r="BK153" s="111"/>
      <c r="BL153" s="75">
        <f t="shared" si="6"/>
        <v>590</v>
      </c>
      <c r="BM153" s="103">
        <f t="shared" si="7"/>
        <v>32.450000000000003</v>
      </c>
      <c r="BN153" s="103">
        <f t="shared" si="8"/>
        <v>622.45000000000005</v>
      </c>
      <c r="BO153" s="111"/>
      <c r="BP153" s="111"/>
      <c r="BQ153" s="111"/>
      <c r="BR153" s="111"/>
      <c r="BS153" s="157">
        <v>2017</v>
      </c>
      <c r="BU153" t="s">
        <v>4180</v>
      </c>
    </row>
    <row r="154" spans="1:73" ht="43.15" customHeight="1" x14ac:dyDescent="0.25">
      <c r="A154" s="242" t="s">
        <v>186</v>
      </c>
      <c r="B154" s="242" t="s">
        <v>1701</v>
      </c>
      <c r="C154" s="159">
        <v>400</v>
      </c>
      <c r="D154" s="114">
        <v>42726</v>
      </c>
      <c r="E154" s="114"/>
      <c r="F154" s="114" t="s">
        <v>9</v>
      </c>
      <c r="G154" s="114" t="s">
        <v>1700</v>
      </c>
      <c r="H154" s="114">
        <v>42774</v>
      </c>
      <c r="I154" s="114">
        <v>42774</v>
      </c>
      <c r="J154" s="114">
        <v>42756</v>
      </c>
      <c r="K154" s="114"/>
      <c r="L154" s="114">
        <v>43104</v>
      </c>
      <c r="M154" s="114">
        <v>43428</v>
      </c>
      <c r="N154" s="114" t="s">
        <v>9</v>
      </c>
      <c r="O154" s="114">
        <v>43178</v>
      </c>
      <c r="P154" s="114">
        <v>43178</v>
      </c>
      <c r="Q154" s="114">
        <v>43178</v>
      </c>
      <c r="R154" s="80"/>
      <c r="S154" s="114"/>
      <c r="T154" s="75"/>
      <c r="U154" s="75"/>
      <c r="V154" s="75"/>
      <c r="W154" s="75">
        <v>2</v>
      </c>
      <c r="X154" s="75">
        <v>33648</v>
      </c>
      <c r="Y154" s="75" t="str">
        <f ca="1">IF(I154="",IF(D154="","",IF(W154+X154&lt;15,"Données Nb pers ou RFR manquantes",IF(COUNTA(INDIRECT("TabRFR["&amp;YEAR(D154)&amp;"]"))&lt;&gt;COUNTA(TabRFR[Recherche RFR]),"Data RFR manquantes", IF(X154&lt;=INDEX(TabRFR[[2021]:[2025]],MATCH(BD!W154&amp;"-Très modestes",TabRFR[Recherche RFR],0),MATCH(TEXT(YEAR(BD!D154),"Standard"),TabRFR[[#Headers],[2021]:[2025]],0)),"Très Modeste",IF(X154&lt;=INDEX(TabRFR[[2021]:[2025]],MATCH(BD!W154&amp;"-modestes",TabRFR[Recherche RFR],0),MATCH(TEXT(YEAR(BD!D154),"Standard"),TabRFR[[#Headers],[2021]:[2025]],0)),"Modeste",IF(X154&lt;=INDEX(TabRFR[[2021]:[2025]],MATCH(BD!W154&amp;"-Intermédiaire",TabRFR[Recherche RFR],0),MATCH(TEXT(YEAR(BD!D154),"Standard"),TabRFR[[#Headers],[2021]:[2025]],0)),"Intermédiaire","Supérieur")))))),IF(D154="","",IF(W154+X154&lt;15,"Données Nb pers ou RFR manquantes",IF(COUNTA(INDIRECT("TabRFR["&amp;YEAR(I154)&amp;"]"))&lt;&gt;COUNTA(TabRFR[Recherche RFR]),"Data RFR manquantes", IF(X154&lt;=INDEX(TabRFR[[2021]:[2025]],MATCH(BD!W154&amp;"-Très modestes",TabRFR[Recherche RFR],0),MATCH(TEXT(YEAR(BD!I154),"Standard"),TabRFR[[#Headers],[2021]:[2025]],0)),"Très Modeste",IF(X154&lt;=INDEX(TabRFR[[2021]:[2025]],MATCH(BD!W154&amp;"-modestes",TabRFR[Recherche RFR],0),MATCH(TEXT(YEAR(BD!I154),"Standard"),TabRFR[[#Headers],[2021]:[2025]],0)),"Modeste",IF(X154&lt;=INDEX(TabRFR[[2021]:[2025]],MATCH(BD!W154&amp;"-Intermédiaire",TabRFR[Recherche RFR],0),MATCH(TEXT(YEAR(BD!I154),"Standard"),TabRFR[[#Headers],[2021]:[2025]],0)),"Intermédiaire","Supérieur")))))))</f>
        <v>Data RFR manquantes</v>
      </c>
      <c r="Z154" s="75"/>
      <c r="AA154" s="75" t="s">
        <v>1698</v>
      </c>
      <c r="AB154" s="75">
        <v>38500</v>
      </c>
      <c r="AC154" s="75" t="s">
        <v>96</v>
      </c>
      <c r="AD154" s="73"/>
      <c r="AE154" s="102"/>
      <c r="AF154" s="75" t="s">
        <v>95</v>
      </c>
      <c r="AG154" s="75"/>
      <c r="AH154" s="75">
        <v>1986</v>
      </c>
      <c r="AI154" s="75"/>
      <c r="AJ154" s="75"/>
      <c r="AK154" s="75"/>
      <c r="AL154" s="75"/>
      <c r="AM154" s="75" t="s">
        <v>4373</v>
      </c>
      <c r="AN154" s="75" t="s">
        <v>4374</v>
      </c>
      <c r="AO154" s="75" t="s">
        <v>1696</v>
      </c>
      <c r="AP154" s="75" t="s">
        <v>97</v>
      </c>
      <c r="AQ154" s="75"/>
      <c r="AR154" s="75"/>
      <c r="AS154" s="102" t="s">
        <v>406</v>
      </c>
      <c r="AT154" s="101">
        <v>476132200</v>
      </c>
      <c r="AU154" s="75" t="s">
        <v>111</v>
      </c>
      <c r="AV154" s="75"/>
      <c r="AW154" s="75" t="s">
        <v>100</v>
      </c>
      <c r="AX154" s="77" t="s">
        <v>112</v>
      </c>
      <c r="AY154" s="75" t="s">
        <v>1695</v>
      </c>
      <c r="AZ154" s="75" t="s">
        <v>1694</v>
      </c>
      <c r="BA154" s="75">
        <v>25</v>
      </c>
      <c r="BB154" s="75">
        <v>7.0000000000000007E-2</v>
      </c>
      <c r="BC154" s="75">
        <v>76</v>
      </c>
      <c r="BD154" s="75">
        <v>7.0000000000000007E-2</v>
      </c>
      <c r="BE154" s="75" t="s">
        <v>97</v>
      </c>
      <c r="BF154" s="75">
        <v>2108</v>
      </c>
      <c r="BG154" s="75">
        <v>790</v>
      </c>
      <c r="BH154" s="75"/>
      <c r="BI154" s="75"/>
      <c r="BJ154" s="75"/>
      <c r="BK154" s="75"/>
      <c r="BL154" s="75">
        <f t="shared" si="6"/>
        <v>790</v>
      </c>
      <c r="BM154" s="103">
        <f t="shared" si="7"/>
        <v>43.45</v>
      </c>
      <c r="BN154" s="103">
        <f t="shared" si="8"/>
        <v>833.45</v>
      </c>
      <c r="BO154" s="103"/>
      <c r="BP154" s="75" t="s">
        <v>97</v>
      </c>
      <c r="BQ154" s="75"/>
      <c r="BR154" s="75"/>
      <c r="BS154" s="157">
        <v>2017</v>
      </c>
      <c r="BT154">
        <v>2020</v>
      </c>
      <c r="BU154" s="246" t="s">
        <v>104</v>
      </c>
    </row>
    <row r="155" spans="1:73" ht="43.15" customHeight="1" x14ac:dyDescent="0.25">
      <c r="A155" s="242" t="s">
        <v>186</v>
      </c>
      <c r="B155" s="242" t="s">
        <v>1693</v>
      </c>
      <c r="C155" s="159">
        <v>800</v>
      </c>
      <c r="D155" s="114">
        <v>42752</v>
      </c>
      <c r="E155" s="114"/>
      <c r="F155" s="114"/>
      <c r="G155" s="114" t="s">
        <v>1692</v>
      </c>
      <c r="H155" s="114">
        <v>42758</v>
      </c>
      <c r="I155" s="114">
        <v>42758</v>
      </c>
      <c r="J155" s="114">
        <v>42758</v>
      </c>
      <c r="K155" s="114"/>
      <c r="L155" s="114">
        <v>42794</v>
      </c>
      <c r="M155" s="215">
        <v>42788</v>
      </c>
      <c r="N155" s="215"/>
      <c r="O155" s="215">
        <v>42795</v>
      </c>
      <c r="P155" s="215">
        <v>42795</v>
      </c>
      <c r="Q155" s="114">
        <v>42808</v>
      </c>
      <c r="R155" s="100"/>
      <c r="S155" s="114"/>
      <c r="T155" s="75"/>
      <c r="U155" s="75"/>
      <c r="V155" s="75"/>
      <c r="W155" s="75">
        <v>5</v>
      </c>
      <c r="X155" s="75">
        <v>33791</v>
      </c>
      <c r="Y155" s="75" t="str">
        <f ca="1">IF(I155="",IF(D155="","",IF(W155+X155&lt;15,"Données Nb pers ou RFR manquantes",IF(COUNTA(INDIRECT("TabRFR["&amp;YEAR(D155)&amp;"]"))&lt;&gt;COUNTA(TabRFR[Recherche RFR]),"Data RFR manquantes", IF(X155&lt;=INDEX(TabRFR[[2021]:[2025]],MATCH(BD!W155&amp;"-Très modestes",TabRFR[Recherche RFR],0),MATCH(TEXT(YEAR(BD!D155),"Standard"),TabRFR[[#Headers],[2021]:[2025]],0)),"Très Modeste",IF(X155&lt;=INDEX(TabRFR[[2021]:[2025]],MATCH(BD!W155&amp;"-modestes",TabRFR[Recherche RFR],0),MATCH(TEXT(YEAR(BD!D155),"Standard"),TabRFR[[#Headers],[2021]:[2025]],0)),"Modeste",IF(X155&lt;=INDEX(TabRFR[[2021]:[2025]],MATCH(BD!W155&amp;"-Intermédiaire",TabRFR[Recherche RFR],0),MATCH(TEXT(YEAR(BD!D155),"Standard"),TabRFR[[#Headers],[2021]:[2025]],0)),"Intermédiaire","Supérieur")))))),IF(D155="","",IF(W155+X155&lt;15,"Données Nb pers ou RFR manquantes",IF(COUNTA(INDIRECT("TabRFR["&amp;YEAR(I155)&amp;"]"))&lt;&gt;COUNTA(TabRFR[Recherche RFR]),"Data RFR manquantes", IF(X155&lt;=INDEX(TabRFR[[2021]:[2025]],MATCH(BD!W155&amp;"-Très modestes",TabRFR[Recherche RFR],0),MATCH(TEXT(YEAR(BD!I155),"Standard"),TabRFR[[#Headers],[2021]:[2025]],0)),"Très Modeste",IF(X155&lt;=INDEX(TabRFR[[2021]:[2025]],MATCH(BD!W155&amp;"-modestes",TabRFR[Recherche RFR],0),MATCH(TEXT(YEAR(BD!I155),"Standard"),TabRFR[[#Headers],[2021]:[2025]],0)),"Modeste",IF(X155&lt;=INDEX(TabRFR[[2021]:[2025]],MATCH(BD!W155&amp;"-Intermédiaire",TabRFR[Recherche RFR],0),MATCH(TEXT(YEAR(BD!I155),"Standard"),TabRFR[[#Headers],[2021]:[2025]],0)),"Intermédiaire","Supérieur")))))))</f>
        <v>Data RFR manquantes</v>
      </c>
      <c r="Z155" s="75"/>
      <c r="AA155" s="75" t="s">
        <v>1689</v>
      </c>
      <c r="AB155" s="75">
        <v>38500</v>
      </c>
      <c r="AC155" s="75" t="s">
        <v>96</v>
      </c>
      <c r="AD155" s="73"/>
      <c r="AE155" s="102"/>
      <c r="AF155" s="75"/>
      <c r="AG155" s="75"/>
      <c r="AH155" s="75">
        <v>2015</v>
      </c>
      <c r="AI155" s="75"/>
      <c r="AJ155" s="75"/>
      <c r="AK155" s="75"/>
      <c r="AL155" s="75"/>
      <c r="AM155" s="75" t="s">
        <v>4375</v>
      </c>
      <c r="AN155" s="75" t="s">
        <v>1687</v>
      </c>
      <c r="AO155" s="75" t="s">
        <v>1686</v>
      </c>
      <c r="AP155" s="75" t="s">
        <v>97</v>
      </c>
      <c r="AQ155" s="75"/>
      <c r="AR155" s="75"/>
      <c r="AS155" s="102" t="s">
        <v>1685</v>
      </c>
      <c r="AT155" s="101">
        <v>476400997</v>
      </c>
      <c r="AU155" s="75" t="s">
        <v>399</v>
      </c>
      <c r="AV155" s="75" t="s">
        <v>1684</v>
      </c>
      <c r="AW155" s="75" t="s">
        <v>100</v>
      </c>
      <c r="AX155" s="75" t="s">
        <v>2071</v>
      </c>
      <c r="AY155" s="75" t="s">
        <v>102</v>
      </c>
      <c r="AZ155" s="75" t="s">
        <v>1683</v>
      </c>
      <c r="BA155" s="75">
        <v>17</v>
      </c>
      <c r="BB155" s="75">
        <v>10</v>
      </c>
      <c r="BC155" s="75">
        <v>90</v>
      </c>
      <c r="BD155" s="75">
        <v>0.02</v>
      </c>
      <c r="BE155" s="75" t="s">
        <v>97</v>
      </c>
      <c r="BF155" s="75">
        <v>2854.32</v>
      </c>
      <c r="BG155" s="75"/>
      <c r="BH155" s="75"/>
      <c r="BI155" s="75"/>
      <c r="BJ155" s="75"/>
      <c r="BK155" s="75">
        <v>250</v>
      </c>
      <c r="BL155" s="75">
        <f t="shared" si="6"/>
        <v>250</v>
      </c>
      <c r="BM155" s="103">
        <f t="shared" si="7"/>
        <v>13.75</v>
      </c>
      <c r="BN155" s="103">
        <f t="shared" si="8"/>
        <v>263.75</v>
      </c>
      <c r="BO155" s="103"/>
      <c r="BP155" s="75" t="s">
        <v>97</v>
      </c>
      <c r="BQ155" s="75"/>
      <c r="BR155" s="75"/>
      <c r="BS155" s="157">
        <v>2017</v>
      </c>
      <c r="BU155">
        <v>2017</v>
      </c>
    </row>
    <row r="156" spans="1:73" ht="43.15" customHeight="1" x14ac:dyDescent="0.25">
      <c r="A156" s="242" t="s">
        <v>186</v>
      </c>
      <c r="B156" s="242" t="s">
        <v>1682</v>
      </c>
      <c r="C156" s="159">
        <v>400</v>
      </c>
      <c r="D156" s="114">
        <v>42751</v>
      </c>
      <c r="E156" s="114"/>
      <c r="F156" s="114"/>
      <c r="G156" s="114"/>
      <c r="H156" s="114">
        <v>42755</v>
      </c>
      <c r="I156" s="114">
        <v>42755</v>
      </c>
      <c r="J156" s="114">
        <v>42758</v>
      </c>
      <c r="K156" s="114"/>
      <c r="L156" s="114">
        <v>42824</v>
      </c>
      <c r="M156" s="114">
        <v>42801</v>
      </c>
      <c r="N156" s="114"/>
      <c r="O156" s="114">
        <v>42830</v>
      </c>
      <c r="P156" s="114">
        <v>42830</v>
      </c>
      <c r="Q156" s="114">
        <v>42839</v>
      </c>
      <c r="R156" s="80"/>
      <c r="S156" s="114"/>
      <c r="T156" s="75"/>
      <c r="U156" s="75"/>
      <c r="V156" s="75"/>
      <c r="W156" s="75">
        <v>4</v>
      </c>
      <c r="X156" s="75">
        <v>72980</v>
      </c>
      <c r="Y156" s="75" t="str">
        <f ca="1">IF(I156="",IF(D156="","",IF(W156+X156&lt;15,"Données Nb pers ou RFR manquantes",IF(COUNTA(INDIRECT("TabRFR["&amp;YEAR(D156)&amp;"]"))&lt;&gt;COUNTA(TabRFR[Recherche RFR]),"Data RFR manquantes", IF(X156&lt;=INDEX(TabRFR[[2021]:[2025]],MATCH(BD!W156&amp;"-Très modestes",TabRFR[Recherche RFR],0),MATCH(TEXT(YEAR(BD!D156),"Standard"),TabRFR[[#Headers],[2021]:[2025]],0)),"Très Modeste",IF(X156&lt;=INDEX(TabRFR[[2021]:[2025]],MATCH(BD!W156&amp;"-modestes",TabRFR[Recherche RFR],0),MATCH(TEXT(YEAR(BD!D156),"Standard"),TabRFR[[#Headers],[2021]:[2025]],0)),"Modeste",IF(X156&lt;=INDEX(TabRFR[[2021]:[2025]],MATCH(BD!W156&amp;"-Intermédiaire",TabRFR[Recherche RFR],0),MATCH(TEXT(YEAR(BD!D156),"Standard"),TabRFR[[#Headers],[2021]:[2025]],0)),"Intermédiaire","Supérieur")))))),IF(D156="","",IF(W156+X156&lt;15,"Données Nb pers ou RFR manquantes",IF(COUNTA(INDIRECT("TabRFR["&amp;YEAR(I156)&amp;"]"))&lt;&gt;COUNTA(TabRFR[Recherche RFR]),"Data RFR manquantes", IF(X156&lt;=INDEX(TabRFR[[2021]:[2025]],MATCH(BD!W156&amp;"-Très modestes",TabRFR[Recherche RFR],0),MATCH(TEXT(YEAR(BD!I156),"Standard"),TabRFR[[#Headers],[2021]:[2025]],0)),"Très Modeste",IF(X156&lt;=INDEX(TabRFR[[2021]:[2025]],MATCH(BD!W156&amp;"-modestes",TabRFR[Recherche RFR],0),MATCH(TEXT(YEAR(BD!I156),"Standard"),TabRFR[[#Headers],[2021]:[2025]],0)),"Modeste",IF(X156&lt;=INDEX(TabRFR[[2021]:[2025]],MATCH(BD!W156&amp;"-Intermédiaire",TabRFR[Recherche RFR],0),MATCH(TEXT(YEAR(BD!I156),"Standard"),TabRFR[[#Headers],[2021]:[2025]],0)),"Intermédiaire","Supérieur")))))))</f>
        <v>Data RFR manquantes</v>
      </c>
      <c r="Z156" s="75"/>
      <c r="AA156" s="75" t="s">
        <v>1680</v>
      </c>
      <c r="AB156" s="75">
        <v>38850</v>
      </c>
      <c r="AC156" s="75" t="s">
        <v>4304</v>
      </c>
      <c r="AD156" s="73"/>
      <c r="AE156" s="102"/>
      <c r="AF156" s="75" t="s">
        <v>95</v>
      </c>
      <c r="AG156" s="75"/>
      <c r="AH156" s="75">
        <v>2000</v>
      </c>
      <c r="AI156" s="75"/>
      <c r="AJ156" s="75"/>
      <c r="AK156" s="75"/>
      <c r="AL156" s="75"/>
      <c r="AM156" s="75" t="s">
        <v>4376</v>
      </c>
      <c r="AN156" s="75" t="s">
        <v>451</v>
      </c>
      <c r="AO156" s="75"/>
      <c r="AP156" s="75" t="s">
        <v>97</v>
      </c>
      <c r="AQ156" s="75"/>
      <c r="AR156" s="75"/>
      <c r="AS156" s="102" t="s">
        <v>698</v>
      </c>
      <c r="AT156" s="101">
        <v>474430411</v>
      </c>
      <c r="AU156" s="75" t="s">
        <v>111</v>
      </c>
      <c r="AV156" s="75">
        <v>2000</v>
      </c>
      <c r="AW156" s="75" t="s">
        <v>100</v>
      </c>
      <c r="AX156" s="75" t="s">
        <v>112</v>
      </c>
      <c r="AY156" s="75" t="s">
        <v>1678</v>
      </c>
      <c r="AZ156" s="75" t="s">
        <v>1677</v>
      </c>
      <c r="BA156" s="75">
        <v>38</v>
      </c>
      <c r="BB156" s="75">
        <v>10</v>
      </c>
      <c r="BC156" s="75">
        <v>80</v>
      </c>
      <c r="BD156" s="75">
        <v>0.1</v>
      </c>
      <c r="BE156" s="75" t="s">
        <v>97</v>
      </c>
      <c r="BF156" s="75">
        <v>2600</v>
      </c>
      <c r="BG156" s="75">
        <f>BF156+600+480</f>
        <v>3680</v>
      </c>
      <c r="BH156" s="75"/>
      <c r="BI156" s="75"/>
      <c r="BJ156" s="75"/>
      <c r="BK156" s="75">
        <v>360</v>
      </c>
      <c r="BL156" s="75">
        <f t="shared" si="6"/>
        <v>4040</v>
      </c>
      <c r="BM156" s="103">
        <f t="shared" si="7"/>
        <v>222.2</v>
      </c>
      <c r="BN156" s="103">
        <f t="shared" si="8"/>
        <v>4262.2</v>
      </c>
      <c r="BO156" s="103">
        <v>4262.2</v>
      </c>
      <c r="BP156" s="75" t="s">
        <v>97</v>
      </c>
      <c r="BQ156" s="75"/>
      <c r="BR156" s="75"/>
      <c r="BS156" s="157">
        <v>2017</v>
      </c>
      <c r="BT156">
        <v>2020</v>
      </c>
      <c r="BU156">
        <v>2017</v>
      </c>
    </row>
    <row r="157" spans="1:73" ht="43.15" customHeight="1" x14ac:dyDescent="0.25">
      <c r="A157" s="242" t="s">
        <v>186</v>
      </c>
      <c r="B157" s="242" t="s">
        <v>1676</v>
      </c>
      <c r="C157" s="159">
        <v>400</v>
      </c>
      <c r="D157" s="114">
        <v>42753</v>
      </c>
      <c r="E157" s="114"/>
      <c r="F157" s="114"/>
      <c r="G157" s="114"/>
      <c r="H157" s="114">
        <v>42755</v>
      </c>
      <c r="I157" s="114">
        <v>42755</v>
      </c>
      <c r="J157" s="114">
        <v>42758</v>
      </c>
      <c r="K157" s="114"/>
      <c r="L157" s="114">
        <v>42790</v>
      </c>
      <c r="M157" s="114">
        <v>42765</v>
      </c>
      <c r="N157" s="114"/>
      <c r="O157" s="215">
        <v>42795</v>
      </c>
      <c r="P157" s="215">
        <v>42795</v>
      </c>
      <c r="Q157" s="114">
        <v>42808</v>
      </c>
      <c r="R157" s="80"/>
      <c r="S157" s="114"/>
      <c r="T157" s="75"/>
      <c r="U157" s="75"/>
      <c r="V157" s="75"/>
      <c r="W157" s="75">
        <v>1</v>
      </c>
      <c r="X157" s="75">
        <v>35325</v>
      </c>
      <c r="Y157" s="75" t="str">
        <f ca="1">IF(I157="",IF(D157="","",IF(W157+X157&lt;15,"Données Nb pers ou RFR manquantes",IF(COUNTA(INDIRECT("TabRFR["&amp;YEAR(D157)&amp;"]"))&lt;&gt;COUNTA(TabRFR[Recherche RFR]),"Data RFR manquantes", IF(X157&lt;=INDEX(TabRFR[[2021]:[2025]],MATCH(BD!W157&amp;"-Très modestes",TabRFR[Recherche RFR],0),MATCH(TEXT(YEAR(BD!D157),"Standard"),TabRFR[[#Headers],[2021]:[2025]],0)),"Très Modeste",IF(X157&lt;=INDEX(TabRFR[[2021]:[2025]],MATCH(BD!W157&amp;"-modestes",TabRFR[Recherche RFR],0),MATCH(TEXT(YEAR(BD!D157),"Standard"),TabRFR[[#Headers],[2021]:[2025]],0)),"Modeste",IF(X157&lt;=INDEX(TabRFR[[2021]:[2025]],MATCH(BD!W157&amp;"-Intermédiaire",TabRFR[Recherche RFR],0),MATCH(TEXT(YEAR(BD!D157),"Standard"),TabRFR[[#Headers],[2021]:[2025]],0)),"Intermédiaire","Supérieur")))))),IF(D157="","",IF(W157+X157&lt;15,"Données Nb pers ou RFR manquantes",IF(COUNTA(INDIRECT("TabRFR["&amp;YEAR(I157)&amp;"]"))&lt;&gt;COUNTA(TabRFR[Recherche RFR]),"Data RFR manquantes", IF(X157&lt;=INDEX(TabRFR[[2021]:[2025]],MATCH(BD!W157&amp;"-Très modestes",TabRFR[Recherche RFR],0),MATCH(TEXT(YEAR(BD!I157),"Standard"),TabRFR[[#Headers],[2021]:[2025]],0)),"Très Modeste",IF(X157&lt;=INDEX(TabRFR[[2021]:[2025]],MATCH(BD!W157&amp;"-modestes",TabRFR[Recherche RFR],0),MATCH(TEXT(YEAR(BD!I157),"Standard"),TabRFR[[#Headers],[2021]:[2025]],0)),"Modeste",IF(X157&lt;=INDEX(TabRFR[[2021]:[2025]],MATCH(BD!W157&amp;"-Intermédiaire",TabRFR[Recherche RFR],0),MATCH(TEXT(YEAR(BD!I157),"Standard"),TabRFR[[#Headers],[2021]:[2025]],0)),"Intermédiaire","Supérieur")))))))</f>
        <v>Data RFR manquantes</v>
      </c>
      <c r="Z157" s="75"/>
      <c r="AA157" s="75" t="s">
        <v>1066</v>
      </c>
      <c r="AB157" s="75">
        <v>38210</v>
      </c>
      <c r="AC157" s="75" t="s">
        <v>195</v>
      </c>
      <c r="AD157" s="73"/>
      <c r="AE157" s="102"/>
      <c r="AF157" s="75" t="s">
        <v>95</v>
      </c>
      <c r="AG157" s="75"/>
      <c r="AH157" s="75">
        <v>2016</v>
      </c>
      <c r="AI157" s="75"/>
      <c r="AJ157" s="75"/>
      <c r="AK157" s="75"/>
      <c r="AL157" s="75"/>
      <c r="AM157" s="75" t="s">
        <v>492</v>
      </c>
      <c r="AN157" s="75" t="s">
        <v>2446</v>
      </c>
      <c r="AO157" s="75"/>
      <c r="AP157" s="75" t="s">
        <v>97</v>
      </c>
      <c r="AQ157" s="75"/>
      <c r="AR157" s="75"/>
      <c r="AS157" s="102" t="s">
        <v>1673</v>
      </c>
      <c r="AT157" s="101">
        <v>475027853</v>
      </c>
      <c r="AU157" s="75" t="s">
        <v>399</v>
      </c>
      <c r="AV157" s="75" t="s">
        <v>173</v>
      </c>
      <c r="AW157" s="75" t="s">
        <v>100</v>
      </c>
      <c r="AX157" s="75" t="s">
        <v>112</v>
      </c>
      <c r="AY157" s="75" t="s">
        <v>492</v>
      </c>
      <c r="AZ157" s="75" t="s">
        <v>1672</v>
      </c>
      <c r="BA157" s="75">
        <v>35</v>
      </c>
      <c r="BB157" s="75">
        <v>6</v>
      </c>
      <c r="BC157" s="75">
        <v>82</v>
      </c>
      <c r="BD157" s="75">
        <v>0.08</v>
      </c>
      <c r="BE157" s="75" t="s">
        <v>97</v>
      </c>
      <c r="BF157" s="75">
        <v>5875</v>
      </c>
      <c r="BG157" s="75">
        <v>760</v>
      </c>
      <c r="BH157" s="75"/>
      <c r="BI157" s="75"/>
      <c r="BJ157" s="75"/>
      <c r="BK157" s="75"/>
      <c r="BL157" s="75">
        <f t="shared" si="6"/>
        <v>760</v>
      </c>
      <c r="BM157" s="103">
        <f t="shared" si="7"/>
        <v>41.8</v>
      </c>
      <c r="BN157" s="103">
        <f t="shared" si="8"/>
        <v>801.8</v>
      </c>
      <c r="BO157" s="103"/>
      <c r="BP157" s="75" t="s">
        <v>97</v>
      </c>
      <c r="BQ157" s="75"/>
      <c r="BR157" s="75"/>
      <c r="BS157" s="157">
        <v>2017</v>
      </c>
      <c r="BT157">
        <v>2020</v>
      </c>
      <c r="BU157">
        <v>2017</v>
      </c>
    </row>
    <row r="158" spans="1:73" ht="43.15" customHeight="1" x14ac:dyDescent="0.25">
      <c r="A158" s="242" t="s">
        <v>186</v>
      </c>
      <c r="B158" s="242" t="s">
        <v>1671</v>
      </c>
      <c r="C158" s="159">
        <v>400</v>
      </c>
      <c r="D158" s="114">
        <v>42758</v>
      </c>
      <c r="E158" s="114"/>
      <c r="F158" s="114" t="s">
        <v>1670</v>
      </c>
      <c r="G158" s="114"/>
      <c r="H158" s="114">
        <v>42769</v>
      </c>
      <c r="I158" s="114">
        <v>42769</v>
      </c>
      <c r="J158" s="114">
        <v>42787</v>
      </c>
      <c r="K158" s="114"/>
      <c r="L158" s="114">
        <v>43042</v>
      </c>
      <c r="M158" s="114">
        <v>43004</v>
      </c>
      <c r="N158" s="114"/>
      <c r="O158" s="114">
        <v>43042</v>
      </c>
      <c r="P158" s="114">
        <v>43042</v>
      </c>
      <c r="Q158" s="114">
        <v>43048</v>
      </c>
      <c r="R158" s="80"/>
      <c r="S158" s="114"/>
      <c r="T158" s="75"/>
      <c r="U158" s="75"/>
      <c r="V158" s="75"/>
      <c r="W158" s="75">
        <v>4</v>
      </c>
      <c r="X158" s="75">
        <f>22444+34093</f>
        <v>56537</v>
      </c>
      <c r="Y158" s="75" t="str">
        <f ca="1">IF(I158="",IF(D158="","",IF(W158+X158&lt;15,"Données Nb pers ou RFR manquantes",IF(COUNTA(INDIRECT("TabRFR["&amp;YEAR(D158)&amp;"]"))&lt;&gt;COUNTA(TabRFR[Recherche RFR]),"Data RFR manquantes", IF(X158&lt;=INDEX(TabRFR[[2021]:[2025]],MATCH(BD!W158&amp;"-Très modestes",TabRFR[Recherche RFR],0),MATCH(TEXT(YEAR(BD!D158),"Standard"),TabRFR[[#Headers],[2021]:[2025]],0)),"Très Modeste",IF(X158&lt;=INDEX(TabRFR[[2021]:[2025]],MATCH(BD!W158&amp;"-modestes",TabRFR[Recherche RFR],0),MATCH(TEXT(YEAR(BD!D158),"Standard"),TabRFR[[#Headers],[2021]:[2025]],0)),"Modeste",IF(X158&lt;=INDEX(TabRFR[[2021]:[2025]],MATCH(BD!W158&amp;"-Intermédiaire",TabRFR[Recherche RFR],0),MATCH(TEXT(YEAR(BD!D158),"Standard"),TabRFR[[#Headers],[2021]:[2025]],0)),"Intermédiaire","Supérieur")))))),IF(D158="","",IF(W158+X158&lt;15,"Données Nb pers ou RFR manquantes",IF(COUNTA(INDIRECT("TabRFR["&amp;YEAR(I158)&amp;"]"))&lt;&gt;COUNTA(TabRFR[Recherche RFR]),"Data RFR manquantes", IF(X158&lt;=INDEX(TabRFR[[2021]:[2025]],MATCH(BD!W158&amp;"-Très modestes",TabRFR[Recherche RFR],0),MATCH(TEXT(YEAR(BD!I158),"Standard"),TabRFR[[#Headers],[2021]:[2025]],0)),"Très Modeste",IF(X158&lt;=INDEX(TabRFR[[2021]:[2025]],MATCH(BD!W158&amp;"-modestes",TabRFR[Recherche RFR],0),MATCH(TEXT(YEAR(BD!I158),"Standard"),TabRFR[[#Headers],[2021]:[2025]],0)),"Modeste",IF(X158&lt;=INDEX(TabRFR[[2021]:[2025]],MATCH(BD!W158&amp;"-Intermédiaire",TabRFR[Recherche RFR],0),MATCH(TEXT(YEAR(BD!I158),"Standard"),TabRFR[[#Headers],[2021]:[2025]],0)),"Intermédiaire","Supérieur")))))))</f>
        <v>Data RFR manquantes</v>
      </c>
      <c r="Z158" s="75"/>
      <c r="AA158" s="75" t="s">
        <v>931</v>
      </c>
      <c r="AB158" s="75">
        <v>38340</v>
      </c>
      <c r="AC158" s="75" t="s">
        <v>108</v>
      </c>
      <c r="AD158" s="73"/>
      <c r="AE158" s="102"/>
      <c r="AF158" s="75" t="s">
        <v>95</v>
      </c>
      <c r="AG158" s="75"/>
      <c r="AH158" s="75">
        <v>2016</v>
      </c>
      <c r="AI158" s="75"/>
      <c r="AJ158" s="75"/>
      <c r="AK158" s="75"/>
      <c r="AL158" s="75"/>
      <c r="AM158" s="75" t="s">
        <v>4035</v>
      </c>
      <c r="AN158" s="75" t="s">
        <v>108</v>
      </c>
      <c r="AO158" s="75" t="s">
        <v>1525</v>
      </c>
      <c r="AP158" s="75" t="s">
        <v>97</v>
      </c>
      <c r="AQ158" s="75"/>
      <c r="AR158" s="75"/>
      <c r="AS158" s="102" t="s">
        <v>110</v>
      </c>
      <c r="AT158" s="101">
        <v>476500550</v>
      </c>
      <c r="AU158" s="75" t="s">
        <v>430</v>
      </c>
      <c r="AV158" s="75" t="s">
        <v>173</v>
      </c>
      <c r="AW158" s="75" t="s">
        <v>100</v>
      </c>
      <c r="AX158" s="75" t="s">
        <v>112</v>
      </c>
      <c r="AY158" s="75" t="s">
        <v>113</v>
      </c>
      <c r="AZ158" s="75" t="s">
        <v>1666</v>
      </c>
      <c r="BA158" s="75">
        <v>30</v>
      </c>
      <c r="BB158" s="75">
        <v>7</v>
      </c>
      <c r="BC158" s="75">
        <v>79</v>
      </c>
      <c r="BD158" s="75">
        <v>4911.1499999999996</v>
      </c>
      <c r="BE158" s="75" t="s">
        <v>97</v>
      </c>
      <c r="BF158" s="75">
        <v>3379.17</v>
      </c>
      <c r="BG158" s="75">
        <f>BF158+600</f>
        <v>3979.17</v>
      </c>
      <c r="BH158" s="75"/>
      <c r="BI158" s="75"/>
      <c r="BJ158" s="75"/>
      <c r="BK158" s="75"/>
      <c r="BL158" s="75">
        <f t="shared" si="6"/>
        <v>3979.17</v>
      </c>
      <c r="BM158" s="103">
        <f t="shared" si="7"/>
        <v>218.85435000000001</v>
      </c>
      <c r="BN158" s="103">
        <f t="shared" si="8"/>
        <v>4198.0243499999997</v>
      </c>
      <c r="BO158" s="103">
        <v>4766.24</v>
      </c>
      <c r="BP158" s="75" t="s">
        <v>104</v>
      </c>
      <c r="BQ158" s="75"/>
      <c r="BR158" s="75"/>
      <c r="BS158" s="157">
        <v>2017</v>
      </c>
      <c r="BT158">
        <v>2020</v>
      </c>
      <c r="BU158">
        <v>2017</v>
      </c>
    </row>
    <row r="159" spans="1:73" ht="43.15" customHeight="1" x14ac:dyDescent="0.25">
      <c r="A159" s="242" t="s">
        <v>186</v>
      </c>
      <c r="B159" s="242" t="s">
        <v>1665</v>
      </c>
      <c r="C159" s="159">
        <v>400</v>
      </c>
      <c r="D159" s="114">
        <v>42759</v>
      </c>
      <c r="E159" s="114"/>
      <c r="F159" s="114" t="s">
        <v>301</v>
      </c>
      <c r="G159" s="114"/>
      <c r="H159" s="114">
        <v>42769</v>
      </c>
      <c r="I159" s="114">
        <v>42769</v>
      </c>
      <c r="J159" s="114">
        <v>42787</v>
      </c>
      <c r="K159" s="114"/>
      <c r="L159" s="114">
        <v>42884</v>
      </c>
      <c r="M159" s="114">
        <v>42865</v>
      </c>
      <c r="N159" s="114"/>
      <c r="O159" s="114">
        <v>42888</v>
      </c>
      <c r="P159" s="114">
        <v>42888</v>
      </c>
      <c r="Q159" s="114">
        <v>42898</v>
      </c>
      <c r="R159" s="80"/>
      <c r="S159" s="114"/>
      <c r="T159" s="75"/>
      <c r="U159" s="75"/>
      <c r="V159" s="75"/>
      <c r="W159" s="75">
        <v>2</v>
      </c>
      <c r="X159" s="75">
        <v>49349</v>
      </c>
      <c r="Y159" s="75" t="str">
        <f ca="1">IF(I159="",IF(D159="","",IF(W159+X159&lt;15,"Données Nb pers ou RFR manquantes",IF(COUNTA(INDIRECT("TabRFR["&amp;YEAR(D159)&amp;"]"))&lt;&gt;COUNTA(TabRFR[Recherche RFR]),"Data RFR manquantes", IF(X159&lt;=INDEX(TabRFR[[2021]:[2025]],MATCH(BD!W159&amp;"-Très modestes",TabRFR[Recherche RFR],0),MATCH(TEXT(YEAR(BD!D159),"Standard"),TabRFR[[#Headers],[2021]:[2025]],0)),"Très Modeste",IF(X159&lt;=INDEX(TabRFR[[2021]:[2025]],MATCH(BD!W159&amp;"-modestes",TabRFR[Recherche RFR],0),MATCH(TEXT(YEAR(BD!D159),"Standard"),TabRFR[[#Headers],[2021]:[2025]],0)),"Modeste",IF(X159&lt;=INDEX(TabRFR[[2021]:[2025]],MATCH(BD!W159&amp;"-Intermédiaire",TabRFR[Recherche RFR],0),MATCH(TEXT(YEAR(BD!D159),"Standard"),TabRFR[[#Headers],[2021]:[2025]],0)),"Intermédiaire","Supérieur")))))),IF(D159="","",IF(W159+X159&lt;15,"Données Nb pers ou RFR manquantes",IF(COUNTA(INDIRECT("TabRFR["&amp;YEAR(I159)&amp;"]"))&lt;&gt;COUNTA(TabRFR[Recherche RFR]),"Data RFR manquantes", IF(X159&lt;=INDEX(TabRFR[[2021]:[2025]],MATCH(BD!W159&amp;"-Très modestes",TabRFR[Recherche RFR],0),MATCH(TEXT(YEAR(BD!I159),"Standard"),TabRFR[[#Headers],[2021]:[2025]],0)),"Très Modeste",IF(X159&lt;=INDEX(TabRFR[[2021]:[2025]],MATCH(BD!W159&amp;"-modestes",TabRFR[Recherche RFR],0),MATCH(TEXT(YEAR(BD!I159),"Standard"),TabRFR[[#Headers],[2021]:[2025]],0)),"Modeste",IF(X159&lt;=INDEX(TabRFR[[2021]:[2025]],MATCH(BD!W159&amp;"-Intermédiaire",TabRFR[Recherche RFR],0),MATCH(TEXT(YEAR(BD!I159),"Standard"),TabRFR[[#Headers],[2021]:[2025]],0)),"Intermédiaire","Supérieur")))))))</f>
        <v>Data RFR manquantes</v>
      </c>
      <c r="Z159" s="75"/>
      <c r="AA159" s="75" t="s">
        <v>1662</v>
      </c>
      <c r="AB159" s="75">
        <v>38850</v>
      </c>
      <c r="AC159" s="75" t="s">
        <v>242</v>
      </c>
      <c r="AD159" s="73"/>
      <c r="AE159" s="102"/>
      <c r="AF159" s="75" t="s">
        <v>95</v>
      </c>
      <c r="AG159" s="75"/>
      <c r="AH159" s="75"/>
      <c r="AI159" s="75"/>
      <c r="AJ159" s="75"/>
      <c r="AK159" s="75"/>
      <c r="AL159" s="75"/>
      <c r="AM159" s="75" t="s">
        <v>4236</v>
      </c>
      <c r="AN159" s="75" t="s">
        <v>4091</v>
      </c>
      <c r="AO159" s="75" t="s">
        <v>163</v>
      </c>
      <c r="AP159" s="75" t="s">
        <v>97</v>
      </c>
      <c r="AQ159" s="75"/>
      <c r="AR159" s="75"/>
      <c r="AS159" s="102" t="s">
        <v>164</v>
      </c>
      <c r="AT159" s="101">
        <v>476370350</v>
      </c>
      <c r="AU159" s="75" t="s">
        <v>111</v>
      </c>
      <c r="AV159" s="75">
        <v>1997</v>
      </c>
      <c r="AW159" s="75" t="s">
        <v>100</v>
      </c>
      <c r="AX159" s="75" t="s">
        <v>2071</v>
      </c>
      <c r="AY159" s="75" t="s">
        <v>1660</v>
      </c>
      <c r="AZ159" s="75" t="s">
        <v>1659</v>
      </c>
      <c r="BA159" s="75">
        <v>11</v>
      </c>
      <c r="BB159" s="75">
        <v>12</v>
      </c>
      <c r="BC159" s="75">
        <v>88.5</v>
      </c>
      <c r="BD159" s="75">
        <v>0.01</v>
      </c>
      <c r="BE159" s="75" t="s">
        <v>97</v>
      </c>
      <c r="BF159" s="75">
        <v>6500</v>
      </c>
      <c r="BG159" s="75">
        <f>590+BF159</f>
        <v>7090</v>
      </c>
      <c r="BH159" s="75"/>
      <c r="BI159" s="75"/>
      <c r="BJ159" s="75"/>
      <c r="BK159" s="75"/>
      <c r="BL159" s="75">
        <f t="shared" si="6"/>
        <v>7090</v>
      </c>
      <c r="BM159" s="103">
        <f t="shared" si="7"/>
        <v>389.95</v>
      </c>
      <c r="BN159" s="103">
        <f t="shared" si="8"/>
        <v>7479.95</v>
      </c>
      <c r="BO159" s="103">
        <v>7479.95</v>
      </c>
      <c r="BP159" s="75"/>
      <c r="BQ159" s="75"/>
      <c r="BR159" s="75"/>
      <c r="BS159" s="157">
        <v>2017</v>
      </c>
      <c r="BU159">
        <v>2017</v>
      </c>
    </row>
    <row r="160" spans="1:73" ht="43.15" customHeight="1" x14ac:dyDescent="0.25">
      <c r="A160" s="242" t="s">
        <v>186</v>
      </c>
      <c r="B160" s="242" t="s">
        <v>1658</v>
      </c>
      <c r="C160" s="159">
        <v>800</v>
      </c>
      <c r="D160" s="114">
        <v>42760</v>
      </c>
      <c r="E160" s="114"/>
      <c r="F160" s="114" t="s">
        <v>1657</v>
      </c>
      <c r="G160" s="114"/>
      <c r="H160" s="114">
        <v>42769</v>
      </c>
      <c r="I160" s="114">
        <v>42769</v>
      </c>
      <c r="J160" s="114">
        <v>42787</v>
      </c>
      <c r="K160" s="114"/>
      <c r="L160" s="114">
        <v>42874</v>
      </c>
      <c r="M160" s="114">
        <v>42870</v>
      </c>
      <c r="N160" s="114"/>
      <c r="O160" s="114">
        <v>42879</v>
      </c>
      <c r="P160" s="114">
        <v>42879</v>
      </c>
      <c r="Q160" s="114">
        <v>42888</v>
      </c>
      <c r="R160" s="100"/>
      <c r="S160" s="114"/>
      <c r="T160" s="75"/>
      <c r="U160" s="75"/>
      <c r="V160" s="75"/>
      <c r="W160" s="75">
        <v>4</v>
      </c>
      <c r="X160" s="75">
        <v>36501</v>
      </c>
      <c r="Y160" s="75" t="str">
        <f ca="1">IF(I160="",IF(D160="","",IF(W160+X160&lt;15,"Données Nb pers ou RFR manquantes",IF(COUNTA(INDIRECT("TabRFR["&amp;YEAR(D160)&amp;"]"))&lt;&gt;COUNTA(TabRFR[Recherche RFR]),"Data RFR manquantes", IF(X160&lt;=INDEX(TabRFR[[2021]:[2025]],MATCH(BD!W160&amp;"-Très modestes",TabRFR[Recherche RFR],0),MATCH(TEXT(YEAR(BD!D160),"Standard"),TabRFR[[#Headers],[2021]:[2025]],0)),"Très Modeste",IF(X160&lt;=INDEX(TabRFR[[2021]:[2025]],MATCH(BD!W160&amp;"-modestes",TabRFR[Recherche RFR],0),MATCH(TEXT(YEAR(BD!D160),"Standard"),TabRFR[[#Headers],[2021]:[2025]],0)),"Modeste",IF(X160&lt;=INDEX(TabRFR[[2021]:[2025]],MATCH(BD!W160&amp;"-Intermédiaire",TabRFR[Recherche RFR],0),MATCH(TEXT(YEAR(BD!D160),"Standard"),TabRFR[[#Headers],[2021]:[2025]],0)),"Intermédiaire","Supérieur")))))),IF(D160="","",IF(W160+X160&lt;15,"Données Nb pers ou RFR manquantes",IF(COUNTA(INDIRECT("TabRFR["&amp;YEAR(I160)&amp;"]"))&lt;&gt;COUNTA(TabRFR[Recherche RFR]),"Data RFR manquantes", IF(X160&lt;=INDEX(TabRFR[[2021]:[2025]],MATCH(BD!W160&amp;"-Très modestes",TabRFR[Recherche RFR],0),MATCH(TEXT(YEAR(BD!I160),"Standard"),TabRFR[[#Headers],[2021]:[2025]],0)),"Très Modeste",IF(X160&lt;=INDEX(TabRFR[[2021]:[2025]],MATCH(BD!W160&amp;"-modestes",TabRFR[Recherche RFR],0),MATCH(TEXT(YEAR(BD!I160),"Standard"),TabRFR[[#Headers],[2021]:[2025]],0)),"Modeste",IF(X160&lt;=INDEX(TabRFR[[2021]:[2025]],MATCH(BD!W160&amp;"-Intermédiaire",TabRFR[Recherche RFR],0),MATCH(TEXT(YEAR(BD!I160),"Standard"),TabRFR[[#Headers],[2021]:[2025]],0)),"Intermédiaire","Supérieur")))))))</f>
        <v>Data RFR manquantes</v>
      </c>
      <c r="Z160" s="75"/>
      <c r="AA160" s="75" t="s">
        <v>93</v>
      </c>
      <c r="AB160" s="75">
        <v>38500</v>
      </c>
      <c r="AC160" s="75" t="s">
        <v>94</v>
      </c>
      <c r="AD160" s="73"/>
      <c r="AE160" s="102"/>
      <c r="AF160" s="75" t="s">
        <v>95</v>
      </c>
      <c r="AG160" s="75"/>
      <c r="AH160" s="75">
        <v>2016</v>
      </c>
      <c r="AI160" s="75"/>
      <c r="AJ160" s="75"/>
      <c r="AK160" s="75"/>
      <c r="AL160" s="75"/>
      <c r="AM160" s="75" t="s">
        <v>4167</v>
      </c>
      <c r="AN160" s="75" t="s">
        <v>3996</v>
      </c>
      <c r="AO160" s="75" t="s">
        <v>1653</v>
      </c>
      <c r="AP160" s="75" t="s">
        <v>97</v>
      </c>
      <c r="AQ160" s="75"/>
      <c r="AR160" s="75"/>
      <c r="AS160" s="102" t="s">
        <v>536</v>
      </c>
      <c r="AT160" s="101" t="s">
        <v>1652</v>
      </c>
      <c r="AU160" s="75" t="s">
        <v>111</v>
      </c>
      <c r="AV160" s="75" t="s">
        <v>1570</v>
      </c>
      <c r="AW160" s="75" t="s">
        <v>100</v>
      </c>
      <c r="AX160" s="75" t="s">
        <v>112</v>
      </c>
      <c r="AY160" s="75" t="s">
        <v>1651</v>
      </c>
      <c r="AZ160" s="75" t="s">
        <v>1650</v>
      </c>
      <c r="BA160" s="75">
        <v>27</v>
      </c>
      <c r="BB160" s="75">
        <v>10</v>
      </c>
      <c r="BC160" s="75">
        <v>76</v>
      </c>
      <c r="BD160" s="75">
        <v>0.09</v>
      </c>
      <c r="BE160" s="75" t="s">
        <v>97</v>
      </c>
      <c r="BF160" s="75">
        <v>870.3</v>
      </c>
      <c r="BG160" s="75">
        <v>600</v>
      </c>
      <c r="BH160" s="75"/>
      <c r="BI160" s="75"/>
      <c r="BJ160" s="75"/>
      <c r="BK160" s="75"/>
      <c r="BL160" s="75">
        <f t="shared" si="6"/>
        <v>600</v>
      </c>
      <c r="BM160" s="103">
        <f t="shared" si="7"/>
        <v>33</v>
      </c>
      <c r="BN160" s="103">
        <f t="shared" si="8"/>
        <v>633</v>
      </c>
      <c r="BO160" s="103">
        <v>1503.3</v>
      </c>
      <c r="BP160" s="75" t="s">
        <v>97</v>
      </c>
      <c r="BQ160" s="75"/>
      <c r="BR160" s="75"/>
      <c r="BS160" s="157">
        <v>2017</v>
      </c>
      <c r="BT160">
        <v>2020</v>
      </c>
      <c r="BU160">
        <v>2017</v>
      </c>
    </row>
    <row r="161" spans="1:73" ht="43.15" customHeight="1" x14ac:dyDescent="0.25">
      <c r="A161" s="242" t="s">
        <v>186</v>
      </c>
      <c r="B161" s="242" t="s">
        <v>1649</v>
      </c>
      <c r="C161" s="159">
        <v>400</v>
      </c>
      <c r="D161" s="114">
        <v>42772</v>
      </c>
      <c r="E161" s="114"/>
      <c r="F161" s="114" t="s">
        <v>1648</v>
      </c>
      <c r="G161" s="114"/>
      <c r="H161" s="114">
        <v>42788</v>
      </c>
      <c r="I161" s="114">
        <v>42788</v>
      </c>
      <c r="J161" s="114">
        <v>42801</v>
      </c>
      <c r="K161" s="114"/>
      <c r="L161" s="114">
        <v>42870</v>
      </c>
      <c r="M161" s="114">
        <v>42860</v>
      </c>
      <c r="N161" s="114" t="s">
        <v>1647</v>
      </c>
      <c r="O161" s="114">
        <v>42879</v>
      </c>
      <c r="P161" s="114">
        <v>42879</v>
      </c>
      <c r="Q161" s="114">
        <v>42888</v>
      </c>
      <c r="R161" s="80"/>
      <c r="S161" s="114"/>
      <c r="T161" s="75"/>
      <c r="U161" s="75"/>
      <c r="V161" s="75"/>
      <c r="W161" s="75">
        <v>3</v>
      </c>
      <c r="X161" s="75">
        <v>55115</v>
      </c>
      <c r="Y161" s="75" t="str">
        <f ca="1">IF(I161="",IF(D161="","",IF(W161+X161&lt;15,"Données Nb pers ou RFR manquantes",IF(COUNTA(INDIRECT("TabRFR["&amp;YEAR(D161)&amp;"]"))&lt;&gt;COUNTA(TabRFR[Recherche RFR]),"Data RFR manquantes", IF(X161&lt;=INDEX(TabRFR[[2021]:[2025]],MATCH(BD!W161&amp;"-Très modestes",TabRFR[Recherche RFR],0),MATCH(TEXT(YEAR(BD!D161),"Standard"),TabRFR[[#Headers],[2021]:[2025]],0)),"Très Modeste",IF(X161&lt;=INDEX(TabRFR[[2021]:[2025]],MATCH(BD!W161&amp;"-modestes",TabRFR[Recherche RFR],0),MATCH(TEXT(YEAR(BD!D161),"Standard"),TabRFR[[#Headers],[2021]:[2025]],0)),"Modeste",IF(X161&lt;=INDEX(TabRFR[[2021]:[2025]],MATCH(BD!W161&amp;"-Intermédiaire",TabRFR[Recherche RFR],0),MATCH(TEXT(YEAR(BD!D161),"Standard"),TabRFR[[#Headers],[2021]:[2025]],0)),"Intermédiaire","Supérieur")))))),IF(D161="","",IF(W161+X161&lt;15,"Données Nb pers ou RFR manquantes",IF(COUNTA(INDIRECT("TabRFR["&amp;YEAR(I161)&amp;"]"))&lt;&gt;COUNTA(TabRFR[Recherche RFR]),"Data RFR manquantes", IF(X161&lt;=INDEX(TabRFR[[2021]:[2025]],MATCH(BD!W161&amp;"-Très modestes",TabRFR[Recherche RFR],0),MATCH(TEXT(YEAR(BD!I161),"Standard"),TabRFR[[#Headers],[2021]:[2025]],0)),"Très Modeste",IF(X161&lt;=INDEX(TabRFR[[2021]:[2025]],MATCH(BD!W161&amp;"-modestes",TabRFR[Recherche RFR],0),MATCH(TEXT(YEAR(BD!I161),"Standard"),TabRFR[[#Headers],[2021]:[2025]],0)),"Modeste",IF(X161&lt;=INDEX(TabRFR[[2021]:[2025]],MATCH(BD!W161&amp;"-Intermédiaire",TabRFR[Recherche RFR],0),MATCH(TEXT(YEAR(BD!I161),"Standard"),TabRFR[[#Headers],[2021]:[2025]],0)),"Intermédiaire","Supérieur")))))))</f>
        <v>Data RFR manquantes</v>
      </c>
      <c r="Z161" s="75"/>
      <c r="AA161" s="75" t="s">
        <v>490</v>
      </c>
      <c r="AB161" s="75">
        <v>38140</v>
      </c>
      <c r="AC161" s="75" t="s">
        <v>2357</v>
      </c>
      <c r="AD161" s="73"/>
      <c r="AE161" s="102"/>
      <c r="AF161" s="75" t="s">
        <v>95</v>
      </c>
      <c r="AG161" s="75"/>
      <c r="AH161" s="75"/>
      <c r="AI161" s="75"/>
      <c r="AJ161" s="75"/>
      <c r="AK161" s="75"/>
      <c r="AL161" s="75"/>
      <c r="AM161" s="75" t="s">
        <v>4356</v>
      </c>
      <c r="AN161" s="75" t="s">
        <v>96</v>
      </c>
      <c r="AO161" s="75" t="s">
        <v>1643</v>
      </c>
      <c r="AP161" s="75" t="s">
        <v>97</v>
      </c>
      <c r="AQ161" s="75"/>
      <c r="AR161" s="75" t="s">
        <v>1642</v>
      </c>
      <c r="AS161" s="102" t="s">
        <v>120</v>
      </c>
      <c r="AT161" s="101">
        <v>476071461</v>
      </c>
      <c r="AU161" s="75" t="s">
        <v>111</v>
      </c>
      <c r="AV161" s="75">
        <v>1997</v>
      </c>
      <c r="AW161" s="75" t="s">
        <v>100</v>
      </c>
      <c r="AX161" s="75" t="s">
        <v>112</v>
      </c>
      <c r="AY161" s="75" t="s">
        <v>1641</v>
      </c>
      <c r="AZ161" s="75" t="s">
        <v>1640</v>
      </c>
      <c r="BA161" s="75">
        <v>18</v>
      </c>
      <c r="BB161" s="75">
        <v>8</v>
      </c>
      <c r="BC161" s="75">
        <v>88</v>
      </c>
      <c r="BD161" s="75">
        <v>7.0000000000000007E-2</v>
      </c>
      <c r="BE161" s="75" t="s">
        <v>97</v>
      </c>
      <c r="BF161" s="75">
        <v>4664</v>
      </c>
      <c r="BG161" s="75">
        <f>BF161</f>
        <v>4664</v>
      </c>
      <c r="BH161" s="75"/>
      <c r="BI161" s="75"/>
      <c r="BJ161" s="75"/>
      <c r="BK161" s="75"/>
      <c r="BL161" s="75">
        <f t="shared" si="6"/>
        <v>4664</v>
      </c>
      <c r="BM161" s="103">
        <f t="shared" si="7"/>
        <v>256.52</v>
      </c>
      <c r="BN161" s="103">
        <f t="shared" si="8"/>
        <v>4920.5200000000004</v>
      </c>
      <c r="BO161" s="103">
        <v>3827.16</v>
      </c>
      <c r="BP161" s="75" t="s">
        <v>104</v>
      </c>
      <c r="BQ161" s="75"/>
      <c r="BR161" s="75"/>
      <c r="BS161" s="157">
        <v>2017</v>
      </c>
      <c r="BT161">
        <v>2020</v>
      </c>
      <c r="BU161">
        <v>2017</v>
      </c>
    </row>
    <row r="162" spans="1:73" ht="43.15" customHeight="1" x14ac:dyDescent="0.25">
      <c r="A162" s="242" t="s">
        <v>186</v>
      </c>
      <c r="B162" s="242" t="s">
        <v>1639</v>
      </c>
      <c r="C162" s="159">
        <v>400</v>
      </c>
      <c r="D162" s="114">
        <v>42774</v>
      </c>
      <c r="E162" s="114"/>
      <c r="F162" s="114"/>
      <c r="G162" s="114"/>
      <c r="H162" s="114">
        <v>42774</v>
      </c>
      <c r="I162" s="114">
        <v>42774</v>
      </c>
      <c r="J162" s="114">
        <v>42787</v>
      </c>
      <c r="K162" s="114"/>
      <c r="L162" s="114">
        <v>42830</v>
      </c>
      <c r="M162" s="114">
        <v>42793</v>
      </c>
      <c r="N162" s="114"/>
      <c r="O162" s="114">
        <v>42830</v>
      </c>
      <c r="P162" s="114">
        <v>42830</v>
      </c>
      <c r="Q162" s="114">
        <v>42839</v>
      </c>
      <c r="R162" s="80"/>
      <c r="S162" s="114"/>
      <c r="T162" s="75"/>
      <c r="U162" s="75"/>
      <c r="V162" s="75"/>
      <c r="W162" s="75">
        <v>2</v>
      </c>
      <c r="X162" s="75">
        <f>19351+44020</f>
        <v>63371</v>
      </c>
      <c r="Y162" s="75" t="str">
        <f ca="1">IF(I162="",IF(D162="","",IF(W162+X162&lt;15,"Données Nb pers ou RFR manquantes",IF(COUNTA(INDIRECT("TabRFR["&amp;YEAR(D162)&amp;"]"))&lt;&gt;COUNTA(TabRFR[Recherche RFR]),"Data RFR manquantes", IF(X162&lt;=INDEX(TabRFR[[2021]:[2025]],MATCH(BD!W162&amp;"-Très modestes",TabRFR[Recherche RFR],0),MATCH(TEXT(YEAR(BD!D162),"Standard"),TabRFR[[#Headers],[2021]:[2025]],0)),"Très Modeste",IF(X162&lt;=INDEX(TabRFR[[2021]:[2025]],MATCH(BD!W162&amp;"-modestes",TabRFR[Recherche RFR],0),MATCH(TEXT(YEAR(BD!D162),"Standard"),TabRFR[[#Headers],[2021]:[2025]],0)),"Modeste",IF(X162&lt;=INDEX(TabRFR[[2021]:[2025]],MATCH(BD!W162&amp;"-Intermédiaire",TabRFR[Recherche RFR],0),MATCH(TEXT(YEAR(BD!D162),"Standard"),TabRFR[[#Headers],[2021]:[2025]],0)),"Intermédiaire","Supérieur")))))),IF(D162="","",IF(W162+X162&lt;15,"Données Nb pers ou RFR manquantes",IF(COUNTA(INDIRECT("TabRFR["&amp;YEAR(I162)&amp;"]"))&lt;&gt;COUNTA(TabRFR[Recherche RFR]),"Data RFR manquantes", IF(X162&lt;=INDEX(TabRFR[[2021]:[2025]],MATCH(BD!W162&amp;"-Très modestes",TabRFR[Recherche RFR],0),MATCH(TEXT(YEAR(BD!I162),"Standard"),TabRFR[[#Headers],[2021]:[2025]],0)),"Très Modeste",IF(X162&lt;=INDEX(TabRFR[[2021]:[2025]],MATCH(BD!W162&amp;"-modestes",TabRFR[Recherche RFR],0),MATCH(TEXT(YEAR(BD!I162),"Standard"),TabRFR[[#Headers],[2021]:[2025]],0)),"Modeste",IF(X162&lt;=INDEX(TabRFR[[2021]:[2025]],MATCH(BD!W162&amp;"-Intermédiaire",TabRFR[Recherche RFR],0),MATCH(TEXT(YEAR(BD!I162),"Standard"),TabRFR[[#Headers],[2021]:[2025]],0)),"Intermédiaire","Supérieur")))))))</f>
        <v>Data RFR manquantes</v>
      </c>
      <c r="Z162" s="75"/>
      <c r="AA162" s="75" t="s">
        <v>1637</v>
      </c>
      <c r="AB162" s="75">
        <v>38430</v>
      </c>
      <c r="AC162" s="75" t="s">
        <v>3202</v>
      </c>
      <c r="AD162" s="73"/>
      <c r="AE162" s="102"/>
      <c r="AF162" s="75" t="s">
        <v>95</v>
      </c>
      <c r="AG162" s="75"/>
      <c r="AH162" s="75">
        <v>42675</v>
      </c>
      <c r="AI162" s="75"/>
      <c r="AJ162" s="75"/>
      <c r="AK162" s="75"/>
      <c r="AL162" s="75"/>
      <c r="AM162" s="75" t="s">
        <v>218</v>
      </c>
      <c r="AN162" s="75" t="s">
        <v>217</v>
      </c>
      <c r="AO162" s="75" t="s">
        <v>219</v>
      </c>
      <c r="AP162" s="75" t="s">
        <v>97</v>
      </c>
      <c r="AQ162" s="75"/>
      <c r="AR162" s="75"/>
      <c r="AS162" s="102" t="s">
        <v>220</v>
      </c>
      <c r="AT162" s="101">
        <v>476355605</v>
      </c>
      <c r="AU162" s="75" t="s">
        <v>100</v>
      </c>
      <c r="AV162" s="75" t="s">
        <v>112</v>
      </c>
      <c r="AW162" s="75" t="s">
        <v>100</v>
      </c>
      <c r="AX162" s="75" t="s">
        <v>112</v>
      </c>
      <c r="AY162" s="75" t="s">
        <v>1603</v>
      </c>
      <c r="AZ162" s="75" t="s">
        <v>1635</v>
      </c>
      <c r="BA162" s="75">
        <v>34</v>
      </c>
      <c r="BB162" s="75">
        <v>7</v>
      </c>
      <c r="BC162" s="75">
        <v>80</v>
      </c>
      <c r="BD162" s="75">
        <v>0.08</v>
      </c>
      <c r="BE162" s="75" t="s">
        <v>97</v>
      </c>
      <c r="BF162" s="75">
        <v>5742.2</v>
      </c>
      <c r="BG162" s="75">
        <f>975+BF162</f>
        <v>6717.2</v>
      </c>
      <c r="BH162" s="75"/>
      <c r="BI162" s="75"/>
      <c r="BJ162" s="75"/>
      <c r="BK162" s="75"/>
      <c r="BL162" s="75">
        <f t="shared" si="6"/>
        <v>6717.2</v>
      </c>
      <c r="BM162" s="103">
        <f t="shared" si="7"/>
        <v>369.44599999999997</v>
      </c>
      <c r="BN162" s="103">
        <f t="shared" si="8"/>
        <v>7086.6459999999997</v>
      </c>
      <c r="BO162" s="103">
        <v>7086.65</v>
      </c>
      <c r="BP162" s="75" t="s">
        <v>97</v>
      </c>
      <c r="BQ162" s="75"/>
      <c r="BR162" s="75"/>
      <c r="BS162" s="157">
        <v>2017</v>
      </c>
      <c r="BT162">
        <v>2020</v>
      </c>
      <c r="BU162">
        <v>2017</v>
      </c>
    </row>
    <row r="163" spans="1:73" ht="43.15" customHeight="1" x14ac:dyDescent="0.25">
      <c r="A163" s="242" t="s">
        <v>186</v>
      </c>
      <c r="B163" s="242" t="s">
        <v>1634</v>
      </c>
      <c r="C163" s="159">
        <v>400</v>
      </c>
      <c r="D163" s="114">
        <v>42776</v>
      </c>
      <c r="E163" s="114"/>
      <c r="F163" s="114"/>
      <c r="G163" s="114"/>
      <c r="H163" s="114">
        <v>42808</v>
      </c>
      <c r="I163" s="114">
        <v>42808</v>
      </c>
      <c r="J163" s="114">
        <v>42824</v>
      </c>
      <c r="K163" s="114"/>
      <c r="L163" s="114">
        <v>42839</v>
      </c>
      <c r="M163" s="114">
        <v>41735</v>
      </c>
      <c r="N163" s="114"/>
      <c r="O163" s="114">
        <v>42844</v>
      </c>
      <c r="P163" s="114">
        <v>42844</v>
      </c>
      <c r="Q163" s="114">
        <v>42846</v>
      </c>
      <c r="R163" s="80"/>
      <c r="S163" s="114"/>
      <c r="T163" s="75"/>
      <c r="U163" s="75"/>
      <c r="V163" s="75"/>
      <c r="W163" s="75">
        <v>4</v>
      </c>
      <c r="X163" s="75">
        <v>58164</v>
      </c>
      <c r="Y163" s="75" t="str">
        <f ca="1">IF(I163="",IF(D163="","",IF(W163+X163&lt;15,"Données Nb pers ou RFR manquantes",IF(COUNTA(INDIRECT("TabRFR["&amp;YEAR(D163)&amp;"]"))&lt;&gt;COUNTA(TabRFR[Recherche RFR]),"Data RFR manquantes", IF(X163&lt;=INDEX(TabRFR[[2021]:[2025]],MATCH(BD!W163&amp;"-Très modestes",TabRFR[Recherche RFR],0),MATCH(TEXT(YEAR(BD!D163),"Standard"),TabRFR[[#Headers],[2021]:[2025]],0)),"Très Modeste",IF(X163&lt;=INDEX(TabRFR[[2021]:[2025]],MATCH(BD!W163&amp;"-modestes",TabRFR[Recherche RFR],0),MATCH(TEXT(YEAR(BD!D163),"Standard"),TabRFR[[#Headers],[2021]:[2025]],0)),"Modeste",IF(X163&lt;=INDEX(TabRFR[[2021]:[2025]],MATCH(BD!W163&amp;"-Intermédiaire",TabRFR[Recherche RFR],0),MATCH(TEXT(YEAR(BD!D163),"Standard"),TabRFR[[#Headers],[2021]:[2025]],0)),"Intermédiaire","Supérieur")))))),IF(D163="","",IF(W163+X163&lt;15,"Données Nb pers ou RFR manquantes",IF(COUNTA(INDIRECT("TabRFR["&amp;YEAR(I163)&amp;"]"))&lt;&gt;COUNTA(TabRFR[Recherche RFR]),"Data RFR manquantes", IF(X163&lt;=INDEX(TabRFR[[2021]:[2025]],MATCH(BD!W163&amp;"-Très modestes",TabRFR[Recherche RFR],0),MATCH(TEXT(YEAR(BD!I163),"Standard"),TabRFR[[#Headers],[2021]:[2025]],0)),"Très Modeste",IF(X163&lt;=INDEX(TabRFR[[2021]:[2025]],MATCH(BD!W163&amp;"-modestes",TabRFR[Recherche RFR],0),MATCH(TEXT(YEAR(BD!I163),"Standard"),TabRFR[[#Headers],[2021]:[2025]],0)),"Modeste",IF(X163&lt;=INDEX(TabRFR[[2021]:[2025]],MATCH(BD!W163&amp;"-Intermédiaire",TabRFR[Recherche RFR],0),MATCH(TEXT(YEAR(BD!I163),"Standard"),TabRFR[[#Headers],[2021]:[2025]],0)),"Intermédiaire","Supérieur")))))))</f>
        <v>Data RFR manquantes</v>
      </c>
      <c r="Z163" s="75"/>
      <c r="AA163" s="75" t="s">
        <v>1631</v>
      </c>
      <c r="AB163" s="75">
        <v>38500</v>
      </c>
      <c r="AC163" s="75" t="s">
        <v>118</v>
      </c>
      <c r="AD163" s="73"/>
      <c r="AE163" s="102"/>
      <c r="AF163" s="75" t="s">
        <v>95</v>
      </c>
      <c r="AG163" s="75"/>
      <c r="AH163" s="75">
        <v>42795</v>
      </c>
      <c r="AI163" s="75">
        <v>92</v>
      </c>
      <c r="AJ163" s="75" t="s">
        <v>1629</v>
      </c>
      <c r="AK163" s="75">
        <v>38500</v>
      </c>
      <c r="AL163" s="75" t="s">
        <v>118</v>
      </c>
      <c r="AM163" s="75" t="s">
        <v>4359</v>
      </c>
      <c r="AN163" s="75" t="s">
        <v>829</v>
      </c>
      <c r="AO163" s="75" t="s">
        <v>1392</v>
      </c>
      <c r="AP163" s="75" t="s">
        <v>97</v>
      </c>
      <c r="AQ163" s="75"/>
      <c r="AR163" s="75"/>
      <c r="AS163" s="102" t="s">
        <v>491</v>
      </c>
      <c r="AT163" s="101">
        <v>476452433</v>
      </c>
      <c r="AU163" s="75" t="s">
        <v>430</v>
      </c>
      <c r="AV163" s="75" t="s">
        <v>112</v>
      </c>
      <c r="AW163" s="75" t="s">
        <v>100</v>
      </c>
      <c r="AX163" s="75" t="s">
        <v>112</v>
      </c>
      <c r="AY163" s="75" t="s">
        <v>492</v>
      </c>
      <c r="AZ163" s="75" t="s">
        <v>1628</v>
      </c>
      <c r="BA163" s="75">
        <v>35</v>
      </c>
      <c r="BB163" s="75">
        <v>6.8</v>
      </c>
      <c r="BC163" s="75">
        <v>80</v>
      </c>
      <c r="BD163" s="75">
        <v>7.0000000000000007E-2</v>
      </c>
      <c r="BE163" s="75" t="s">
        <v>97</v>
      </c>
      <c r="BF163" s="75">
        <v>3794.81</v>
      </c>
      <c r="BG163" s="75">
        <v>1135.3499999999999</v>
      </c>
      <c r="BH163" s="75"/>
      <c r="BI163" s="75"/>
      <c r="BJ163" s="75"/>
      <c r="BK163" s="75"/>
      <c r="BL163" s="75">
        <f t="shared" si="6"/>
        <v>1135.3499999999999</v>
      </c>
      <c r="BM163" s="103">
        <f t="shared" si="7"/>
        <v>62.444249999999997</v>
      </c>
      <c r="BN163" s="103">
        <f t="shared" si="8"/>
        <v>1197.7942499999999</v>
      </c>
      <c r="BO163" s="103"/>
      <c r="BP163" s="75" t="s">
        <v>97</v>
      </c>
      <c r="BQ163" s="75"/>
      <c r="BR163" s="75"/>
      <c r="BS163" s="157">
        <v>2017</v>
      </c>
      <c r="BT163">
        <v>2020</v>
      </c>
      <c r="BU163">
        <v>2017</v>
      </c>
    </row>
    <row r="164" spans="1:73" ht="43.15" customHeight="1" x14ac:dyDescent="0.25">
      <c r="A164" s="242" t="s">
        <v>186</v>
      </c>
      <c r="B164" s="242" t="s">
        <v>1627</v>
      </c>
      <c r="C164" s="159">
        <v>400</v>
      </c>
      <c r="D164" s="114">
        <v>42779</v>
      </c>
      <c r="E164" s="114"/>
      <c r="F164" s="114" t="s">
        <v>1626</v>
      </c>
      <c r="G164" s="114"/>
      <c r="H164" s="114">
        <v>42796</v>
      </c>
      <c r="I164" s="114">
        <v>42796</v>
      </c>
      <c r="J164" s="114">
        <v>42801</v>
      </c>
      <c r="K164" s="114"/>
      <c r="L164" s="114">
        <v>42996</v>
      </c>
      <c r="M164" s="114">
        <v>42878</v>
      </c>
      <c r="N164" s="114" t="s">
        <v>1625</v>
      </c>
      <c r="O164" s="114">
        <v>43007</v>
      </c>
      <c r="P164" s="114">
        <v>43007</v>
      </c>
      <c r="Q164" s="114">
        <v>43021</v>
      </c>
      <c r="R164" s="80"/>
      <c r="S164" s="114"/>
      <c r="T164" s="75"/>
      <c r="U164" s="75"/>
      <c r="V164" s="75"/>
      <c r="W164" s="75">
        <v>5</v>
      </c>
      <c r="X164" s="75">
        <v>112172</v>
      </c>
      <c r="Y164" s="75" t="str">
        <f ca="1">IF(I164="",IF(D164="","",IF(W164+X164&lt;15,"Données Nb pers ou RFR manquantes",IF(COUNTA(INDIRECT("TabRFR["&amp;YEAR(D164)&amp;"]"))&lt;&gt;COUNTA(TabRFR[Recherche RFR]),"Data RFR manquantes", IF(X164&lt;=INDEX(TabRFR[[2021]:[2025]],MATCH(BD!W164&amp;"-Très modestes",TabRFR[Recherche RFR],0),MATCH(TEXT(YEAR(BD!D164),"Standard"),TabRFR[[#Headers],[2021]:[2025]],0)),"Très Modeste",IF(X164&lt;=INDEX(TabRFR[[2021]:[2025]],MATCH(BD!W164&amp;"-modestes",TabRFR[Recherche RFR],0),MATCH(TEXT(YEAR(BD!D164),"Standard"),TabRFR[[#Headers],[2021]:[2025]],0)),"Modeste",IF(X164&lt;=INDEX(TabRFR[[2021]:[2025]],MATCH(BD!W164&amp;"-Intermédiaire",TabRFR[Recherche RFR],0),MATCH(TEXT(YEAR(BD!D164),"Standard"),TabRFR[[#Headers],[2021]:[2025]],0)),"Intermédiaire","Supérieur")))))),IF(D164="","",IF(W164+X164&lt;15,"Données Nb pers ou RFR manquantes",IF(COUNTA(INDIRECT("TabRFR["&amp;YEAR(I164)&amp;"]"))&lt;&gt;COUNTA(TabRFR[Recherche RFR]),"Data RFR manquantes", IF(X164&lt;=INDEX(TabRFR[[2021]:[2025]],MATCH(BD!W164&amp;"-Très modestes",TabRFR[Recherche RFR],0),MATCH(TEXT(YEAR(BD!I164),"Standard"),TabRFR[[#Headers],[2021]:[2025]],0)),"Très Modeste",IF(X164&lt;=INDEX(TabRFR[[2021]:[2025]],MATCH(BD!W164&amp;"-modestes",TabRFR[Recherche RFR],0),MATCH(TEXT(YEAR(BD!I164),"Standard"),TabRFR[[#Headers],[2021]:[2025]],0)),"Modeste",IF(X164&lt;=INDEX(TabRFR[[2021]:[2025]],MATCH(BD!W164&amp;"-Intermédiaire",TabRFR[Recherche RFR],0),MATCH(TEXT(YEAR(BD!I164),"Standard"),TabRFR[[#Headers],[2021]:[2025]],0)),"Intermédiaire","Supérieur")))))))</f>
        <v>Data RFR manquantes</v>
      </c>
      <c r="Z164" s="75"/>
      <c r="AA164" s="75" t="s">
        <v>1623</v>
      </c>
      <c r="AB164" s="75">
        <v>38500</v>
      </c>
      <c r="AC164" s="75" t="s">
        <v>96</v>
      </c>
      <c r="AD164" s="73"/>
      <c r="AE164" s="102"/>
      <c r="AF164" s="75" t="s">
        <v>95</v>
      </c>
      <c r="AG164" s="75"/>
      <c r="AH164" s="75"/>
      <c r="AI164" s="75"/>
      <c r="AJ164" s="75"/>
      <c r="AK164" s="75"/>
      <c r="AL164" s="75"/>
      <c r="AM164" s="75" t="s">
        <v>1621</v>
      </c>
      <c r="AN164" s="75" t="s">
        <v>1620</v>
      </c>
      <c r="AO164" s="75" t="s">
        <v>1619</v>
      </c>
      <c r="AP164" s="75" t="s">
        <v>97</v>
      </c>
      <c r="AQ164" s="75"/>
      <c r="AR164" s="75"/>
      <c r="AS164" s="102" t="s">
        <v>1618</v>
      </c>
      <c r="AT164" s="101">
        <v>479750979</v>
      </c>
      <c r="AU164" s="75" t="s">
        <v>111</v>
      </c>
      <c r="AV164" s="75" t="s">
        <v>112</v>
      </c>
      <c r="AW164" s="75" t="s">
        <v>111</v>
      </c>
      <c r="AX164" s="75" t="s">
        <v>2071</v>
      </c>
      <c r="AY164" s="75" t="s">
        <v>102</v>
      </c>
      <c r="AZ164" s="75" t="s">
        <v>1617</v>
      </c>
      <c r="BA164" s="75">
        <v>19</v>
      </c>
      <c r="BB164" s="75">
        <v>11.4</v>
      </c>
      <c r="BC164" s="75">
        <v>92</v>
      </c>
      <c r="BD164" s="75">
        <v>0.01</v>
      </c>
      <c r="BE164" s="75" t="s">
        <v>97</v>
      </c>
      <c r="BF164" s="75">
        <v>4380.1099999999997</v>
      </c>
      <c r="BG164" s="75">
        <v>1469.18</v>
      </c>
      <c r="BH164" s="75"/>
      <c r="BI164" s="75"/>
      <c r="BJ164" s="75"/>
      <c r="BK164" s="75"/>
      <c r="BL164" s="75">
        <f t="shared" si="6"/>
        <v>1469.18</v>
      </c>
      <c r="BM164" s="103">
        <f t="shared" si="7"/>
        <v>80.804900000000004</v>
      </c>
      <c r="BN164" s="103">
        <f t="shared" si="8"/>
        <v>1549.9849000000002</v>
      </c>
      <c r="BO164" s="103">
        <v>4321.7700000000004</v>
      </c>
      <c r="BP164" s="75" t="s">
        <v>97</v>
      </c>
      <c r="BQ164" s="75"/>
      <c r="BR164" s="75"/>
      <c r="BS164" s="157">
        <v>2017</v>
      </c>
      <c r="BU164">
        <v>2017</v>
      </c>
    </row>
    <row r="165" spans="1:73" ht="43.15" customHeight="1" x14ac:dyDescent="0.25">
      <c r="A165" s="242" t="s">
        <v>186</v>
      </c>
      <c r="B165" s="242" t="s">
        <v>1616</v>
      </c>
      <c r="C165" s="159">
        <v>400</v>
      </c>
      <c r="D165" s="114">
        <v>42786</v>
      </c>
      <c r="E165" s="114"/>
      <c r="F165" s="114" t="s">
        <v>1615</v>
      </c>
      <c r="G165" s="114"/>
      <c r="H165" s="114">
        <v>42795</v>
      </c>
      <c r="I165" s="114">
        <v>42795</v>
      </c>
      <c r="J165" s="114">
        <v>42808</v>
      </c>
      <c r="K165" s="114"/>
      <c r="L165" s="114">
        <v>42991</v>
      </c>
      <c r="M165" s="114">
        <v>42964</v>
      </c>
      <c r="N165" s="114"/>
      <c r="O165" s="114">
        <v>42992</v>
      </c>
      <c r="P165" s="114">
        <v>42992</v>
      </c>
      <c r="Q165" s="114">
        <v>42999</v>
      </c>
      <c r="R165" s="80"/>
      <c r="S165" s="114"/>
      <c r="T165" s="75"/>
      <c r="U165" s="75"/>
      <c r="V165" s="75"/>
      <c r="W165" s="75">
        <v>2</v>
      </c>
      <c r="X165" s="75">
        <v>28606</v>
      </c>
      <c r="Y165" s="75" t="str">
        <f ca="1">IF(I165="",IF(D165="","",IF(W165+X165&lt;15,"Données Nb pers ou RFR manquantes",IF(COUNTA(INDIRECT("TabRFR["&amp;YEAR(D165)&amp;"]"))&lt;&gt;COUNTA(TabRFR[Recherche RFR]),"Data RFR manquantes", IF(X165&lt;=INDEX(TabRFR[[2021]:[2025]],MATCH(BD!W165&amp;"-Très modestes",TabRFR[Recherche RFR],0),MATCH(TEXT(YEAR(BD!D165),"Standard"),TabRFR[[#Headers],[2021]:[2025]],0)),"Très Modeste",IF(X165&lt;=INDEX(TabRFR[[2021]:[2025]],MATCH(BD!W165&amp;"-modestes",TabRFR[Recherche RFR],0),MATCH(TEXT(YEAR(BD!D165),"Standard"),TabRFR[[#Headers],[2021]:[2025]],0)),"Modeste",IF(X165&lt;=INDEX(TabRFR[[2021]:[2025]],MATCH(BD!W165&amp;"-Intermédiaire",TabRFR[Recherche RFR],0),MATCH(TEXT(YEAR(BD!D165),"Standard"),TabRFR[[#Headers],[2021]:[2025]],0)),"Intermédiaire","Supérieur")))))),IF(D165="","",IF(W165+X165&lt;15,"Données Nb pers ou RFR manquantes",IF(COUNTA(INDIRECT("TabRFR["&amp;YEAR(I165)&amp;"]"))&lt;&gt;COUNTA(TabRFR[Recherche RFR]),"Data RFR manquantes", IF(X165&lt;=INDEX(TabRFR[[2021]:[2025]],MATCH(BD!W165&amp;"-Très modestes",TabRFR[Recherche RFR],0),MATCH(TEXT(YEAR(BD!I165),"Standard"),TabRFR[[#Headers],[2021]:[2025]],0)),"Très Modeste",IF(X165&lt;=INDEX(TabRFR[[2021]:[2025]],MATCH(BD!W165&amp;"-modestes",TabRFR[Recherche RFR],0),MATCH(TEXT(YEAR(BD!I165),"Standard"),TabRFR[[#Headers],[2021]:[2025]],0)),"Modeste",IF(X165&lt;=INDEX(TabRFR[[2021]:[2025]],MATCH(BD!W165&amp;"-Intermédiaire",TabRFR[Recherche RFR],0),MATCH(TEXT(YEAR(BD!I165),"Standard"),TabRFR[[#Headers],[2021]:[2025]],0)),"Intermédiaire","Supérieur")))))))</f>
        <v>Data RFR manquantes</v>
      </c>
      <c r="Z165" s="75"/>
      <c r="AA165" s="75" t="s">
        <v>1613</v>
      </c>
      <c r="AB165" s="75">
        <v>38140</v>
      </c>
      <c r="AC165" s="75" t="s">
        <v>237</v>
      </c>
      <c r="AD165" s="73"/>
      <c r="AE165" s="102"/>
      <c r="AF165" s="75" t="s">
        <v>95</v>
      </c>
      <c r="AG165" s="75"/>
      <c r="AH165" s="75"/>
      <c r="AI165" s="75"/>
      <c r="AJ165" s="75"/>
      <c r="AK165" s="75"/>
      <c r="AL165" s="75"/>
      <c r="AM165" s="75" t="s">
        <v>4377</v>
      </c>
      <c r="AN165" s="75" t="s">
        <v>1611</v>
      </c>
      <c r="AO165" s="75" t="s">
        <v>244</v>
      </c>
      <c r="AP165" s="75" t="s">
        <v>97</v>
      </c>
      <c r="AQ165" s="75"/>
      <c r="AR165" s="75"/>
      <c r="AS165" s="102" t="s">
        <v>1610</v>
      </c>
      <c r="AT165" s="101">
        <v>682422021</v>
      </c>
      <c r="AU165" s="75" t="s">
        <v>430</v>
      </c>
      <c r="AV165" s="75" t="s">
        <v>112</v>
      </c>
      <c r="AW165" s="75" t="s">
        <v>100</v>
      </c>
      <c r="AX165" s="75" t="s">
        <v>112</v>
      </c>
      <c r="AY165" s="75" t="s">
        <v>243</v>
      </c>
      <c r="AZ165" s="75" t="s">
        <v>1609</v>
      </c>
      <c r="BA165" s="75">
        <v>32</v>
      </c>
      <c r="BB165" s="75">
        <v>9</v>
      </c>
      <c r="BC165" s="75">
        <v>81</v>
      </c>
      <c r="BD165" s="75">
        <v>7.0000000000000007E-2</v>
      </c>
      <c r="BE165" s="75" t="s">
        <v>97</v>
      </c>
      <c r="BF165" s="75">
        <v>5334.67</v>
      </c>
      <c r="BG165" s="75">
        <v>5334.67</v>
      </c>
      <c r="BH165" s="75"/>
      <c r="BI165" s="75"/>
      <c r="BJ165" s="75"/>
      <c r="BK165" s="75">
        <v>868</v>
      </c>
      <c r="BL165" s="75">
        <f t="shared" si="6"/>
        <v>6202.67</v>
      </c>
      <c r="BM165" s="103">
        <f t="shared" si="7"/>
        <v>341.14685000000003</v>
      </c>
      <c r="BN165" s="103">
        <f t="shared" si="8"/>
        <v>6543.8168500000002</v>
      </c>
      <c r="BO165" s="103">
        <v>5947.04</v>
      </c>
      <c r="BP165" s="75"/>
      <c r="BQ165" s="75"/>
      <c r="BR165" s="75"/>
      <c r="BS165" s="157">
        <v>2017</v>
      </c>
      <c r="BT165">
        <v>2020</v>
      </c>
      <c r="BU165">
        <v>2017</v>
      </c>
    </row>
    <row r="166" spans="1:73" ht="43.15" customHeight="1" x14ac:dyDescent="0.25">
      <c r="A166" s="242" t="s">
        <v>186</v>
      </c>
      <c r="B166" s="242" t="s">
        <v>1608</v>
      </c>
      <c r="C166" s="159">
        <v>800</v>
      </c>
      <c r="D166" s="114">
        <v>42788</v>
      </c>
      <c r="E166" s="114"/>
      <c r="F166" s="114"/>
      <c r="G166" s="114"/>
      <c r="H166" s="114">
        <v>42789</v>
      </c>
      <c r="I166" s="114">
        <v>42789</v>
      </c>
      <c r="J166" s="114">
        <v>42801</v>
      </c>
      <c r="K166" s="114"/>
      <c r="L166" s="114">
        <v>42996</v>
      </c>
      <c r="M166" s="114">
        <v>42953</v>
      </c>
      <c r="N166" s="114"/>
      <c r="O166" s="114">
        <v>43007</v>
      </c>
      <c r="P166" s="114">
        <v>43007</v>
      </c>
      <c r="Q166" s="114">
        <v>43021</v>
      </c>
      <c r="R166" s="100"/>
      <c r="S166" s="114"/>
      <c r="T166" s="75"/>
      <c r="U166" s="75"/>
      <c r="V166" s="75"/>
      <c r="W166" s="75">
        <v>4</v>
      </c>
      <c r="X166" s="75">
        <v>35340</v>
      </c>
      <c r="Y166" s="75" t="str">
        <f ca="1">IF(I166="",IF(D166="","",IF(W166+X166&lt;15,"Données Nb pers ou RFR manquantes",IF(COUNTA(INDIRECT("TabRFR["&amp;YEAR(D166)&amp;"]"))&lt;&gt;COUNTA(TabRFR[Recherche RFR]),"Data RFR manquantes", IF(X166&lt;=INDEX(TabRFR[[2021]:[2025]],MATCH(BD!W166&amp;"-Très modestes",TabRFR[Recherche RFR],0),MATCH(TEXT(YEAR(BD!D166),"Standard"),TabRFR[[#Headers],[2021]:[2025]],0)),"Très Modeste",IF(X166&lt;=INDEX(TabRFR[[2021]:[2025]],MATCH(BD!W166&amp;"-modestes",TabRFR[Recherche RFR],0),MATCH(TEXT(YEAR(BD!D166),"Standard"),TabRFR[[#Headers],[2021]:[2025]],0)),"Modeste",IF(X166&lt;=INDEX(TabRFR[[2021]:[2025]],MATCH(BD!W166&amp;"-Intermédiaire",TabRFR[Recherche RFR],0),MATCH(TEXT(YEAR(BD!D166),"Standard"),TabRFR[[#Headers],[2021]:[2025]],0)),"Intermédiaire","Supérieur")))))),IF(D166="","",IF(W166+X166&lt;15,"Données Nb pers ou RFR manquantes",IF(COUNTA(INDIRECT("TabRFR["&amp;YEAR(I166)&amp;"]"))&lt;&gt;COUNTA(TabRFR[Recherche RFR]),"Data RFR manquantes", IF(X166&lt;=INDEX(TabRFR[[2021]:[2025]],MATCH(BD!W166&amp;"-Très modestes",TabRFR[Recherche RFR],0),MATCH(TEXT(YEAR(BD!I166),"Standard"),TabRFR[[#Headers],[2021]:[2025]],0)),"Très Modeste",IF(X166&lt;=INDEX(TabRFR[[2021]:[2025]],MATCH(BD!W166&amp;"-modestes",TabRFR[Recherche RFR],0),MATCH(TEXT(YEAR(BD!I166),"Standard"),TabRFR[[#Headers],[2021]:[2025]],0)),"Modeste",IF(X166&lt;=INDEX(TabRFR[[2021]:[2025]],MATCH(BD!W166&amp;"-Intermédiaire",TabRFR[Recherche RFR],0),MATCH(TEXT(YEAR(BD!I166),"Standard"),TabRFR[[#Headers],[2021]:[2025]],0)),"Intermédiaire","Supérieur")))))))</f>
        <v>Data RFR manquantes</v>
      </c>
      <c r="Z166" s="75"/>
      <c r="AA166" s="75" t="s">
        <v>1605</v>
      </c>
      <c r="AB166" s="75">
        <v>38620</v>
      </c>
      <c r="AC166" s="75" t="s">
        <v>851</v>
      </c>
      <c r="AD166" s="73"/>
      <c r="AE166" s="102"/>
      <c r="AF166" s="75" t="s">
        <v>95</v>
      </c>
      <c r="AG166" s="75"/>
      <c r="AH166" s="75"/>
      <c r="AI166" s="75"/>
      <c r="AJ166" s="75"/>
      <c r="AK166" s="75"/>
      <c r="AL166" s="75"/>
      <c r="AM166" s="75" t="s">
        <v>218</v>
      </c>
      <c r="AN166" s="75" t="s">
        <v>217</v>
      </c>
      <c r="AO166" s="75" t="s">
        <v>219</v>
      </c>
      <c r="AP166" s="75" t="s">
        <v>97</v>
      </c>
      <c r="AQ166" s="75"/>
      <c r="AR166" s="75"/>
      <c r="AS166" s="102" t="s">
        <v>220</v>
      </c>
      <c r="AT166" s="101">
        <v>476355605</v>
      </c>
      <c r="AU166" s="75" t="s">
        <v>100</v>
      </c>
      <c r="AV166" s="75" t="s">
        <v>112</v>
      </c>
      <c r="AW166" s="75" t="s">
        <v>100</v>
      </c>
      <c r="AX166" s="75" t="s">
        <v>2071</v>
      </c>
      <c r="AY166" s="75" t="s">
        <v>1603</v>
      </c>
      <c r="AZ166" s="75" t="s">
        <v>580</v>
      </c>
      <c r="BA166" s="75">
        <v>8</v>
      </c>
      <c r="BB166" s="75">
        <v>8.1999999999999993</v>
      </c>
      <c r="BC166" s="75">
        <v>87.7</v>
      </c>
      <c r="BD166" s="75">
        <v>0.01</v>
      </c>
      <c r="BE166" s="75" t="s">
        <v>97</v>
      </c>
      <c r="BF166" s="75">
        <v>2470</v>
      </c>
      <c r="BG166" s="75">
        <v>425</v>
      </c>
      <c r="BH166" s="75"/>
      <c r="BI166" s="75"/>
      <c r="BJ166" s="75"/>
      <c r="BK166" s="75"/>
      <c r="BL166" s="75">
        <f t="shared" si="6"/>
        <v>425</v>
      </c>
      <c r="BM166" s="103">
        <f t="shared" si="7"/>
        <v>23.375</v>
      </c>
      <c r="BN166" s="103">
        <f t="shared" si="8"/>
        <v>448.375</v>
      </c>
      <c r="BO166" s="103">
        <v>3629.83</v>
      </c>
      <c r="BP166" s="75"/>
      <c r="BQ166" s="75"/>
      <c r="BR166" s="75"/>
      <c r="BS166" s="157">
        <v>2017</v>
      </c>
      <c r="BU166">
        <v>2017</v>
      </c>
    </row>
    <row r="167" spans="1:73" ht="43.15" customHeight="1" x14ac:dyDescent="0.25">
      <c r="A167" s="29" t="s">
        <v>186</v>
      </c>
      <c r="B167" s="29" t="s">
        <v>1602</v>
      </c>
      <c r="C167" s="161" t="s">
        <v>9</v>
      </c>
      <c r="D167" s="110">
        <v>42789</v>
      </c>
      <c r="E167" s="110"/>
      <c r="F167" s="110" t="s">
        <v>1601</v>
      </c>
      <c r="G167" s="110"/>
      <c r="H167" s="110">
        <v>42830</v>
      </c>
      <c r="I167" s="110">
        <v>42830</v>
      </c>
      <c r="J167" s="110">
        <v>42839</v>
      </c>
      <c r="K167" s="110"/>
      <c r="L167" s="110">
        <v>42857</v>
      </c>
      <c r="M167" s="110">
        <v>42787</v>
      </c>
      <c r="N167" s="110"/>
      <c r="O167" s="110"/>
      <c r="P167" s="110"/>
      <c r="Q167" s="110"/>
      <c r="R167" s="109"/>
      <c r="S167" s="110">
        <v>42860</v>
      </c>
      <c r="T167" s="111" t="s">
        <v>1600</v>
      </c>
      <c r="U167" s="111"/>
      <c r="V167" s="111"/>
      <c r="W167" s="111">
        <v>1</v>
      </c>
      <c r="X167" s="111">
        <v>22380</v>
      </c>
      <c r="Y167" s="75" t="str">
        <f ca="1">IF(I167="",IF(D167="","",IF(W167+X167&lt;15,"Données Nb pers ou RFR manquantes",IF(COUNTA(INDIRECT("TabRFR["&amp;YEAR(D167)&amp;"]"))&lt;&gt;COUNTA(TabRFR[Recherche RFR]),"Data RFR manquantes", IF(X167&lt;=INDEX(TabRFR[[2021]:[2025]],MATCH(BD!W167&amp;"-Très modestes",TabRFR[Recherche RFR],0),MATCH(TEXT(YEAR(BD!D167),"Standard"),TabRFR[[#Headers],[2021]:[2025]],0)),"Très Modeste",IF(X167&lt;=INDEX(TabRFR[[2021]:[2025]],MATCH(BD!W167&amp;"-modestes",TabRFR[Recherche RFR],0),MATCH(TEXT(YEAR(BD!D167),"Standard"),TabRFR[[#Headers],[2021]:[2025]],0)),"Modeste",IF(X167&lt;=INDEX(TabRFR[[2021]:[2025]],MATCH(BD!W167&amp;"-Intermédiaire",TabRFR[Recherche RFR],0),MATCH(TEXT(YEAR(BD!D167),"Standard"),TabRFR[[#Headers],[2021]:[2025]],0)),"Intermédiaire","Supérieur")))))),IF(D167="","",IF(W167+X167&lt;15,"Données Nb pers ou RFR manquantes",IF(COUNTA(INDIRECT("TabRFR["&amp;YEAR(I167)&amp;"]"))&lt;&gt;COUNTA(TabRFR[Recherche RFR]),"Data RFR manquantes", IF(X167&lt;=INDEX(TabRFR[[2021]:[2025]],MATCH(BD!W167&amp;"-Très modestes",TabRFR[Recherche RFR],0),MATCH(TEXT(YEAR(BD!I167),"Standard"),TabRFR[[#Headers],[2021]:[2025]],0)),"Très Modeste",IF(X167&lt;=INDEX(TabRFR[[2021]:[2025]],MATCH(BD!W167&amp;"-modestes",TabRFR[Recherche RFR],0),MATCH(TEXT(YEAR(BD!I167),"Standard"),TabRFR[[#Headers],[2021]:[2025]],0)),"Modeste",IF(X167&lt;=INDEX(TabRFR[[2021]:[2025]],MATCH(BD!W167&amp;"-Intermédiaire",TabRFR[Recherche RFR],0),MATCH(TEXT(YEAR(BD!I167),"Standard"),TabRFR[[#Headers],[2021]:[2025]],0)),"Intermédiaire","Supérieur")))))))</f>
        <v>Data RFR manquantes</v>
      </c>
      <c r="Z167" s="111"/>
      <c r="AA167" s="111" t="s">
        <v>1598</v>
      </c>
      <c r="AB167" s="111">
        <v>38340</v>
      </c>
      <c r="AC167" s="111" t="s">
        <v>108</v>
      </c>
      <c r="AD167" s="127"/>
      <c r="AE167" s="102"/>
      <c r="AF167" s="111" t="s">
        <v>95</v>
      </c>
      <c r="AG167" s="111"/>
      <c r="AH167" s="111">
        <v>1973</v>
      </c>
      <c r="AI167" s="111"/>
      <c r="AJ167" s="111"/>
      <c r="AK167" s="111"/>
      <c r="AL167" s="111"/>
      <c r="AM167" s="111" t="s">
        <v>4191</v>
      </c>
      <c r="AN167" s="111" t="s">
        <v>96</v>
      </c>
      <c r="AO167" s="111" t="s">
        <v>229</v>
      </c>
      <c r="AP167" s="111" t="s">
        <v>97</v>
      </c>
      <c r="AQ167" s="111"/>
      <c r="AR167" s="111"/>
      <c r="AS167" s="102" t="s">
        <v>230</v>
      </c>
      <c r="AT167" s="112">
        <v>476059938</v>
      </c>
      <c r="AU167" s="111" t="s">
        <v>111</v>
      </c>
      <c r="AV167" s="111" t="s">
        <v>112</v>
      </c>
      <c r="AW167" s="111" t="s">
        <v>100</v>
      </c>
      <c r="AX167" s="75" t="s">
        <v>2071</v>
      </c>
      <c r="AY167" s="111" t="s">
        <v>232</v>
      </c>
      <c r="AZ167" s="111" t="s">
        <v>564</v>
      </c>
      <c r="BA167" s="111">
        <v>15</v>
      </c>
      <c r="BB167" s="111">
        <v>8.1999999999999993</v>
      </c>
      <c r="BC167" s="111">
        <v>92</v>
      </c>
      <c r="BD167" s="111">
        <v>0</v>
      </c>
      <c r="BE167" s="111" t="s">
        <v>97</v>
      </c>
      <c r="BF167" s="111">
        <v>4292</v>
      </c>
      <c r="BG167" s="111">
        <v>1297</v>
      </c>
      <c r="BH167" s="111"/>
      <c r="BI167" s="111"/>
      <c r="BJ167" s="111"/>
      <c r="BK167" s="111"/>
      <c r="BL167" s="75">
        <f t="shared" si="6"/>
        <v>1297</v>
      </c>
      <c r="BM167" s="103">
        <f t="shared" si="7"/>
        <v>71.334999999999994</v>
      </c>
      <c r="BN167" s="103">
        <f t="shared" si="8"/>
        <v>1368.335</v>
      </c>
      <c r="BO167" s="113"/>
      <c r="BP167" s="111" t="s">
        <v>97</v>
      </c>
      <c r="BQ167" s="111"/>
      <c r="BR167" s="111"/>
      <c r="BS167" s="157">
        <v>2017</v>
      </c>
      <c r="BU167" t="s">
        <v>4180</v>
      </c>
    </row>
    <row r="168" spans="1:73" ht="43.15" customHeight="1" x14ac:dyDescent="0.25">
      <c r="A168" s="29" t="s">
        <v>186</v>
      </c>
      <c r="B168" s="29" t="s">
        <v>1597</v>
      </c>
      <c r="C168" s="161" t="s">
        <v>9</v>
      </c>
      <c r="D168" s="110">
        <v>42793</v>
      </c>
      <c r="E168" s="110"/>
      <c r="F168" s="110"/>
      <c r="G168" s="110"/>
      <c r="H168" s="110"/>
      <c r="I168" s="110"/>
      <c r="J168" s="216"/>
      <c r="K168" s="110"/>
      <c r="L168" s="110"/>
      <c r="M168" s="216"/>
      <c r="N168" s="110"/>
      <c r="O168" s="110"/>
      <c r="P168" s="110"/>
      <c r="Q168" s="110"/>
      <c r="R168" s="109"/>
      <c r="S168" s="110">
        <v>43888</v>
      </c>
      <c r="T168" s="111" t="s">
        <v>1091</v>
      </c>
      <c r="U168" s="111"/>
      <c r="V168" s="111"/>
      <c r="W168" s="111">
        <v>2</v>
      </c>
      <c r="X168" s="111"/>
      <c r="Y168" s="75" t="str">
        <f ca="1">IF(I168="",IF(D168="","",IF(W168+X168&lt;15,"Données Nb pers ou RFR manquantes",IF(COUNTA(INDIRECT("TabRFR["&amp;YEAR(D168)&amp;"]"))&lt;&gt;COUNTA(TabRFR[Recherche RFR]),"Data RFR manquantes", IF(X168&lt;=INDEX(TabRFR[[2021]:[2025]],MATCH(BD!W168&amp;"-Très modestes",TabRFR[Recherche RFR],0),MATCH(TEXT(YEAR(BD!D168),"Standard"),TabRFR[[#Headers],[2021]:[2025]],0)),"Très Modeste",IF(X168&lt;=INDEX(TabRFR[[2021]:[2025]],MATCH(BD!W168&amp;"-modestes",TabRFR[Recherche RFR],0),MATCH(TEXT(YEAR(BD!D168),"Standard"),TabRFR[[#Headers],[2021]:[2025]],0)),"Modeste",IF(X168&lt;=INDEX(TabRFR[[2021]:[2025]],MATCH(BD!W168&amp;"-Intermédiaire",TabRFR[Recherche RFR],0),MATCH(TEXT(YEAR(BD!D168),"Standard"),TabRFR[[#Headers],[2021]:[2025]],0)),"Intermédiaire","Supérieur")))))),IF(D168="","",IF(W168+X168&lt;15,"Données Nb pers ou RFR manquantes",IF(COUNTA(INDIRECT("TabRFR["&amp;YEAR(I168)&amp;"]"))&lt;&gt;COUNTA(TabRFR[Recherche RFR]),"Data RFR manquantes", IF(X168&lt;=INDEX(TabRFR[[2021]:[2025]],MATCH(BD!W168&amp;"-Très modestes",TabRFR[Recherche RFR],0),MATCH(TEXT(YEAR(BD!I168),"Standard"),TabRFR[[#Headers],[2021]:[2025]],0)),"Très Modeste",IF(X168&lt;=INDEX(TabRFR[[2021]:[2025]],MATCH(BD!W168&amp;"-modestes",TabRFR[Recherche RFR],0),MATCH(TEXT(YEAR(BD!I168),"Standard"),TabRFR[[#Headers],[2021]:[2025]],0)),"Modeste",IF(X168&lt;=INDEX(TabRFR[[2021]:[2025]],MATCH(BD!W168&amp;"-Intermédiaire",TabRFR[Recherche RFR],0),MATCH(TEXT(YEAR(BD!I168),"Standard"),TabRFR[[#Headers],[2021]:[2025]],0)),"Intermédiaire","Supérieur")))))))</f>
        <v>Données Nb pers ou RFR manquantes</v>
      </c>
      <c r="Z168" s="111"/>
      <c r="AA168" s="111" t="s">
        <v>1596</v>
      </c>
      <c r="AB168" s="111">
        <v>38380</v>
      </c>
      <c r="AC168" s="111" t="s">
        <v>4345</v>
      </c>
      <c r="AD168" s="127"/>
      <c r="AE168" s="102"/>
      <c r="AF168" s="111"/>
      <c r="AG168" s="111"/>
      <c r="AH168" s="111"/>
      <c r="AI168" s="111"/>
      <c r="AJ168" s="111"/>
      <c r="AK168" s="111"/>
      <c r="AL168" s="111"/>
      <c r="AM168" s="111"/>
      <c r="AN168" s="111"/>
      <c r="AO168" s="111"/>
      <c r="AP168" s="111"/>
      <c r="AQ168" s="111"/>
      <c r="AR168" s="111"/>
      <c r="AS168" s="102"/>
      <c r="AT168" s="112"/>
      <c r="AU168" s="111"/>
      <c r="AV168" s="111"/>
      <c r="AW168" s="111"/>
      <c r="AX168" s="111"/>
      <c r="AY168" s="111"/>
      <c r="AZ168" s="111"/>
      <c r="BA168" s="111"/>
      <c r="BB168" s="111"/>
      <c r="BC168" s="111"/>
      <c r="BD168" s="111"/>
      <c r="BE168" s="111"/>
      <c r="BF168" s="111"/>
      <c r="BG168" s="111"/>
      <c r="BH168" s="111"/>
      <c r="BI168" s="111"/>
      <c r="BJ168" s="111"/>
      <c r="BK168" s="111"/>
      <c r="BL168" s="75">
        <f t="shared" si="6"/>
        <v>0</v>
      </c>
      <c r="BM168" s="103">
        <f t="shared" si="7"/>
        <v>0</v>
      </c>
      <c r="BN168" s="103">
        <f t="shared" si="8"/>
        <v>0</v>
      </c>
      <c r="BO168" s="113"/>
      <c r="BP168" s="111"/>
      <c r="BQ168" s="111"/>
      <c r="BR168" s="111"/>
      <c r="BS168" s="157">
        <v>2017</v>
      </c>
      <c r="BU168" t="s">
        <v>4180</v>
      </c>
    </row>
    <row r="169" spans="1:73" ht="43.15" customHeight="1" x14ac:dyDescent="0.25">
      <c r="A169" s="242" t="s">
        <v>186</v>
      </c>
      <c r="B169" s="242" t="s">
        <v>1595</v>
      </c>
      <c r="C169" s="159">
        <v>800</v>
      </c>
      <c r="D169" s="114">
        <v>42795</v>
      </c>
      <c r="E169" s="114"/>
      <c r="F169" s="114"/>
      <c r="G169" s="114"/>
      <c r="H169" s="114">
        <v>42795</v>
      </c>
      <c r="I169" s="114">
        <v>42795</v>
      </c>
      <c r="J169" s="114">
        <v>42801</v>
      </c>
      <c r="K169" s="114"/>
      <c r="L169" s="114">
        <v>42908</v>
      </c>
      <c r="M169" s="114">
        <v>42895</v>
      </c>
      <c r="N169" s="114"/>
      <c r="O169" s="114">
        <v>42912</v>
      </c>
      <c r="P169" s="114">
        <v>42912</v>
      </c>
      <c r="Q169" s="114">
        <v>42916</v>
      </c>
      <c r="R169" s="100"/>
      <c r="S169" s="114"/>
      <c r="T169" s="75"/>
      <c r="U169" s="75"/>
      <c r="V169" s="75"/>
      <c r="W169" s="75">
        <v>2</v>
      </c>
      <c r="X169" s="75">
        <v>15885</v>
      </c>
      <c r="Y169" s="75" t="str">
        <f ca="1">IF(I169="",IF(D169="","",IF(W169+X169&lt;15,"Données Nb pers ou RFR manquantes",IF(COUNTA(INDIRECT("TabRFR["&amp;YEAR(D169)&amp;"]"))&lt;&gt;COUNTA(TabRFR[Recherche RFR]),"Data RFR manquantes", IF(X169&lt;=INDEX(TabRFR[[2021]:[2025]],MATCH(BD!W169&amp;"-Très modestes",TabRFR[Recherche RFR],0),MATCH(TEXT(YEAR(BD!D169),"Standard"),TabRFR[[#Headers],[2021]:[2025]],0)),"Très Modeste",IF(X169&lt;=INDEX(TabRFR[[2021]:[2025]],MATCH(BD!W169&amp;"-modestes",TabRFR[Recherche RFR],0),MATCH(TEXT(YEAR(BD!D169),"Standard"),TabRFR[[#Headers],[2021]:[2025]],0)),"Modeste",IF(X169&lt;=INDEX(TabRFR[[2021]:[2025]],MATCH(BD!W169&amp;"-Intermédiaire",TabRFR[Recherche RFR],0),MATCH(TEXT(YEAR(BD!D169),"Standard"),TabRFR[[#Headers],[2021]:[2025]],0)),"Intermédiaire","Supérieur")))))),IF(D169="","",IF(W169+X169&lt;15,"Données Nb pers ou RFR manquantes",IF(COUNTA(INDIRECT("TabRFR["&amp;YEAR(I169)&amp;"]"))&lt;&gt;COUNTA(TabRFR[Recherche RFR]),"Data RFR manquantes", IF(X169&lt;=INDEX(TabRFR[[2021]:[2025]],MATCH(BD!W169&amp;"-Très modestes",TabRFR[Recherche RFR],0),MATCH(TEXT(YEAR(BD!I169),"Standard"),TabRFR[[#Headers],[2021]:[2025]],0)),"Très Modeste",IF(X169&lt;=INDEX(TabRFR[[2021]:[2025]],MATCH(BD!W169&amp;"-modestes",TabRFR[Recherche RFR],0),MATCH(TEXT(YEAR(BD!I169),"Standard"),TabRFR[[#Headers],[2021]:[2025]],0)),"Modeste",IF(X169&lt;=INDEX(TabRFR[[2021]:[2025]],MATCH(BD!W169&amp;"-Intermédiaire",TabRFR[Recherche RFR],0),MATCH(TEXT(YEAR(BD!I169),"Standard"),TabRFR[[#Headers],[2021]:[2025]],0)),"Intermédiaire","Supérieur")))))))</f>
        <v>Data RFR manquantes</v>
      </c>
      <c r="Z169" s="75"/>
      <c r="AA169" s="75" t="s">
        <v>1592</v>
      </c>
      <c r="AB169" s="75">
        <v>38620</v>
      </c>
      <c r="AC169" s="75" t="s">
        <v>857</v>
      </c>
      <c r="AD169" s="73"/>
      <c r="AE169" s="102"/>
      <c r="AF169" s="75" t="s">
        <v>95</v>
      </c>
      <c r="AG169" s="75"/>
      <c r="AH169" s="75"/>
      <c r="AI169" s="75"/>
      <c r="AJ169" s="75"/>
      <c r="AK169" s="75"/>
      <c r="AL169" s="75"/>
      <c r="AM169" s="75" t="s">
        <v>4348</v>
      </c>
      <c r="AN169" s="75" t="s">
        <v>96</v>
      </c>
      <c r="AO169" s="75" t="s">
        <v>238</v>
      </c>
      <c r="AP169" s="75" t="s">
        <v>97</v>
      </c>
      <c r="AQ169" s="75"/>
      <c r="AR169" s="75"/>
      <c r="AS169" s="102" t="s">
        <v>1571</v>
      </c>
      <c r="AT169" s="101">
        <v>476323235</v>
      </c>
      <c r="AU169" s="75" t="s">
        <v>100</v>
      </c>
      <c r="AV169" s="75" t="s">
        <v>112</v>
      </c>
      <c r="AW169" s="75" t="s">
        <v>100</v>
      </c>
      <c r="AX169" s="75" t="s">
        <v>112</v>
      </c>
      <c r="AY169" s="75" t="s">
        <v>873</v>
      </c>
      <c r="AZ169" s="75">
        <v>13</v>
      </c>
      <c r="BA169" s="75">
        <v>12</v>
      </c>
      <c r="BB169" s="75">
        <v>9.1999999999999993</v>
      </c>
      <c r="BC169" s="75">
        <v>77</v>
      </c>
      <c r="BD169" s="75">
        <v>0.04</v>
      </c>
      <c r="BE169" s="75" t="s">
        <v>97</v>
      </c>
      <c r="BF169" s="75">
        <v>2529</v>
      </c>
      <c r="BG169" s="75">
        <f>BF169+220</f>
        <v>2749</v>
      </c>
      <c r="BH169" s="75"/>
      <c r="BI169" s="75"/>
      <c r="BJ169" s="75"/>
      <c r="BK169" s="75"/>
      <c r="BL169" s="75">
        <f t="shared" si="6"/>
        <v>2749</v>
      </c>
      <c r="BM169" s="103">
        <f t="shared" si="7"/>
        <v>151.19499999999999</v>
      </c>
      <c r="BN169" s="103">
        <f t="shared" si="8"/>
        <v>2900.1950000000002</v>
      </c>
      <c r="BO169" s="103">
        <v>2900.01</v>
      </c>
      <c r="BP169" s="75" t="s">
        <v>97</v>
      </c>
      <c r="BQ169" s="75"/>
      <c r="BR169" s="75"/>
      <c r="BS169" s="157">
        <v>2017</v>
      </c>
      <c r="BT169">
        <v>2020</v>
      </c>
      <c r="BU169">
        <v>2017</v>
      </c>
    </row>
    <row r="170" spans="1:73" ht="43.15" customHeight="1" x14ac:dyDescent="0.25">
      <c r="A170" s="242" t="s">
        <v>186</v>
      </c>
      <c r="B170" s="242" t="s">
        <v>1591</v>
      </c>
      <c r="C170" s="159">
        <v>400</v>
      </c>
      <c r="D170" s="114">
        <v>42795</v>
      </c>
      <c r="E170" s="114" t="s">
        <v>1590</v>
      </c>
      <c r="F170" s="114"/>
      <c r="G170" s="114"/>
      <c r="H170" s="114">
        <v>42795</v>
      </c>
      <c r="I170" s="114">
        <v>42795</v>
      </c>
      <c r="J170" s="114">
        <v>42807</v>
      </c>
      <c r="K170" s="114"/>
      <c r="L170" s="114">
        <v>42909</v>
      </c>
      <c r="M170" s="114">
        <v>42899</v>
      </c>
      <c r="N170" s="114"/>
      <c r="O170" s="114">
        <v>42912</v>
      </c>
      <c r="P170" s="114">
        <v>42912</v>
      </c>
      <c r="Q170" s="114">
        <v>42916</v>
      </c>
      <c r="R170" s="80"/>
      <c r="S170" s="114"/>
      <c r="T170" s="75"/>
      <c r="U170" s="75"/>
      <c r="V170" s="75"/>
      <c r="W170" s="75">
        <v>2</v>
      </c>
      <c r="X170" s="75">
        <v>52337</v>
      </c>
      <c r="Y170" s="75" t="str">
        <f ca="1">IF(I170="",IF(D170="","",IF(W170+X170&lt;15,"Données Nb pers ou RFR manquantes",IF(COUNTA(INDIRECT("TabRFR["&amp;YEAR(D170)&amp;"]"))&lt;&gt;COUNTA(TabRFR[Recherche RFR]),"Data RFR manquantes", IF(X170&lt;=INDEX(TabRFR[[2021]:[2025]],MATCH(BD!W170&amp;"-Très modestes",TabRFR[Recherche RFR],0),MATCH(TEXT(YEAR(BD!D170),"Standard"),TabRFR[[#Headers],[2021]:[2025]],0)),"Très Modeste",IF(X170&lt;=INDEX(TabRFR[[2021]:[2025]],MATCH(BD!W170&amp;"-modestes",TabRFR[Recherche RFR],0),MATCH(TEXT(YEAR(BD!D170),"Standard"),TabRFR[[#Headers],[2021]:[2025]],0)),"Modeste",IF(X170&lt;=INDEX(TabRFR[[2021]:[2025]],MATCH(BD!W170&amp;"-Intermédiaire",TabRFR[Recherche RFR],0),MATCH(TEXT(YEAR(BD!D170),"Standard"),TabRFR[[#Headers],[2021]:[2025]],0)),"Intermédiaire","Supérieur")))))),IF(D170="","",IF(W170+X170&lt;15,"Données Nb pers ou RFR manquantes",IF(COUNTA(INDIRECT("TabRFR["&amp;YEAR(I170)&amp;"]"))&lt;&gt;COUNTA(TabRFR[Recherche RFR]),"Data RFR manquantes", IF(X170&lt;=INDEX(TabRFR[[2021]:[2025]],MATCH(BD!W170&amp;"-Très modestes",TabRFR[Recherche RFR],0),MATCH(TEXT(YEAR(BD!I170),"Standard"),TabRFR[[#Headers],[2021]:[2025]],0)),"Très Modeste",IF(X170&lt;=INDEX(TabRFR[[2021]:[2025]],MATCH(BD!W170&amp;"-modestes",TabRFR[Recherche RFR],0),MATCH(TEXT(YEAR(BD!I170),"Standard"),TabRFR[[#Headers],[2021]:[2025]],0)),"Modeste",IF(X170&lt;=INDEX(TabRFR[[2021]:[2025]],MATCH(BD!W170&amp;"-Intermédiaire",TabRFR[Recherche RFR],0),MATCH(TEXT(YEAR(BD!I170),"Standard"),TabRFR[[#Headers],[2021]:[2025]],0)),"Intermédiaire","Supérieur")))))))</f>
        <v>Data RFR manquantes</v>
      </c>
      <c r="Z170" s="75"/>
      <c r="AA170" s="75" t="s">
        <v>1587</v>
      </c>
      <c r="AB170" s="75">
        <v>38850</v>
      </c>
      <c r="AC170" s="75" t="s">
        <v>242</v>
      </c>
      <c r="AD170" s="73"/>
      <c r="AE170" s="102"/>
      <c r="AF170" s="75" t="s">
        <v>95</v>
      </c>
      <c r="AG170" s="75"/>
      <c r="AH170" s="75">
        <v>1988</v>
      </c>
      <c r="AI170" s="75"/>
      <c r="AJ170" s="75"/>
      <c r="AK170" s="75"/>
      <c r="AL170" s="75"/>
      <c r="AM170" s="75" t="s">
        <v>4191</v>
      </c>
      <c r="AN170" s="75" t="s">
        <v>96</v>
      </c>
      <c r="AO170" s="75" t="s">
        <v>229</v>
      </c>
      <c r="AP170" s="75" t="s">
        <v>97</v>
      </c>
      <c r="AQ170" s="75"/>
      <c r="AR170" s="75"/>
      <c r="AS170" s="102" t="s">
        <v>230</v>
      </c>
      <c r="AT170" s="101">
        <v>476059938</v>
      </c>
      <c r="AU170" s="75" t="s">
        <v>111</v>
      </c>
      <c r="AV170" s="75" t="s">
        <v>112</v>
      </c>
      <c r="AW170" s="75" t="s">
        <v>100</v>
      </c>
      <c r="AX170" s="75" t="s">
        <v>112</v>
      </c>
      <c r="AY170" s="75" t="s">
        <v>232</v>
      </c>
      <c r="AZ170" s="75" t="s">
        <v>1585</v>
      </c>
      <c r="BA170" s="75">
        <v>21</v>
      </c>
      <c r="BB170" s="75">
        <v>8</v>
      </c>
      <c r="BC170" s="75">
        <v>81.900000000000006</v>
      </c>
      <c r="BD170" s="75">
        <v>0.06</v>
      </c>
      <c r="BE170" s="75" t="s">
        <v>97</v>
      </c>
      <c r="BF170" s="75">
        <v>3290</v>
      </c>
      <c r="BG170" s="75">
        <f>BF170+860</f>
        <v>4150</v>
      </c>
      <c r="BH170" s="75"/>
      <c r="BI170" s="75"/>
      <c r="BJ170" s="75"/>
      <c r="BK170" s="75"/>
      <c r="BL170" s="75">
        <f t="shared" si="6"/>
        <v>4150</v>
      </c>
      <c r="BM170" s="103">
        <f t="shared" si="7"/>
        <v>228.25</v>
      </c>
      <c r="BN170" s="103">
        <f t="shared" si="8"/>
        <v>4378.25</v>
      </c>
      <c r="BO170" s="103">
        <v>6123.22</v>
      </c>
      <c r="BP170" s="75" t="s">
        <v>104</v>
      </c>
      <c r="BQ170" s="75"/>
      <c r="BR170" s="75"/>
      <c r="BS170" s="157">
        <v>2017</v>
      </c>
      <c r="BT170">
        <v>2020</v>
      </c>
      <c r="BU170">
        <v>2017</v>
      </c>
    </row>
    <row r="171" spans="1:73" ht="43.15" customHeight="1" x14ac:dyDescent="0.25">
      <c r="A171" s="242" t="s">
        <v>186</v>
      </c>
      <c r="B171" s="242" t="s">
        <v>1584</v>
      </c>
      <c r="C171" s="159">
        <v>800</v>
      </c>
      <c r="D171" s="114">
        <v>42795</v>
      </c>
      <c r="E171" s="114"/>
      <c r="F171" s="114"/>
      <c r="G171" s="114"/>
      <c r="H171" s="114">
        <v>42795</v>
      </c>
      <c r="I171" s="114">
        <v>42795</v>
      </c>
      <c r="J171" s="114">
        <v>42807</v>
      </c>
      <c r="K171" s="114"/>
      <c r="L171" s="114">
        <v>43042</v>
      </c>
      <c r="M171" s="215">
        <v>42937</v>
      </c>
      <c r="N171" s="215" t="s">
        <v>1232</v>
      </c>
      <c r="O171" s="215">
        <v>43042</v>
      </c>
      <c r="P171" s="215">
        <v>43042</v>
      </c>
      <c r="Q171" s="114">
        <v>43048</v>
      </c>
      <c r="R171" s="100"/>
      <c r="S171" s="114"/>
      <c r="T171" s="75"/>
      <c r="U171" s="75"/>
      <c r="V171" s="75"/>
      <c r="W171" s="75">
        <v>4</v>
      </c>
      <c r="X171" s="75">
        <v>22954</v>
      </c>
      <c r="Y171" s="75" t="str">
        <f ca="1">IF(I171="",IF(D171="","",IF(W171+X171&lt;15,"Données Nb pers ou RFR manquantes",IF(COUNTA(INDIRECT("TabRFR["&amp;YEAR(D171)&amp;"]"))&lt;&gt;COUNTA(TabRFR[Recherche RFR]),"Data RFR manquantes", IF(X171&lt;=INDEX(TabRFR[[2021]:[2025]],MATCH(BD!W171&amp;"-Très modestes",TabRFR[Recherche RFR],0),MATCH(TEXT(YEAR(BD!D171),"Standard"),TabRFR[[#Headers],[2021]:[2025]],0)),"Très Modeste",IF(X171&lt;=INDEX(TabRFR[[2021]:[2025]],MATCH(BD!W171&amp;"-modestes",TabRFR[Recherche RFR],0),MATCH(TEXT(YEAR(BD!D171),"Standard"),TabRFR[[#Headers],[2021]:[2025]],0)),"Modeste",IF(X171&lt;=INDEX(TabRFR[[2021]:[2025]],MATCH(BD!W171&amp;"-Intermédiaire",TabRFR[Recherche RFR],0),MATCH(TEXT(YEAR(BD!D171),"Standard"),TabRFR[[#Headers],[2021]:[2025]],0)),"Intermédiaire","Supérieur")))))),IF(D171="","",IF(W171+X171&lt;15,"Données Nb pers ou RFR manquantes",IF(COUNTA(INDIRECT("TabRFR["&amp;YEAR(I171)&amp;"]"))&lt;&gt;COUNTA(TabRFR[Recherche RFR]),"Data RFR manquantes", IF(X171&lt;=INDEX(TabRFR[[2021]:[2025]],MATCH(BD!W171&amp;"-Très modestes",TabRFR[Recherche RFR],0),MATCH(TEXT(YEAR(BD!I171),"Standard"),TabRFR[[#Headers],[2021]:[2025]],0)),"Très Modeste",IF(X171&lt;=INDEX(TabRFR[[2021]:[2025]],MATCH(BD!W171&amp;"-modestes",TabRFR[Recherche RFR],0),MATCH(TEXT(YEAR(BD!I171),"Standard"),TabRFR[[#Headers],[2021]:[2025]],0)),"Modeste",IF(X171&lt;=INDEX(TabRFR[[2021]:[2025]],MATCH(BD!W171&amp;"-Intermédiaire",TabRFR[Recherche RFR],0),MATCH(TEXT(YEAR(BD!I171),"Standard"),TabRFR[[#Headers],[2021]:[2025]],0)),"Intermédiaire","Supérieur")))))))</f>
        <v>Data RFR manquantes</v>
      </c>
      <c r="Z171" s="75"/>
      <c r="AA171" s="75" t="s">
        <v>1292</v>
      </c>
      <c r="AB171" s="75">
        <v>38140</v>
      </c>
      <c r="AC171" s="75" t="s">
        <v>363</v>
      </c>
      <c r="AD171" s="73"/>
      <c r="AE171" s="102"/>
      <c r="AF171" s="75" t="s">
        <v>95</v>
      </c>
      <c r="AG171" s="75"/>
      <c r="AH171" s="75">
        <v>2017</v>
      </c>
      <c r="AI171" s="75"/>
      <c r="AJ171" s="75"/>
      <c r="AK171" s="75"/>
      <c r="AL171" s="75"/>
      <c r="AM171" s="75" t="s">
        <v>4035</v>
      </c>
      <c r="AN171" s="75" t="s">
        <v>108</v>
      </c>
      <c r="AO171" s="75" t="s">
        <v>1525</v>
      </c>
      <c r="AP171" s="75" t="s">
        <v>97</v>
      </c>
      <c r="AQ171" s="75"/>
      <c r="AR171" s="75"/>
      <c r="AS171" s="102" t="s">
        <v>110</v>
      </c>
      <c r="AT171" s="101">
        <v>476500550</v>
      </c>
      <c r="AU171" s="75" t="s">
        <v>111</v>
      </c>
      <c r="AV171" s="75">
        <v>2000</v>
      </c>
      <c r="AW171" s="75" t="s">
        <v>100</v>
      </c>
      <c r="AX171" s="75" t="s">
        <v>112</v>
      </c>
      <c r="AY171" s="75" t="s">
        <v>232</v>
      </c>
      <c r="AZ171" s="75" t="s">
        <v>1580</v>
      </c>
      <c r="BA171" s="75">
        <v>19</v>
      </c>
      <c r="BB171" s="75">
        <v>8.9</v>
      </c>
      <c r="BC171" s="75">
        <v>86</v>
      </c>
      <c r="BD171" s="75">
        <v>7.0000000000000007E-2</v>
      </c>
      <c r="BE171" s="75" t="s">
        <v>97</v>
      </c>
      <c r="BF171" s="75">
        <v>3365</v>
      </c>
      <c r="BG171" s="75">
        <f>BF171+1916</f>
        <v>5281</v>
      </c>
      <c r="BH171" s="75"/>
      <c r="BI171" s="75"/>
      <c r="BJ171" s="75"/>
      <c r="BK171" s="75"/>
      <c r="BL171" s="75">
        <f t="shared" si="6"/>
        <v>5281</v>
      </c>
      <c r="BM171" s="103">
        <f t="shared" si="7"/>
        <v>290.45499999999998</v>
      </c>
      <c r="BN171" s="103">
        <f t="shared" si="8"/>
        <v>5571.4549999999999</v>
      </c>
      <c r="BO171" s="103">
        <v>4576</v>
      </c>
      <c r="BP171" s="75" t="s">
        <v>97</v>
      </c>
      <c r="BQ171" s="75"/>
      <c r="BR171" s="75"/>
      <c r="BS171" s="157">
        <v>2017</v>
      </c>
      <c r="BT171">
        <v>2020</v>
      </c>
      <c r="BU171">
        <v>2017</v>
      </c>
    </row>
    <row r="172" spans="1:73" ht="43.15" customHeight="1" x14ac:dyDescent="0.25">
      <c r="A172" s="242" t="s">
        <v>186</v>
      </c>
      <c r="B172" s="242" t="s">
        <v>1579</v>
      </c>
      <c r="C172" s="159">
        <v>400</v>
      </c>
      <c r="D172" s="114">
        <v>42795</v>
      </c>
      <c r="E172" s="114"/>
      <c r="F172" s="114"/>
      <c r="G172" s="114"/>
      <c r="H172" s="114">
        <v>42795</v>
      </c>
      <c r="I172" s="114">
        <v>42795</v>
      </c>
      <c r="J172" s="114">
        <v>42807</v>
      </c>
      <c r="K172" s="114"/>
      <c r="L172" s="114">
        <v>42934</v>
      </c>
      <c r="M172" s="215">
        <v>42845</v>
      </c>
      <c r="N172" s="215"/>
      <c r="O172" s="215">
        <v>42954</v>
      </c>
      <c r="P172" s="215">
        <v>42954</v>
      </c>
      <c r="Q172" s="114">
        <v>42956</v>
      </c>
      <c r="R172" s="80"/>
      <c r="S172" s="114"/>
      <c r="T172" s="75"/>
      <c r="U172" s="75"/>
      <c r="V172" s="75"/>
      <c r="W172" s="75">
        <v>2</v>
      </c>
      <c r="X172" s="75">
        <v>48664</v>
      </c>
      <c r="Y172" s="75" t="str">
        <f ca="1">IF(I172="",IF(D172="","",IF(W172+X172&lt;15,"Données Nb pers ou RFR manquantes",IF(COUNTA(INDIRECT("TabRFR["&amp;YEAR(D172)&amp;"]"))&lt;&gt;COUNTA(TabRFR[Recherche RFR]),"Data RFR manquantes", IF(X172&lt;=INDEX(TabRFR[[2021]:[2025]],MATCH(BD!W172&amp;"-Très modestes",TabRFR[Recherche RFR],0),MATCH(TEXT(YEAR(BD!D172),"Standard"),TabRFR[[#Headers],[2021]:[2025]],0)),"Très Modeste",IF(X172&lt;=INDEX(TabRFR[[2021]:[2025]],MATCH(BD!W172&amp;"-modestes",TabRFR[Recherche RFR],0),MATCH(TEXT(YEAR(BD!D172),"Standard"),TabRFR[[#Headers],[2021]:[2025]],0)),"Modeste",IF(X172&lt;=INDEX(TabRFR[[2021]:[2025]],MATCH(BD!W172&amp;"-Intermédiaire",TabRFR[Recherche RFR],0),MATCH(TEXT(YEAR(BD!D172),"Standard"),TabRFR[[#Headers],[2021]:[2025]],0)),"Intermédiaire","Supérieur")))))),IF(D172="","",IF(W172+X172&lt;15,"Données Nb pers ou RFR manquantes",IF(COUNTA(INDIRECT("TabRFR["&amp;YEAR(I172)&amp;"]"))&lt;&gt;COUNTA(TabRFR[Recherche RFR]),"Data RFR manquantes", IF(X172&lt;=INDEX(TabRFR[[2021]:[2025]],MATCH(BD!W172&amp;"-Très modestes",TabRFR[Recherche RFR],0),MATCH(TEXT(YEAR(BD!I172),"Standard"),TabRFR[[#Headers],[2021]:[2025]],0)),"Très Modeste",IF(X172&lt;=INDEX(TabRFR[[2021]:[2025]],MATCH(BD!W172&amp;"-modestes",TabRFR[Recherche RFR],0),MATCH(TEXT(YEAR(BD!I172),"Standard"),TabRFR[[#Headers],[2021]:[2025]],0)),"Modeste",IF(X172&lt;=INDEX(TabRFR[[2021]:[2025]],MATCH(BD!W172&amp;"-Intermédiaire",TabRFR[Recherche RFR],0),MATCH(TEXT(YEAR(BD!I172),"Standard"),TabRFR[[#Headers],[2021]:[2025]],0)),"Intermédiaire","Supérieur")))))))</f>
        <v>Data RFR manquantes</v>
      </c>
      <c r="Z172" s="75"/>
      <c r="AA172" s="75" t="s">
        <v>331</v>
      </c>
      <c r="AB172" s="75">
        <v>38340</v>
      </c>
      <c r="AC172" s="75" t="s">
        <v>108</v>
      </c>
      <c r="AD172" s="73"/>
      <c r="AE172" s="102"/>
      <c r="AF172" s="75" t="s">
        <v>95</v>
      </c>
      <c r="AG172" s="75"/>
      <c r="AH172" s="75"/>
      <c r="AI172" s="75"/>
      <c r="AJ172" s="75"/>
      <c r="AK172" s="75"/>
      <c r="AL172" s="75"/>
      <c r="AM172" s="75" t="s">
        <v>4350</v>
      </c>
      <c r="AN172" s="75" t="s">
        <v>3333</v>
      </c>
      <c r="AO172" s="75" t="s">
        <v>1513</v>
      </c>
      <c r="AP172" s="75" t="s">
        <v>97</v>
      </c>
      <c r="AQ172" s="75"/>
      <c r="AR172" s="75"/>
      <c r="AS172" s="102" t="s">
        <v>962</v>
      </c>
      <c r="AT172" s="101">
        <v>476251477</v>
      </c>
      <c r="AU172" s="75" t="s">
        <v>111</v>
      </c>
      <c r="AV172" s="75">
        <v>1985</v>
      </c>
      <c r="AW172" s="75" t="s">
        <v>100</v>
      </c>
      <c r="AX172" s="75" t="s">
        <v>112</v>
      </c>
      <c r="AY172" s="75" t="s">
        <v>961</v>
      </c>
      <c r="AZ172" s="75" t="s">
        <v>960</v>
      </c>
      <c r="BA172" s="75">
        <v>31</v>
      </c>
      <c r="BB172" s="75">
        <v>9.6999999999999993</v>
      </c>
      <c r="BC172" s="75">
        <v>75.3</v>
      </c>
      <c r="BD172" s="75">
        <v>0.11</v>
      </c>
      <c r="BE172" s="75" t="s">
        <v>97</v>
      </c>
      <c r="BF172" s="75">
        <v>6091.5</v>
      </c>
      <c r="BG172" s="75">
        <v>2100</v>
      </c>
      <c r="BH172" s="75"/>
      <c r="BI172" s="75"/>
      <c r="BJ172" s="75"/>
      <c r="BK172" s="75"/>
      <c r="BL172" s="75">
        <f t="shared" si="6"/>
        <v>2100</v>
      </c>
      <c r="BM172" s="103">
        <f t="shared" si="7"/>
        <v>115.5</v>
      </c>
      <c r="BN172" s="103">
        <f t="shared" si="8"/>
        <v>2215.5</v>
      </c>
      <c r="BO172" s="103"/>
      <c r="BP172" s="75" t="s">
        <v>97</v>
      </c>
      <c r="BQ172" s="75"/>
      <c r="BR172" s="75"/>
      <c r="BS172" s="157">
        <v>2017</v>
      </c>
      <c r="BT172">
        <v>2020</v>
      </c>
      <c r="BU172">
        <v>2017</v>
      </c>
    </row>
    <row r="173" spans="1:73" ht="43.15" customHeight="1" x14ac:dyDescent="0.25">
      <c r="A173" s="242" t="s">
        <v>186</v>
      </c>
      <c r="B173" s="242" t="s">
        <v>1576</v>
      </c>
      <c r="C173" s="159">
        <v>400</v>
      </c>
      <c r="D173" s="114">
        <v>42795</v>
      </c>
      <c r="E173" s="114"/>
      <c r="F173" s="114"/>
      <c r="G173" s="114"/>
      <c r="H173" s="114">
        <v>42808</v>
      </c>
      <c r="I173" s="114">
        <v>42808</v>
      </c>
      <c r="J173" s="114">
        <v>42824</v>
      </c>
      <c r="K173" s="114"/>
      <c r="L173" s="114">
        <v>42871</v>
      </c>
      <c r="M173" s="114">
        <v>42849</v>
      </c>
      <c r="N173" s="114" t="s">
        <v>781</v>
      </c>
      <c r="O173" s="114">
        <v>42879</v>
      </c>
      <c r="P173" s="114">
        <v>42879</v>
      </c>
      <c r="Q173" s="114">
        <v>42888</v>
      </c>
      <c r="R173" s="80"/>
      <c r="S173" s="114"/>
      <c r="T173" s="75"/>
      <c r="U173" s="75"/>
      <c r="V173" s="75"/>
      <c r="W173" s="75">
        <v>3</v>
      </c>
      <c r="X173" s="75">
        <v>33605</v>
      </c>
      <c r="Y173" s="75" t="str">
        <f ca="1">IF(I173="",IF(D173="","",IF(W173+X173&lt;15,"Données Nb pers ou RFR manquantes",IF(COUNTA(INDIRECT("TabRFR["&amp;YEAR(D173)&amp;"]"))&lt;&gt;COUNTA(TabRFR[Recherche RFR]),"Data RFR manquantes", IF(X173&lt;=INDEX(TabRFR[[2021]:[2025]],MATCH(BD!W173&amp;"-Très modestes",TabRFR[Recherche RFR],0),MATCH(TEXT(YEAR(BD!D173),"Standard"),TabRFR[[#Headers],[2021]:[2025]],0)),"Très Modeste",IF(X173&lt;=INDEX(TabRFR[[2021]:[2025]],MATCH(BD!W173&amp;"-modestes",TabRFR[Recherche RFR],0),MATCH(TEXT(YEAR(BD!D173),"Standard"),TabRFR[[#Headers],[2021]:[2025]],0)),"Modeste",IF(X173&lt;=INDEX(TabRFR[[2021]:[2025]],MATCH(BD!W173&amp;"-Intermédiaire",TabRFR[Recherche RFR],0),MATCH(TEXT(YEAR(BD!D173),"Standard"),TabRFR[[#Headers],[2021]:[2025]],0)),"Intermédiaire","Supérieur")))))),IF(D173="","",IF(W173+X173&lt;15,"Données Nb pers ou RFR manquantes",IF(COUNTA(INDIRECT("TabRFR["&amp;YEAR(I173)&amp;"]"))&lt;&gt;COUNTA(TabRFR[Recherche RFR]),"Data RFR manquantes", IF(X173&lt;=INDEX(TabRFR[[2021]:[2025]],MATCH(BD!W173&amp;"-Très modestes",TabRFR[Recherche RFR],0),MATCH(TEXT(YEAR(BD!I173),"Standard"),TabRFR[[#Headers],[2021]:[2025]],0)),"Très Modeste",IF(X173&lt;=INDEX(TabRFR[[2021]:[2025]],MATCH(BD!W173&amp;"-modestes",TabRFR[Recherche RFR],0),MATCH(TEXT(YEAR(BD!I173),"Standard"),TabRFR[[#Headers],[2021]:[2025]],0)),"Modeste",IF(X173&lt;=INDEX(TabRFR[[2021]:[2025]],MATCH(BD!W173&amp;"-Intermédiaire",TabRFR[Recherche RFR],0),MATCH(TEXT(YEAR(BD!I173),"Standard"),TabRFR[[#Headers],[2021]:[2025]],0)),"Intermédiaire","Supérieur")))))))</f>
        <v>Data RFR manquantes</v>
      </c>
      <c r="Z173" s="75"/>
      <c r="AA173" s="75" t="s">
        <v>1573</v>
      </c>
      <c r="AB173" s="75">
        <v>38620</v>
      </c>
      <c r="AC173" s="75" t="s">
        <v>3754</v>
      </c>
      <c r="AD173" s="73"/>
      <c r="AE173" s="102"/>
      <c r="AF173" s="75"/>
      <c r="AG173" s="75"/>
      <c r="AH173" s="75"/>
      <c r="AI173" s="75"/>
      <c r="AJ173" s="75"/>
      <c r="AK173" s="75"/>
      <c r="AL173" s="75"/>
      <c r="AM173" s="75" t="s">
        <v>4348</v>
      </c>
      <c r="AN173" s="75" t="s">
        <v>96</v>
      </c>
      <c r="AO173" s="75" t="s">
        <v>238</v>
      </c>
      <c r="AP173" s="75" t="s">
        <v>97</v>
      </c>
      <c r="AQ173" s="75"/>
      <c r="AR173" s="75"/>
      <c r="AS173" s="102" t="s">
        <v>1571</v>
      </c>
      <c r="AT173" s="101">
        <v>476323235</v>
      </c>
      <c r="AU173" s="75" t="s">
        <v>111</v>
      </c>
      <c r="AV173" s="75" t="s">
        <v>1570</v>
      </c>
      <c r="AW173" s="75" t="s">
        <v>100</v>
      </c>
      <c r="AX173" s="75" t="s">
        <v>112</v>
      </c>
      <c r="AY173" s="75" t="s">
        <v>1569</v>
      </c>
      <c r="AZ173" s="75" t="s">
        <v>1568</v>
      </c>
      <c r="BA173" s="75">
        <v>14</v>
      </c>
      <c r="BB173" s="75">
        <v>7.5</v>
      </c>
      <c r="BC173" s="75">
        <v>82</v>
      </c>
      <c r="BD173" s="75">
        <v>7.0000000000000007E-2</v>
      </c>
      <c r="BE173" s="75" t="s">
        <v>97</v>
      </c>
      <c r="BF173" s="75">
        <v>2398</v>
      </c>
      <c r="BG173" s="75">
        <v>2398</v>
      </c>
      <c r="BH173" s="75"/>
      <c r="BI173" s="75"/>
      <c r="BJ173" s="75"/>
      <c r="BK173" s="75">
        <f>2825-2529.89</f>
        <v>295.11000000000013</v>
      </c>
      <c r="BL173" s="75">
        <f t="shared" si="6"/>
        <v>2693.11</v>
      </c>
      <c r="BM173" s="103">
        <f t="shared" si="7"/>
        <v>148.12105</v>
      </c>
      <c r="BN173" s="103">
        <f t="shared" si="8"/>
        <v>2841.2310500000003</v>
      </c>
      <c r="BO173" s="103">
        <v>2980.38</v>
      </c>
      <c r="BP173" s="75"/>
      <c r="BQ173" s="75"/>
      <c r="BR173" s="75"/>
      <c r="BS173" s="157">
        <v>2017</v>
      </c>
      <c r="BT173">
        <v>2020</v>
      </c>
      <c r="BU173">
        <v>2017</v>
      </c>
    </row>
    <row r="174" spans="1:73" ht="43.15" customHeight="1" x14ac:dyDescent="0.25">
      <c r="A174" s="242" t="s">
        <v>186</v>
      </c>
      <c r="B174" s="242" t="s">
        <v>1567</v>
      </c>
      <c r="C174" s="159">
        <v>800</v>
      </c>
      <c r="D174" s="114">
        <v>42797</v>
      </c>
      <c r="E174" s="114"/>
      <c r="F174" s="114"/>
      <c r="G174" s="114"/>
      <c r="H174" s="114">
        <v>42808</v>
      </c>
      <c r="I174" s="114">
        <v>42808</v>
      </c>
      <c r="J174" s="114">
        <v>42824</v>
      </c>
      <c r="K174" s="114"/>
      <c r="L174" s="114">
        <v>42955</v>
      </c>
      <c r="M174" s="114">
        <v>42909</v>
      </c>
      <c r="N174" s="114"/>
      <c r="O174" s="114"/>
      <c r="P174" s="114">
        <v>43010</v>
      </c>
      <c r="Q174" s="114">
        <v>43010</v>
      </c>
      <c r="R174" s="100"/>
      <c r="S174" s="114"/>
      <c r="T174" s="75"/>
      <c r="U174" s="75"/>
      <c r="V174" s="75"/>
      <c r="W174" s="75">
        <v>1</v>
      </c>
      <c r="X174" s="75">
        <v>13154</v>
      </c>
      <c r="Y174" s="75" t="str">
        <f ca="1">IF(I174="",IF(D174="","",IF(W174+X174&lt;15,"Données Nb pers ou RFR manquantes",IF(COUNTA(INDIRECT("TabRFR["&amp;YEAR(D174)&amp;"]"))&lt;&gt;COUNTA(TabRFR[Recherche RFR]),"Data RFR manquantes", IF(X174&lt;=INDEX(TabRFR[[2021]:[2025]],MATCH(BD!W174&amp;"-Très modestes",TabRFR[Recherche RFR],0),MATCH(TEXT(YEAR(BD!D174),"Standard"),TabRFR[[#Headers],[2021]:[2025]],0)),"Très Modeste",IF(X174&lt;=INDEX(TabRFR[[2021]:[2025]],MATCH(BD!W174&amp;"-modestes",TabRFR[Recherche RFR],0),MATCH(TEXT(YEAR(BD!D174),"Standard"),TabRFR[[#Headers],[2021]:[2025]],0)),"Modeste",IF(X174&lt;=INDEX(TabRFR[[2021]:[2025]],MATCH(BD!W174&amp;"-Intermédiaire",TabRFR[Recherche RFR],0),MATCH(TEXT(YEAR(BD!D174),"Standard"),TabRFR[[#Headers],[2021]:[2025]],0)),"Intermédiaire","Supérieur")))))),IF(D174="","",IF(W174+X174&lt;15,"Données Nb pers ou RFR manquantes",IF(COUNTA(INDIRECT("TabRFR["&amp;YEAR(I174)&amp;"]"))&lt;&gt;COUNTA(TabRFR[Recherche RFR]),"Data RFR manquantes", IF(X174&lt;=INDEX(TabRFR[[2021]:[2025]],MATCH(BD!W174&amp;"-Très modestes",TabRFR[Recherche RFR],0),MATCH(TEXT(YEAR(BD!I174),"Standard"),TabRFR[[#Headers],[2021]:[2025]],0)),"Très Modeste",IF(X174&lt;=INDEX(TabRFR[[2021]:[2025]],MATCH(BD!W174&amp;"-modestes",TabRFR[Recherche RFR],0),MATCH(TEXT(YEAR(BD!I174),"Standard"),TabRFR[[#Headers],[2021]:[2025]],0)),"Modeste",IF(X174&lt;=INDEX(TabRFR[[2021]:[2025]],MATCH(BD!W174&amp;"-Intermédiaire",TabRFR[Recherche RFR],0),MATCH(TEXT(YEAR(BD!I174),"Standard"),TabRFR[[#Headers],[2021]:[2025]],0)),"Intermédiaire","Supérieur")))))))</f>
        <v>Data RFR manquantes</v>
      </c>
      <c r="Z174" s="75"/>
      <c r="AA174" s="75" t="s">
        <v>1565</v>
      </c>
      <c r="AB174" s="75">
        <v>38960</v>
      </c>
      <c r="AC174" s="75" t="s">
        <v>2378</v>
      </c>
      <c r="AD174" s="73"/>
      <c r="AE174" s="102"/>
      <c r="AF174" s="75" t="s">
        <v>95</v>
      </c>
      <c r="AG174" s="75"/>
      <c r="AH174" s="75"/>
      <c r="AI174" s="75"/>
      <c r="AJ174" s="75"/>
      <c r="AK174" s="75"/>
      <c r="AL174" s="75"/>
      <c r="AM174" s="75" t="s">
        <v>4130</v>
      </c>
      <c r="AN174" s="75" t="s">
        <v>4349</v>
      </c>
      <c r="AO174" s="75" t="s">
        <v>336</v>
      </c>
      <c r="AP174" s="75" t="s">
        <v>97</v>
      </c>
      <c r="AQ174" s="75"/>
      <c r="AR174" s="75">
        <v>42815</v>
      </c>
      <c r="AS174" s="102" t="s">
        <v>337</v>
      </c>
      <c r="AT174" s="101">
        <v>438021901</v>
      </c>
      <c r="AU174" s="75" t="s">
        <v>111</v>
      </c>
      <c r="AV174" s="75">
        <v>1987</v>
      </c>
      <c r="AW174" s="75" t="s">
        <v>111</v>
      </c>
      <c r="AX174" s="75" t="s">
        <v>112</v>
      </c>
      <c r="AY174" s="75" t="s">
        <v>338</v>
      </c>
      <c r="AZ174" s="75" t="s">
        <v>1563</v>
      </c>
      <c r="BA174" s="75">
        <v>32</v>
      </c>
      <c r="BB174" s="75">
        <v>13</v>
      </c>
      <c r="BC174" s="75">
        <v>75.400000000000006</v>
      </c>
      <c r="BD174" s="75">
        <v>0.03</v>
      </c>
      <c r="BE174" s="75" t="s">
        <v>97</v>
      </c>
      <c r="BF174" s="75">
        <v>2363</v>
      </c>
      <c r="BG174" s="75">
        <v>2363</v>
      </c>
      <c r="BH174" s="75"/>
      <c r="BI174" s="75"/>
      <c r="BJ174" s="75"/>
      <c r="BK174" s="75">
        <v>5666</v>
      </c>
      <c r="BL174" s="75">
        <f t="shared" si="6"/>
        <v>8029</v>
      </c>
      <c r="BM174" s="103">
        <f t="shared" si="7"/>
        <v>441.59500000000003</v>
      </c>
      <c r="BN174" s="103">
        <f t="shared" si="8"/>
        <v>8470.5949999999993</v>
      </c>
      <c r="BO174" s="103"/>
      <c r="BP174" s="75" t="s">
        <v>97</v>
      </c>
      <c r="BQ174" s="75"/>
      <c r="BR174" s="75"/>
      <c r="BS174" s="157">
        <v>2017</v>
      </c>
      <c r="BT174">
        <v>2020</v>
      </c>
      <c r="BU174">
        <v>2017</v>
      </c>
    </row>
    <row r="175" spans="1:73" ht="43.15" customHeight="1" x14ac:dyDescent="0.25">
      <c r="A175" s="242" t="s">
        <v>186</v>
      </c>
      <c r="B175" s="242" t="s">
        <v>1562</v>
      </c>
      <c r="C175" s="159">
        <v>800</v>
      </c>
      <c r="D175" s="114">
        <v>42800</v>
      </c>
      <c r="E175" s="114"/>
      <c r="F175" s="114"/>
      <c r="G175" s="114"/>
      <c r="H175" s="114">
        <v>42810</v>
      </c>
      <c r="I175" s="114">
        <v>42810</v>
      </c>
      <c r="J175" s="114">
        <v>42824</v>
      </c>
      <c r="K175" s="114"/>
      <c r="L175" s="114">
        <v>42921</v>
      </c>
      <c r="M175" s="114">
        <v>42884</v>
      </c>
      <c r="N175" s="114"/>
      <c r="O175" s="114">
        <v>42923</v>
      </c>
      <c r="P175" s="114">
        <v>42923</v>
      </c>
      <c r="Q175" s="114">
        <v>43005</v>
      </c>
      <c r="R175" s="100"/>
      <c r="S175" s="114"/>
      <c r="T175" s="75"/>
      <c r="U175" s="75"/>
      <c r="V175" s="75"/>
      <c r="W175" s="75">
        <v>4</v>
      </c>
      <c r="X175" s="75">
        <v>34788</v>
      </c>
      <c r="Y175" s="75" t="str">
        <f ca="1">IF(I175="",IF(D175="","",IF(W175+X175&lt;15,"Données Nb pers ou RFR manquantes",IF(COUNTA(INDIRECT("TabRFR["&amp;YEAR(D175)&amp;"]"))&lt;&gt;COUNTA(TabRFR[Recherche RFR]),"Data RFR manquantes", IF(X175&lt;=INDEX(TabRFR[[2021]:[2025]],MATCH(BD!W175&amp;"-Très modestes",TabRFR[Recherche RFR],0),MATCH(TEXT(YEAR(BD!D175),"Standard"),TabRFR[[#Headers],[2021]:[2025]],0)),"Très Modeste",IF(X175&lt;=INDEX(TabRFR[[2021]:[2025]],MATCH(BD!W175&amp;"-modestes",TabRFR[Recherche RFR],0),MATCH(TEXT(YEAR(BD!D175),"Standard"),TabRFR[[#Headers],[2021]:[2025]],0)),"Modeste",IF(X175&lt;=INDEX(TabRFR[[2021]:[2025]],MATCH(BD!W175&amp;"-Intermédiaire",TabRFR[Recherche RFR],0),MATCH(TEXT(YEAR(BD!D175),"Standard"),TabRFR[[#Headers],[2021]:[2025]],0)),"Intermédiaire","Supérieur")))))),IF(D175="","",IF(W175+X175&lt;15,"Données Nb pers ou RFR manquantes",IF(COUNTA(INDIRECT("TabRFR["&amp;YEAR(I175)&amp;"]"))&lt;&gt;COUNTA(TabRFR[Recherche RFR]),"Data RFR manquantes", IF(X175&lt;=INDEX(TabRFR[[2021]:[2025]],MATCH(BD!W175&amp;"-Très modestes",TabRFR[Recherche RFR],0),MATCH(TEXT(YEAR(BD!I175),"Standard"),TabRFR[[#Headers],[2021]:[2025]],0)),"Très Modeste",IF(X175&lt;=INDEX(TabRFR[[2021]:[2025]],MATCH(BD!W175&amp;"-modestes",TabRFR[Recherche RFR],0),MATCH(TEXT(YEAR(BD!I175),"Standard"),TabRFR[[#Headers],[2021]:[2025]],0)),"Modeste",IF(X175&lt;=INDEX(TabRFR[[2021]:[2025]],MATCH(BD!W175&amp;"-Intermédiaire",TabRFR[Recherche RFR],0),MATCH(TEXT(YEAR(BD!I175),"Standard"),TabRFR[[#Headers],[2021]:[2025]],0)),"Intermédiaire","Supérieur")))))))</f>
        <v>Data RFR manquantes</v>
      </c>
      <c r="Z175" s="75"/>
      <c r="AA175" s="75" t="s">
        <v>1560</v>
      </c>
      <c r="AB175" s="75">
        <v>38730</v>
      </c>
      <c r="AC175" s="75" t="s">
        <v>4304</v>
      </c>
      <c r="AD175" s="73"/>
      <c r="AE175" s="102"/>
      <c r="AF175" s="75" t="s">
        <v>95</v>
      </c>
      <c r="AG175" s="75"/>
      <c r="AH175" s="75">
        <v>2017</v>
      </c>
      <c r="AI175" s="75"/>
      <c r="AJ175" s="75"/>
      <c r="AK175" s="75"/>
      <c r="AL175" s="75"/>
      <c r="AM175" s="75" t="s">
        <v>4191</v>
      </c>
      <c r="AN175" s="75" t="s">
        <v>96</v>
      </c>
      <c r="AO175" s="75" t="s">
        <v>229</v>
      </c>
      <c r="AP175" s="75" t="s">
        <v>97</v>
      </c>
      <c r="AQ175" s="75"/>
      <c r="AR175" s="75"/>
      <c r="AS175" s="102" t="s">
        <v>230</v>
      </c>
      <c r="AT175" s="101">
        <v>476059938</v>
      </c>
      <c r="AU175" s="75" t="s">
        <v>111</v>
      </c>
      <c r="AV175" s="75">
        <v>2000</v>
      </c>
      <c r="AW175" s="75" t="s">
        <v>100</v>
      </c>
      <c r="AX175" s="75" t="s">
        <v>2071</v>
      </c>
      <c r="AY175" s="75" t="s">
        <v>232</v>
      </c>
      <c r="AZ175" s="75" t="s">
        <v>564</v>
      </c>
      <c r="BA175" s="75">
        <v>15</v>
      </c>
      <c r="BB175" s="75">
        <v>8.1999999999999993</v>
      </c>
      <c r="BC175" s="75">
        <v>92</v>
      </c>
      <c r="BD175" s="75">
        <v>0</v>
      </c>
      <c r="BE175" s="75" t="s">
        <v>97</v>
      </c>
      <c r="BF175" s="75">
        <f>3355+150+733</f>
        <v>4238</v>
      </c>
      <c r="BG175" s="75">
        <f>3355+150+733</f>
        <v>4238</v>
      </c>
      <c r="BH175" s="75"/>
      <c r="BI175" s="75"/>
      <c r="BJ175" s="75"/>
      <c r="BK175" s="75">
        <v>480</v>
      </c>
      <c r="BL175" s="75">
        <f t="shared" si="6"/>
        <v>4718</v>
      </c>
      <c r="BM175" s="103">
        <f t="shared" si="7"/>
        <v>259.49</v>
      </c>
      <c r="BN175" s="103">
        <f t="shared" si="8"/>
        <v>4977.49</v>
      </c>
      <c r="BO175" s="103"/>
      <c r="BP175" s="75" t="s">
        <v>97</v>
      </c>
      <c r="BQ175" s="75"/>
      <c r="BR175" s="75"/>
      <c r="BS175" s="157">
        <v>2017</v>
      </c>
      <c r="BU175">
        <v>2017</v>
      </c>
    </row>
    <row r="176" spans="1:73" ht="43.15" customHeight="1" x14ac:dyDescent="0.25">
      <c r="A176" s="242" t="s">
        <v>186</v>
      </c>
      <c r="B176" s="242" t="s">
        <v>1558</v>
      </c>
      <c r="C176" s="159">
        <v>400</v>
      </c>
      <c r="D176" s="114">
        <v>42807</v>
      </c>
      <c r="E176" s="114"/>
      <c r="F176" s="114"/>
      <c r="G176" s="114"/>
      <c r="H176" s="114">
        <v>42810</v>
      </c>
      <c r="I176" s="114">
        <v>42810</v>
      </c>
      <c r="J176" s="114">
        <v>42824</v>
      </c>
      <c r="K176" s="114"/>
      <c r="L176" s="114">
        <v>42901</v>
      </c>
      <c r="M176" s="114">
        <v>42873</v>
      </c>
      <c r="N176" s="114"/>
      <c r="O176" s="114">
        <v>42912</v>
      </c>
      <c r="P176" s="114">
        <v>42912</v>
      </c>
      <c r="Q176" s="114">
        <v>42916</v>
      </c>
      <c r="R176" s="80"/>
      <c r="S176" s="114"/>
      <c r="T176" s="75"/>
      <c r="U176" s="75"/>
      <c r="V176" s="75"/>
      <c r="W176" s="75">
        <v>2</v>
      </c>
      <c r="X176" s="75">
        <f>19917+15498</f>
        <v>35415</v>
      </c>
      <c r="Y176" s="75" t="str">
        <f ca="1">IF(I176="",IF(D176="","",IF(W176+X176&lt;15,"Données Nb pers ou RFR manquantes",IF(COUNTA(INDIRECT("TabRFR["&amp;YEAR(D176)&amp;"]"))&lt;&gt;COUNTA(TabRFR[Recherche RFR]),"Data RFR manquantes", IF(X176&lt;=INDEX(TabRFR[[2021]:[2025]],MATCH(BD!W176&amp;"-Très modestes",TabRFR[Recherche RFR],0),MATCH(TEXT(YEAR(BD!D176),"Standard"),TabRFR[[#Headers],[2021]:[2025]],0)),"Très Modeste",IF(X176&lt;=INDEX(TabRFR[[2021]:[2025]],MATCH(BD!W176&amp;"-modestes",TabRFR[Recherche RFR],0),MATCH(TEXT(YEAR(BD!D176),"Standard"),TabRFR[[#Headers],[2021]:[2025]],0)),"Modeste",IF(X176&lt;=INDEX(TabRFR[[2021]:[2025]],MATCH(BD!W176&amp;"-Intermédiaire",TabRFR[Recherche RFR],0),MATCH(TEXT(YEAR(BD!D176),"Standard"),TabRFR[[#Headers],[2021]:[2025]],0)),"Intermédiaire","Supérieur")))))),IF(D176="","",IF(W176+X176&lt;15,"Données Nb pers ou RFR manquantes",IF(COUNTA(INDIRECT("TabRFR["&amp;YEAR(I176)&amp;"]"))&lt;&gt;COUNTA(TabRFR[Recherche RFR]),"Data RFR manquantes", IF(X176&lt;=INDEX(TabRFR[[2021]:[2025]],MATCH(BD!W176&amp;"-Très modestes",TabRFR[Recherche RFR],0),MATCH(TEXT(YEAR(BD!I176),"Standard"),TabRFR[[#Headers],[2021]:[2025]],0)),"Très Modeste",IF(X176&lt;=INDEX(TabRFR[[2021]:[2025]],MATCH(BD!W176&amp;"-modestes",TabRFR[Recherche RFR],0),MATCH(TEXT(YEAR(BD!I176),"Standard"),TabRFR[[#Headers],[2021]:[2025]],0)),"Modeste",IF(X176&lt;=INDEX(TabRFR[[2021]:[2025]],MATCH(BD!W176&amp;"-Intermédiaire",TabRFR[Recherche RFR],0),MATCH(TEXT(YEAR(BD!I176),"Standard"),TabRFR[[#Headers],[2021]:[2025]],0)),"Intermédiaire","Supérieur")))))))</f>
        <v>Data RFR manquantes</v>
      </c>
      <c r="Z176" s="75"/>
      <c r="AA176" s="75" t="s">
        <v>1556</v>
      </c>
      <c r="AB176" s="75">
        <v>38960</v>
      </c>
      <c r="AC176" s="75" t="s">
        <v>2378</v>
      </c>
      <c r="AD176" s="73"/>
      <c r="AE176" s="102"/>
      <c r="AF176" s="75" t="s">
        <v>95</v>
      </c>
      <c r="AG176" s="75"/>
      <c r="AH176" s="75">
        <v>1989</v>
      </c>
      <c r="AI176" s="75"/>
      <c r="AJ176" s="75"/>
      <c r="AK176" s="75"/>
      <c r="AL176" s="75"/>
      <c r="AM176" s="75" t="s">
        <v>4236</v>
      </c>
      <c r="AN176" s="75" t="s">
        <v>4091</v>
      </c>
      <c r="AO176" s="75" t="s">
        <v>163</v>
      </c>
      <c r="AP176" s="75" t="s">
        <v>97</v>
      </c>
      <c r="AQ176" s="75"/>
      <c r="AR176" s="75"/>
      <c r="AS176" s="102" t="s">
        <v>164</v>
      </c>
      <c r="AT176" s="101">
        <v>476370350</v>
      </c>
      <c r="AU176" s="75" t="s">
        <v>111</v>
      </c>
      <c r="AV176" s="75">
        <v>1996</v>
      </c>
      <c r="AW176" s="75" t="s">
        <v>100</v>
      </c>
      <c r="AX176" s="75" t="s">
        <v>2071</v>
      </c>
      <c r="AY176" s="75" t="s">
        <v>1017</v>
      </c>
      <c r="AZ176" s="75" t="s">
        <v>1131</v>
      </c>
      <c r="BA176" s="75">
        <v>11</v>
      </c>
      <c r="BB176" s="75">
        <v>12</v>
      </c>
      <c r="BC176" s="75">
        <v>88.5</v>
      </c>
      <c r="BD176" s="75">
        <v>0.01</v>
      </c>
      <c r="BE176" s="75" t="s">
        <v>97</v>
      </c>
      <c r="BF176" s="75">
        <v>7273</v>
      </c>
      <c r="BG176" s="75">
        <v>7273</v>
      </c>
      <c r="BH176" s="75"/>
      <c r="BI176" s="75"/>
      <c r="BJ176" s="75"/>
      <c r="BK176" s="75">
        <v>190</v>
      </c>
      <c r="BL176" s="75">
        <f t="shared" si="6"/>
        <v>7463</v>
      </c>
      <c r="BM176" s="103">
        <f t="shared" si="7"/>
        <v>410.46499999999997</v>
      </c>
      <c r="BN176" s="103">
        <f t="shared" si="8"/>
        <v>7873.4650000000001</v>
      </c>
      <c r="BO176" s="103">
        <v>8295.4599999999991</v>
      </c>
      <c r="BP176" s="75" t="s">
        <v>97</v>
      </c>
      <c r="BQ176" s="75"/>
      <c r="BR176" s="75"/>
      <c r="BS176" s="157">
        <v>2017</v>
      </c>
      <c r="BU176">
        <v>2017</v>
      </c>
    </row>
    <row r="177" spans="1:73" ht="43.15" customHeight="1" x14ac:dyDescent="0.25">
      <c r="A177" s="242" t="s">
        <v>186</v>
      </c>
      <c r="B177" s="242" t="s">
        <v>1554</v>
      </c>
      <c r="C177" s="159">
        <v>800</v>
      </c>
      <c r="D177" s="114">
        <v>42800</v>
      </c>
      <c r="E177" s="114"/>
      <c r="F177" s="114"/>
      <c r="G177" s="114"/>
      <c r="H177" s="114">
        <v>42873</v>
      </c>
      <c r="I177" s="114">
        <v>42873</v>
      </c>
      <c r="J177" s="114">
        <v>42877</v>
      </c>
      <c r="K177" s="114"/>
      <c r="L177" s="114">
        <v>42968</v>
      </c>
      <c r="M177" s="114">
        <v>42879</v>
      </c>
      <c r="N177" s="114"/>
      <c r="O177" s="114">
        <v>42977</v>
      </c>
      <c r="P177" s="114">
        <v>42977</v>
      </c>
      <c r="Q177" s="114">
        <v>42986</v>
      </c>
      <c r="R177" s="100"/>
      <c r="S177" s="114"/>
      <c r="T177" s="75"/>
      <c r="U177" s="75"/>
      <c r="V177" s="75"/>
      <c r="W177" s="75">
        <v>4</v>
      </c>
      <c r="X177" s="75">
        <v>37196</v>
      </c>
      <c r="Y177" s="75" t="str">
        <f ca="1">IF(I177="",IF(D177="","",IF(W177+X177&lt;15,"Données Nb pers ou RFR manquantes",IF(COUNTA(INDIRECT("TabRFR["&amp;YEAR(D177)&amp;"]"))&lt;&gt;COUNTA(TabRFR[Recherche RFR]),"Data RFR manquantes", IF(X177&lt;=INDEX(TabRFR[[2021]:[2025]],MATCH(BD!W177&amp;"-Très modestes",TabRFR[Recherche RFR],0),MATCH(TEXT(YEAR(BD!D177),"Standard"),TabRFR[[#Headers],[2021]:[2025]],0)),"Très Modeste",IF(X177&lt;=INDEX(TabRFR[[2021]:[2025]],MATCH(BD!W177&amp;"-modestes",TabRFR[Recherche RFR],0),MATCH(TEXT(YEAR(BD!D177),"Standard"),TabRFR[[#Headers],[2021]:[2025]],0)),"Modeste",IF(X177&lt;=INDEX(TabRFR[[2021]:[2025]],MATCH(BD!W177&amp;"-Intermédiaire",TabRFR[Recherche RFR],0),MATCH(TEXT(YEAR(BD!D177),"Standard"),TabRFR[[#Headers],[2021]:[2025]],0)),"Intermédiaire","Supérieur")))))),IF(D177="","",IF(W177+X177&lt;15,"Données Nb pers ou RFR manquantes",IF(COUNTA(INDIRECT("TabRFR["&amp;YEAR(I177)&amp;"]"))&lt;&gt;COUNTA(TabRFR[Recherche RFR]),"Data RFR manquantes", IF(X177&lt;=INDEX(TabRFR[[2021]:[2025]],MATCH(BD!W177&amp;"-Très modestes",TabRFR[Recherche RFR],0),MATCH(TEXT(YEAR(BD!I177),"Standard"),TabRFR[[#Headers],[2021]:[2025]],0)),"Très Modeste",IF(X177&lt;=INDEX(TabRFR[[2021]:[2025]],MATCH(BD!W177&amp;"-modestes",TabRFR[Recherche RFR],0),MATCH(TEXT(YEAR(BD!I177),"Standard"),TabRFR[[#Headers],[2021]:[2025]],0)),"Modeste",IF(X177&lt;=INDEX(TabRFR[[2021]:[2025]],MATCH(BD!W177&amp;"-Intermédiaire",TabRFR[Recherche RFR],0),MATCH(TEXT(YEAR(BD!I177),"Standard"),TabRFR[[#Headers],[2021]:[2025]],0)),"Intermédiaire","Supérieur")))))))</f>
        <v>Data RFR manquantes</v>
      </c>
      <c r="Z177" s="75"/>
      <c r="AA177" s="75" t="s">
        <v>1552</v>
      </c>
      <c r="AB177" s="75">
        <v>38500</v>
      </c>
      <c r="AC177" s="75" t="s">
        <v>94</v>
      </c>
      <c r="AD177" s="73"/>
      <c r="AE177" s="102"/>
      <c r="AF177" s="75" t="s">
        <v>95</v>
      </c>
      <c r="AG177" s="75"/>
      <c r="AH177" s="75">
        <v>2015</v>
      </c>
      <c r="AI177" s="75"/>
      <c r="AJ177" s="75"/>
      <c r="AK177" s="75"/>
      <c r="AL177" s="75"/>
      <c r="AM177" s="75" t="s">
        <v>4356</v>
      </c>
      <c r="AN177" s="75" t="s">
        <v>96</v>
      </c>
      <c r="AO177" s="75" t="s">
        <v>119</v>
      </c>
      <c r="AP177" s="75" t="s">
        <v>97</v>
      </c>
      <c r="AQ177" s="75"/>
      <c r="AR177" s="75"/>
      <c r="AS177" s="102" t="s">
        <v>120</v>
      </c>
      <c r="AT177" s="101">
        <v>476071461</v>
      </c>
      <c r="AU177" s="75" t="s">
        <v>111</v>
      </c>
      <c r="AV177" s="75"/>
      <c r="AW177" s="75" t="s">
        <v>100</v>
      </c>
      <c r="AX177" s="75" t="s">
        <v>2071</v>
      </c>
      <c r="AY177" s="75" t="s">
        <v>102</v>
      </c>
      <c r="AZ177" s="75" t="s">
        <v>1550</v>
      </c>
      <c r="BA177" s="75">
        <v>22</v>
      </c>
      <c r="BB177" s="75">
        <v>8</v>
      </c>
      <c r="BC177" s="75">
        <v>92</v>
      </c>
      <c r="BD177" s="75">
        <v>0.01</v>
      </c>
      <c r="BE177" s="75" t="s">
        <v>97</v>
      </c>
      <c r="BF177" s="75">
        <v>4794</v>
      </c>
      <c r="BG177" s="75">
        <v>4794</v>
      </c>
      <c r="BH177" s="75"/>
      <c r="BI177" s="75"/>
      <c r="BJ177" s="75"/>
      <c r="BK177" s="75">
        <v>420</v>
      </c>
      <c r="BL177" s="75">
        <f t="shared" si="6"/>
        <v>5214</v>
      </c>
      <c r="BM177" s="103">
        <f t="shared" si="7"/>
        <v>286.77</v>
      </c>
      <c r="BN177" s="103">
        <f t="shared" si="8"/>
        <v>5500.77</v>
      </c>
      <c r="BO177" s="103">
        <v>5500</v>
      </c>
      <c r="BP177" s="75"/>
      <c r="BQ177" s="75"/>
      <c r="BR177" s="75"/>
      <c r="BS177" s="157">
        <v>2017</v>
      </c>
      <c r="BU177">
        <v>2017</v>
      </c>
    </row>
    <row r="178" spans="1:73" ht="43.15" customHeight="1" x14ac:dyDescent="0.25">
      <c r="A178" s="242" t="s">
        <v>186</v>
      </c>
      <c r="B178" s="242" t="s">
        <v>1549</v>
      </c>
      <c r="C178" s="159">
        <v>800</v>
      </c>
      <c r="D178" s="114">
        <v>42816</v>
      </c>
      <c r="E178" s="114"/>
      <c r="F178" s="114"/>
      <c r="G178" s="114"/>
      <c r="H178" s="114">
        <v>42824</v>
      </c>
      <c r="I178" s="114">
        <v>42824</v>
      </c>
      <c r="J178" s="114">
        <v>42839</v>
      </c>
      <c r="K178" s="114"/>
      <c r="L178" s="114">
        <v>42879</v>
      </c>
      <c r="M178" s="114">
        <v>42864</v>
      </c>
      <c r="N178" s="114"/>
      <c r="O178" s="114">
        <v>42879</v>
      </c>
      <c r="P178" s="114">
        <v>42879</v>
      </c>
      <c r="Q178" s="114">
        <v>42888</v>
      </c>
      <c r="R178" s="100"/>
      <c r="S178" s="114"/>
      <c r="T178" s="75"/>
      <c r="U178" s="75"/>
      <c r="V178" s="75"/>
      <c r="W178" s="75">
        <v>2</v>
      </c>
      <c r="X178" s="75">
        <v>19591</v>
      </c>
      <c r="Y178" s="75" t="str">
        <f ca="1">IF(I178="",IF(D178="","",IF(W178+X178&lt;15,"Données Nb pers ou RFR manquantes",IF(COUNTA(INDIRECT("TabRFR["&amp;YEAR(D178)&amp;"]"))&lt;&gt;COUNTA(TabRFR[Recherche RFR]),"Data RFR manquantes", IF(X178&lt;=INDEX(TabRFR[[2021]:[2025]],MATCH(BD!W178&amp;"-Très modestes",TabRFR[Recherche RFR],0),MATCH(TEXT(YEAR(BD!D178),"Standard"),TabRFR[[#Headers],[2021]:[2025]],0)),"Très Modeste",IF(X178&lt;=INDEX(TabRFR[[2021]:[2025]],MATCH(BD!W178&amp;"-modestes",TabRFR[Recherche RFR],0),MATCH(TEXT(YEAR(BD!D178),"Standard"),TabRFR[[#Headers],[2021]:[2025]],0)),"Modeste",IF(X178&lt;=INDEX(TabRFR[[2021]:[2025]],MATCH(BD!W178&amp;"-Intermédiaire",TabRFR[Recherche RFR],0),MATCH(TEXT(YEAR(BD!D178),"Standard"),TabRFR[[#Headers],[2021]:[2025]],0)),"Intermédiaire","Supérieur")))))),IF(D178="","",IF(W178+X178&lt;15,"Données Nb pers ou RFR manquantes",IF(COUNTA(INDIRECT("TabRFR["&amp;YEAR(I178)&amp;"]"))&lt;&gt;COUNTA(TabRFR[Recherche RFR]),"Data RFR manquantes", IF(X178&lt;=INDEX(TabRFR[[2021]:[2025]],MATCH(BD!W178&amp;"-Très modestes",TabRFR[Recherche RFR],0),MATCH(TEXT(YEAR(BD!I178),"Standard"),TabRFR[[#Headers],[2021]:[2025]],0)),"Très Modeste",IF(X178&lt;=INDEX(TabRFR[[2021]:[2025]],MATCH(BD!W178&amp;"-modestes",TabRFR[Recherche RFR],0),MATCH(TEXT(YEAR(BD!I178),"Standard"),TabRFR[[#Headers],[2021]:[2025]],0)),"Modeste",IF(X178&lt;=INDEX(TabRFR[[2021]:[2025]],MATCH(BD!W178&amp;"-Intermédiaire",TabRFR[Recherche RFR],0),MATCH(TEXT(YEAR(BD!I178),"Standard"),TabRFR[[#Headers],[2021]:[2025]],0)),"Intermédiaire","Supérieur")))))))</f>
        <v>Data RFR manquantes</v>
      </c>
      <c r="Z178" s="75"/>
      <c r="AA178" s="75" t="s">
        <v>1547</v>
      </c>
      <c r="AB178" s="75">
        <v>38210</v>
      </c>
      <c r="AC178" s="75" t="s">
        <v>195</v>
      </c>
      <c r="AD178" s="73"/>
      <c r="AE178" s="102"/>
      <c r="AF178" s="75" t="s">
        <v>95</v>
      </c>
      <c r="AG178" s="75"/>
      <c r="AH178" s="75"/>
      <c r="AI178" s="75"/>
      <c r="AJ178" s="75"/>
      <c r="AK178" s="75"/>
      <c r="AL178" s="75"/>
      <c r="AM178" s="75" t="s">
        <v>4356</v>
      </c>
      <c r="AN178" s="75" t="s">
        <v>96</v>
      </c>
      <c r="AO178" s="75" t="s">
        <v>119</v>
      </c>
      <c r="AP178" s="75" t="s">
        <v>97</v>
      </c>
      <c r="AQ178" s="75"/>
      <c r="AR178" s="75"/>
      <c r="AS178" s="102" t="s">
        <v>120</v>
      </c>
      <c r="AT178" s="101">
        <v>476071461</v>
      </c>
      <c r="AU178" s="75" t="s">
        <v>100</v>
      </c>
      <c r="AV178" s="75" t="s">
        <v>112</v>
      </c>
      <c r="AW178" s="75" t="s">
        <v>100</v>
      </c>
      <c r="AX178" s="75" t="s">
        <v>2071</v>
      </c>
      <c r="AY178" s="75" t="s">
        <v>102</v>
      </c>
      <c r="AZ178" s="75" t="s">
        <v>1545</v>
      </c>
      <c r="BA178" s="75">
        <v>17</v>
      </c>
      <c r="BB178" s="75">
        <v>8</v>
      </c>
      <c r="BC178" s="75">
        <v>90.7</v>
      </c>
      <c r="BD178" s="75">
        <v>0</v>
      </c>
      <c r="BE178" s="75" t="s">
        <v>97</v>
      </c>
      <c r="BF178" s="75">
        <v>4800</v>
      </c>
      <c r="BG178" s="75">
        <v>4800</v>
      </c>
      <c r="BH178" s="75"/>
      <c r="BI178" s="75"/>
      <c r="BJ178" s="75">
        <v>0</v>
      </c>
      <c r="BK178" s="75">
        <v>420</v>
      </c>
      <c r="BL178" s="75">
        <f t="shared" si="6"/>
        <v>5220</v>
      </c>
      <c r="BM178" s="103">
        <f t="shared" si="7"/>
        <v>287.10000000000002</v>
      </c>
      <c r="BN178" s="103">
        <f t="shared" si="8"/>
        <v>5507.1</v>
      </c>
      <c r="BO178" s="103">
        <v>5000</v>
      </c>
      <c r="BP178" s="75" t="s">
        <v>97</v>
      </c>
      <c r="BQ178" s="75"/>
      <c r="BR178" s="75"/>
      <c r="BS178" s="157">
        <v>2017</v>
      </c>
      <c r="BU178">
        <v>2017</v>
      </c>
    </row>
    <row r="179" spans="1:73" ht="43.15" customHeight="1" x14ac:dyDescent="0.25">
      <c r="A179" s="242" t="s">
        <v>186</v>
      </c>
      <c r="B179" s="242" t="s">
        <v>1544</v>
      </c>
      <c r="C179" s="159">
        <v>400</v>
      </c>
      <c r="D179" s="114">
        <v>42817</v>
      </c>
      <c r="E179" s="114"/>
      <c r="F179" s="114"/>
      <c r="G179" s="114" t="s">
        <v>1543</v>
      </c>
      <c r="H179" s="114">
        <v>42969</v>
      </c>
      <c r="I179" s="114">
        <v>42969</v>
      </c>
      <c r="J179" s="114">
        <v>42975</v>
      </c>
      <c r="K179" s="114"/>
      <c r="L179" s="114">
        <v>43045</v>
      </c>
      <c r="M179" s="114">
        <v>43027</v>
      </c>
      <c r="N179" s="114" t="s">
        <v>1542</v>
      </c>
      <c r="O179" s="114">
        <v>43061</v>
      </c>
      <c r="P179" s="114">
        <v>43061</v>
      </c>
      <c r="Q179" s="114">
        <v>43077</v>
      </c>
      <c r="R179" s="80"/>
      <c r="S179" s="114"/>
      <c r="T179" s="75"/>
      <c r="U179" s="75"/>
      <c r="V179" s="75"/>
      <c r="W179" s="75">
        <v>2</v>
      </c>
      <c r="X179" s="75">
        <f>42149+18396</f>
        <v>60545</v>
      </c>
      <c r="Y179" s="75" t="str">
        <f ca="1">IF(I179="",IF(D179="","",IF(W179+X179&lt;15,"Données Nb pers ou RFR manquantes",IF(COUNTA(INDIRECT("TabRFR["&amp;YEAR(D179)&amp;"]"))&lt;&gt;COUNTA(TabRFR[Recherche RFR]),"Data RFR manquantes", IF(X179&lt;=INDEX(TabRFR[[2021]:[2025]],MATCH(BD!W179&amp;"-Très modestes",TabRFR[Recherche RFR],0),MATCH(TEXT(YEAR(BD!D179),"Standard"),TabRFR[[#Headers],[2021]:[2025]],0)),"Très Modeste",IF(X179&lt;=INDEX(TabRFR[[2021]:[2025]],MATCH(BD!W179&amp;"-modestes",TabRFR[Recherche RFR],0),MATCH(TEXT(YEAR(BD!D179),"Standard"),TabRFR[[#Headers],[2021]:[2025]],0)),"Modeste",IF(X179&lt;=INDEX(TabRFR[[2021]:[2025]],MATCH(BD!W179&amp;"-Intermédiaire",TabRFR[Recherche RFR],0),MATCH(TEXT(YEAR(BD!D179),"Standard"),TabRFR[[#Headers],[2021]:[2025]],0)),"Intermédiaire","Supérieur")))))),IF(D179="","",IF(W179+X179&lt;15,"Données Nb pers ou RFR manquantes",IF(COUNTA(INDIRECT("TabRFR["&amp;YEAR(I179)&amp;"]"))&lt;&gt;COUNTA(TabRFR[Recherche RFR]),"Data RFR manquantes", IF(X179&lt;=INDEX(TabRFR[[2021]:[2025]],MATCH(BD!W179&amp;"-Très modestes",TabRFR[Recherche RFR],0),MATCH(TEXT(YEAR(BD!I179),"Standard"),TabRFR[[#Headers],[2021]:[2025]],0)),"Très Modeste",IF(X179&lt;=INDEX(TabRFR[[2021]:[2025]],MATCH(BD!W179&amp;"-modestes",TabRFR[Recherche RFR],0),MATCH(TEXT(YEAR(BD!I179),"Standard"),TabRFR[[#Headers],[2021]:[2025]],0)),"Modeste",IF(X179&lt;=INDEX(TabRFR[[2021]:[2025]],MATCH(BD!W179&amp;"-Intermédiaire",TabRFR[Recherche RFR],0),MATCH(TEXT(YEAR(BD!I179),"Standard"),TabRFR[[#Headers],[2021]:[2025]],0)),"Intermédiaire","Supérieur")))))))</f>
        <v>Data RFR manquantes</v>
      </c>
      <c r="Z179" s="75"/>
      <c r="AA179" s="75" t="s">
        <v>1539</v>
      </c>
      <c r="AB179" s="75">
        <v>38620</v>
      </c>
      <c r="AC179" s="75" t="s">
        <v>851</v>
      </c>
      <c r="AD179" s="73"/>
      <c r="AE179" s="102"/>
      <c r="AF179" s="75" t="s">
        <v>95</v>
      </c>
      <c r="AG179" s="75"/>
      <c r="AH179" s="75">
        <v>2016</v>
      </c>
      <c r="AI179" s="75"/>
      <c r="AJ179" s="75"/>
      <c r="AK179" s="75"/>
      <c r="AL179" s="75"/>
      <c r="AM179" s="75" t="s">
        <v>4031</v>
      </c>
      <c r="AN179" s="75" t="s">
        <v>4109</v>
      </c>
      <c r="AO179" s="75" t="s">
        <v>1537</v>
      </c>
      <c r="AP179" s="75" t="s">
        <v>97</v>
      </c>
      <c r="AQ179" s="75"/>
      <c r="AR179" s="75"/>
      <c r="AS179" s="102" t="s">
        <v>156</v>
      </c>
      <c r="AT179" s="101">
        <v>698193037</v>
      </c>
      <c r="AU179" s="75" t="s">
        <v>100</v>
      </c>
      <c r="AV179" s="75" t="s">
        <v>112</v>
      </c>
      <c r="AW179" s="75" t="s">
        <v>100</v>
      </c>
      <c r="AX179" s="75" t="s">
        <v>2071</v>
      </c>
      <c r="AY179" s="75" t="s">
        <v>1536</v>
      </c>
      <c r="AZ179" s="75" t="s">
        <v>1535</v>
      </c>
      <c r="BA179" s="75">
        <v>18</v>
      </c>
      <c r="BB179" s="75">
        <v>8</v>
      </c>
      <c r="BC179" s="75">
        <v>89.8</v>
      </c>
      <c r="BD179" s="75">
        <v>0.01</v>
      </c>
      <c r="BE179" s="75" t="s">
        <v>97</v>
      </c>
      <c r="BF179" s="75">
        <v>3213.87</v>
      </c>
      <c r="BG179" s="75">
        <v>3213.87</v>
      </c>
      <c r="BH179" s="75"/>
      <c r="BI179" s="75"/>
      <c r="BJ179" s="75"/>
      <c r="BK179" s="75">
        <v>300</v>
      </c>
      <c r="BL179" s="75">
        <f t="shared" si="6"/>
        <v>3513.87</v>
      </c>
      <c r="BM179" s="103">
        <f t="shared" si="7"/>
        <v>193.26284999999999</v>
      </c>
      <c r="BN179" s="103">
        <f t="shared" si="8"/>
        <v>3707.13285</v>
      </c>
      <c r="BO179" s="103">
        <v>3947.76</v>
      </c>
      <c r="BP179" s="75" t="s">
        <v>104</v>
      </c>
      <c r="BQ179" s="75"/>
      <c r="BR179" s="75"/>
      <c r="BS179" s="157">
        <v>2017</v>
      </c>
      <c r="BU179">
        <v>2017</v>
      </c>
    </row>
    <row r="180" spans="1:73" ht="43.15" customHeight="1" x14ac:dyDescent="0.25">
      <c r="A180" s="242" t="s">
        <v>186</v>
      </c>
      <c r="B180" s="242" t="s">
        <v>1534</v>
      </c>
      <c r="C180" s="159">
        <v>400</v>
      </c>
      <c r="D180" s="114">
        <v>42821</v>
      </c>
      <c r="E180" s="114"/>
      <c r="F180" s="114"/>
      <c r="G180" s="114"/>
      <c r="H180" s="114">
        <v>42829</v>
      </c>
      <c r="I180" s="114">
        <v>42829</v>
      </c>
      <c r="J180" s="114">
        <v>42839</v>
      </c>
      <c r="K180" s="114"/>
      <c r="L180" s="114">
        <v>42849</v>
      </c>
      <c r="M180" s="114">
        <v>42844</v>
      </c>
      <c r="N180" s="114"/>
      <c r="O180" s="114">
        <v>42860</v>
      </c>
      <c r="P180" s="114">
        <v>42860</v>
      </c>
      <c r="Q180" s="114">
        <v>42870</v>
      </c>
      <c r="R180" s="80"/>
      <c r="S180" s="114"/>
      <c r="T180" s="75"/>
      <c r="U180" s="75"/>
      <c r="V180" s="75"/>
      <c r="W180" s="75">
        <v>2</v>
      </c>
      <c r="X180" s="75">
        <v>29846</v>
      </c>
      <c r="Y180" s="75" t="str">
        <f ca="1">IF(I180="",IF(D180="","",IF(W180+X180&lt;15,"Données Nb pers ou RFR manquantes",IF(COUNTA(INDIRECT("TabRFR["&amp;YEAR(D180)&amp;"]"))&lt;&gt;COUNTA(TabRFR[Recherche RFR]),"Data RFR manquantes", IF(X180&lt;=INDEX(TabRFR[[2021]:[2025]],MATCH(BD!W180&amp;"-Très modestes",TabRFR[Recherche RFR],0),MATCH(TEXT(YEAR(BD!D180),"Standard"),TabRFR[[#Headers],[2021]:[2025]],0)),"Très Modeste",IF(X180&lt;=INDEX(TabRFR[[2021]:[2025]],MATCH(BD!W180&amp;"-modestes",TabRFR[Recherche RFR],0),MATCH(TEXT(YEAR(BD!D180),"Standard"),TabRFR[[#Headers],[2021]:[2025]],0)),"Modeste",IF(X180&lt;=INDEX(TabRFR[[2021]:[2025]],MATCH(BD!W180&amp;"-Intermédiaire",TabRFR[Recherche RFR],0),MATCH(TEXT(YEAR(BD!D180),"Standard"),TabRFR[[#Headers],[2021]:[2025]],0)),"Intermédiaire","Supérieur")))))),IF(D180="","",IF(W180+X180&lt;15,"Données Nb pers ou RFR manquantes",IF(COUNTA(INDIRECT("TabRFR["&amp;YEAR(I180)&amp;"]"))&lt;&gt;COUNTA(TabRFR[Recherche RFR]),"Data RFR manquantes", IF(X180&lt;=INDEX(TabRFR[[2021]:[2025]],MATCH(BD!W180&amp;"-Très modestes",TabRFR[Recherche RFR],0),MATCH(TEXT(YEAR(BD!I180),"Standard"),TabRFR[[#Headers],[2021]:[2025]],0)),"Très Modeste",IF(X180&lt;=INDEX(TabRFR[[2021]:[2025]],MATCH(BD!W180&amp;"-modestes",TabRFR[Recherche RFR],0),MATCH(TEXT(YEAR(BD!I180),"Standard"),TabRFR[[#Headers],[2021]:[2025]],0)),"Modeste",IF(X180&lt;=INDEX(TabRFR[[2021]:[2025]],MATCH(BD!W180&amp;"-Intermédiaire",TabRFR[Recherche RFR],0),MATCH(TEXT(YEAR(BD!I180),"Standard"),TabRFR[[#Headers],[2021]:[2025]],0)),"Intermédiaire","Supérieur")))))))</f>
        <v>Data RFR manquantes</v>
      </c>
      <c r="Z180" s="75"/>
      <c r="AA180" s="75" t="s">
        <v>1095</v>
      </c>
      <c r="AB180" s="75">
        <v>38340</v>
      </c>
      <c r="AC180" s="75" t="s">
        <v>108</v>
      </c>
      <c r="AD180" s="73"/>
      <c r="AE180" s="102"/>
      <c r="AF180" s="75" t="s">
        <v>95</v>
      </c>
      <c r="AG180" s="75"/>
      <c r="AH180" s="75">
        <v>2016</v>
      </c>
      <c r="AI180" s="75"/>
      <c r="AJ180" s="75"/>
      <c r="AK180" s="75"/>
      <c r="AL180" s="75"/>
      <c r="AM180" s="75" t="s">
        <v>4233</v>
      </c>
      <c r="AN180" s="75" t="s">
        <v>829</v>
      </c>
      <c r="AO180" s="75" t="s">
        <v>1323</v>
      </c>
      <c r="AP180" s="75" t="s">
        <v>97</v>
      </c>
      <c r="AQ180" s="75"/>
      <c r="AR180" s="75">
        <v>42948</v>
      </c>
      <c r="AS180" s="102" t="s">
        <v>211</v>
      </c>
      <c r="AT180" s="101">
        <v>438029038</v>
      </c>
      <c r="AU180" s="75" t="s">
        <v>1511</v>
      </c>
      <c r="AV180" s="75" t="s">
        <v>112</v>
      </c>
      <c r="AW180" s="75" t="s">
        <v>100</v>
      </c>
      <c r="AX180" s="75" t="s">
        <v>2071</v>
      </c>
      <c r="AY180" s="75" t="s">
        <v>272</v>
      </c>
      <c r="AZ180" s="75" t="s">
        <v>1531</v>
      </c>
      <c r="BA180" s="75">
        <v>22</v>
      </c>
      <c r="BB180" s="75">
        <v>9</v>
      </c>
      <c r="BC180" s="75">
        <v>89</v>
      </c>
      <c r="BD180" s="75">
        <v>0.1</v>
      </c>
      <c r="BE180" s="75" t="s">
        <v>97</v>
      </c>
      <c r="BF180" s="75">
        <v>2849.28</v>
      </c>
      <c r="BG180" s="75">
        <v>2849.28</v>
      </c>
      <c r="BH180" s="75"/>
      <c r="BI180" s="75"/>
      <c r="BJ180" s="75"/>
      <c r="BK180" s="75">
        <v>800</v>
      </c>
      <c r="BL180" s="75">
        <f t="shared" si="6"/>
        <v>3649.28</v>
      </c>
      <c r="BM180" s="103">
        <f t="shared" si="7"/>
        <v>200.71040000000002</v>
      </c>
      <c r="BN180" s="103">
        <f t="shared" si="8"/>
        <v>3849.9904000000001</v>
      </c>
      <c r="BO180" s="103"/>
      <c r="BP180" s="75" t="s">
        <v>97</v>
      </c>
      <c r="BQ180" s="75"/>
      <c r="BR180" s="75"/>
      <c r="BS180" s="157">
        <v>2017</v>
      </c>
      <c r="BU180">
        <v>2017</v>
      </c>
    </row>
    <row r="181" spans="1:73" ht="43.15" customHeight="1" x14ac:dyDescent="0.25">
      <c r="A181" s="242" t="s">
        <v>186</v>
      </c>
      <c r="B181" s="242" t="s">
        <v>1530</v>
      </c>
      <c r="C181" s="159">
        <v>400</v>
      </c>
      <c r="D181" s="114">
        <v>42822</v>
      </c>
      <c r="E181" s="114"/>
      <c r="F181" s="114"/>
      <c r="G181" s="114"/>
      <c r="H181" s="114">
        <v>42829</v>
      </c>
      <c r="I181" s="114">
        <v>42829</v>
      </c>
      <c r="J181" s="114">
        <v>42839</v>
      </c>
      <c r="K181" s="114"/>
      <c r="L181" s="114">
        <v>42926</v>
      </c>
      <c r="M181" s="215">
        <v>42885</v>
      </c>
      <c r="N181" s="215"/>
      <c r="O181" s="215">
        <v>42955</v>
      </c>
      <c r="P181" s="215">
        <v>42955</v>
      </c>
      <c r="Q181" s="114">
        <v>42956</v>
      </c>
      <c r="R181" s="80"/>
      <c r="S181" s="114"/>
      <c r="T181" s="75"/>
      <c r="U181" s="75"/>
      <c r="V181" s="75"/>
      <c r="W181" s="75">
        <v>3</v>
      </c>
      <c r="X181" s="75">
        <v>106830</v>
      </c>
      <c r="Y181" s="75" t="str">
        <f ca="1">IF(I181="",IF(D181="","",IF(W181+X181&lt;15,"Données Nb pers ou RFR manquantes",IF(COUNTA(INDIRECT("TabRFR["&amp;YEAR(D181)&amp;"]"))&lt;&gt;COUNTA(TabRFR[Recherche RFR]),"Data RFR manquantes", IF(X181&lt;=INDEX(TabRFR[[2021]:[2025]],MATCH(BD!W181&amp;"-Très modestes",TabRFR[Recherche RFR],0),MATCH(TEXT(YEAR(BD!D181),"Standard"),TabRFR[[#Headers],[2021]:[2025]],0)),"Très Modeste",IF(X181&lt;=INDEX(TabRFR[[2021]:[2025]],MATCH(BD!W181&amp;"-modestes",TabRFR[Recherche RFR],0),MATCH(TEXT(YEAR(BD!D181),"Standard"),TabRFR[[#Headers],[2021]:[2025]],0)),"Modeste",IF(X181&lt;=INDEX(TabRFR[[2021]:[2025]],MATCH(BD!W181&amp;"-Intermédiaire",TabRFR[Recherche RFR],0),MATCH(TEXT(YEAR(BD!D181),"Standard"),TabRFR[[#Headers],[2021]:[2025]],0)),"Intermédiaire","Supérieur")))))),IF(D181="","",IF(W181+X181&lt;15,"Données Nb pers ou RFR manquantes",IF(COUNTA(INDIRECT("TabRFR["&amp;YEAR(I181)&amp;"]"))&lt;&gt;COUNTA(TabRFR[Recherche RFR]),"Data RFR manquantes", IF(X181&lt;=INDEX(TabRFR[[2021]:[2025]],MATCH(BD!W181&amp;"-Très modestes",TabRFR[Recherche RFR],0),MATCH(TEXT(YEAR(BD!I181),"Standard"),TabRFR[[#Headers],[2021]:[2025]],0)),"Très Modeste",IF(X181&lt;=INDEX(TabRFR[[2021]:[2025]],MATCH(BD!W181&amp;"-modestes",TabRFR[Recherche RFR],0),MATCH(TEXT(YEAR(BD!I181),"Standard"),TabRFR[[#Headers],[2021]:[2025]],0)),"Modeste",IF(X181&lt;=INDEX(TabRFR[[2021]:[2025]],MATCH(BD!W181&amp;"-Intermédiaire",TabRFR[Recherche RFR],0),MATCH(TEXT(YEAR(BD!I181),"Standard"),TabRFR[[#Headers],[2021]:[2025]],0)),"Intermédiaire","Supérieur")))))))</f>
        <v>Data RFR manquantes</v>
      </c>
      <c r="Z181" s="75"/>
      <c r="AA181" s="75" t="s">
        <v>1527</v>
      </c>
      <c r="AB181" s="75">
        <v>38430</v>
      </c>
      <c r="AC181" s="75" t="s">
        <v>217</v>
      </c>
      <c r="AD181" s="73"/>
      <c r="AE181" s="102"/>
      <c r="AF181" s="75" t="s">
        <v>95</v>
      </c>
      <c r="AG181" s="75"/>
      <c r="AH181" s="75"/>
      <c r="AI181" s="75"/>
      <c r="AJ181" s="75"/>
      <c r="AK181" s="75"/>
      <c r="AL181" s="75"/>
      <c r="AM181" s="75" t="s">
        <v>4035</v>
      </c>
      <c r="AN181" s="75" t="s">
        <v>108</v>
      </c>
      <c r="AO181" s="75" t="s">
        <v>1525</v>
      </c>
      <c r="AP181" s="75" t="s">
        <v>97</v>
      </c>
      <c r="AQ181" s="75"/>
      <c r="AR181" s="75">
        <v>42914</v>
      </c>
      <c r="AS181" s="102" t="s">
        <v>110</v>
      </c>
      <c r="AT181" s="101">
        <v>476500550</v>
      </c>
      <c r="AU181" s="75" t="s">
        <v>111</v>
      </c>
      <c r="AV181" s="75" t="s">
        <v>112</v>
      </c>
      <c r="AW181" s="75" t="s">
        <v>100</v>
      </c>
      <c r="AX181" s="77" t="s">
        <v>112</v>
      </c>
      <c r="AY181" s="75" t="s">
        <v>113</v>
      </c>
      <c r="AZ181" s="75" t="s">
        <v>1524</v>
      </c>
      <c r="BA181" s="75">
        <v>25</v>
      </c>
      <c r="BB181" s="75">
        <v>9</v>
      </c>
      <c r="BC181" s="75">
        <v>89</v>
      </c>
      <c r="BD181" s="75">
        <v>0.12</v>
      </c>
      <c r="BE181" s="75" t="s">
        <v>97</v>
      </c>
      <c r="BF181" s="75">
        <v>2775</v>
      </c>
      <c r="BG181" s="75">
        <f>2775+325.44+61.09+182.53+225+118.91</f>
        <v>3687.9700000000003</v>
      </c>
      <c r="BH181" s="75"/>
      <c r="BI181" s="75"/>
      <c r="BJ181" s="75"/>
      <c r="BK181" s="75">
        <v>900</v>
      </c>
      <c r="BL181" s="75">
        <f t="shared" si="6"/>
        <v>4587.97</v>
      </c>
      <c r="BM181" s="103">
        <f t="shared" si="7"/>
        <v>252.33835000000002</v>
      </c>
      <c r="BN181" s="103">
        <f t="shared" si="8"/>
        <v>4840.3083500000002</v>
      </c>
      <c r="BO181" s="103"/>
      <c r="BP181" s="75" t="s">
        <v>97</v>
      </c>
      <c r="BQ181" s="75"/>
      <c r="BR181" s="75"/>
      <c r="BS181" s="157">
        <v>2017</v>
      </c>
      <c r="BT181">
        <v>2020</v>
      </c>
      <c r="BU181">
        <v>2017</v>
      </c>
    </row>
    <row r="182" spans="1:73" ht="43.15" customHeight="1" x14ac:dyDescent="0.25">
      <c r="A182" s="242" t="s">
        <v>186</v>
      </c>
      <c r="B182" s="242" t="s">
        <v>1523</v>
      </c>
      <c r="C182" s="159">
        <v>400</v>
      </c>
      <c r="D182" s="114">
        <v>42823</v>
      </c>
      <c r="E182" s="114"/>
      <c r="F182" s="114"/>
      <c r="G182" s="114"/>
      <c r="H182" s="114">
        <v>42829</v>
      </c>
      <c r="I182" s="114">
        <v>42829</v>
      </c>
      <c r="J182" s="114">
        <v>42839</v>
      </c>
      <c r="K182" s="114"/>
      <c r="L182" s="114">
        <v>42871</v>
      </c>
      <c r="M182" s="114">
        <v>42847</v>
      </c>
      <c r="N182" s="114"/>
      <c r="O182" s="114">
        <v>42873</v>
      </c>
      <c r="P182" s="114">
        <v>42873</v>
      </c>
      <c r="Q182" s="114">
        <v>42877</v>
      </c>
      <c r="R182" s="80"/>
      <c r="S182" s="114"/>
      <c r="T182" s="75"/>
      <c r="U182" s="75"/>
      <c r="V182" s="75"/>
      <c r="W182" s="75">
        <v>5</v>
      </c>
      <c r="X182" s="75"/>
      <c r="Y182" s="75" t="str">
        <f ca="1">IF(I182="",IF(D182="","",IF(W182+X182&lt;15,"Données Nb pers ou RFR manquantes",IF(COUNTA(INDIRECT("TabRFR["&amp;YEAR(D182)&amp;"]"))&lt;&gt;COUNTA(TabRFR[Recherche RFR]),"Data RFR manquantes", IF(X182&lt;=INDEX(TabRFR[[2021]:[2025]],MATCH(BD!W182&amp;"-Très modestes",TabRFR[Recherche RFR],0),MATCH(TEXT(YEAR(BD!D182),"Standard"),TabRFR[[#Headers],[2021]:[2025]],0)),"Très Modeste",IF(X182&lt;=INDEX(TabRFR[[2021]:[2025]],MATCH(BD!W182&amp;"-modestes",TabRFR[Recherche RFR],0),MATCH(TEXT(YEAR(BD!D182),"Standard"),TabRFR[[#Headers],[2021]:[2025]],0)),"Modeste",IF(X182&lt;=INDEX(TabRFR[[2021]:[2025]],MATCH(BD!W182&amp;"-Intermédiaire",TabRFR[Recherche RFR],0),MATCH(TEXT(YEAR(BD!D182),"Standard"),TabRFR[[#Headers],[2021]:[2025]],0)),"Intermédiaire","Supérieur")))))),IF(D182="","",IF(W182+X182&lt;15,"Données Nb pers ou RFR manquantes",IF(COUNTA(INDIRECT("TabRFR["&amp;YEAR(I182)&amp;"]"))&lt;&gt;COUNTA(TabRFR[Recherche RFR]),"Data RFR manquantes", IF(X182&lt;=INDEX(TabRFR[[2021]:[2025]],MATCH(BD!W182&amp;"-Très modestes",TabRFR[Recherche RFR],0),MATCH(TEXT(YEAR(BD!I182),"Standard"),TabRFR[[#Headers],[2021]:[2025]],0)),"Très Modeste",IF(X182&lt;=INDEX(TabRFR[[2021]:[2025]],MATCH(BD!W182&amp;"-modestes",TabRFR[Recherche RFR],0),MATCH(TEXT(YEAR(BD!I182),"Standard"),TabRFR[[#Headers],[2021]:[2025]],0)),"Modeste",IF(X182&lt;=INDEX(TabRFR[[2021]:[2025]],MATCH(BD!W182&amp;"-Intermédiaire",TabRFR[Recherche RFR],0),MATCH(TEXT(YEAR(BD!I182),"Standard"),TabRFR[[#Headers],[2021]:[2025]],0)),"Intermédiaire","Supérieur")))))))</f>
        <v>Données Nb pers ou RFR manquantes</v>
      </c>
      <c r="Z182" s="75"/>
      <c r="AA182" s="75" t="s">
        <v>1521</v>
      </c>
      <c r="AB182" s="75">
        <v>38140</v>
      </c>
      <c r="AC182" s="75" t="s">
        <v>363</v>
      </c>
      <c r="AD182" s="73"/>
      <c r="AE182" s="102"/>
      <c r="AF182" s="75" t="s">
        <v>95</v>
      </c>
      <c r="AG182" s="75"/>
      <c r="AH182" s="75">
        <v>2017</v>
      </c>
      <c r="AI182" s="75"/>
      <c r="AJ182" s="75"/>
      <c r="AK182" s="75"/>
      <c r="AL182" s="75"/>
      <c r="AM182" s="75" t="s">
        <v>4359</v>
      </c>
      <c r="AN182" s="75" t="s">
        <v>829</v>
      </c>
      <c r="AO182" s="75" t="s">
        <v>1392</v>
      </c>
      <c r="AP182" s="75" t="s">
        <v>97</v>
      </c>
      <c r="AQ182" s="75"/>
      <c r="AR182" s="75">
        <v>43022</v>
      </c>
      <c r="AS182" s="102" t="s">
        <v>491</v>
      </c>
      <c r="AT182" s="101">
        <v>476452433</v>
      </c>
      <c r="AU182" s="75" t="s">
        <v>1511</v>
      </c>
      <c r="AV182" s="75" t="s">
        <v>112</v>
      </c>
      <c r="AW182" s="75" t="s">
        <v>100</v>
      </c>
      <c r="AX182" s="77" t="s">
        <v>112</v>
      </c>
      <c r="AY182" s="75" t="s">
        <v>492</v>
      </c>
      <c r="AZ182" s="75" t="s">
        <v>1519</v>
      </c>
      <c r="BA182" s="75">
        <v>16</v>
      </c>
      <c r="BB182" s="75">
        <v>6</v>
      </c>
      <c r="BC182" s="75">
        <v>81</v>
      </c>
      <c r="BD182" s="75">
        <v>6.5000000000000002E-2</v>
      </c>
      <c r="BE182" s="75" t="s">
        <v>97</v>
      </c>
      <c r="BF182" s="75">
        <v>4218.4399999999996</v>
      </c>
      <c r="BG182" s="75">
        <v>4218.4399999999996</v>
      </c>
      <c r="BH182" s="75"/>
      <c r="BI182" s="75"/>
      <c r="BJ182" s="75"/>
      <c r="BK182" s="75">
        <v>670</v>
      </c>
      <c r="BL182" s="75">
        <f t="shared" si="6"/>
        <v>4888.4399999999996</v>
      </c>
      <c r="BM182" s="103">
        <f t="shared" si="7"/>
        <v>268.86419999999998</v>
      </c>
      <c r="BN182" s="103">
        <f t="shared" si="8"/>
        <v>5157.3041999999996</v>
      </c>
      <c r="BO182" s="103">
        <v>4837.08</v>
      </c>
      <c r="BP182" s="75" t="s">
        <v>97</v>
      </c>
      <c r="BQ182" s="75"/>
      <c r="BR182" s="75"/>
      <c r="BS182" s="157">
        <v>2017</v>
      </c>
      <c r="BT182">
        <v>2020</v>
      </c>
      <c r="BU182">
        <v>2017</v>
      </c>
    </row>
    <row r="183" spans="1:73" ht="43.15" customHeight="1" x14ac:dyDescent="0.25">
      <c r="A183" s="242" t="s">
        <v>186</v>
      </c>
      <c r="B183" s="242" t="s">
        <v>1518</v>
      </c>
      <c r="C183" s="159">
        <v>400</v>
      </c>
      <c r="D183" s="114">
        <v>42824</v>
      </c>
      <c r="E183" s="114"/>
      <c r="F183" s="114"/>
      <c r="G183" s="114"/>
      <c r="H183" s="114">
        <v>42837</v>
      </c>
      <c r="I183" s="114">
        <v>42837</v>
      </c>
      <c r="J183" s="114">
        <v>42839</v>
      </c>
      <c r="K183" s="114"/>
      <c r="L183" s="114">
        <v>43011</v>
      </c>
      <c r="M183" s="215">
        <v>42926</v>
      </c>
      <c r="N183" s="215"/>
      <c r="O183" s="215">
        <v>43020</v>
      </c>
      <c r="P183" s="215">
        <v>43020</v>
      </c>
      <c r="Q183" s="114">
        <v>43028</v>
      </c>
      <c r="R183" s="80"/>
      <c r="S183" s="114"/>
      <c r="T183" s="75"/>
      <c r="U183" s="75"/>
      <c r="V183" s="75"/>
      <c r="W183" s="75">
        <v>5</v>
      </c>
      <c r="X183" s="75">
        <v>93668</v>
      </c>
      <c r="Y183" s="75" t="str">
        <f ca="1">IF(I183="",IF(D183="","",IF(W183+X183&lt;15,"Données Nb pers ou RFR manquantes",IF(COUNTA(INDIRECT("TabRFR["&amp;YEAR(D183)&amp;"]"))&lt;&gt;COUNTA(TabRFR[Recherche RFR]),"Data RFR manquantes", IF(X183&lt;=INDEX(TabRFR[[2021]:[2025]],MATCH(BD!W183&amp;"-Très modestes",TabRFR[Recherche RFR],0),MATCH(TEXT(YEAR(BD!D183),"Standard"),TabRFR[[#Headers],[2021]:[2025]],0)),"Très Modeste",IF(X183&lt;=INDEX(TabRFR[[2021]:[2025]],MATCH(BD!W183&amp;"-modestes",TabRFR[Recherche RFR],0),MATCH(TEXT(YEAR(BD!D183),"Standard"),TabRFR[[#Headers],[2021]:[2025]],0)),"Modeste",IF(X183&lt;=INDEX(TabRFR[[2021]:[2025]],MATCH(BD!W183&amp;"-Intermédiaire",TabRFR[Recherche RFR],0),MATCH(TEXT(YEAR(BD!D183),"Standard"),TabRFR[[#Headers],[2021]:[2025]],0)),"Intermédiaire","Supérieur")))))),IF(D183="","",IF(W183+X183&lt;15,"Données Nb pers ou RFR manquantes",IF(COUNTA(INDIRECT("TabRFR["&amp;YEAR(I183)&amp;"]"))&lt;&gt;COUNTA(TabRFR[Recherche RFR]),"Data RFR manquantes", IF(X183&lt;=INDEX(TabRFR[[2021]:[2025]],MATCH(BD!W183&amp;"-Très modestes",TabRFR[Recherche RFR],0),MATCH(TEXT(YEAR(BD!I183),"Standard"),TabRFR[[#Headers],[2021]:[2025]],0)),"Très Modeste",IF(X183&lt;=INDEX(TabRFR[[2021]:[2025]],MATCH(BD!W183&amp;"-modestes",TabRFR[Recherche RFR],0),MATCH(TEXT(YEAR(BD!I183),"Standard"),TabRFR[[#Headers],[2021]:[2025]],0)),"Modeste",IF(X183&lt;=INDEX(TabRFR[[2021]:[2025]],MATCH(BD!W183&amp;"-Intermédiaire",TabRFR[Recherche RFR],0),MATCH(TEXT(YEAR(BD!I183),"Standard"),TabRFR[[#Headers],[2021]:[2025]],0)),"Intermédiaire","Supérieur")))))))</f>
        <v>Data RFR manquantes</v>
      </c>
      <c r="Z183" s="75"/>
      <c r="AA183" s="75" t="s">
        <v>1515</v>
      </c>
      <c r="AB183" s="75">
        <v>38500</v>
      </c>
      <c r="AC183" s="75" t="s">
        <v>118</v>
      </c>
      <c r="AD183" s="73"/>
      <c r="AE183" s="102"/>
      <c r="AF183" s="75" t="s">
        <v>95</v>
      </c>
      <c r="AG183" s="75"/>
      <c r="AH183" s="75">
        <v>1994</v>
      </c>
      <c r="AI183" s="75"/>
      <c r="AJ183" s="75"/>
      <c r="AK183" s="75"/>
      <c r="AL183" s="75"/>
      <c r="AM183" s="75" t="s">
        <v>4350</v>
      </c>
      <c r="AN183" s="75" t="s">
        <v>3333</v>
      </c>
      <c r="AO183" s="75" t="s">
        <v>1513</v>
      </c>
      <c r="AP183" s="75" t="s">
        <v>97</v>
      </c>
      <c r="AQ183" s="75"/>
      <c r="AR183" s="75" t="s">
        <v>1512</v>
      </c>
      <c r="AS183" s="102" t="s">
        <v>962</v>
      </c>
      <c r="AT183" s="101">
        <v>476251477</v>
      </c>
      <c r="AU183" s="75" t="s">
        <v>1511</v>
      </c>
      <c r="AV183" s="75">
        <v>1995</v>
      </c>
      <c r="AW183" s="75" t="s">
        <v>111</v>
      </c>
      <c r="AX183" s="75" t="s">
        <v>112</v>
      </c>
      <c r="AY183" s="75" t="s">
        <v>961</v>
      </c>
      <c r="AZ183" s="75" t="s">
        <v>960</v>
      </c>
      <c r="BA183" s="75">
        <v>31</v>
      </c>
      <c r="BB183" s="75">
        <v>9.6999999999999993</v>
      </c>
      <c r="BC183" s="75">
        <v>75.3</v>
      </c>
      <c r="BD183" s="75">
        <v>0.11</v>
      </c>
      <c r="BE183" s="75" t="s">
        <v>97</v>
      </c>
      <c r="BF183" s="75"/>
      <c r="BG183" s="75">
        <v>7638.6</v>
      </c>
      <c r="BH183" s="75"/>
      <c r="BI183" s="75"/>
      <c r="BJ183" s="75"/>
      <c r="BK183" s="75">
        <v>1600</v>
      </c>
      <c r="BL183" s="75">
        <f t="shared" si="6"/>
        <v>9238.6</v>
      </c>
      <c r="BM183" s="103">
        <f t="shared" si="7"/>
        <v>508.12300000000005</v>
      </c>
      <c r="BN183" s="103">
        <f t="shared" si="8"/>
        <v>9746.723</v>
      </c>
      <c r="BO183" s="103">
        <v>9377.0400000000009</v>
      </c>
      <c r="BP183" s="75"/>
      <c r="BQ183" s="75"/>
      <c r="BR183" s="75"/>
      <c r="BS183" s="157">
        <v>2017</v>
      </c>
      <c r="BT183">
        <v>2020</v>
      </c>
      <c r="BU183">
        <v>2017</v>
      </c>
    </row>
    <row r="184" spans="1:73" ht="43.15" customHeight="1" x14ac:dyDescent="0.25">
      <c r="A184" s="242" t="s">
        <v>186</v>
      </c>
      <c r="B184" s="242" t="s">
        <v>1510</v>
      </c>
      <c r="C184" s="159">
        <v>400</v>
      </c>
      <c r="D184" s="114">
        <v>42829</v>
      </c>
      <c r="E184" s="114"/>
      <c r="F184" s="114"/>
      <c r="G184" s="114" t="s">
        <v>1509</v>
      </c>
      <c r="H184" s="114">
        <v>42873</v>
      </c>
      <c r="I184" s="114">
        <v>42873</v>
      </c>
      <c r="J184" s="114">
        <v>42877</v>
      </c>
      <c r="K184" s="114"/>
      <c r="L184" s="114">
        <v>42933</v>
      </c>
      <c r="M184" s="215">
        <v>42888</v>
      </c>
      <c r="N184" s="215"/>
      <c r="O184" s="215">
        <v>42954</v>
      </c>
      <c r="P184" s="215">
        <v>42954</v>
      </c>
      <c r="Q184" s="114">
        <v>42956</v>
      </c>
      <c r="R184" s="80"/>
      <c r="S184" s="114"/>
      <c r="T184" s="75"/>
      <c r="U184" s="75"/>
      <c r="V184" s="75"/>
      <c r="W184" s="75">
        <v>2</v>
      </c>
      <c r="X184" s="75">
        <v>41191</v>
      </c>
      <c r="Y184" s="75" t="str">
        <f ca="1">IF(I184="",IF(D184="","",IF(W184+X184&lt;15,"Données Nb pers ou RFR manquantes",IF(COUNTA(INDIRECT("TabRFR["&amp;YEAR(D184)&amp;"]"))&lt;&gt;COUNTA(TabRFR[Recherche RFR]),"Data RFR manquantes", IF(X184&lt;=INDEX(TabRFR[[2021]:[2025]],MATCH(BD!W184&amp;"-Très modestes",TabRFR[Recherche RFR],0),MATCH(TEXT(YEAR(BD!D184),"Standard"),TabRFR[[#Headers],[2021]:[2025]],0)),"Très Modeste",IF(X184&lt;=INDEX(TabRFR[[2021]:[2025]],MATCH(BD!W184&amp;"-modestes",TabRFR[Recherche RFR],0),MATCH(TEXT(YEAR(BD!D184),"Standard"),TabRFR[[#Headers],[2021]:[2025]],0)),"Modeste",IF(X184&lt;=INDEX(TabRFR[[2021]:[2025]],MATCH(BD!W184&amp;"-Intermédiaire",TabRFR[Recherche RFR],0),MATCH(TEXT(YEAR(BD!D184),"Standard"),TabRFR[[#Headers],[2021]:[2025]],0)),"Intermédiaire","Supérieur")))))),IF(D184="","",IF(W184+X184&lt;15,"Données Nb pers ou RFR manquantes",IF(COUNTA(INDIRECT("TabRFR["&amp;YEAR(I184)&amp;"]"))&lt;&gt;COUNTA(TabRFR[Recherche RFR]),"Data RFR manquantes", IF(X184&lt;=INDEX(TabRFR[[2021]:[2025]],MATCH(BD!W184&amp;"-Très modestes",TabRFR[Recherche RFR],0),MATCH(TEXT(YEAR(BD!I184),"Standard"),TabRFR[[#Headers],[2021]:[2025]],0)),"Très Modeste",IF(X184&lt;=INDEX(TabRFR[[2021]:[2025]],MATCH(BD!W184&amp;"-modestes",TabRFR[Recherche RFR],0),MATCH(TEXT(YEAR(BD!I184),"Standard"),TabRFR[[#Headers],[2021]:[2025]],0)),"Modeste",IF(X184&lt;=INDEX(TabRFR[[2021]:[2025]],MATCH(BD!W184&amp;"-Intermédiaire",TabRFR[Recherche RFR],0),MATCH(TEXT(YEAR(BD!I184),"Standard"),TabRFR[[#Headers],[2021]:[2025]],0)),"Intermédiaire","Supérieur")))))))</f>
        <v>Data RFR manquantes</v>
      </c>
      <c r="Z184" s="75"/>
      <c r="AA184" s="75" t="s">
        <v>1506</v>
      </c>
      <c r="AB184" s="75">
        <v>38340</v>
      </c>
      <c r="AC184" s="75" t="s">
        <v>108</v>
      </c>
      <c r="AD184" s="73"/>
      <c r="AE184" s="102"/>
      <c r="AF184" s="75" t="s">
        <v>95</v>
      </c>
      <c r="AG184" s="75"/>
      <c r="AH184" s="75"/>
      <c r="AI184" s="75"/>
      <c r="AJ184" s="75"/>
      <c r="AK184" s="75"/>
      <c r="AL184" s="75"/>
      <c r="AM184" s="75" t="s">
        <v>4233</v>
      </c>
      <c r="AN184" s="75" t="s">
        <v>829</v>
      </c>
      <c r="AO184" s="75" t="s">
        <v>1323</v>
      </c>
      <c r="AP184" s="75" t="s">
        <v>97</v>
      </c>
      <c r="AQ184" s="75"/>
      <c r="AR184" s="75">
        <v>42948</v>
      </c>
      <c r="AS184" s="102" t="s">
        <v>211</v>
      </c>
      <c r="AT184" s="101">
        <v>438029038</v>
      </c>
      <c r="AU184" s="75" t="s">
        <v>777</v>
      </c>
      <c r="AV184" s="75" t="s">
        <v>112</v>
      </c>
      <c r="AW184" s="75" t="s">
        <v>100</v>
      </c>
      <c r="AX184" s="75" t="s">
        <v>2071</v>
      </c>
      <c r="AY184" s="75" t="s">
        <v>1505</v>
      </c>
      <c r="AZ184" s="75"/>
      <c r="BA184" s="75"/>
      <c r="BB184" s="75"/>
      <c r="BC184" s="75"/>
      <c r="BD184" s="75"/>
      <c r="BE184" s="75"/>
      <c r="BF184" s="75"/>
      <c r="BG184" s="75"/>
      <c r="BH184" s="75"/>
      <c r="BI184" s="75"/>
      <c r="BJ184" s="75"/>
      <c r="BK184" s="75"/>
      <c r="BL184" s="75">
        <f t="shared" si="6"/>
        <v>0</v>
      </c>
      <c r="BM184" s="103">
        <f t="shared" si="7"/>
        <v>0</v>
      </c>
      <c r="BN184" s="103">
        <f t="shared" si="8"/>
        <v>0</v>
      </c>
      <c r="BO184" s="103"/>
      <c r="BP184" s="75"/>
      <c r="BQ184" s="75"/>
      <c r="BR184" s="75"/>
      <c r="BS184" s="157">
        <v>2017</v>
      </c>
      <c r="BU184">
        <v>2017</v>
      </c>
    </row>
    <row r="185" spans="1:73" ht="43.15" customHeight="1" x14ac:dyDescent="0.25">
      <c r="A185" s="242" t="s">
        <v>186</v>
      </c>
      <c r="B185" s="242" t="s">
        <v>1504</v>
      </c>
      <c r="C185" s="159">
        <v>400</v>
      </c>
      <c r="D185" s="114">
        <v>42830</v>
      </c>
      <c r="E185" s="114"/>
      <c r="F185" s="114"/>
      <c r="G185" s="114"/>
      <c r="H185" s="114">
        <v>42844</v>
      </c>
      <c r="I185" s="114">
        <v>42844</v>
      </c>
      <c r="J185" s="114">
        <v>42859</v>
      </c>
      <c r="K185" s="114"/>
      <c r="L185" s="114">
        <v>42933</v>
      </c>
      <c r="M185" s="215">
        <v>42906</v>
      </c>
      <c r="N185" s="215" t="s">
        <v>1503</v>
      </c>
      <c r="O185" s="215">
        <v>42992</v>
      </c>
      <c r="P185" s="215">
        <v>42992</v>
      </c>
      <c r="Q185" s="114">
        <v>42999</v>
      </c>
      <c r="R185" s="80"/>
      <c r="S185" s="114"/>
      <c r="T185" s="75"/>
      <c r="U185" s="75"/>
      <c r="V185" s="75"/>
      <c r="W185" s="75">
        <v>3</v>
      </c>
      <c r="X185" s="75"/>
      <c r="Y185" s="75" t="str">
        <f ca="1">IF(I185="",IF(D185="","",IF(W185+X185&lt;15,"Données Nb pers ou RFR manquantes",IF(COUNTA(INDIRECT("TabRFR["&amp;YEAR(D185)&amp;"]"))&lt;&gt;COUNTA(TabRFR[Recherche RFR]),"Data RFR manquantes", IF(X185&lt;=INDEX(TabRFR[[2021]:[2025]],MATCH(BD!W185&amp;"-Très modestes",TabRFR[Recherche RFR],0),MATCH(TEXT(YEAR(BD!D185),"Standard"),TabRFR[[#Headers],[2021]:[2025]],0)),"Très Modeste",IF(X185&lt;=INDEX(TabRFR[[2021]:[2025]],MATCH(BD!W185&amp;"-modestes",TabRFR[Recherche RFR],0),MATCH(TEXT(YEAR(BD!D185),"Standard"),TabRFR[[#Headers],[2021]:[2025]],0)),"Modeste",IF(X185&lt;=INDEX(TabRFR[[2021]:[2025]],MATCH(BD!W185&amp;"-Intermédiaire",TabRFR[Recherche RFR],0),MATCH(TEXT(YEAR(BD!D185),"Standard"),TabRFR[[#Headers],[2021]:[2025]],0)),"Intermédiaire","Supérieur")))))),IF(D185="","",IF(W185+X185&lt;15,"Données Nb pers ou RFR manquantes",IF(COUNTA(INDIRECT("TabRFR["&amp;YEAR(I185)&amp;"]"))&lt;&gt;COUNTA(TabRFR[Recherche RFR]),"Data RFR manquantes", IF(X185&lt;=INDEX(TabRFR[[2021]:[2025]],MATCH(BD!W185&amp;"-Très modestes",TabRFR[Recherche RFR],0),MATCH(TEXT(YEAR(BD!I185),"Standard"),TabRFR[[#Headers],[2021]:[2025]],0)),"Très Modeste",IF(X185&lt;=INDEX(TabRFR[[2021]:[2025]],MATCH(BD!W185&amp;"-modestes",TabRFR[Recherche RFR],0),MATCH(TEXT(YEAR(BD!I185),"Standard"),TabRFR[[#Headers],[2021]:[2025]],0)),"Modeste",IF(X185&lt;=INDEX(TabRFR[[2021]:[2025]],MATCH(BD!W185&amp;"-Intermédiaire",TabRFR[Recherche RFR],0),MATCH(TEXT(YEAR(BD!I185),"Standard"),TabRFR[[#Headers],[2021]:[2025]],0)),"Intermédiaire","Supérieur")))))))</f>
        <v>Données Nb pers ou RFR manquantes</v>
      </c>
      <c r="Z185" s="75"/>
      <c r="AA185" s="75" t="s">
        <v>1500</v>
      </c>
      <c r="AB185" s="75">
        <v>38960</v>
      </c>
      <c r="AC185" s="75" t="s">
        <v>2378</v>
      </c>
      <c r="AD185" s="73"/>
      <c r="AE185" s="102"/>
      <c r="AF185" s="75" t="s">
        <v>95</v>
      </c>
      <c r="AG185" s="75"/>
      <c r="AH185" s="75">
        <v>2017</v>
      </c>
      <c r="AI185" s="75"/>
      <c r="AJ185" s="75"/>
      <c r="AK185" s="75"/>
      <c r="AL185" s="75"/>
      <c r="AM185" s="75" t="s">
        <v>4356</v>
      </c>
      <c r="AN185" s="75" t="s">
        <v>96</v>
      </c>
      <c r="AO185" s="75" t="s">
        <v>119</v>
      </c>
      <c r="AP185" s="75" t="s">
        <v>97</v>
      </c>
      <c r="AQ185" s="75"/>
      <c r="AR185" s="75">
        <v>43042</v>
      </c>
      <c r="AS185" s="102" t="s">
        <v>120</v>
      </c>
      <c r="AT185" s="101">
        <v>476071461</v>
      </c>
      <c r="AU185" s="75" t="s">
        <v>111</v>
      </c>
      <c r="AV185" s="75" t="s">
        <v>112</v>
      </c>
      <c r="AW185" s="75" t="s">
        <v>100</v>
      </c>
      <c r="AX185" s="75" t="s">
        <v>112</v>
      </c>
      <c r="AY185" s="75" t="s">
        <v>121</v>
      </c>
      <c r="AZ185" s="75" t="s">
        <v>1011</v>
      </c>
      <c r="BA185" s="75">
        <v>34</v>
      </c>
      <c r="BB185" s="75">
        <v>7</v>
      </c>
      <c r="BC185" s="75">
        <v>80</v>
      </c>
      <c r="BD185" s="75">
        <v>0.08</v>
      </c>
      <c r="BE185" s="75" t="s">
        <v>97</v>
      </c>
      <c r="BF185" s="75"/>
      <c r="BG185" s="75">
        <v>2500</v>
      </c>
      <c r="BH185" s="75"/>
      <c r="BI185" s="75"/>
      <c r="BJ185" s="75"/>
      <c r="BK185" s="75">
        <v>250</v>
      </c>
      <c r="BL185" s="75">
        <f t="shared" si="6"/>
        <v>2750</v>
      </c>
      <c r="BM185" s="103">
        <f t="shared" si="7"/>
        <v>151.25</v>
      </c>
      <c r="BN185" s="103">
        <f t="shared" si="8"/>
        <v>2901.25</v>
      </c>
      <c r="BO185" s="103"/>
      <c r="BP185" s="75" t="s">
        <v>97</v>
      </c>
      <c r="BQ185" s="75"/>
      <c r="BR185" s="75"/>
      <c r="BS185" s="157">
        <v>2017</v>
      </c>
      <c r="BT185">
        <v>2020</v>
      </c>
      <c r="BU185">
        <v>2017</v>
      </c>
    </row>
    <row r="186" spans="1:73" ht="43.15" customHeight="1" x14ac:dyDescent="0.25">
      <c r="A186" s="242" t="s">
        <v>186</v>
      </c>
      <c r="B186" s="242" t="s">
        <v>1498</v>
      </c>
      <c r="C186" s="159">
        <v>800</v>
      </c>
      <c r="D186" s="114">
        <v>42836</v>
      </c>
      <c r="E186" s="114"/>
      <c r="F186" s="114"/>
      <c r="G186" s="114"/>
      <c r="H186" s="114">
        <v>42838</v>
      </c>
      <c r="I186" s="114">
        <v>42838</v>
      </c>
      <c r="J186" s="114">
        <v>42839</v>
      </c>
      <c r="K186" s="114"/>
      <c r="L186" s="114">
        <v>42864</v>
      </c>
      <c r="M186" s="114">
        <v>42855</v>
      </c>
      <c r="N186" s="114"/>
      <c r="O186" s="114">
        <v>42870</v>
      </c>
      <c r="P186" s="114">
        <v>42870</v>
      </c>
      <c r="Q186" s="114">
        <v>42877</v>
      </c>
      <c r="R186" s="100"/>
      <c r="S186" s="114"/>
      <c r="T186" s="75"/>
      <c r="U186" s="75"/>
      <c r="V186" s="75"/>
      <c r="W186" s="75">
        <v>6</v>
      </c>
      <c r="X186" s="75">
        <v>39995</v>
      </c>
      <c r="Y186" s="75" t="str">
        <f ca="1">IF(I186="",IF(D186="","",IF(W186+X186&lt;15,"Données Nb pers ou RFR manquantes",IF(COUNTA(INDIRECT("TabRFR["&amp;YEAR(D186)&amp;"]"))&lt;&gt;COUNTA(TabRFR[Recherche RFR]),"Data RFR manquantes", IF(X186&lt;=INDEX(TabRFR[[2021]:[2025]],MATCH(BD!W186&amp;"-Très modestes",TabRFR[Recherche RFR],0),MATCH(TEXT(YEAR(BD!D186),"Standard"),TabRFR[[#Headers],[2021]:[2025]],0)),"Très Modeste",IF(X186&lt;=INDEX(TabRFR[[2021]:[2025]],MATCH(BD!W186&amp;"-modestes",TabRFR[Recherche RFR],0),MATCH(TEXT(YEAR(BD!D186),"Standard"),TabRFR[[#Headers],[2021]:[2025]],0)),"Modeste",IF(X186&lt;=INDEX(TabRFR[[2021]:[2025]],MATCH(BD!W186&amp;"-Intermédiaire",TabRFR[Recherche RFR],0),MATCH(TEXT(YEAR(BD!D186),"Standard"),TabRFR[[#Headers],[2021]:[2025]],0)),"Intermédiaire","Supérieur")))))),IF(D186="","",IF(W186+X186&lt;15,"Données Nb pers ou RFR manquantes",IF(COUNTA(INDIRECT("TabRFR["&amp;YEAR(I186)&amp;"]"))&lt;&gt;COUNTA(TabRFR[Recherche RFR]),"Data RFR manquantes", IF(X186&lt;=INDEX(TabRFR[[2021]:[2025]],MATCH(BD!W186&amp;"-Très modestes",TabRFR[Recherche RFR],0),MATCH(TEXT(YEAR(BD!I186),"Standard"),TabRFR[[#Headers],[2021]:[2025]],0)),"Très Modeste",IF(X186&lt;=INDEX(TabRFR[[2021]:[2025]],MATCH(BD!W186&amp;"-modestes",TabRFR[Recherche RFR],0),MATCH(TEXT(YEAR(BD!I186),"Standard"),TabRFR[[#Headers],[2021]:[2025]],0)),"Modeste",IF(X186&lt;=INDEX(TabRFR[[2021]:[2025]],MATCH(BD!W186&amp;"-Intermédiaire",TabRFR[Recherche RFR],0),MATCH(TEXT(YEAR(BD!I186),"Standard"),TabRFR[[#Headers],[2021]:[2025]],0)),"Intermédiaire","Supérieur")))))))</f>
        <v>Data RFR manquantes</v>
      </c>
      <c r="Z186" s="75"/>
      <c r="AA186" s="75" t="s">
        <v>1496</v>
      </c>
      <c r="AB186" s="75">
        <v>38500</v>
      </c>
      <c r="AC186" s="75" t="s">
        <v>94</v>
      </c>
      <c r="AD186" s="73"/>
      <c r="AE186" s="102"/>
      <c r="AF186" s="75" t="s">
        <v>95</v>
      </c>
      <c r="AG186" s="75"/>
      <c r="AH186" s="75">
        <v>2008</v>
      </c>
      <c r="AI186" s="75"/>
      <c r="AJ186" s="75"/>
      <c r="AK186" s="75"/>
      <c r="AL186" s="75"/>
      <c r="AM186" s="75" t="s">
        <v>4348</v>
      </c>
      <c r="AN186" s="75" t="s">
        <v>96</v>
      </c>
      <c r="AO186" s="75" t="s">
        <v>238</v>
      </c>
      <c r="AP186" s="75" t="s">
        <v>97</v>
      </c>
      <c r="AQ186" s="75"/>
      <c r="AR186" s="75">
        <v>42968</v>
      </c>
      <c r="AS186" s="102" t="s">
        <v>98</v>
      </c>
      <c r="AT186" s="101">
        <v>476323235</v>
      </c>
      <c r="AU186" s="75" t="s">
        <v>100</v>
      </c>
      <c r="AV186" s="75">
        <v>1999</v>
      </c>
      <c r="AW186" s="75" t="s">
        <v>100</v>
      </c>
      <c r="AX186" s="75" t="s">
        <v>112</v>
      </c>
      <c r="AY186" s="75" t="s">
        <v>251</v>
      </c>
      <c r="AZ186" s="75" t="s">
        <v>1494</v>
      </c>
      <c r="BA186" s="75">
        <v>35</v>
      </c>
      <c r="BB186" s="75">
        <v>9.5</v>
      </c>
      <c r="BC186" s="75">
        <v>78</v>
      </c>
      <c r="BD186" s="75">
        <v>0.1</v>
      </c>
      <c r="BE186" s="75" t="s">
        <v>97</v>
      </c>
      <c r="BF186" s="75">
        <v>2604.5</v>
      </c>
      <c r="BG186" s="75">
        <f>BF186</f>
        <v>2604.5</v>
      </c>
      <c r="BH186" s="75"/>
      <c r="BI186" s="75"/>
      <c r="BJ186" s="75"/>
      <c r="BK186" s="75">
        <v>288</v>
      </c>
      <c r="BL186" s="75">
        <f t="shared" si="6"/>
        <v>2892.5</v>
      </c>
      <c r="BM186" s="103">
        <f t="shared" si="7"/>
        <v>159.08750000000001</v>
      </c>
      <c r="BN186" s="103">
        <f t="shared" si="8"/>
        <v>3051.5875000000001</v>
      </c>
      <c r="BO186" s="103">
        <v>3051.59</v>
      </c>
      <c r="BP186" s="75" t="s">
        <v>97</v>
      </c>
      <c r="BQ186" s="75"/>
      <c r="BR186" s="75"/>
      <c r="BS186" s="157">
        <v>2017</v>
      </c>
      <c r="BT186">
        <v>2020</v>
      </c>
      <c r="BU186">
        <v>2017</v>
      </c>
    </row>
    <row r="187" spans="1:73" ht="43.15" customHeight="1" x14ac:dyDescent="0.25">
      <c r="A187" s="242" t="s">
        <v>186</v>
      </c>
      <c r="B187" s="242" t="s">
        <v>1493</v>
      </c>
      <c r="C187" s="159">
        <v>400</v>
      </c>
      <c r="D187" s="114">
        <v>42837</v>
      </c>
      <c r="E187" s="114"/>
      <c r="F187" s="114"/>
      <c r="G187" s="114"/>
      <c r="H187" s="114">
        <v>42838</v>
      </c>
      <c r="I187" s="114">
        <v>42838</v>
      </c>
      <c r="J187" s="114">
        <v>42839</v>
      </c>
      <c r="K187" s="114"/>
      <c r="L187" s="114">
        <v>43026</v>
      </c>
      <c r="M187" s="215">
        <v>42895</v>
      </c>
      <c r="N187" s="215" t="s">
        <v>1232</v>
      </c>
      <c r="O187" s="215">
        <v>43042</v>
      </c>
      <c r="P187" s="215">
        <v>43042</v>
      </c>
      <c r="Q187" s="114">
        <v>43048</v>
      </c>
      <c r="R187" s="80"/>
      <c r="S187" s="114"/>
      <c r="T187" s="75"/>
      <c r="U187" s="75"/>
      <c r="V187" s="75"/>
      <c r="W187" s="75">
        <v>1</v>
      </c>
      <c r="X187" s="75">
        <v>36120</v>
      </c>
      <c r="Y187" s="75" t="str">
        <f ca="1">IF(I187="",IF(D187="","",IF(W187+X187&lt;15,"Données Nb pers ou RFR manquantes",IF(COUNTA(INDIRECT("TabRFR["&amp;YEAR(D187)&amp;"]"))&lt;&gt;COUNTA(TabRFR[Recherche RFR]),"Data RFR manquantes", IF(X187&lt;=INDEX(TabRFR[[2021]:[2025]],MATCH(BD!W187&amp;"-Très modestes",TabRFR[Recherche RFR],0),MATCH(TEXT(YEAR(BD!D187),"Standard"),TabRFR[[#Headers],[2021]:[2025]],0)),"Très Modeste",IF(X187&lt;=INDEX(TabRFR[[2021]:[2025]],MATCH(BD!W187&amp;"-modestes",TabRFR[Recherche RFR],0),MATCH(TEXT(YEAR(BD!D187),"Standard"),TabRFR[[#Headers],[2021]:[2025]],0)),"Modeste",IF(X187&lt;=INDEX(TabRFR[[2021]:[2025]],MATCH(BD!W187&amp;"-Intermédiaire",TabRFR[Recherche RFR],0),MATCH(TEXT(YEAR(BD!D187),"Standard"),TabRFR[[#Headers],[2021]:[2025]],0)),"Intermédiaire","Supérieur")))))),IF(D187="","",IF(W187+X187&lt;15,"Données Nb pers ou RFR manquantes",IF(COUNTA(INDIRECT("TabRFR["&amp;YEAR(I187)&amp;"]"))&lt;&gt;COUNTA(TabRFR[Recherche RFR]),"Data RFR manquantes", IF(X187&lt;=INDEX(TabRFR[[2021]:[2025]],MATCH(BD!W187&amp;"-Très modestes",TabRFR[Recherche RFR],0),MATCH(TEXT(YEAR(BD!I187),"Standard"),TabRFR[[#Headers],[2021]:[2025]],0)),"Très Modeste",IF(X187&lt;=INDEX(TabRFR[[2021]:[2025]],MATCH(BD!W187&amp;"-modestes",TabRFR[Recherche RFR],0),MATCH(TEXT(YEAR(BD!I187),"Standard"),TabRFR[[#Headers],[2021]:[2025]],0)),"Modeste",IF(X187&lt;=INDEX(TabRFR[[2021]:[2025]],MATCH(BD!W187&amp;"-Intermédiaire",TabRFR[Recherche RFR],0),MATCH(TEXT(YEAR(BD!I187),"Standard"),TabRFR[[#Headers],[2021]:[2025]],0)),"Intermédiaire","Supérieur")))))))</f>
        <v>Data RFR manquantes</v>
      </c>
      <c r="Z187" s="75"/>
      <c r="AA187" s="75" t="s">
        <v>1490</v>
      </c>
      <c r="AB187" s="75">
        <v>38500</v>
      </c>
      <c r="AC187" s="75" t="s">
        <v>118</v>
      </c>
      <c r="AD187" s="73"/>
      <c r="AE187" s="102"/>
      <c r="AF187" s="75" t="s">
        <v>95</v>
      </c>
      <c r="AG187" s="75"/>
      <c r="AH187" s="75">
        <v>2017</v>
      </c>
      <c r="AI187" s="75"/>
      <c r="AJ187" s="75"/>
      <c r="AK187" s="75"/>
      <c r="AL187" s="75"/>
      <c r="AM187" s="75" t="s">
        <v>4348</v>
      </c>
      <c r="AN187" s="75" t="s">
        <v>96</v>
      </c>
      <c r="AO187" s="75" t="s">
        <v>238</v>
      </c>
      <c r="AP187" s="75" t="s">
        <v>97</v>
      </c>
      <c r="AQ187" s="75"/>
      <c r="AR187" s="75">
        <v>42968</v>
      </c>
      <c r="AS187" s="102" t="s">
        <v>98</v>
      </c>
      <c r="AT187" s="101">
        <v>476323235</v>
      </c>
      <c r="AU187" s="75" t="s">
        <v>111</v>
      </c>
      <c r="AV187" s="75" t="s">
        <v>173</v>
      </c>
      <c r="AW187" s="75" t="s">
        <v>111</v>
      </c>
      <c r="AX187" s="75" t="s">
        <v>112</v>
      </c>
      <c r="AY187" s="75" t="s">
        <v>251</v>
      </c>
      <c r="AZ187" s="75" t="s">
        <v>1453</v>
      </c>
      <c r="BA187" s="75">
        <v>4</v>
      </c>
      <c r="BB187" s="75">
        <v>7</v>
      </c>
      <c r="BC187" s="75">
        <v>78</v>
      </c>
      <c r="BD187" s="75">
        <v>0.06</v>
      </c>
      <c r="BE187" s="75" t="s">
        <v>97</v>
      </c>
      <c r="BF187" s="75"/>
      <c r="BG187" s="75">
        <v>3353</v>
      </c>
      <c r="BH187" s="75"/>
      <c r="BI187" s="75"/>
      <c r="BJ187" s="75"/>
      <c r="BK187" s="75">
        <v>1260</v>
      </c>
      <c r="BL187" s="75">
        <f t="shared" si="6"/>
        <v>4613</v>
      </c>
      <c r="BM187" s="103">
        <f t="shared" si="7"/>
        <v>253.715</v>
      </c>
      <c r="BN187" s="103">
        <f t="shared" si="8"/>
        <v>4866.7150000000001</v>
      </c>
      <c r="BO187" s="103">
        <v>3602.83</v>
      </c>
      <c r="BP187" s="75" t="s">
        <v>97</v>
      </c>
      <c r="BQ187" s="75"/>
      <c r="BR187" s="75"/>
      <c r="BS187" s="157">
        <v>2017</v>
      </c>
      <c r="BT187">
        <v>2020</v>
      </c>
      <c r="BU187">
        <v>2017</v>
      </c>
    </row>
    <row r="188" spans="1:73" ht="43.15" customHeight="1" x14ac:dyDescent="0.25">
      <c r="A188" s="242" t="s">
        <v>186</v>
      </c>
      <c r="B188" s="242" t="s">
        <v>1488</v>
      </c>
      <c r="C188" s="159">
        <v>400</v>
      </c>
      <c r="D188" s="114">
        <v>42837</v>
      </c>
      <c r="E188" s="114"/>
      <c r="F188" s="114"/>
      <c r="G188" s="114"/>
      <c r="H188" s="114">
        <v>42838</v>
      </c>
      <c r="I188" s="114">
        <v>42838</v>
      </c>
      <c r="J188" s="114">
        <v>42839</v>
      </c>
      <c r="K188" s="114"/>
      <c r="L188" s="114">
        <v>43018</v>
      </c>
      <c r="M188" s="215">
        <v>42927</v>
      </c>
      <c r="N188" s="215"/>
      <c r="O188" s="215">
        <v>43025</v>
      </c>
      <c r="P188" s="215">
        <v>43025</v>
      </c>
      <c r="Q188" s="114">
        <v>43028</v>
      </c>
      <c r="R188" s="80"/>
      <c r="S188" s="114"/>
      <c r="T188" s="75"/>
      <c r="U188" s="75"/>
      <c r="V188" s="75"/>
      <c r="W188" s="75">
        <v>5</v>
      </c>
      <c r="X188" s="75">
        <v>63017</v>
      </c>
      <c r="Y188" s="75" t="str">
        <f ca="1">IF(I188="",IF(D188="","",IF(W188+X188&lt;15,"Données Nb pers ou RFR manquantes",IF(COUNTA(INDIRECT("TabRFR["&amp;YEAR(D188)&amp;"]"))&lt;&gt;COUNTA(TabRFR[Recherche RFR]),"Data RFR manquantes", IF(X188&lt;=INDEX(TabRFR[[2021]:[2025]],MATCH(BD!W188&amp;"-Très modestes",TabRFR[Recherche RFR],0),MATCH(TEXT(YEAR(BD!D188),"Standard"),TabRFR[[#Headers],[2021]:[2025]],0)),"Très Modeste",IF(X188&lt;=INDEX(TabRFR[[2021]:[2025]],MATCH(BD!W188&amp;"-modestes",TabRFR[Recherche RFR],0),MATCH(TEXT(YEAR(BD!D188),"Standard"),TabRFR[[#Headers],[2021]:[2025]],0)),"Modeste",IF(X188&lt;=INDEX(TabRFR[[2021]:[2025]],MATCH(BD!W188&amp;"-Intermédiaire",TabRFR[Recherche RFR],0),MATCH(TEXT(YEAR(BD!D188),"Standard"),TabRFR[[#Headers],[2021]:[2025]],0)),"Intermédiaire","Supérieur")))))),IF(D188="","",IF(W188+X188&lt;15,"Données Nb pers ou RFR manquantes",IF(COUNTA(INDIRECT("TabRFR["&amp;YEAR(I188)&amp;"]"))&lt;&gt;COUNTA(TabRFR[Recherche RFR]),"Data RFR manquantes", IF(X188&lt;=INDEX(TabRFR[[2021]:[2025]],MATCH(BD!W188&amp;"-Très modestes",TabRFR[Recherche RFR],0),MATCH(TEXT(YEAR(BD!I188),"Standard"),TabRFR[[#Headers],[2021]:[2025]],0)),"Très Modeste",IF(X188&lt;=INDEX(TabRFR[[2021]:[2025]],MATCH(BD!W188&amp;"-modestes",TabRFR[Recherche RFR],0),MATCH(TEXT(YEAR(BD!I188),"Standard"),TabRFR[[#Headers],[2021]:[2025]],0)),"Modeste",IF(X188&lt;=INDEX(TabRFR[[2021]:[2025]],MATCH(BD!W188&amp;"-Intermédiaire",TabRFR[Recherche RFR],0),MATCH(TEXT(YEAR(BD!I188),"Standard"),TabRFR[[#Headers],[2021]:[2025]],0)),"Intermédiaire","Supérieur")))))))</f>
        <v>Data RFR manquantes</v>
      </c>
      <c r="Z188" s="75"/>
      <c r="AA188" s="75" t="s">
        <v>1486</v>
      </c>
      <c r="AB188" s="75">
        <v>38500</v>
      </c>
      <c r="AC188" s="75" t="s">
        <v>118</v>
      </c>
      <c r="AD188" s="73"/>
      <c r="AE188" s="102"/>
      <c r="AF188" s="75" t="s">
        <v>95</v>
      </c>
      <c r="AG188" s="75"/>
      <c r="AH188" s="75"/>
      <c r="AI188" s="75"/>
      <c r="AJ188" s="75"/>
      <c r="AK188" s="75"/>
      <c r="AL188" s="75"/>
      <c r="AM188" s="75" t="s">
        <v>4356</v>
      </c>
      <c r="AN188" s="75" t="s">
        <v>96</v>
      </c>
      <c r="AO188" s="75" t="s">
        <v>119</v>
      </c>
      <c r="AP188" s="75" t="s">
        <v>97</v>
      </c>
      <c r="AQ188" s="75"/>
      <c r="AR188" s="75">
        <v>43042</v>
      </c>
      <c r="AS188" s="102" t="s">
        <v>120</v>
      </c>
      <c r="AT188" s="101">
        <v>476071461</v>
      </c>
      <c r="AU188" s="75" t="s">
        <v>111</v>
      </c>
      <c r="AV188" s="75">
        <v>1998</v>
      </c>
      <c r="AW188" s="75" t="s">
        <v>100</v>
      </c>
      <c r="AX188" s="75" t="s">
        <v>112</v>
      </c>
      <c r="AY188" s="75" t="s">
        <v>190</v>
      </c>
      <c r="AZ188" s="75" t="s">
        <v>191</v>
      </c>
      <c r="BA188" s="75">
        <v>36</v>
      </c>
      <c r="BB188" s="75">
        <v>6</v>
      </c>
      <c r="BC188" s="75">
        <v>80.2</v>
      </c>
      <c r="BD188" s="75">
        <v>0.08</v>
      </c>
      <c r="BE188" s="75" t="s">
        <v>97</v>
      </c>
      <c r="BF188" s="75"/>
      <c r="BG188" s="75">
        <v>2604</v>
      </c>
      <c r="BH188" s="75"/>
      <c r="BI188" s="75"/>
      <c r="BJ188" s="75"/>
      <c r="BK188" s="75">
        <v>420</v>
      </c>
      <c r="BL188" s="75">
        <f t="shared" si="6"/>
        <v>3024</v>
      </c>
      <c r="BM188" s="103">
        <f t="shared" si="7"/>
        <v>166.32</v>
      </c>
      <c r="BN188" s="103">
        <f t="shared" si="8"/>
        <v>3190.32</v>
      </c>
      <c r="BO188" s="103">
        <f>2700+889.76</f>
        <v>3589.76</v>
      </c>
      <c r="BP188" s="75" t="s">
        <v>97</v>
      </c>
      <c r="BQ188" s="75"/>
      <c r="BR188" s="75"/>
      <c r="BS188" s="157">
        <v>2017</v>
      </c>
      <c r="BT188">
        <v>2020</v>
      </c>
      <c r="BU188">
        <v>2017</v>
      </c>
    </row>
    <row r="189" spans="1:73" ht="43.15" customHeight="1" x14ac:dyDescent="0.25">
      <c r="A189" s="242" t="s">
        <v>1484</v>
      </c>
      <c r="B189" s="242" t="s">
        <v>1483</v>
      </c>
      <c r="C189" s="159">
        <v>800</v>
      </c>
      <c r="D189" s="114">
        <v>42838</v>
      </c>
      <c r="E189" s="114"/>
      <c r="F189" s="114"/>
      <c r="G189" s="114"/>
      <c r="H189" s="114">
        <v>42844</v>
      </c>
      <c r="I189" s="114">
        <v>42844</v>
      </c>
      <c r="J189" s="114">
        <v>42859</v>
      </c>
      <c r="K189" s="114"/>
      <c r="L189" s="114">
        <v>42936</v>
      </c>
      <c r="M189" s="215">
        <v>42915</v>
      </c>
      <c r="N189" s="215" t="s">
        <v>1220</v>
      </c>
      <c r="O189" s="215">
        <v>42977</v>
      </c>
      <c r="P189" s="215">
        <v>42977</v>
      </c>
      <c r="Q189" s="114">
        <v>42986</v>
      </c>
      <c r="R189" s="100"/>
      <c r="S189" s="114"/>
      <c r="T189" s="75"/>
      <c r="U189" s="75"/>
      <c r="V189" s="75"/>
      <c r="W189" s="75">
        <v>4</v>
      </c>
      <c r="X189" s="75">
        <v>37371</v>
      </c>
      <c r="Y189" s="75" t="str">
        <f ca="1">IF(I189="",IF(D189="","",IF(W189+X189&lt;15,"Données Nb pers ou RFR manquantes",IF(COUNTA(INDIRECT("TabRFR["&amp;YEAR(D189)&amp;"]"))&lt;&gt;COUNTA(TabRFR[Recherche RFR]),"Data RFR manquantes", IF(X189&lt;=INDEX(TabRFR[[2021]:[2025]],MATCH(BD!W189&amp;"-Très modestes",TabRFR[Recherche RFR],0),MATCH(TEXT(YEAR(BD!D189),"Standard"),TabRFR[[#Headers],[2021]:[2025]],0)),"Très Modeste",IF(X189&lt;=INDEX(TabRFR[[2021]:[2025]],MATCH(BD!W189&amp;"-modestes",TabRFR[Recherche RFR],0),MATCH(TEXT(YEAR(BD!D189),"Standard"),TabRFR[[#Headers],[2021]:[2025]],0)),"Modeste",IF(X189&lt;=INDEX(TabRFR[[2021]:[2025]],MATCH(BD!W189&amp;"-Intermédiaire",TabRFR[Recherche RFR],0),MATCH(TEXT(YEAR(BD!D189),"Standard"),TabRFR[[#Headers],[2021]:[2025]],0)),"Intermédiaire","Supérieur")))))),IF(D189="","",IF(W189+X189&lt;15,"Données Nb pers ou RFR manquantes",IF(COUNTA(INDIRECT("TabRFR["&amp;YEAR(I189)&amp;"]"))&lt;&gt;COUNTA(TabRFR[Recherche RFR]),"Data RFR manquantes", IF(X189&lt;=INDEX(TabRFR[[2021]:[2025]],MATCH(BD!W189&amp;"-Très modestes",TabRFR[Recherche RFR],0),MATCH(TEXT(YEAR(BD!I189),"Standard"),TabRFR[[#Headers],[2021]:[2025]],0)),"Très Modeste",IF(X189&lt;=INDEX(TabRFR[[2021]:[2025]],MATCH(BD!W189&amp;"-modestes",TabRFR[Recherche RFR],0),MATCH(TEXT(YEAR(BD!I189),"Standard"),TabRFR[[#Headers],[2021]:[2025]],0)),"Modeste",IF(X189&lt;=INDEX(TabRFR[[2021]:[2025]],MATCH(BD!W189&amp;"-Intermédiaire",TabRFR[Recherche RFR],0),MATCH(TEXT(YEAR(BD!I189),"Standard"),TabRFR[[#Headers],[2021]:[2025]],0)),"Intermédiaire","Supérieur")))))))</f>
        <v>Data RFR manquantes</v>
      </c>
      <c r="Z189" s="75"/>
      <c r="AA189" s="75" t="s">
        <v>1481</v>
      </c>
      <c r="AB189" s="75">
        <v>38140</v>
      </c>
      <c r="AC189" s="75" t="s">
        <v>2357</v>
      </c>
      <c r="AD189" s="73"/>
      <c r="AE189" s="102"/>
      <c r="AF189" s="75" t="s">
        <v>95</v>
      </c>
      <c r="AG189" s="75"/>
      <c r="AH189" s="75">
        <v>1989</v>
      </c>
      <c r="AI189" s="75"/>
      <c r="AJ189" s="75"/>
      <c r="AK189" s="75"/>
      <c r="AL189" s="75"/>
      <c r="AM189" s="75" t="s">
        <v>4356</v>
      </c>
      <c r="AN189" s="75" t="s">
        <v>96</v>
      </c>
      <c r="AO189" s="75" t="s">
        <v>119</v>
      </c>
      <c r="AP189" s="75" t="s">
        <v>97</v>
      </c>
      <c r="AQ189" s="75"/>
      <c r="AR189" s="75">
        <v>43042</v>
      </c>
      <c r="AS189" s="102" t="s">
        <v>120</v>
      </c>
      <c r="AT189" s="101">
        <v>476071461</v>
      </c>
      <c r="AU189" s="75" t="s">
        <v>111</v>
      </c>
      <c r="AV189" s="75">
        <v>1999</v>
      </c>
      <c r="AW189" s="75" t="s">
        <v>100</v>
      </c>
      <c r="AX189" s="75" t="s">
        <v>112</v>
      </c>
      <c r="AY189" s="75" t="s">
        <v>121</v>
      </c>
      <c r="AZ189" s="75" t="s">
        <v>1479</v>
      </c>
      <c r="BA189" s="75">
        <v>34</v>
      </c>
      <c r="BB189" s="75">
        <v>7</v>
      </c>
      <c r="BC189" s="75">
        <v>80</v>
      </c>
      <c r="BD189" s="75">
        <v>0.08</v>
      </c>
      <c r="BE189" s="75" t="s">
        <v>97</v>
      </c>
      <c r="BF189" s="75"/>
      <c r="BG189" s="75">
        <v>3426</v>
      </c>
      <c r="BH189" s="75"/>
      <c r="BI189" s="75"/>
      <c r="BJ189" s="75"/>
      <c r="BK189" s="75">
        <v>445</v>
      </c>
      <c r="BL189" s="75">
        <f t="shared" si="6"/>
        <v>3871</v>
      </c>
      <c r="BM189" s="103">
        <f t="shared" si="7"/>
        <v>212.905</v>
      </c>
      <c r="BN189" s="103">
        <f t="shared" si="8"/>
        <v>4083.9050000000002</v>
      </c>
      <c r="BO189" s="103">
        <v>3000</v>
      </c>
      <c r="BP189" s="75"/>
      <c r="BQ189" s="75"/>
      <c r="BR189" s="75"/>
      <c r="BS189" s="157">
        <v>2017</v>
      </c>
      <c r="BT189">
        <v>2020</v>
      </c>
      <c r="BU189">
        <v>2017</v>
      </c>
    </row>
    <row r="190" spans="1:73" ht="43.15" customHeight="1" x14ac:dyDescent="0.25">
      <c r="A190" s="242" t="s">
        <v>186</v>
      </c>
      <c r="B190" s="242" t="s">
        <v>1478</v>
      </c>
      <c r="C190" s="159">
        <v>400</v>
      </c>
      <c r="D190" s="114">
        <v>42838</v>
      </c>
      <c r="E190" s="114"/>
      <c r="F190" s="114"/>
      <c r="G190" s="114"/>
      <c r="H190" s="114">
        <v>42844</v>
      </c>
      <c r="I190" s="114">
        <v>42844</v>
      </c>
      <c r="J190" s="114">
        <v>42859</v>
      </c>
      <c r="K190" s="114"/>
      <c r="L190" s="114">
        <v>42949</v>
      </c>
      <c r="M190" s="215">
        <v>42904</v>
      </c>
      <c r="N190" s="215"/>
      <c r="O190" s="215">
        <v>42955</v>
      </c>
      <c r="P190" s="215">
        <v>42955</v>
      </c>
      <c r="Q190" s="114">
        <v>42956</v>
      </c>
      <c r="R190" s="80"/>
      <c r="S190" s="114"/>
      <c r="T190" s="75"/>
      <c r="U190" s="75"/>
      <c r="V190" s="75"/>
      <c r="W190" s="75">
        <v>3</v>
      </c>
      <c r="X190" s="75">
        <v>52611</v>
      </c>
      <c r="Y190" s="75" t="str">
        <f ca="1">IF(I190="",IF(D190="","",IF(W190+X190&lt;15,"Données Nb pers ou RFR manquantes",IF(COUNTA(INDIRECT("TabRFR["&amp;YEAR(D190)&amp;"]"))&lt;&gt;COUNTA(TabRFR[Recherche RFR]),"Data RFR manquantes", IF(X190&lt;=INDEX(TabRFR[[2021]:[2025]],MATCH(BD!W190&amp;"-Très modestes",TabRFR[Recherche RFR],0),MATCH(TEXT(YEAR(BD!D190),"Standard"),TabRFR[[#Headers],[2021]:[2025]],0)),"Très Modeste",IF(X190&lt;=INDEX(TabRFR[[2021]:[2025]],MATCH(BD!W190&amp;"-modestes",TabRFR[Recherche RFR],0),MATCH(TEXT(YEAR(BD!D190),"Standard"),TabRFR[[#Headers],[2021]:[2025]],0)),"Modeste",IF(X190&lt;=INDEX(TabRFR[[2021]:[2025]],MATCH(BD!W190&amp;"-Intermédiaire",TabRFR[Recherche RFR],0),MATCH(TEXT(YEAR(BD!D190),"Standard"),TabRFR[[#Headers],[2021]:[2025]],0)),"Intermédiaire","Supérieur")))))),IF(D190="","",IF(W190+X190&lt;15,"Données Nb pers ou RFR manquantes",IF(COUNTA(INDIRECT("TabRFR["&amp;YEAR(I190)&amp;"]"))&lt;&gt;COUNTA(TabRFR[Recherche RFR]),"Data RFR manquantes", IF(X190&lt;=INDEX(TabRFR[[2021]:[2025]],MATCH(BD!W190&amp;"-Très modestes",TabRFR[Recherche RFR],0),MATCH(TEXT(YEAR(BD!I190),"Standard"),TabRFR[[#Headers],[2021]:[2025]],0)),"Très Modeste",IF(X190&lt;=INDEX(TabRFR[[2021]:[2025]],MATCH(BD!W190&amp;"-modestes",TabRFR[Recherche RFR],0),MATCH(TEXT(YEAR(BD!I190),"Standard"),TabRFR[[#Headers],[2021]:[2025]],0)),"Modeste",IF(X190&lt;=INDEX(TabRFR[[2021]:[2025]],MATCH(BD!W190&amp;"-Intermédiaire",TabRFR[Recherche RFR],0),MATCH(TEXT(YEAR(BD!I190),"Standard"),TabRFR[[#Headers],[2021]:[2025]],0)),"Intermédiaire","Supérieur")))))))</f>
        <v>Data RFR manquantes</v>
      </c>
      <c r="Z190" s="75"/>
      <c r="AA190" s="75" t="s">
        <v>1475</v>
      </c>
      <c r="AB190" s="75">
        <v>38140</v>
      </c>
      <c r="AC190" s="75" t="s">
        <v>237</v>
      </c>
      <c r="AD190" s="73"/>
      <c r="AE190" s="102"/>
      <c r="AF190" s="75" t="s">
        <v>95</v>
      </c>
      <c r="AG190" s="75"/>
      <c r="AH190" s="75">
        <v>2014</v>
      </c>
      <c r="AI190" s="75"/>
      <c r="AJ190" s="75"/>
      <c r="AK190" s="75"/>
      <c r="AL190" s="75"/>
      <c r="AM190" s="75" t="s">
        <v>4233</v>
      </c>
      <c r="AN190" s="75" t="s">
        <v>829</v>
      </c>
      <c r="AO190" s="75" t="s">
        <v>1323</v>
      </c>
      <c r="AP190" s="75" t="s">
        <v>97</v>
      </c>
      <c r="AQ190" s="75"/>
      <c r="AR190" s="75">
        <v>42948</v>
      </c>
      <c r="AS190" s="102" t="s">
        <v>211</v>
      </c>
      <c r="AT190" s="101">
        <v>438029038</v>
      </c>
      <c r="AU190" s="75" t="s">
        <v>100</v>
      </c>
      <c r="AV190" s="75"/>
      <c r="AW190" s="75" t="s">
        <v>100</v>
      </c>
      <c r="AX190" s="75" t="s">
        <v>112</v>
      </c>
      <c r="AY190" s="75" t="s">
        <v>1473</v>
      </c>
      <c r="AZ190" s="75" t="s">
        <v>1472</v>
      </c>
      <c r="BA190" s="75">
        <v>31</v>
      </c>
      <c r="BB190" s="75">
        <v>6.5</v>
      </c>
      <c r="BC190" s="75">
        <v>87</v>
      </c>
      <c r="BD190" s="75">
        <v>0.08</v>
      </c>
      <c r="BE190" s="75" t="s">
        <v>97</v>
      </c>
      <c r="BF190" s="75"/>
      <c r="BG190" s="75">
        <v>4000</v>
      </c>
      <c r="BH190" s="75"/>
      <c r="BI190" s="75"/>
      <c r="BJ190" s="75"/>
      <c r="BK190" s="75">
        <v>265</v>
      </c>
      <c r="BL190" s="75">
        <f t="shared" si="6"/>
        <v>4265</v>
      </c>
      <c r="BM190" s="103">
        <f t="shared" si="7"/>
        <v>234.57499999999999</v>
      </c>
      <c r="BN190" s="103">
        <f t="shared" si="8"/>
        <v>4499.5749999999998</v>
      </c>
      <c r="BO190" s="103"/>
      <c r="BP190" s="75"/>
      <c r="BQ190" s="75"/>
      <c r="BR190" s="75"/>
      <c r="BS190" s="157">
        <v>2017</v>
      </c>
      <c r="BT190">
        <v>2020</v>
      </c>
      <c r="BU190">
        <v>2017</v>
      </c>
    </row>
    <row r="191" spans="1:73" ht="43.15" customHeight="1" x14ac:dyDescent="0.25">
      <c r="A191" s="242" t="s">
        <v>186</v>
      </c>
      <c r="B191" s="242" t="s">
        <v>1471</v>
      </c>
      <c r="C191" s="159">
        <v>400</v>
      </c>
      <c r="D191" s="114">
        <v>42844</v>
      </c>
      <c r="E191" s="114"/>
      <c r="F191" s="114"/>
      <c r="G191" s="114"/>
      <c r="H191" s="114">
        <v>42844</v>
      </c>
      <c r="I191" s="114">
        <v>42844</v>
      </c>
      <c r="J191" s="114">
        <v>42859</v>
      </c>
      <c r="K191" s="114"/>
      <c r="L191" s="114">
        <v>43132</v>
      </c>
      <c r="M191" s="114">
        <v>42894</v>
      </c>
      <c r="N191" s="114"/>
      <c r="O191" s="114">
        <v>43147</v>
      </c>
      <c r="P191" s="114">
        <v>43147</v>
      </c>
      <c r="Q191" s="114">
        <v>43180</v>
      </c>
      <c r="R191" s="80"/>
      <c r="S191" s="114"/>
      <c r="T191" s="75"/>
      <c r="U191" s="75"/>
      <c r="V191" s="75"/>
      <c r="W191" s="75">
        <v>3</v>
      </c>
      <c r="X191" s="75">
        <v>109407</v>
      </c>
      <c r="Y191" s="75" t="str">
        <f ca="1">IF(I191="",IF(D191="","",IF(W191+X191&lt;15,"Données Nb pers ou RFR manquantes",IF(COUNTA(INDIRECT("TabRFR["&amp;YEAR(D191)&amp;"]"))&lt;&gt;COUNTA(TabRFR[Recherche RFR]),"Data RFR manquantes", IF(X191&lt;=INDEX(TabRFR[[2021]:[2025]],MATCH(BD!W191&amp;"-Très modestes",TabRFR[Recherche RFR],0),MATCH(TEXT(YEAR(BD!D191),"Standard"),TabRFR[[#Headers],[2021]:[2025]],0)),"Très Modeste",IF(X191&lt;=INDEX(TabRFR[[2021]:[2025]],MATCH(BD!W191&amp;"-modestes",TabRFR[Recherche RFR],0),MATCH(TEXT(YEAR(BD!D191),"Standard"),TabRFR[[#Headers],[2021]:[2025]],0)),"Modeste",IF(X191&lt;=INDEX(TabRFR[[2021]:[2025]],MATCH(BD!W191&amp;"-Intermédiaire",TabRFR[Recherche RFR],0),MATCH(TEXT(YEAR(BD!D191),"Standard"),TabRFR[[#Headers],[2021]:[2025]],0)),"Intermédiaire","Supérieur")))))),IF(D191="","",IF(W191+X191&lt;15,"Données Nb pers ou RFR manquantes",IF(COUNTA(INDIRECT("TabRFR["&amp;YEAR(I191)&amp;"]"))&lt;&gt;COUNTA(TabRFR[Recherche RFR]),"Data RFR manquantes", IF(X191&lt;=INDEX(TabRFR[[2021]:[2025]],MATCH(BD!W191&amp;"-Très modestes",TabRFR[Recherche RFR],0),MATCH(TEXT(YEAR(BD!I191),"Standard"),TabRFR[[#Headers],[2021]:[2025]],0)),"Très Modeste",IF(X191&lt;=INDEX(TabRFR[[2021]:[2025]],MATCH(BD!W191&amp;"-modestes",TabRFR[Recherche RFR],0),MATCH(TEXT(YEAR(BD!I191),"Standard"),TabRFR[[#Headers],[2021]:[2025]],0)),"Modeste",IF(X191&lt;=INDEX(TabRFR[[2021]:[2025]],MATCH(BD!W191&amp;"-Intermédiaire",TabRFR[Recherche RFR],0),MATCH(TEXT(YEAR(BD!I191),"Standard"),TabRFR[[#Headers],[2021]:[2025]],0)),"Intermédiaire","Supérieur")))))))</f>
        <v>Data RFR manquantes</v>
      </c>
      <c r="Z191" s="75"/>
      <c r="AA191" s="75" t="s">
        <v>1469</v>
      </c>
      <c r="AB191" s="75">
        <v>38340</v>
      </c>
      <c r="AC191" s="75" t="s">
        <v>3796</v>
      </c>
      <c r="AD191" s="73"/>
      <c r="AE191" s="102"/>
      <c r="AF191" s="75"/>
      <c r="AG191" s="75"/>
      <c r="AH191" s="75">
        <v>2017</v>
      </c>
      <c r="AI191" s="75"/>
      <c r="AJ191" s="75"/>
      <c r="AK191" s="75"/>
      <c r="AL191" s="75"/>
      <c r="AM191" s="75" t="s">
        <v>4233</v>
      </c>
      <c r="AN191" s="75" t="s">
        <v>829</v>
      </c>
      <c r="AO191" s="75" t="s">
        <v>1323</v>
      </c>
      <c r="AP191" s="75" t="s">
        <v>97</v>
      </c>
      <c r="AQ191" s="75"/>
      <c r="AR191" s="130">
        <v>42948</v>
      </c>
      <c r="AS191" s="102" t="s">
        <v>211</v>
      </c>
      <c r="AT191" s="101">
        <v>438029038</v>
      </c>
      <c r="AU191" s="75" t="s">
        <v>100</v>
      </c>
      <c r="AV191" s="75">
        <v>1970</v>
      </c>
      <c r="AW191" s="75" t="s">
        <v>100</v>
      </c>
      <c r="AX191" s="75" t="s">
        <v>112</v>
      </c>
      <c r="AY191" s="75" t="s">
        <v>1073</v>
      </c>
      <c r="AZ191" s="75">
        <v>790</v>
      </c>
      <c r="BA191" s="75">
        <v>23</v>
      </c>
      <c r="BB191" s="75">
        <v>5.3</v>
      </c>
      <c r="BC191" s="75">
        <v>80</v>
      </c>
      <c r="BD191" s="75">
        <v>0.06</v>
      </c>
      <c r="BE191" s="75" t="s">
        <v>97</v>
      </c>
      <c r="BF191" s="75">
        <v>2298</v>
      </c>
      <c r="BG191" s="75">
        <f>BF191+2814</f>
        <v>5112</v>
      </c>
      <c r="BH191" s="75"/>
      <c r="BI191" s="75"/>
      <c r="BJ191" s="75"/>
      <c r="BK191" s="75"/>
      <c r="BL191" s="75">
        <f t="shared" si="6"/>
        <v>5112</v>
      </c>
      <c r="BM191" s="103">
        <f t="shared" si="7"/>
        <v>281.16000000000003</v>
      </c>
      <c r="BN191" s="103">
        <f t="shared" si="8"/>
        <v>5393.16</v>
      </c>
      <c r="BO191" s="103">
        <v>5500</v>
      </c>
      <c r="BP191" s="75"/>
      <c r="BQ191" s="75"/>
      <c r="BR191" s="75"/>
      <c r="BS191" s="157">
        <v>2017</v>
      </c>
      <c r="BT191">
        <v>2020</v>
      </c>
      <c r="BU191">
        <v>2017</v>
      </c>
    </row>
    <row r="192" spans="1:73" ht="43.15" customHeight="1" x14ac:dyDescent="0.25">
      <c r="A192" s="242" t="s">
        <v>186</v>
      </c>
      <c r="B192" s="242" t="s">
        <v>1467</v>
      </c>
      <c r="C192" s="159">
        <v>400</v>
      </c>
      <c r="D192" s="114">
        <v>42845</v>
      </c>
      <c r="E192" s="114"/>
      <c r="F192" s="114"/>
      <c r="G192" s="114"/>
      <c r="H192" s="114">
        <v>42857</v>
      </c>
      <c r="I192" s="114">
        <v>42857</v>
      </c>
      <c r="J192" s="114">
        <v>42871</v>
      </c>
      <c r="K192" s="114"/>
      <c r="L192" s="114">
        <v>42884</v>
      </c>
      <c r="M192" s="114">
        <v>42878</v>
      </c>
      <c r="N192" s="114"/>
      <c r="O192" s="114">
        <v>42888</v>
      </c>
      <c r="P192" s="114">
        <v>42888</v>
      </c>
      <c r="Q192" s="114">
        <v>42898</v>
      </c>
      <c r="R192" s="80"/>
      <c r="S192" s="114"/>
      <c r="T192" s="75"/>
      <c r="U192" s="75"/>
      <c r="V192" s="75"/>
      <c r="W192" s="75">
        <v>2</v>
      </c>
      <c r="X192" s="75">
        <v>39402</v>
      </c>
      <c r="Y192" s="75" t="str">
        <f ca="1">IF(I192="",IF(D192="","",IF(W192+X192&lt;15,"Données Nb pers ou RFR manquantes",IF(COUNTA(INDIRECT("TabRFR["&amp;YEAR(D192)&amp;"]"))&lt;&gt;COUNTA(TabRFR[Recherche RFR]),"Data RFR manquantes", IF(X192&lt;=INDEX(TabRFR[[2021]:[2025]],MATCH(BD!W192&amp;"-Très modestes",TabRFR[Recherche RFR],0),MATCH(TEXT(YEAR(BD!D192),"Standard"),TabRFR[[#Headers],[2021]:[2025]],0)),"Très Modeste",IF(X192&lt;=INDEX(TabRFR[[2021]:[2025]],MATCH(BD!W192&amp;"-modestes",TabRFR[Recherche RFR],0),MATCH(TEXT(YEAR(BD!D192),"Standard"),TabRFR[[#Headers],[2021]:[2025]],0)),"Modeste",IF(X192&lt;=INDEX(TabRFR[[2021]:[2025]],MATCH(BD!W192&amp;"-Intermédiaire",TabRFR[Recherche RFR],0),MATCH(TEXT(YEAR(BD!D192),"Standard"),TabRFR[[#Headers],[2021]:[2025]],0)),"Intermédiaire","Supérieur")))))),IF(D192="","",IF(W192+X192&lt;15,"Données Nb pers ou RFR manquantes",IF(COUNTA(INDIRECT("TabRFR["&amp;YEAR(I192)&amp;"]"))&lt;&gt;COUNTA(TabRFR[Recherche RFR]),"Data RFR manquantes", IF(X192&lt;=INDEX(TabRFR[[2021]:[2025]],MATCH(BD!W192&amp;"-Très modestes",TabRFR[Recherche RFR],0),MATCH(TEXT(YEAR(BD!I192),"Standard"),TabRFR[[#Headers],[2021]:[2025]],0)),"Très Modeste",IF(X192&lt;=INDEX(TabRFR[[2021]:[2025]],MATCH(BD!W192&amp;"-modestes",TabRFR[Recherche RFR],0),MATCH(TEXT(YEAR(BD!I192),"Standard"),TabRFR[[#Headers],[2021]:[2025]],0)),"Modeste",IF(X192&lt;=INDEX(TabRFR[[2021]:[2025]],MATCH(BD!W192&amp;"-Intermédiaire",TabRFR[Recherche RFR],0),MATCH(TEXT(YEAR(BD!I192),"Standard"),TabRFR[[#Headers],[2021]:[2025]],0)),"Intermédiaire","Supérieur")))))))</f>
        <v>Data RFR manquantes</v>
      </c>
      <c r="Z192" s="75"/>
      <c r="AA192" s="75" t="s">
        <v>1465</v>
      </c>
      <c r="AB192" s="75">
        <v>38340</v>
      </c>
      <c r="AC192" s="75" t="s">
        <v>108</v>
      </c>
      <c r="AD192" s="73"/>
      <c r="AE192" s="102"/>
      <c r="AF192" s="75" t="s">
        <v>95</v>
      </c>
      <c r="AG192" s="75"/>
      <c r="AH192" s="75">
        <v>1977</v>
      </c>
      <c r="AI192" s="75"/>
      <c r="AJ192" s="75"/>
      <c r="AK192" s="75"/>
      <c r="AL192" s="75"/>
      <c r="AM192" s="75" t="s">
        <v>218</v>
      </c>
      <c r="AN192" s="75" t="s">
        <v>217</v>
      </c>
      <c r="AO192" s="75" t="s">
        <v>219</v>
      </c>
      <c r="AP192" s="75" t="s">
        <v>97</v>
      </c>
      <c r="AQ192" s="75"/>
      <c r="AR192" s="75">
        <v>43065</v>
      </c>
      <c r="AS192" s="102" t="s">
        <v>220</v>
      </c>
      <c r="AT192" s="101">
        <v>476355605</v>
      </c>
      <c r="AU192" s="75" t="s">
        <v>430</v>
      </c>
      <c r="AV192" s="75">
        <v>1977</v>
      </c>
      <c r="AW192" s="75" t="s">
        <v>100</v>
      </c>
      <c r="AX192" s="75" t="s">
        <v>112</v>
      </c>
      <c r="AY192" s="75" t="s">
        <v>121</v>
      </c>
      <c r="AZ192" s="75" t="s">
        <v>1464</v>
      </c>
      <c r="BA192" s="75">
        <v>34</v>
      </c>
      <c r="BB192" s="75">
        <v>7</v>
      </c>
      <c r="BC192" s="75">
        <v>80</v>
      </c>
      <c r="BD192" s="75">
        <v>0.08</v>
      </c>
      <c r="BE192" s="75" t="s">
        <v>97</v>
      </c>
      <c r="BF192" s="75">
        <v>1950.35</v>
      </c>
      <c r="BG192" s="75">
        <f>3506.03-425</f>
        <v>3081.03</v>
      </c>
      <c r="BH192" s="75"/>
      <c r="BI192" s="75"/>
      <c r="BJ192" s="75"/>
      <c r="BK192" s="75">
        <v>425</v>
      </c>
      <c r="BL192" s="75">
        <f t="shared" si="6"/>
        <v>3506.03</v>
      </c>
      <c r="BM192" s="103">
        <f t="shared" si="7"/>
        <v>192.83165000000002</v>
      </c>
      <c r="BN192" s="103">
        <f t="shared" si="8"/>
        <v>3698.8616500000003</v>
      </c>
      <c r="BO192" s="103"/>
      <c r="BP192" s="75" t="s">
        <v>97</v>
      </c>
      <c r="BQ192" s="75"/>
      <c r="BR192" s="75"/>
      <c r="BS192" s="157">
        <v>2017</v>
      </c>
      <c r="BT192">
        <v>2020</v>
      </c>
      <c r="BU192">
        <v>2017</v>
      </c>
    </row>
    <row r="193" spans="1:73" ht="43.15" customHeight="1" x14ac:dyDescent="0.25">
      <c r="A193" s="242" t="s">
        <v>186</v>
      </c>
      <c r="B193" s="242" t="s">
        <v>1463</v>
      </c>
      <c r="C193" s="159">
        <v>400</v>
      </c>
      <c r="D193" s="114">
        <v>42850</v>
      </c>
      <c r="E193" s="114"/>
      <c r="F193" s="114"/>
      <c r="G193" s="114"/>
      <c r="H193" s="114">
        <v>42858</v>
      </c>
      <c r="I193" s="114">
        <v>42858</v>
      </c>
      <c r="J193" s="114">
        <v>42871</v>
      </c>
      <c r="K193" s="114"/>
      <c r="L193" s="114">
        <v>42915</v>
      </c>
      <c r="M193" s="114">
        <v>42887</v>
      </c>
      <c r="N193" s="114" t="s">
        <v>1462</v>
      </c>
      <c r="O193" s="114">
        <v>42955</v>
      </c>
      <c r="P193" s="114">
        <v>42955</v>
      </c>
      <c r="Q193" s="114">
        <v>42956</v>
      </c>
      <c r="R193" s="80"/>
      <c r="S193" s="114"/>
      <c r="T193" s="75"/>
      <c r="U193" s="75"/>
      <c r="V193" s="75"/>
      <c r="W193" s="75">
        <v>3</v>
      </c>
      <c r="X193" s="75">
        <v>59176</v>
      </c>
      <c r="Y193" s="75" t="str">
        <f ca="1">IF(I193="",IF(D193="","",IF(W193+X193&lt;15,"Données Nb pers ou RFR manquantes",IF(COUNTA(INDIRECT("TabRFR["&amp;YEAR(D193)&amp;"]"))&lt;&gt;COUNTA(TabRFR[Recherche RFR]),"Data RFR manquantes", IF(X193&lt;=INDEX(TabRFR[[2021]:[2025]],MATCH(BD!W193&amp;"-Très modestes",TabRFR[Recherche RFR],0),MATCH(TEXT(YEAR(BD!D193),"Standard"),TabRFR[[#Headers],[2021]:[2025]],0)),"Très Modeste",IF(X193&lt;=INDEX(TabRFR[[2021]:[2025]],MATCH(BD!W193&amp;"-modestes",TabRFR[Recherche RFR],0),MATCH(TEXT(YEAR(BD!D193),"Standard"),TabRFR[[#Headers],[2021]:[2025]],0)),"Modeste",IF(X193&lt;=INDEX(TabRFR[[2021]:[2025]],MATCH(BD!W193&amp;"-Intermédiaire",TabRFR[Recherche RFR],0),MATCH(TEXT(YEAR(BD!D193),"Standard"),TabRFR[[#Headers],[2021]:[2025]],0)),"Intermédiaire","Supérieur")))))),IF(D193="","",IF(W193+X193&lt;15,"Données Nb pers ou RFR manquantes",IF(COUNTA(INDIRECT("TabRFR["&amp;YEAR(I193)&amp;"]"))&lt;&gt;COUNTA(TabRFR[Recherche RFR]),"Data RFR manquantes", IF(X193&lt;=INDEX(TabRFR[[2021]:[2025]],MATCH(BD!W193&amp;"-Très modestes",TabRFR[Recherche RFR],0),MATCH(TEXT(YEAR(BD!I193),"Standard"),TabRFR[[#Headers],[2021]:[2025]],0)),"Très Modeste",IF(X193&lt;=INDEX(TabRFR[[2021]:[2025]],MATCH(BD!W193&amp;"-modestes",TabRFR[Recherche RFR],0),MATCH(TEXT(YEAR(BD!I193),"Standard"),TabRFR[[#Headers],[2021]:[2025]],0)),"Modeste",IF(X193&lt;=INDEX(TabRFR[[2021]:[2025]],MATCH(BD!W193&amp;"-Intermédiaire",TabRFR[Recherche RFR],0),MATCH(TEXT(YEAR(BD!I193),"Standard"),TabRFR[[#Headers],[2021]:[2025]],0)),"Intermédiaire","Supérieur")))))))</f>
        <v>Data RFR manquantes</v>
      </c>
      <c r="Z193" s="75"/>
      <c r="AA193" s="75" t="s">
        <v>1460</v>
      </c>
      <c r="AB193" s="75">
        <v>38500</v>
      </c>
      <c r="AC193" s="75" t="s">
        <v>2572</v>
      </c>
      <c r="AD193" s="73"/>
      <c r="AE193" s="102"/>
      <c r="AF193" s="75" t="s">
        <v>95</v>
      </c>
      <c r="AG193" s="75"/>
      <c r="AH193" s="75">
        <v>1983</v>
      </c>
      <c r="AI193" s="75"/>
      <c r="AJ193" s="75"/>
      <c r="AK193" s="75"/>
      <c r="AL193" s="75"/>
      <c r="AM193" s="75" t="s">
        <v>4233</v>
      </c>
      <c r="AN193" s="75" t="s">
        <v>829</v>
      </c>
      <c r="AO193" s="75" t="s">
        <v>1323</v>
      </c>
      <c r="AP193" s="75" t="s">
        <v>97</v>
      </c>
      <c r="AQ193" s="75"/>
      <c r="AR193" s="75">
        <v>42948</v>
      </c>
      <c r="AS193" s="102" t="s">
        <v>211</v>
      </c>
      <c r="AT193" s="101">
        <v>438029038</v>
      </c>
      <c r="AU193" s="75" t="s">
        <v>100</v>
      </c>
      <c r="AV193" s="75">
        <v>1991</v>
      </c>
      <c r="AW193" s="75" t="s">
        <v>100</v>
      </c>
      <c r="AX193" s="75" t="s">
        <v>112</v>
      </c>
      <c r="AY193" s="75" t="s">
        <v>1073</v>
      </c>
      <c r="AZ193" s="75">
        <v>556</v>
      </c>
      <c r="BA193" s="75">
        <v>26</v>
      </c>
      <c r="BB193" s="75">
        <v>6.2</v>
      </c>
      <c r="BC193" s="75">
        <v>79</v>
      </c>
      <c r="BD193" s="75">
        <v>0.08</v>
      </c>
      <c r="BE193" s="75" t="s">
        <v>97</v>
      </c>
      <c r="BF193" s="75">
        <v>3285</v>
      </c>
      <c r="BG193" s="75">
        <f>3285+1340</f>
        <v>4625</v>
      </c>
      <c r="BH193" s="75"/>
      <c r="BI193" s="75"/>
      <c r="BJ193" s="75"/>
      <c r="BK193" s="75">
        <v>580</v>
      </c>
      <c r="BL193" s="75">
        <f t="shared" si="6"/>
        <v>5205</v>
      </c>
      <c r="BM193" s="103">
        <f t="shared" si="7"/>
        <v>286.27499999999998</v>
      </c>
      <c r="BN193" s="103">
        <f t="shared" si="8"/>
        <v>5491.2749999999996</v>
      </c>
      <c r="BO193" s="103">
        <v>5300</v>
      </c>
      <c r="BP193" s="75" t="s">
        <v>97</v>
      </c>
      <c r="BQ193" s="75"/>
      <c r="BR193" s="75"/>
      <c r="BS193" s="157">
        <v>2017</v>
      </c>
      <c r="BT193">
        <v>2020</v>
      </c>
      <c r="BU193">
        <v>2017</v>
      </c>
    </row>
    <row r="194" spans="1:73" ht="43.15" customHeight="1" x14ac:dyDescent="0.25">
      <c r="A194" s="242" t="s">
        <v>186</v>
      </c>
      <c r="B194" s="242" t="s">
        <v>1458</v>
      </c>
      <c r="C194" s="159">
        <v>400</v>
      </c>
      <c r="D194" s="114">
        <v>42850</v>
      </c>
      <c r="E194" s="114"/>
      <c r="F194" s="114"/>
      <c r="G194" s="114"/>
      <c r="H194" s="114">
        <v>42858</v>
      </c>
      <c r="I194" s="114">
        <v>42858</v>
      </c>
      <c r="J194" s="114">
        <v>42871</v>
      </c>
      <c r="K194" s="114"/>
      <c r="L194" s="114">
        <v>42951</v>
      </c>
      <c r="M194" s="114">
        <v>42933</v>
      </c>
      <c r="N194" s="114"/>
      <c r="O194" s="114">
        <v>42955</v>
      </c>
      <c r="P194" s="114">
        <v>42955</v>
      </c>
      <c r="Q194" s="114">
        <v>42956</v>
      </c>
      <c r="R194" s="80"/>
      <c r="S194" s="114"/>
      <c r="T194" s="75"/>
      <c r="U194" s="75"/>
      <c r="V194" s="75"/>
      <c r="W194" s="75">
        <v>2</v>
      </c>
      <c r="X194" s="75">
        <v>52298</v>
      </c>
      <c r="Y194" s="75" t="str">
        <f ca="1">IF(I194="",IF(D194="","",IF(W194+X194&lt;15,"Données Nb pers ou RFR manquantes",IF(COUNTA(INDIRECT("TabRFR["&amp;YEAR(D194)&amp;"]"))&lt;&gt;COUNTA(TabRFR[Recherche RFR]),"Data RFR manquantes", IF(X194&lt;=INDEX(TabRFR[[2021]:[2025]],MATCH(BD!W194&amp;"-Très modestes",TabRFR[Recherche RFR],0),MATCH(TEXT(YEAR(BD!D194),"Standard"),TabRFR[[#Headers],[2021]:[2025]],0)),"Très Modeste",IF(X194&lt;=INDEX(TabRFR[[2021]:[2025]],MATCH(BD!W194&amp;"-modestes",TabRFR[Recherche RFR],0),MATCH(TEXT(YEAR(BD!D194),"Standard"),TabRFR[[#Headers],[2021]:[2025]],0)),"Modeste",IF(X194&lt;=INDEX(TabRFR[[2021]:[2025]],MATCH(BD!W194&amp;"-Intermédiaire",TabRFR[Recherche RFR],0),MATCH(TEXT(YEAR(BD!D194),"Standard"),TabRFR[[#Headers],[2021]:[2025]],0)),"Intermédiaire","Supérieur")))))),IF(D194="","",IF(W194+X194&lt;15,"Données Nb pers ou RFR manquantes",IF(COUNTA(INDIRECT("TabRFR["&amp;YEAR(I194)&amp;"]"))&lt;&gt;COUNTA(TabRFR[Recherche RFR]),"Data RFR manquantes", IF(X194&lt;=INDEX(TabRFR[[2021]:[2025]],MATCH(BD!W194&amp;"-Très modestes",TabRFR[Recherche RFR],0),MATCH(TEXT(YEAR(BD!I194),"Standard"),TabRFR[[#Headers],[2021]:[2025]],0)),"Très Modeste",IF(X194&lt;=INDEX(TabRFR[[2021]:[2025]],MATCH(BD!W194&amp;"-modestes",TabRFR[Recherche RFR],0),MATCH(TEXT(YEAR(BD!I194),"Standard"),TabRFR[[#Headers],[2021]:[2025]],0)),"Modeste",IF(X194&lt;=INDEX(TabRFR[[2021]:[2025]],MATCH(BD!W194&amp;"-Intermédiaire",TabRFR[Recherche RFR],0),MATCH(TEXT(YEAR(BD!I194),"Standard"),TabRFR[[#Headers],[2021]:[2025]],0)),"Intermédiaire","Supérieur")))))))</f>
        <v>Data RFR manquantes</v>
      </c>
      <c r="Z194" s="75"/>
      <c r="AA194" s="75" t="s">
        <v>1456</v>
      </c>
      <c r="AB194" s="75">
        <v>38500</v>
      </c>
      <c r="AC194" s="75" t="s">
        <v>94</v>
      </c>
      <c r="AD194" s="73"/>
      <c r="AE194" s="102"/>
      <c r="AF194" s="75" t="s">
        <v>95</v>
      </c>
      <c r="AG194" s="75"/>
      <c r="AH194" s="75">
        <v>1974</v>
      </c>
      <c r="AI194" s="75"/>
      <c r="AJ194" s="75"/>
      <c r="AK194" s="75"/>
      <c r="AL194" s="75"/>
      <c r="AM194" s="75" t="s">
        <v>4348</v>
      </c>
      <c r="AN194" s="75" t="s">
        <v>96</v>
      </c>
      <c r="AO194" s="75" t="s">
        <v>238</v>
      </c>
      <c r="AP194" s="75" t="s">
        <v>97</v>
      </c>
      <c r="AQ194" s="75"/>
      <c r="AR194" s="75">
        <v>42968</v>
      </c>
      <c r="AS194" s="102" t="s">
        <v>98</v>
      </c>
      <c r="AT194" s="101">
        <v>476323235</v>
      </c>
      <c r="AU194" s="75" t="s">
        <v>111</v>
      </c>
      <c r="AV194" s="75">
        <v>2001</v>
      </c>
      <c r="AW194" s="75" t="s">
        <v>100</v>
      </c>
      <c r="AX194" s="75" t="s">
        <v>112</v>
      </c>
      <c r="AY194" s="75" t="s">
        <v>1454</v>
      </c>
      <c r="AZ194" s="75" t="s">
        <v>1453</v>
      </c>
      <c r="BA194" s="75">
        <v>4</v>
      </c>
      <c r="BB194" s="75">
        <v>7</v>
      </c>
      <c r="BC194" s="75">
        <v>78</v>
      </c>
      <c r="BD194" s="75">
        <v>0.06</v>
      </c>
      <c r="BE194" s="75" t="s">
        <v>97</v>
      </c>
      <c r="BF194" s="75">
        <v>2711</v>
      </c>
      <c r="BG194" s="75">
        <v>2711</v>
      </c>
      <c r="BH194" s="75"/>
      <c r="BI194" s="75"/>
      <c r="BJ194" s="75"/>
      <c r="BK194" s="75">
        <v>290</v>
      </c>
      <c r="BL194" s="75">
        <f t="shared" si="6"/>
        <v>3001</v>
      </c>
      <c r="BM194" s="103">
        <f t="shared" si="7"/>
        <v>165.05500000000001</v>
      </c>
      <c r="BN194" s="103">
        <f t="shared" si="8"/>
        <v>3166.0549999999998</v>
      </c>
      <c r="BO194" s="103"/>
      <c r="BP194" s="75" t="s">
        <v>97</v>
      </c>
      <c r="BQ194" s="75"/>
      <c r="BR194" s="75"/>
      <c r="BS194" s="157">
        <v>2017</v>
      </c>
      <c r="BT194">
        <v>2020</v>
      </c>
      <c r="BU194">
        <v>2017</v>
      </c>
    </row>
    <row r="195" spans="1:73" ht="43.15" customHeight="1" x14ac:dyDescent="0.25">
      <c r="A195" s="242" t="s">
        <v>186</v>
      </c>
      <c r="B195" s="242" t="s">
        <v>1452</v>
      </c>
      <c r="C195" s="159">
        <v>400</v>
      </c>
      <c r="D195" s="114">
        <v>42851</v>
      </c>
      <c r="E195" s="114"/>
      <c r="F195" s="114"/>
      <c r="G195" s="114" t="s">
        <v>1451</v>
      </c>
      <c r="H195" s="114">
        <v>42873</v>
      </c>
      <c r="I195" s="114">
        <v>42873</v>
      </c>
      <c r="J195" s="114">
        <v>42877</v>
      </c>
      <c r="K195" s="114"/>
      <c r="L195" s="114">
        <v>42907</v>
      </c>
      <c r="M195" s="114">
        <v>42893</v>
      </c>
      <c r="N195" s="114"/>
      <c r="O195" s="114">
        <v>42912</v>
      </c>
      <c r="P195" s="114">
        <v>42912</v>
      </c>
      <c r="Q195" s="114">
        <v>42916</v>
      </c>
      <c r="R195" s="80"/>
      <c r="S195" s="114"/>
      <c r="T195" s="75"/>
      <c r="U195" s="75"/>
      <c r="V195" s="75"/>
      <c r="W195" s="75">
        <v>2</v>
      </c>
      <c r="X195" s="75">
        <v>28431</v>
      </c>
      <c r="Y195" s="75" t="str">
        <f ca="1">IF(I195="",IF(D195="","",IF(W195+X195&lt;15,"Données Nb pers ou RFR manquantes",IF(COUNTA(INDIRECT("TabRFR["&amp;YEAR(D195)&amp;"]"))&lt;&gt;COUNTA(TabRFR[Recherche RFR]),"Data RFR manquantes", IF(X195&lt;=INDEX(TabRFR[[2021]:[2025]],MATCH(BD!W195&amp;"-Très modestes",TabRFR[Recherche RFR],0),MATCH(TEXT(YEAR(BD!D195),"Standard"),TabRFR[[#Headers],[2021]:[2025]],0)),"Très Modeste",IF(X195&lt;=INDEX(TabRFR[[2021]:[2025]],MATCH(BD!W195&amp;"-modestes",TabRFR[Recherche RFR],0),MATCH(TEXT(YEAR(BD!D195),"Standard"),TabRFR[[#Headers],[2021]:[2025]],0)),"Modeste",IF(X195&lt;=INDEX(TabRFR[[2021]:[2025]],MATCH(BD!W195&amp;"-Intermédiaire",TabRFR[Recherche RFR],0),MATCH(TEXT(YEAR(BD!D195),"Standard"),TabRFR[[#Headers],[2021]:[2025]],0)),"Intermédiaire","Supérieur")))))),IF(D195="","",IF(W195+X195&lt;15,"Données Nb pers ou RFR manquantes",IF(COUNTA(INDIRECT("TabRFR["&amp;YEAR(I195)&amp;"]"))&lt;&gt;COUNTA(TabRFR[Recherche RFR]),"Data RFR manquantes", IF(X195&lt;=INDEX(TabRFR[[2021]:[2025]],MATCH(BD!W195&amp;"-Très modestes",TabRFR[Recherche RFR],0),MATCH(TEXT(YEAR(BD!I195),"Standard"),TabRFR[[#Headers],[2021]:[2025]],0)),"Très Modeste",IF(X195&lt;=INDEX(TabRFR[[2021]:[2025]],MATCH(BD!W195&amp;"-modestes",TabRFR[Recherche RFR],0),MATCH(TEXT(YEAR(BD!I195),"Standard"),TabRFR[[#Headers],[2021]:[2025]],0)),"Modeste",IF(X195&lt;=INDEX(TabRFR[[2021]:[2025]],MATCH(BD!W195&amp;"-Intermédiaire",TabRFR[Recherche RFR],0),MATCH(TEXT(YEAR(BD!I195),"Standard"),TabRFR[[#Headers],[2021]:[2025]],0)),"Intermédiaire","Supérieur")))))))</f>
        <v>Data RFR manquantes</v>
      </c>
      <c r="Z195" s="75"/>
      <c r="AA195" s="75" t="s">
        <v>1450</v>
      </c>
      <c r="AB195" s="75">
        <v>38430</v>
      </c>
      <c r="AC195" s="75" t="s">
        <v>217</v>
      </c>
      <c r="AD195" s="73"/>
      <c r="AE195" s="102"/>
      <c r="AF195" s="75" t="s">
        <v>95</v>
      </c>
      <c r="AG195" s="75"/>
      <c r="AH195" s="75">
        <v>2015</v>
      </c>
      <c r="AI195" s="75"/>
      <c r="AJ195" s="75"/>
      <c r="AK195" s="75"/>
      <c r="AL195" s="75"/>
      <c r="AM195" s="75" t="s">
        <v>218</v>
      </c>
      <c r="AN195" s="75" t="s">
        <v>217</v>
      </c>
      <c r="AO195" s="75" t="s">
        <v>219</v>
      </c>
      <c r="AP195" s="75" t="s">
        <v>97</v>
      </c>
      <c r="AQ195" s="75"/>
      <c r="AR195" s="75">
        <v>43065</v>
      </c>
      <c r="AS195" s="102" t="s">
        <v>220</v>
      </c>
      <c r="AT195" s="101">
        <v>476355605</v>
      </c>
      <c r="AU195" s="75" t="s">
        <v>111</v>
      </c>
      <c r="AV195" s="75">
        <v>1990</v>
      </c>
      <c r="AW195" s="75" t="s">
        <v>100</v>
      </c>
      <c r="AX195" s="75" t="s">
        <v>112</v>
      </c>
      <c r="AY195" s="75" t="s">
        <v>121</v>
      </c>
      <c r="AZ195" s="75" t="s">
        <v>1448</v>
      </c>
      <c r="BA195" s="75">
        <v>18</v>
      </c>
      <c r="BB195" s="75">
        <v>10.6</v>
      </c>
      <c r="BC195" s="75">
        <v>88</v>
      </c>
      <c r="BD195" s="75">
        <v>7.0000000000000007E-2</v>
      </c>
      <c r="BE195" s="75" t="s">
        <v>97</v>
      </c>
      <c r="BF195" s="75"/>
      <c r="BG195" s="75">
        <v>2634</v>
      </c>
      <c r="BH195" s="75"/>
      <c r="BI195" s="75"/>
      <c r="BJ195" s="75"/>
      <c r="BK195" s="75">
        <v>425</v>
      </c>
      <c r="BL195" s="75">
        <f t="shared" si="6"/>
        <v>3059</v>
      </c>
      <c r="BM195" s="103">
        <f t="shared" si="7"/>
        <v>168.245</v>
      </c>
      <c r="BN195" s="103">
        <f t="shared" si="8"/>
        <v>3227.2449999999999</v>
      </c>
      <c r="BO195" s="103">
        <v>4870.92</v>
      </c>
      <c r="BP195" s="75" t="s">
        <v>97</v>
      </c>
      <c r="BQ195" s="75"/>
      <c r="BR195" s="75"/>
      <c r="BS195" s="157">
        <v>2017</v>
      </c>
      <c r="BT195">
        <v>2020</v>
      </c>
      <c r="BU195">
        <v>2017</v>
      </c>
    </row>
    <row r="196" spans="1:73" ht="43.15" customHeight="1" x14ac:dyDescent="0.25">
      <c r="A196" s="242" t="s">
        <v>186</v>
      </c>
      <c r="B196" s="242" t="s">
        <v>1447</v>
      </c>
      <c r="C196" s="159">
        <v>400</v>
      </c>
      <c r="D196" s="114">
        <v>42852</v>
      </c>
      <c r="E196" s="114"/>
      <c r="F196" s="114"/>
      <c r="G196" s="114" t="s">
        <v>1446</v>
      </c>
      <c r="H196" s="114">
        <v>42895</v>
      </c>
      <c r="I196" s="114">
        <v>42895</v>
      </c>
      <c r="J196" s="114">
        <v>42901</v>
      </c>
      <c r="K196" s="114"/>
      <c r="L196" s="114">
        <v>43063</v>
      </c>
      <c r="M196" s="114">
        <v>42942</v>
      </c>
      <c r="N196" s="114" t="s">
        <v>1445</v>
      </c>
      <c r="O196" s="114">
        <v>43082</v>
      </c>
      <c r="P196" s="114">
        <v>43082</v>
      </c>
      <c r="Q196" s="114">
        <v>43084</v>
      </c>
      <c r="R196" s="80"/>
      <c r="S196" s="114"/>
      <c r="T196" s="75"/>
      <c r="U196" s="75"/>
      <c r="V196" s="75"/>
      <c r="W196" s="75">
        <v>3</v>
      </c>
      <c r="X196" s="75">
        <v>49952</v>
      </c>
      <c r="Y196" s="75" t="str">
        <f ca="1">IF(I196="",IF(D196="","",IF(W196+X196&lt;15,"Données Nb pers ou RFR manquantes",IF(COUNTA(INDIRECT("TabRFR["&amp;YEAR(D196)&amp;"]"))&lt;&gt;COUNTA(TabRFR[Recherche RFR]),"Data RFR manquantes", IF(X196&lt;=INDEX(TabRFR[[2021]:[2025]],MATCH(BD!W196&amp;"-Très modestes",TabRFR[Recherche RFR],0),MATCH(TEXT(YEAR(BD!D196),"Standard"),TabRFR[[#Headers],[2021]:[2025]],0)),"Très Modeste",IF(X196&lt;=INDEX(TabRFR[[2021]:[2025]],MATCH(BD!W196&amp;"-modestes",TabRFR[Recherche RFR],0),MATCH(TEXT(YEAR(BD!D196),"Standard"),TabRFR[[#Headers],[2021]:[2025]],0)),"Modeste",IF(X196&lt;=INDEX(TabRFR[[2021]:[2025]],MATCH(BD!W196&amp;"-Intermédiaire",TabRFR[Recherche RFR],0),MATCH(TEXT(YEAR(BD!D196),"Standard"),TabRFR[[#Headers],[2021]:[2025]],0)),"Intermédiaire","Supérieur")))))),IF(D196="","",IF(W196+X196&lt;15,"Données Nb pers ou RFR manquantes",IF(COUNTA(INDIRECT("TabRFR["&amp;YEAR(I196)&amp;"]"))&lt;&gt;COUNTA(TabRFR[Recherche RFR]),"Data RFR manquantes", IF(X196&lt;=INDEX(TabRFR[[2021]:[2025]],MATCH(BD!W196&amp;"-Très modestes",TabRFR[Recherche RFR],0),MATCH(TEXT(YEAR(BD!I196),"Standard"),TabRFR[[#Headers],[2021]:[2025]],0)),"Très Modeste",IF(X196&lt;=INDEX(TabRFR[[2021]:[2025]],MATCH(BD!W196&amp;"-modestes",TabRFR[Recherche RFR],0),MATCH(TEXT(YEAR(BD!I196),"Standard"),TabRFR[[#Headers],[2021]:[2025]],0)),"Modeste",IF(X196&lt;=INDEX(TabRFR[[2021]:[2025]],MATCH(BD!W196&amp;"-Intermédiaire",TabRFR[Recherche RFR],0),MATCH(TEXT(YEAR(BD!I196),"Standard"),TabRFR[[#Headers],[2021]:[2025]],0)),"Intermédiaire","Supérieur")))))))</f>
        <v>Data RFR manquantes</v>
      </c>
      <c r="Z196" s="75"/>
      <c r="AA196" s="75" t="s">
        <v>1443</v>
      </c>
      <c r="AB196" s="75">
        <v>38134</v>
      </c>
      <c r="AC196" s="75" t="s">
        <v>4344</v>
      </c>
      <c r="AD196" s="73"/>
      <c r="AE196" s="102"/>
      <c r="AF196" s="75" t="s">
        <v>95</v>
      </c>
      <c r="AG196" s="75"/>
      <c r="AH196" s="75"/>
      <c r="AI196" s="75"/>
      <c r="AJ196" s="75"/>
      <c r="AK196" s="75"/>
      <c r="AL196" s="75"/>
      <c r="AM196" s="75" t="s">
        <v>4191</v>
      </c>
      <c r="AN196" s="75" t="s">
        <v>96</v>
      </c>
      <c r="AO196" s="75" t="s">
        <v>229</v>
      </c>
      <c r="AP196" s="75" t="s">
        <v>97</v>
      </c>
      <c r="AQ196" s="75"/>
      <c r="AR196" s="75">
        <v>43213</v>
      </c>
      <c r="AS196" s="102" t="s">
        <v>230</v>
      </c>
      <c r="AT196" s="101">
        <v>476059938</v>
      </c>
      <c r="AU196" s="75" t="s">
        <v>111</v>
      </c>
      <c r="AV196" s="75">
        <v>1996</v>
      </c>
      <c r="AW196" s="75" t="s">
        <v>100</v>
      </c>
      <c r="AX196" s="75" t="s">
        <v>2071</v>
      </c>
      <c r="AY196" s="75" t="s">
        <v>232</v>
      </c>
      <c r="AZ196" s="75" t="s">
        <v>471</v>
      </c>
      <c r="BA196" s="75">
        <v>15</v>
      </c>
      <c r="BB196" s="75">
        <v>10.9</v>
      </c>
      <c r="BC196" s="75">
        <v>88.8</v>
      </c>
      <c r="BD196" s="75">
        <v>0.01</v>
      </c>
      <c r="BE196" s="75" t="s">
        <v>97</v>
      </c>
      <c r="BF196" s="75"/>
      <c r="BG196" s="75">
        <v>5675</v>
      </c>
      <c r="BH196" s="75"/>
      <c r="BI196" s="75"/>
      <c r="BJ196" s="75"/>
      <c r="BK196" s="75">
        <v>900</v>
      </c>
      <c r="BL196" s="75">
        <f t="shared" si="6"/>
        <v>6575</v>
      </c>
      <c r="BM196" s="103">
        <f t="shared" si="7"/>
        <v>361.625</v>
      </c>
      <c r="BN196" s="103">
        <f t="shared" si="8"/>
        <v>6936.625</v>
      </c>
      <c r="BO196" s="103"/>
      <c r="BP196" s="75" t="s">
        <v>97</v>
      </c>
      <c r="BQ196" s="75"/>
      <c r="BR196" s="75"/>
      <c r="BS196" s="157">
        <v>2017</v>
      </c>
      <c r="BU196">
        <v>2017</v>
      </c>
    </row>
    <row r="197" spans="1:73" ht="43.15" customHeight="1" x14ac:dyDescent="0.25">
      <c r="A197" s="242" t="s">
        <v>186</v>
      </c>
      <c r="B197" s="242" t="s">
        <v>1441</v>
      </c>
      <c r="C197" s="159">
        <v>400</v>
      </c>
      <c r="D197" s="114">
        <v>42858</v>
      </c>
      <c r="E197" s="114"/>
      <c r="F197" s="114"/>
      <c r="G197" s="114"/>
      <c r="H197" s="114">
        <v>42860</v>
      </c>
      <c r="I197" s="114">
        <v>42860</v>
      </c>
      <c r="J197" s="114">
        <v>42871</v>
      </c>
      <c r="K197" s="114"/>
      <c r="L197" s="114">
        <v>43004</v>
      </c>
      <c r="M197" s="114">
        <v>42912</v>
      </c>
      <c r="N197" s="114"/>
      <c r="O197" s="114">
        <v>43033</v>
      </c>
      <c r="P197" s="114">
        <v>43033</v>
      </c>
      <c r="Q197" s="114">
        <v>43042</v>
      </c>
      <c r="R197" s="80"/>
      <c r="S197" s="114"/>
      <c r="T197" s="75"/>
      <c r="U197" s="75"/>
      <c r="V197" s="75"/>
      <c r="W197" s="75">
        <v>2</v>
      </c>
      <c r="X197" s="75">
        <v>40450</v>
      </c>
      <c r="Y197" s="75" t="str">
        <f ca="1">IF(I197="",IF(D197="","",IF(W197+X197&lt;15,"Données Nb pers ou RFR manquantes",IF(COUNTA(INDIRECT("TabRFR["&amp;YEAR(D197)&amp;"]"))&lt;&gt;COUNTA(TabRFR[Recherche RFR]),"Data RFR manquantes", IF(X197&lt;=INDEX(TabRFR[[2021]:[2025]],MATCH(BD!W197&amp;"-Très modestes",TabRFR[Recherche RFR],0),MATCH(TEXT(YEAR(BD!D197),"Standard"),TabRFR[[#Headers],[2021]:[2025]],0)),"Très Modeste",IF(X197&lt;=INDEX(TabRFR[[2021]:[2025]],MATCH(BD!W197&amp;"-modestes",TabRFR[Recherche RFR],0),MATCH(TEXT(YEAR(BD!D197),"Standard"),TabRFR[[#Headers],[2021]:[2025]],0)),"Modeste",IF(X197&lt;=INDEX(TabRFR[[2021]:[2025]],MATCH(BD!W197&amp;"-Intermédiaire",TabRFR[Recherche RFR],0),MATCH(TEXT(YEAR(BD!D197),"Standard"),TabRFR[[#Headers],[2021]:[2025]],0)),"Intermédiaire","Supérieur")))))),IF(D197="","",IF(W197+X197&lt;15,"Données Nb pers ou RFR manquantes",IF(COUNTA(INDIRECT("TabRFR["&amp;YEAR(I197)&amp;"]"))&lt;&gt;COUNTA(TabRFR[Recherche RFR]),"Data RFR manquantes", IF(X197&lt;=INDEX(TabRFR[[2021]:[2025]],MATCH(BD!W197&amp;"-Très modestes",TabRFR[Recherche RFR],0),MATCH(TEXT(YEAR(BD!I197),"Standard"),TabRFR[[#Headers],[2021]:[2025]],0)),"Très Modeste",IF(X197&lt;=INDEX(TabRFR[[2021]:[2025]],MATCH(BD!W197&amp;"-modestes",TabRFR[Recherche RFR],0),MATCH(TEXT(YEAR(BD!I197),"Standard"),TabRFR[[#Headers],[2021]:[2025]],0)),"Modeste",IF(X197&lt;=INDEX(TabRFR[[2021]:[2025]],MATCH(BD!W197&amp;"-Intermédiaire",TabRFR[Recherche RFR],0),MATCH(TEXT(YEAR(BD!I197),"Standard"),TabRFR[[#Headers],[2021]:[2025]],0)),"Intermédiaire","Supérieur")))))))</f>
        <v>Data RFR manquantes</v>
      </c>
      <c r="Z197" s="75"/>
      <c r="AA197" s="75" t="s">
        <v>1439</v>
      </c>
      <c r="AB197" s="75">
        <v>38340</v>
      </c>
      <c r="AC197" s="75" t="s">
        <v>108</v>
      </c>
      <c r="AD197" s="73"/>
      <c r="AE197" s="102"/>
      <c r="AF197" s="75" t="s">
        <v>95</v>
      </c>
      <c r="AG197" s="75"/>
      <c r="AH197" s="75">
        <v>1976</v>
      </c>
      <c r="AI197" s="75"/>
      <c r="AJ197" s="75"/>
      <c r="AK197" s="75"/>
      <c r="AL197" s="75"/>
      <c r="AM197" s="75" t="s">
        <v>4354</v>
      </c>
      <c r="AN197" s="75" t="s">
        <v>1056</v>
      </c>
      <c r="AO197" s="75"/>
      <c r="AP197" s="75" t="s">
        <v>97</v>
      </c>
      <c r="AQ197" s="75"/>
      <c r="AR197" s="75">
        <v>42937</v>
      </c>
      <c r="AS197" s="102" t="s">
        <v>1437</v>
      </c>
      <c r="AT197" s="101">
        <v>476441060</v>
      </c>
      <c r="AU197" s="75" t="s">
        <v>111</v>
      </c>
      <c r="AV197" s="75">
        <v>1998</v>
      </c>
      <c r="AW197" s="75" t="s">
        <v>111</v>
      </c>
      <c r="AX197" s="75" t="s">
        <v>2071</v>
      </c>
      <c r="AY197" s="75" t="s">
        <v>1436</v>
      </c>
      <c r="AZ197" s="75" t="s">
        <v>1435</v>
      </c>
      <c r="BA197" s="75">
        <v>15</v>
      </c>
      <c r="BB197" s="75">
        <v>9.1999999999999993</v>
      </c>
      <c r="BC197" s="75">
        <v>88.2</v>
      </c>
      <c r="BD197" s="75">
        <v>0.01</v>
      </c>
      <c r="BE197" s="75" t="s">
        <v>97</v>
      </c>
      <c r="BF197" s="75"/>
      <c r="BG197" s="75">
        <v>6067</v>
      </c>
      <c r="BH197" s="75"/>
      <c r="BI197" s="75"/>
      <c r="BJ197" s="75"/>
      <c r="BK197" s="75">
        <v>1580</v>
      </c>
      <c r="BL197" s="75">
        <f t="shared" si="6"/>
        <v>7647</v>
      </c>
      <c r="BM197" s="103">
        <f t="shared" si="7"/>
        <v>420.58499999999998</v>
      </c>
      <c r="BN197" s="103">
        <f t="shared" si="8"/>
        <v>8067.585</v>
      </c>
      <c r="BO197" s="103">
        <f>4097.53+1102.48</f>
        <v>5200.01</v>
      </c>
      <c r="BP197" s="75" t="s">
        <v>97</v>
      </c>
      <c r="BQ197" s="75"/>
      <c r="BR197" s="75"/>
      <c r="BS197" s="157">
        <v>2017</v>
      </c>
      <c r="BU197">
        <v>2017</v>
      </c>
    </row>
    <row r="198" spans="1:73" ht="43.15" customHeight="1" x14ac:dyDescent="0.25">
      <c r="A198" s="29" t="s">
        <v>186</v>
      </c>
      <c r="B198" s="29" t="s">
        <v>1434</v>
      </c>
      <c r="C198" s="161" t="s">
        <v>9</v>
      </c>
      <c r="D198" s="110">
        <v>42858</v>
      </c>
      <c r="E198" s="110"/>
      <c r="F198" s="110"/>
      <c r="G198" s="110" t="s">
        <v>1433</v>
      </c>
      <c r="H198" s="110"/>
      <c r="I198" s="110"/>
      <c r="J198" s="110"/>
      <c r="K198" s="110"/>
      <c r="L198" s="110"/>
      <c r="M198" s="110"/>
      <c r="N198" s="110"/>
      <c r="O198" s="110"/>
      <c r="P198" s="110"/>
      <c r="Q198" s="110"/>
      <c r="R198" s="109"/>
      <c r="S198" s="110">
        <v>42860</v>
      </c>
      <c r="T198" s="111" t="s">
        <v>1432</v>
      </c>
      <c r="U198" s="111"/>
      <c r="V198" s="111"/>
      <c r="W198" s="111">
        <v>3</v>
      </c>
      <c r="X198" s="111">
        <v>37641</v>
      </c>
      <c r="Y198" s="75" t="str">
        <f ca="1">IF(I198="",IF(D198="","",IF(W198+X198&lt;15,"Données Nb pers ou RFR manquantes",IF(COUNTA(INDIRECT("TabRFR["&amp;YEAR(D198)&amp;"]"))&lt;&gt;COUNTA(TabRFR[Recherche RFR]),"Data RFR manquantes", IF(X198&lt;=INDEX(TabRFR[[2021]:[2025]],MATCH(BD!W198&amp;"-Très modestes",TabRFR[Recherche RFR],0),MATCH(TEXT(YEAR(BD!D198),"Standard"),TabRFR[[#Headers],[2021]:[2025]],0)),"Très Modeste",IF(X198&lt;=INDEX(TabRFR[[2021]:[2025]],MATCH(BD!W198&amp;"-modestes",TabRFR[Recherche RFR],0),MATCH(TEXT(YEAR(BD!D198),"Standard"),TabRFR[[#Headers],[2021]:[2025]],0)),"Modeste",IF(X198&lt;=INDEX(TabRFR[[2021]:[2025]],MATCH(BD!W198&amp;"-Intermédiaire",TabRFR[Recherche RFR],0),MATCH(TEXT(YEAR(BD!D198),"Standard"),TabRFR[[#Headers],[2021]:[2025]],0)),"Intermédiaire","Supérieur")))))),IF(D198="","",IF(W198+X198&lt;15,"Données Nb pers ou RFR manquantes",IF(COUNTA(INDIRECT("TabRFR["&amp;YEAR(I198)&amp;"]"))&lt;&gt;COUNTA(TabRFR[Recherche RFR]),"Data RFR manquantes", IF(X198&lt;=INDEX(TabRFR[[2021]:[2025]],MATCH(BD!W198&amp;"-Très modestes",TabRFR[Recherche RFR],0),MATCH(TEXT(YEAR(BD!I198),"Standard"),TabRFR[[#Headers],[2021]:[2025]],0)),"Très Modeste",IF(X198&lt;=INDEX(TabRFR[[2021]:[2025]],MATCH(BD!W198&amp;"-modestes",TabRFR[Recherche RFR],0),MATCH(TEXT(YEAR(BD!I198),"Standard"),TabRFR[[#Headers],[2021]:[2025]],0)),"Modeste",IF(X198&lt;=INDEX(TabRFR[[2021]:[2025]],MATCH(BD!W198&amp;"-Intermédiaire",TabRFR[Recherche RFR],0),MATCH(TEXT(YEAR(BD!I198),"Standard"),TabRFR[[#Headers],[2021]:[2025]],0)),"Intermédiaire","Supérieur")))))))</f>
        <v>Data RFR manquantes</v>
      </c>
      <c r="Z198" s="111"/>
      <c r="AA198" s="111" t="s">
        <v>1431</v>
      </c>
      <c r="AB198" s="111">
        <v>38140</v>
      </c>
      <c r="AC198" s="111" t="s">
        <v>363</v>
      </c>
      <c r="AD198" s="127"/>
      <c r="AE198" s="102"/>
      <c r="AF198" s="111"/>
      <c r="AG198" s="111"/>
      <c r="AH198" s="111"/>
      <c r="AI198" s="111"/>
      <c r="AJ198" s="111"/>
      <c r="AK198" s="111"/>
      <c r="AL198" s="111"/>
      <c r="AM198" s="111" t="s">
        <v>218</v>
      </c>
      <c r="AN198" s="111" t="s">
        <v>217</v>
      </c>
      <c r="AO198" s="111" t="s">
        <v>219</v>
      </c>
      <c r="AP198" s="111" t="s">
        <v>97</v>
      </c>
      <c r="AQ198" s="111"/>
      <c r="AR198" s="111">
        <v>43065</v>
      </c>
      <c r="AS198" s="102" t="s">
        <v>220</v>
      </c>
      <c r="AT198" s="112">
        <v>476355605</v>
      </c>
      <c r="AU198" s="111" t="s">
        <v>111</v>
      </c>
      <c r="AV198" s="111">
        <v>2003</v>
      </c>
      <c r="AW198" s="111"/>
      <c r="AX198" s="111"/>
      <c r="AY198" s="111"/>
      <c r="AZ198" s="111"/>
      <c r="BA198" s="111"/>
      <c r="BB198" s="111"/>
      <c r="BC198" s="111"/>
      <c r="BD198" s="111"/>
      <c r="BE198" s="111"/>
      <c r="BF198" s="111"/>
      <c r="BG198" s="111"/>
      <c r="BH198" s="111"/>
      <c r="BI198" s="111"/>
      <c r="BJ198" s="111"/>
      <c r="BK198" s="111"/>
      <c r="BL198" s="75">
        <f t="shared" ref="BL198:BL261" si="9">BG198+BK198</f>
        <v>0</v>
      </c>
      <c r="BM198" s="103">
        <f t="shared" ref="BM198:BM261" si="10">BL198*0.055</f>
        <v>0</v>
      </c>
      <c r="BN198" s="103">
        <f t="shared" ref="BN198:BN261" si="11">BL198+BM198</f>
        <v>0</v>
      </c>
      <c r="BO198" s="113"/>
      <c r="BP198" s="111"/>
      <c r="BQ198" s="111"/>
      <c r="BR198" s="111"/>
      <c r="BS198" s="157">
        <v>2017</v>
      </c>
      <c r="BU198" t="s">
        <v>4180</v>
      </c>
    </row>
    <row r="199" spans="1:73" ht="43.15" customHeight="1" x14ac:dyDescent="0.25">
      <c r="A199" s="242" t="s">
        <v>186</v>
      </c>
      <c r="B199" s="242" t="s">
        <v>1430</v>
      </c>
      <c r="C199" s="159">
        <v>400</v>
      </c>
      <c r="D199" s="114">
        <v>42860</v>
      </c>
      <c r="E199" s="114"/>
      <c r="F199" s="114"/>
      <c r="G199" s="114"/>
      <c r="H199" s="114">
        <v>42860</v>
      </c>
      <c r="I199" s="114">
        <v>42860</v>
      </c>
      <c r="J199" s="114">
        <v>42871</v>
      </c>
      <c r="K199" s="114"/>
      <c r="L199" s="114">
        <v>43068</v>
      </c>
      <c r="M199" s="114">
        <v>42941</v>
      </c>
      <c r="N199" s="114"/>
      <c r="O199" s="114">
        <v>43074</v>
      </c>
      <c r="P199" s="114">
        <v>43074</v>
      </c>
      <c r="Q199" s="114">
        <v>43077</v>
      </c>
      <c r="R199" s="80"/>
      <c r="S199" s="114"/>
      <c r="T199" s="75"/>
      <c r="U199" s="75"/>
      <c r="V199" s="75"/>
      <c r="W199" s="75">
        <v>5</v>
      </c>
      <c r="X199" s="75">
        <v>53986</v>
      </c>
      <c r="Y199" s="75" t="str">
        <f ca="1">IF(I199="",IF(D199="","",IF(W199+X199&lt;15,"Données Nb pers ou RFR manquantes",IF(COUNTA(INDIRECT("TabRFR["&amp;YEAR(D199)&amp;"]"))&lt;&gt;COUNTA(TabRFR[Recherche RFR]),"Data RFR manquantes", IF(X199&lt;=INDEX(TabRFR[[2021]:[2025]],MATCH(BD!W199&amp;"-Très modestes",TabRFR[Recherche RFR],0),MATCH(TEXT(YEAR(BD!D199),"Standard"),TabRFR[[#Headers],[2021]:[2025]],0)),"Très Modeste",IF(X199&lt;=INDEX(TabRFR[[2021]:[2025]],MATCH(BD!W199&amp;"-modestes",TabRFR[Recherche RFR],0),MATCH(TEXT(YEAR(BD!D199),"Standard"),TabRFR[[#Headers],[2021]:[2025]],0)),"Modeste",IF(X199&lt;=INDEX(TabRFR[[2021]:[2025]],MATCH(BD!W199&amp;"-Intermédiaire",TabRFR[Recherche RFR],0),MATCH(TEXT(YEAR(BD!D199),"Standard"),TabRFR[[#Headers],[2021]:[2025]],0)),"Intermédiaire","Supérieur")))))),IF(D199="","",IF(W199+X199&lt;15,"Données Nb pers ou RFR manquantes",IF(COUNTA(INDIRECT("TabRFR["&amp;YEAR(I199)&amp;"]"))&lt;&gt;COUNTA(TabRFR[Recherche RFR]),"Data RFR manquantes", IF(X199&lt;=INDEX(TabRFR[[2021]:[2025]],MATCH(BD!W199&amp;"-Très modestes",TabRFR[Recherche RFR],0),MATCH(TEXT(YEAR(BD!I199),"Standard"),TabRFR[[#Headers],[2021]:[2025]],0)),"Très Modeste",IF(X199&lt;=INDEX(TabRFR[[2021]:[2025]],MATCH(BD!W199&amp;"-modestes",TabRFR[Recherche RFR],0),MATCH(TEXT(YEAR(BD!I199),"Standard"),TabRFR[[#Headers],[2021]:[2025]],0)),"Modeste",IF(X199&lt;=INDEX(TabRFR[[2021]:[2025]],MATCH(BD!W199&amp;"-Intermédiaire",TabRFR[Recherche RFR],0),MATCH(TEXT(YEAR(BD!I199),"Standard"),TabRFR[[#Headers],[2021]:[2025]],0)),"Intermédiaire","Supérieur")))))))</f>
        <v>Data RFR manquantes</v>
      </c>
      <c r="Z199" s="75"/>
      <c r="AA199" s="75" t="s">
        <v>1428</v>
      </c>
      <c r="AB199" s="75">
        <v>38500</v>
      </c>
      <c r="AC199" s="75" t="s">
        <v>96</v>
      </c>
      <c r="AD199" s="73"/>
      <c r="AE199" s="102"/>
      <c r="AF199" s="75" t="s">
        <v>95</v>
      </c>
      <c r="AG199" s="75"/>
      <c r="AH199" s="75"/>
      <c r="AI199" s="75"/>
      <c r="AJ199" s="75"/>
      <c r="AK199" s="75"/>
      <c r="AL199" s="75"/>
      <c r="AM199" s="75" t="s">
        <v>4373</v>
      </c>
      <c r="AN199" s="75" t="s">
        <v>4374</v>
      </c>
      <c r="AO199" s="75" t="s">
        <v>1426</v>
      </c>
      <c r="AP199" s="75" t="s">
        <v>97</v>
      </c>
      <c r="AQ199" s="75"/>
      <c r="AR199" s="75">
        <v>42886</v>
      </c>
      <c r="AS199" s="102" t="s">
        <v>406</v>
      </c>
      <c r="AT199" s="101">
        <v>476132200</v>
      </c>
      <c r="AU199" s="75" t="s">
        <v>111</v>
      </c>
      <c r="AV199" s="75" t="s">
        <v>231</v>
      </c>
      <c r="AW199" s="75" t="s">
        <v>111</v>
      </c>
      <c r="AX199" s="75" t="s">
        <v>112</v>
      </c>
      <c r="AY199" s="75" t="s">
        <v>407</v>
      </c>
      <c r="AZ199" s="75" t="s">
        <v>408</v>
      </c>
      <c r="BA199" s="75">
        <v>36</v>
      </c>
      <c r="BB199" s="75">
        <v>11.5</v>
      </c>
      <c r="BC199" s="75">
        <v>77.8</v>
      </c>
      <c r="BD199" s="75">
        <v>0.02</v>
      </c>
      <c r="BE199" s="75" t="s">
        <v>97</v>
      </c>
      <c r="BF199" s="75"/>
      <c r="BG199" s="75">
        <v>3180</v>
      </c>
      <c r="BH199" s="75"/>
      <c r="BI199" s="75"/>
      <c r="BJ199" s="75"/>
      <c r="BK199" s="75">
        <v>990</v>
      </c>
      <c r="BL199" s="75">
        <f t="shared" si="9"/>
        <v>4170</v>
      </c>
      <c r="BM199" s="103">
        <f t="shared" si="10"/>
        <v>229.35</v>
      </c>
      <c r="BN199" s="103">
        <f t="shared" si="11"/>
        <v>4399.3500000000004</v>
      </c>
      <c r="BO199" s="103"/>
      <c r="BP199" s="75" t="s">
        <v>97</v>
      </c>
      <c r="BQ199" s="75"/>
      <c r="BR199" s="75"/>
      <c r="BS199" s="157">
        <v>2017</v>
      </c>
      <c r="BT199">
        <v>2020</v>
      </c>
      <c r="BU199">
        <v>2017</v>
      </c>
    </row>
    <row r="200" spans="1:73" ht="43.15" customHeight="1" x14ac:dyDescent="0.25">
      <c r="A200" s="242" t="s">
        <v>186</v>
      </c>
      <c r="B200" s="242" t="s">
        <v>1425</v>
      </c>
      <c r="C200" s="159">
        <v>800</v>
      </c>
      <c r="D200" s="114">
        <v>42865</v>
      </c>
      <c r="E200" s="114"/>
      <c r="F200" s="114"/>
      <c r="G200" s="114" t="s">
        <v>1424</v>
      </c>
      <c r="H200" s="114">
        <v>42873</v>
      </c>
      <c r="I200" s="114">
        <v>42873</v>
      </c>
      <c r="J200" s="114">
        <v>42877</v>
      </c>
      <c r="K200" s="114"/>
      <c r="L200" s="114">
        <v>42929</v>
      </c>
      <c r="M200" s="114">
        <v>42905</v>
      </c>
      <c r="N200" s="114" t="s">
        <v>1423</v>
      </c>
      <c r="O200" s="114">
        <v>42955</v>
      </c>
      <c r="P200" s="114">
        <v>42955</v>
      </c>
      <c r="Q200" s="114">
        <v>43005</v>
      </c>
      <c r="R200" s="100"/>
      <c r="S200" s="114"/>
      <c r="T200" s="75"/>
      <c r="U200" s="75"/>
      <c r="V200" s="75"/>
      <c r="W200" s="75">
        <v>3</v>
      </c>
      <c r="X200" s="75">
        <f>17846+6844</f>
        <v>24690</v>
      </c>
      <c r="Y200" s="75" t="str">
        <f ca="1">IF(I200="",IF(D200="","",IF(W200+X200&lt;15,"Données Nb pers ou RFR manquantes",IF(COUNTA(INDIRECT("TabRFR["&amp;YEAR(D200)&amp;"]"))&lt;&gt;COUNTA(TabRFR[Recherche RFR]),"Data RFR manquantes", IF(X200&lt;=INDEX(TabRFR[[2021]:[2025]],MATCH(BD!W200&amp;"-Très modestes",TabRFR[Recherche RFR],0),MATCH(TEXT(YEAR(BD!D200),"Standard"),TabRFR[[#Headers],[2021]:[2025]],0)),"Très Modeste",IF(X200&lt;=INDEX(TabRFR[[2021]:[2025]],MATCH(BD!W200&amp;"-modestes",TabRFR[Recherche RFR],0),MATCH(TEXT(YEAR(BD!D200),"Standard"),TabRFR[[#Headers],[2021]:[2025]],0)),"Modeste",IF(X200&lt;=INDEX(TabRFR[[2021]:[2025]],MATCH(BD!W200&amp;"-Intermédiaire",TabRFR[Recherche RFR],0),MATCH(TEXT(YEAR(BD!D200),"Standard"),TabRFR[[#Headers],[2021]:[2025]],0)),"Intermédiaire","Supérieur")))))),IF(D200="","",IF(W200+X200&lt;15,"Données Nb pers ou RFR manquantes",IF(COUNTA(INDIRECT("TabRFR["&amp;YEAR(I200)&amp;"]"))&lt;&gt;COUNTA(TabRFR[Recherche RFR]),"Data RFR manquantes", IF(X200&lt;=INDEX(TabRFR[[2021]:[2025]],MATCH(BD!W200&amp;"-Très modestes",TabRFR[Recherche RFR],0),MATCH(TEXT(YEAR(BD!I200),"Standard"),TabRFR[[#Headers],[2021]:[2025]],0)),"Très Modeste",IF(X200&lt;=INDEX(TabRFR[[2021]:[2025]],MATCH(BD!W200&amp;"-modestes",TabRFR[Recherche RFR],0),MATCH(TEXT(YEAR(BD!I200),"Standard"),TabRFR[[#Headers],[2021]:[2025]],0)),"Modeste",IF(X200&lt;=INDEX(TabRFR[[2021]:[2025]],MATCH(BD!W200&amp;"-Intermédiaire",TabRFR[Recherche RFR],0),MATCH(TEXT(YEAR(BD!I200),"Standard"),TabRFR[[#Headers],[2021]:[2025]],0)),"Intermédiaire","Supérieur")))))))</f>
        <v>Data RFR manquantes</v>
      </c>
      <c r="Z200" s="75"/>
      <c r="AA200" s="75" t="s">
        <v>1420</v>
      </c>
      <c r="AB200" s="75">
        <v>38210</v>
      </c>
      <c r="AC200" s="75" t="s">
        <v>195</v>
      </c>
      <c r="AD200" s="73"/>
      <c r="AE200" s="102"/>
      <c r="AF200" s="75" t="s">
        <v>95</v>
      </c>
      <c r="AG200" s="75"/>
      <c r="AH200" s="75"/>
      <c r="AI200" s="75"/>
      <c r="AJ200" s="75"/>
      <c r="AK200" s="75"/>
      <c r="AL200" s="75"/>
      <c r="AM200" s="77" t="s">
        <v>4198</v>
      </c>
      <c r="AN200" s="75" t="s">
        <v>521</v>
      </c>
      <c r="AO200" s="75" t="s">
        <v>522</v>
      </c>
      <c r="AP200" s="75" t="s">
        <v>97</v>
      </c>
      <c r="AQ200" s="75"/>
      <c r="AR200" s="74">
        <v>43053</v>
      </c>
      <c r="AS200" s="102" t="s">
        <v>523</v>
      </c>
      <c r="AT200" s="101">
        <v>618630529</v>
      </c>
      <c r="AU200" s="75" t="s">
        <v>430</v>
      </c>
      <c r="AV200" s="75" t="s">
        <v>173</v>
      </c>
      <c r="AW200" s="75" t="s">
        <v>100</v>
      </c>
      <c r="AX200" s="75" t="s">
        <v>2071</v>
      </c>
      <c r="AY200" s="75" t="s">
        <v>1418</v>
      </c>
      <c r="AZ200" s="75" t="s">
        <v>1417</v>
      </c>
      <c r="BA200" s="75">
        <v>14</v>
      </c>
      <c r="BB200" s="75">
        <v>8.1</v>
      </c>
      <c r="BC200" s="75">
        <v>90</v>
      </c>
      <c r="BD200" s="75">
        <v>0.01</v>
      </c>
      <c r="BE200" s="75" t="s">
        <v>97</v>
      </c>
      <c r="BF200" s="75"/>
      <c r="BG200" s="75">
        <v>2255</v>
      </c>
      <c r="BH200" s="75"/>
      <c r="BI200" s="75"/>
      <c r="BJ200" s="75"/>
      <c r="BK200" s="75">
        <v>350</v>
      </c>
      <c r="BL200" s="75">
        <f t="shared" si="9"/>
        <v>2605</v>
      </c>
      <c r="BM200" s="103">
        <f t="shared" si="10"/>
        <v>143.27500000000001</v>
      </c>
      <c r="BN200" s="103">
        <f t="shared" si="11"/>
        <v>2748.2750000000001</v>
      </c>
      <c r="BO200" s="103">
        <v>3423.48</v>
      </c>
      <c r="BP200" s="75" t="s">
        <v>104</v>
      </c>
      <c r="BQ200" s="75"/>
      <c r="BR200" s="75"/>
      <c r="BS200" s="157">
        <v>2017</v>
      </c>
      <c r="BU200">
        <v>2017</v>
      </c>
    </row>
    <row r="201" spans="1:73" ht="43.15" customHeight="1" x14ac:dyDescent="0.25">
      <c r="A201" s="242" t="s">
        <v>186</v>
      </c>
      <c r="B201" s="242" t="s">
        <v>1416</v>
      </c>
      <c r="C201" s="159">
        <v>800</v>
      </c>
      <c r="D201" s="114">
        <v>42859</v>
      </c>
      <c r="E201" s="114" t="s">
        <v>1415</v>
      </c>
      <c r="F201" s="114"/>
      <c r="G201" s="114"/>
      <c r="H201" s="114">
        <v>42870</v>
      </c>
      <c r="I201" s="114">
        <v>42870</v>
      </c>
      <c r="J201" s="114">
        <v>42877</v>
      </c>
      <c r="K201" s="114"/>
      <c r="L201" s="114">
        <v>42892</v>
      </c>
      <c r="M201" s="114">
        <v>42886</v>
      </c>
      <c r="N201" s="114"/>
      <c r="O201" s="114">
        <v>42899</v>
      </c>
      <c r="P201" s="114">
        <v>42899</v>
      </c>
      <c r="Q201" s="114">
        <v>42901</v>
      </c>
      <c r="R201" s="100"/>
      <c r="S201" s="114"/>
      <c r="T201" s="75"/>
      <c r="U201" s="75"/>
      <c r="V201" s="75"/>
      <c r="W201" s="75">
        <v>2</v>
      </c>
      <c r="X201" s="75">
        <v>17371</v>
      </c>
      <c r="Y201" s="75" t="str">
        <f ca="1">IF(I201="",IF(D201="","",IF(W201+X201&lt;15,"Données Nb pers ou RFR manquantes",IF(COUNTA(INDIRECT("TabRFR["&amp;YEAR(D201)&amp;"]"))&lt;&gt;COUNTA(TabRFR[Recherche RFR]),"Data RFR manquantes", IF(X201&lt;=INDEX(TabRFR[[2021]:[2025]],MATCH(BD!W201&amp;"-Très modestes",TabRFR[Recherche RFR],0),MATCH(TEXT(YEAR(BD!D201),"Standard"),TabRFR[[#Headers],[2021]:[2025]],0)),"Très Modeste",IF(X201&lt;=INDEX(TabRFR[[2021]:[2025]],MATCH(BD!W201&amp;"-modestes",TabRFR[Recherche RFR],0),MATCH(TEXT(YEAR(BD!D201),"Standard"),TabRFR[[#Headers],[2021]:[2025]],0)),"Modeste",IF(X201&lt;=INDEX(TabRFR[[2021]:[2025]],MATCH(BD!W201&amp;"-Intermédiaire",TabRFR[Recherche RFR],0),MATCH(TEXT(YEAR(BD!D201),"Standard"),TabRFR[[#Headers],[2021]:[2025]],0)),"Intermédiaire","Supérieur")))))),IF(D201="","",IF(W201+X201&lt;15,"Données Nb pers ou RFR manquantes",IF(COUNTA(INDIRECT("TabRFR["&amp;YEAR(I201)&amp;"]"))&lt;&gt;COUNTA(TabRFR[Recherche RFR]),"Data RFR manquantes", IF(X201&lt;=INDEX(TabRFR[[2021]:[2025]],MATCH(BD!W201&amp;"-Très modestes",TabRFR[Recherche RFR],0),MATCH(TEXT(YEAR(BD!I201),"Standard"),TabRFR[[#Headers],[2021]:[2025]],0)),"Très Modeste",IF(X201&lt;=INDEX(TabRFR[[2021]:[2025]],MATCH(BD!W201&amp;"-modestes",TabRFR[Recherche RFR],0),MATCH(TEXT(YEAR(BD!I201),"Standard"),TabRFR[[#Headers],[2021]:[2025]],0)),"Modeste",IF(X201&lt;=INDEX(TabRFR[[2021]:[2025]],MATCH(BD!W201&amp;"-Intermédiaire",TabRFR[Recherche RFR],0),MATCH(TEXT(YEAR(BD!I201),"Standard"),TabRFR[[#Headers],[2021]:[2025]],0)),"Intermédiaire","Supérieur")))))))</f>
        <v>Data RFR manquantes</v>
      </c>
      <c r="Z201" s="75"/>
      <c r="AA201" s="75" t="s">
        <v>1412</v>
      </c>
      <c r="AB201" s="75">
        <v>38630</v>
      </c>
      <c r="AC201" s="75" t="s">
        <v>4304</v>
      </c>
      <c r="AD201" s="73"/>
      <c r="AE201" s="102"/>
      <c r="AF201" s="75" t="s">
        <v>95</v>
      </c>
      <c r="AG201" s="75"/>
      <c r="AH201" s="75"/>
      <c r="AI201" s="75"/>
      <c r="AJ201" s="75"/>
      <c r="AK201" s="75"/>
      <c r="AL201" s="75"/>
      <c r="AM201" s="75" t="s">
        <v>4236</v>
      </c>
      <c r="AN201" s="75" t="s">
        <v>4091</v>
      </c>
      <c r="AO201" s="75" t="s">
        <v>163</v>
      </c>
      <c r="AP201" s="75" t="s">
        <v>97</v>
      </c>
      <c r="AQ201" s="75"/>
      <c r="AR201" s="75">
        <v>42995</v>
      </c>
      <c r="AS201" s="102" t="s">
        <v>164</v>
      </c>
      <c r="AT201" s="101">
        <v>476370350</v>
      </c>
      <c r="AU201" s="75" t="s">
        <v>99</v>
      </c>
      <c r="AV201" s="75">
        <v>1999</v>
      </c>
      <c r="AW201" s="75" t="s">
        <v>100</v>
      </c>
      <c r="AX201" s="75" t="s">
        <v>2071</v>
      </c>
      <c r="AY201" s="75" t="s">
        <v>1017</v>
      </c>
      <c r="AZ201" s="75" t="s">
        <v>1411</v>
      </c>
      <c r="BA201" s="75">
        <v>8</v>
      </c>
      <c r="BB201" s="75">
        <v>9</v>
      </c>
      <c r="BC201" s="75">
        <v>90.5</v>
      </c>
      <c r="BD201" s="75">
        <v>0</v>
      </c>
      <c r="BE201" s="75" t="s">
        <v>97</v>
      </c>
      <c r="BF201" s="75"/>
      <c r="BG201" s="75">
        <v>5888</v>
      </c>
      <c r="BH201" s="75"/>
      <c r="BI201" s="75"/>
      <c r="BJ201" s="75"/>
      <c r="BK201" s="75">
        <v>590</v>
      </c>
      <c r="BL201" s="75">
        <f t="shared" si="9"/>
        <v>6478</v>
      </c>
      <c r="BM201" s="103">
        <f t="shared" si="10"/>
        <v>356.29</v>
      </c>
      <c r="BN201" s="103">
        <f t="shared" si="11"/>
        <v>6834.29</v>
      </c>
      <c r="BO201" s="103">
        <v>7119.14</v>
      </c>
      <c r="BP201" s="75" t="s">
        <v>97</v>
      </c>
      <c r="BQ201" s="75"/>
      <c r="BR201" s="75"/>
      <c r="BS201" s="157">
        <v>2017</v>
      </c>
      <c r="BU201">
        <v>2017</v>
      </c>
    </row>
    <row r="202" spans="1:73" ht="43.15" customHeight="1" x14ac:dyDescent="0.25">
      <c r="A202" s="242" t="s">
        <v>186</v>
      </c>
      <c r="B202" s="242" t="s">
        <v>1410</v>
      </c>
      <c r="C202" s="159">
        <v>400</v>
      </c>
      <c r="D202" s="114">
        <v>42866</v>
      </c>
      <c r="E202" s="114"/>
      <c r="F202" s="114"/>
      <c r="G202" s="114" t="s">
        <v>1409</v>
      </c>
      <c r="H202" s="114">
        <v>42873</v>
      </c>
      <c r="I202" s="114">
        <v>42873</v>
      </c>
      <c r="J202" s="114">
        <v>42877</v>
      </c>
      <c r="K202" s="114"/>
      <c r="L202" s="114">
        <v>43054</v>
      </c>
      <c r="M202" s="114">
        <v>42913</v>
      </c>
      <c r="N202" s="114" t="s">
        <v>1408</v>
      </c>
      <c r="O202" s="114">
        <v>43123</v>
      </c>
      <c r="P202" s="114">
        <v>43123</v>
      </c>
      <c r="Q202" s="114">
        <v>43130</v>
      </c>
      <c r="R202" s="80"/>
      <c r="S202" s="114"/>
      <c r="T202" s="75"/>
      <c r="U202" s="75"/>
      <c r="V202" s="75"/>
      <c r="W202" s="75">
        <v>2</v>
      </c>
      <c r="X202" s="75">
        <v>30186</v>
      </c>
      <c r="Y202" s="75" t="str">
        <f ca="1">IF(I202="",IF(D202="","",IF(W202+X202&lt;15,"Données Nb pers ou RFR manquantes",IF(COUNTA(INDIRECT("TabRFR["&amp;YEAR(D202)&amp;"]"))&lt;&gt;COUNTA(TabRFR[Recherche RFR]),"Data RFR manquantes", IF(X202&lt;=INDEX(TabRFR[[2021]:[2025]],MATCH(BD!W202&amp;"-Très modestes",TabRFR[Recherche RFR],0),MATCH(TEXT(YEAR(BD!D202),"Standard"),TabRFR[[#Headers],[2021]:[2025]],0)),"Très Modeste",IF(X202&lt;=INDEX(TabRFR[[2021]:[2025]],MATCH(BD!W202&amp;"-modestes",TabRFR[Recherche RFR],0),MATCH(TEXT(YEAR(BD!D202),"Standard"),TabRFR[[#Headers],[2021]:[2025]],0)),"Modeste",IF(X202&lt;=INDEX(TabRFR[[2021]:[2025]],MATCH(BD!W202&amp;"-Intermédiaire",TabRFR[Recherche RFR],0),MATCH(TEXT(YEAR(BD!D202),"Standard"),TabRFR[[#Headers],[2021]:[2025]],0)),"Intermédiaire","Supérieur")))))),IF(D202="","",IF(W202+X202&lt;15,"Données Nb pers ou RFR manquantes",IF(COUNTA(INDIRECT("TabRFR["&amp;YEAR(I202)&amp;"]"))&lt;&gt;COUNTA(TabRFR[Recherche RFR]),"Data RFR manquantes", IF(X202&lt;=INDEX(TabRFR[[2021]:[2025]],MATCH(BD!W202&amp;"-Très modestes",TabRFR[Recherche RFR],0),MATCH(TEXT(YEAR(BD!I202),"Standard"),TabRFR[[#Headers],[2021]:[2025]],0)),"Très Modeste",IF(X202&lt;=INDEX(TabRFR[[2021]:[2025]],MATCH(BD!W202&amp;"-modestes",TabRFR[Recherche RFR],0),MATCH(TEXT(YEAR(BD!I202),"Standard"),TabRFR[[#Headers],[2021]:[2025]],0)),"Modeste",IF(X202&lt;=INDEX(TabRFR[[2021]:[2025]],MATCH(BD!W202&amp;"-Intermédiaire",TabRFR[Recherche RFR],0),MATCH(TEXT(YEAR(BD!I202),"Standard"),TabRFR[[#Headers],[2021]:[2025]],0)),"Intermédiaire","Supérieur")))))))</f>
        <v>Data RFR manquantes</v>
      </c>
      <c r="Z202" s="75"/>
      <c r="AA202" s="75" t="s">
        <v>1406</v>
      </c>
      <c r="AB202" s="75">
        <v>38620</v>
      </c>
      <c r="AC202" s="75" t="s">
        <v>3754</v>
      </c>
      <c r="AD202" s="73"/>
      <c r="AE202" s="102"/>
      <c r="AF202" s="75" t="s">
        <v>95</v>
      </c>
      <c r="AG202" s="75"/>
      <c r="AH202" s="75"/>
      <c r="AI202" s="75"/>
      <c r="AJ202" s="75"/>
      <c r="AK202" s="75"/>
      <c r="AL202" s="75"/>
      <c r="AM202" s="75" t="s">
        <v>4368</v>
      </c>
      <c r="AN202" s="75" t="s">
        <v>917</v>
      </c>
      <c r="AO202" s="75" t="s">
        <v>1405</v>
      </c>
      <c r="AP202" s="75" t="s">
        <v>97</v>
      </c>
      <c r="AQ202" s="75" t="s">
        <v>1404</v>
      </c>
      <c r="AR202" s="75">
        <v>42916</v>
      </c>
      <c r="AS202" s="102"/>
      <c r="AT202" s="101"/>
      <c r="AU202" s="75" t="s">
        <v>111</v>
      </c>
      <c r="AV202" s="75">
        <v>1985</v>
      </c>
      <c r="AW202" s="75" t="s">
        <v>100</v>
      </c>
      <c r="AX202" s="75" t="s">
        <v>2071</v>
      </c>
      <c r="AY202" s="75" t="s">
        <v>174</v>
      </c>
      <c r="AZ202" s="75" t="s">
        <v>1403</v>
      </c>
      <c r="BA202" s="75">
        <v>18</v>
      </c>
      <c r="BB202" s="75">
        <v>12</v>
      </c>
      <c r="BC202" s="75">
        <v>90.4</v>
      </c>
      <c r="BD202" s="75">
        <v>0</v>
      </c>
      <c r="BE202" s="75" t="s">
        <v>97</v>
      </c>
      <c r="BF202" s="75"/>
      <c r="BG202" s="75">
        <v>4543</v>
      </c>
      <c r="BH202" s="75"/>
      <c r="BI202" s="75"/>
      <c r="BJ202" s="75"/>
      <c r="BK202" s="75">
        <v>700</v>
      </c>
      <c r="BL202" s="75">
        <f t="shared" si="9"/>
        <v>5243</v>
      </c>
      <c r="BM202" s="103">
        <f t="shared" si="10"/>
        <v>288.36500000000001</v>
      </c>
      <c r="BN202" s="103">
        <f t="shared" si="11"/>
        <v>5531.3649999999998</v>
      </c>
      <c r="BO202" s="103">
        <v>4994.3100000000004</v>
      </c>
      <c r="BP202" s="75" t="s">
        <v>104</v>
      </c>
      <c r="BQ202" s="75"/>
      <c r="BR202" s="75"/>
      <c r="BS202" s="157">
        <v>2017</v>
      </c>
      <c r="BU202">
        <v>2017</v>
      </c>
    </row>
    <row r="203" spans="1:73" ht="43.15" customHeight="1" x14ac:dyDescent="0.25">
      <c r="A203" s="242" t="s">
        <v>186</v>
      </c>
      <c r="B203" s="242" t="s">
        <v>1402</v>
      </c>
      <c r="C203" s="159">
        <v>400</v>
      </c>
      <c r="D203" s="114">
        <v>42870</v>
      </c>
      <c r="E203" s="114"/>
      <c r="F203" s="114"/>
      <c r="G203" s="114"/>
      <c r="H203" s="114">
        <v>42873</v>
      </c>
      <c r="I203" s="114">
        <v>42873</v>
      </c>
      <c r="J203" s="114">
        <v>42877</v>
      </c>
      <c r="K203" s="114"/>
      <c r="L203" s="114">
        <v>43000</v>
      </c>
      <c r="M203" s="114">
        <v>42994</v>
      </c>
      <c r="N203" s="114"/>
      <c r="O203" s="114">
        <v>43007</v>
      </c>
      <c r="P203" s="114">
        <v>43007</v>
      </c>
      <c r="Q203" s="114">
        <v>43021</v>
      </c>
      <c r="R203" s="80"/>
      <c r="S203" s="114"/>
      <c r="T203" s="75"/>
      <c r="U203" s="75"/>
      <c r="V203" s="75"/>
      <c r="W203" s="75">
        <v>2</v>
      </c>
      <c r="X203" s="75">
        <v>47007</v>
      </c>
      <c r="Y203" s="75" t="str">
        <f ca="1">IF(I203="",IF(D203="","",IF(W203+X203&lt;15,"Données Nb pers ou RFR manquantes",IF(COUNTA(INDIRECT("TabRFR["&amp;YEAR(D203)&amp;"]"))&lt;&gt;COUNTA(TabRFR[Recherche RFR]),"Data RFR manquantes", IF(X203&lt;=INDEX(TabRFR[[2021]:[2025]],MATCH(BD!W203&amp;"-Très modestes",TabRFR[Recherche RFR],0),MATCH(TEXT(YEAR(BD!D203),"Standard"),TabRFR[[#Headers],[2021]:[2025]],0)),"Très Modeste",IF(X203&lt;=INDEX(TabRFR[[2021]:[2025]],MATCH(BD!W203&amp;"-modestes",TabRFR[Recherche RFR],0),MATCH(TEXT(YEAR(BD!D203),"Standard"),TabRFR[[#Headers],[2021]:[2025]],0)),"Modeste",IF(X203&lt;=INDEX(TabRFR[[2021]:[2025]],MATCH(BD!W203&amp;"-Intermédiaire",TabRFR[Recherche RFR],0),MATCH(TEXT(YEAR(BD!D203),"Standard"),TabRFR[[#Headers],[2021]:[2025]],0)),"Intermédiaire","Supérieur")))))),IF(D203="","",IF(W203+X203&lt;15,"Données Nb pers ou RFR manquantes",IF(COUNTA(INDIRECT("TabRFR["&amp;YEAR(I203)&amp;"]"))&lt;&gt;COUNTA(TabRFR[Recherche RFR]),"Data RFR manquantes", IF(X203&lt;=INDEX(TabRFR[[2021]:[2025]],MATCH(BD!W203&amp;"-Très modestes",TabRFR[Recherche RFR],0),MATCH(TEXT(YEAR(BD!I203),"Standard"),TabRFR[[#Headers],[2021]:[2025]],0)),"Très Modeste",IF(X203&lt;=INDEX(TabRFR[[2021]:[2025]],MATCH(BD!W203&amp;"-modestes",TabRFR[Recherche RFR],0),MATCH(TEXT(YEAR(BD!I203),"Standard"),TabRFR[[#Headers],[2021]:[2025]],0)),"Modeste",IF(X203&lt;=INDEX(TabRFR[[2021]:[2025]],MATCH(BD!W203&amp;"-Intermédiaire",TabRFR[Recherche RFR],0),MATCH(TEXT(YEAR(BD!I203),"Standard"),TabRFR[[#Headers],[2021]:[2025]],0)),"Intermédiaire","Supérieur")))))))</f>
        <v>Data RFR manquantes</v>
      </c>
      <c r="Z203" s="75"/>
      <c r="AA203" s="75" t="s">
        <v>1400</v>
      </c>
      <c r="AB203" s="75">
        <v>38140</v>
      </c>
      <c r="AC203" s="75" t="s">
        <v>363</v>
      </c>
      <c r="AD203" s="73"/>
      <c r="AE203" s="102"/>
      <c r="AF203" s="75" t="s">
        <v>95</v>
      </c>
      <c r="AG203" s="75"/>
      <c r="AH203" s="75">
        <v>33604</v>
      </c>
      <c r="AI203" s="75"/>
      <c r="AJ203" s="75"/>
      <c r="AK203" s="75"/>
      <c r="AL203" s="75"/>
      <c r="AM203" s="75" t="s">
        <v>4359</v>
      </c>
      <c r="AN203" s="75" t="s">
        <v>829</v>
      </c>
      <c r="AO203" s="75" t="s">
        <v>1392</v>
      </c>
      <c r="AP203" s="75" t="s">
        <v>97</v>
      </c>
      <c r="AQ203" s="75"/>
      <c r="AR203" s="75">
        <v>43022</v>
      </c>
      <c r="AS203" s="102" t="s">
        <v>491</v>
      </c>
      <c r="AT203" s="101">
        <v>476452433</v>
      </c>
      <c r="AU203" s="75" t="s">
        <v>111</v>
      </c>
      <c r="AV203" s="75">
        <v>1992</v>
      </c>
      <c r="AW203" s="75" t="s">
        <v>100</v>
      </c>
      <c r="AX203" s="75" t="s">
        <v>112</v>
      </c>
      <c r="AY203" s="75" t="s">
        <v>492</v>
      </c>
      <c r="AZ203" s="75" t="s">
        <v>979</v>
      </c>
      <c r="BA203" s="75">
        <v>25</v>
      </c>
      <c r="BB203" s="75">
        <v>6</v>
      </c>
      <c r="BC203" s="75">
        <v>83</v>
      </c>
      <c r="BD203" s="75">
        <v>7.0000000000000007E-2</v>
      </c>
      <c r="BE203" s="75" t="s">
        <v>97</v>
      </c>
      <c r="BF203" s="75"/>
      <c r="BG203" s="75">
        <v>4946</v>
      </c>
      <c r="BH203" s="75"/>
      <c r="BI203" s="75"/>
      <c r="BJ203" s="75"/>
      <c r="BK203" s="75">
        <v>550</v>
      </c>
      <c r="BL203" s="75">
        <f t="shared" si="9"/>
        <v>5496</v>
      </c>
      <c r="BM203" s="103">
        <f t="shared" si="10"/>
        <v>302.28000000000003</v>
      </c>
      <c r="BN203" s="103">
        <f t="shared" si="11"/>
        <v>5798.28</v>
      </c>
      <c r="BO203" s="103">
        <v>5853.94</v>
      </c>
      <c r="BP203" s="75" t="s">
        <v>104</v>
      </c>
      <c r="BQ203" s="75"/>
      <c r="BR203" s="75"/>
      <c r="BS203" s="157">
        <v>2017</v>
      </c>
      <c r="BT203">
        <v>2020</v>
      </c>
      <c r="BU203">
        <v>2017</v>
      </c>
    </row>
    <row r="204" spans="1:73" ht="43.15" customHeight="1" x14ac:dyDescent="0.25">
      <c r="A204" s="242" t="s">
        <v>186</v>
      </c>
      <c r="B204" s="242" t="s">
        <v>1398</v>
      </c>
      <c r="C204" s="159">
        <v>800</v>
      </c>
      <c r="D204" s="114">
        <v>42872</v>
      </c>
      <c r="E204" s="114"/>
      <c r="F204" s="114"/>
      <c r="G204" s="114" t="s">
        <v>1397</v>
      </c>
      <c r="H204" s="114">
        <v>42879</v>
      </c>
      <c r="I204" s="114">
        <v>42879</v>
      </c>
      <c r="J204" s="114">
        <v>42898</v>
      </c>
      <c r="K204" s="114"/>
      <c r="L204" s="114">
        <v>42913</v>
      </c>
      <c r="M204" s="114">
        <v>42903</v>
      </c>
      <c r="N204" s="114"/>
      <c r="O204" s="114">
        <v>42913</v>
      </c>
      <c r="P204" s="114">
        <v>42913</v>
      </c>
      <c r="Q204" s="114">
        <v>42916</v>
      </c>
      <c r="R204" s="100"/>
      <c r="S204" s="114"/>
      <c r="T204" s="75"/>
      <c r="U204" s="75"/>
      <c r="V204" s="75"/>
      <c r="W204" s="75">
        <v>4</v>
      </c>
      <c r="X204" s="75">
        <v>36285</v>
      </c>
      <c r="Y204" s="75" t="str">
        <f ca="1">IF(I204="",IF(D204="","",IF(W204+X204&lt;15,"Données Nb pers ou RFR manquantes",IF(COUNTA(INDIRECT("TabRFR["&amp;YEAR(D204)&amp;"]"))&lt;&gt;COUNTA(TabRFR[Recherche RFR]),"Data RFR manquantes", IF(X204&lt;=INDEX(TabRFR[[2021]:[2025]],MATCH(BD!W204&amp;"-Très modestes",TabRFR[Recherche RFR],0),MATCH(TEXT(YEAR(BD!D204),"Standard"),TabRFR[[#Headers],[2021]:[2025]],0)),"Très Modeste",IF(X204&lt;=INDEX(TabRFR[[2021]:[2025]],MATCH(BD!W204&amp;"-modestes",TabRFR[Recherche RFR],0),MATCH(TEXT(YEAR(BD!D204),"Standard"),TabRFR[[#Headers],[2021]:[2025]],0)),"Modeste",IF(X204&lt;=INDEX(TabRFR[[2021]:[2025]],MATCH(BD!W204&amp;"-Intermédiaire",TabRFR[Recherche RFR],0),MATCH(TEXT(YEAR(BD!D204),"Standard"),TabRFR[[#Headers],[2021]:[2025]],0)),"Intermédiaire","Supérieur")))))),IF(D204="","",IF(W204+X204&lt;15,"Données Nb pers ou RFR manquantes",IF(COUNTA(INDIRECT("TabRFR["&amp;YEAR(I204)&amp;"]"))&lt;&gt;COUNTA(TabRFR[Recherche RFR]),"Data RFR manquantes", IF(X204&lt;=INDEX(TabRFR[[2021]:[2025]],MATCH(BD!W204&amp;"-Très modestes",TabRFR[Recherche RFR],0),MATCH(TEXT(YEAR(BD!I204),"Standard"),TabRFR[[#Headers],[2021]:[2025]],0)),"Très Modeste",IF(X204&lt;=INDEX(TabRFR[[2021]:[2025]],MATCH(BD!W204&amp;"-modestes",TabRFR[Recherche RFR],0),MATCH(TEXT(YEAR(BD!I204),"Standard"),TabRFR[[#Headers],[2021]:[2025]],0)),"Modeste",IF(X204&lt;=INDEX(TabRFR[[2021]:[2025]],MATCH(BD!W204&amp;"-Intermédiaire",TabRFR[Recherche RFR],0),MATCH(TEXT(YEAR(BD!I204),"Standard"),TabRFR[[#Headers],[2021]:[2025]],0)),"Intermédiaire","Supérieur")))))))</f>
        <v>Data RFR manquantes</v>
      </c>
      <c r="Z204" s="75"/>
      <c r="AA204" s="75" t="s">
        <v>1394</v>
      </c>
      <c r="AB204" s="75">
        <v>38340</v>
      </c>
      <c r="AC204" s="75" t="s">
        <v>108</v>
      </c>
      <c r="AD204" s="73"/>
      <c r="AE204" s="102"/>
      <c r="AF204" s="75" t="s">
        <v>95</v>
      </c>
      <c r="AG204" s="75"/>
      <c r="AH204" s="75">
        <v>2017</v>
      </c>
      <c r="AI204" s="75"/>
      <c r="AJ204" s="75"/>
      <c r="AK204" s="75"/>
      <c r="AL204" s="75"/>
      <c r="AM204" s="75" t="s">
        <v>4359</v>
      </c>
      <c r="AN204" s="75" t="s">
        <v>829</v>
      </c>
      <c r="AO204" s="75" t="s">
        <v>1392</v>
      </c>
      <c r="AP204" s="75" t="s">
        <v>97</v>
      </c>
      <c r="AQ204" s="75"/>
      <c r="AR204" s="75">
        <v>43022</v>
      </c>
      <c r="AS204" s="102" t="s">
        <v>491</v>
      </c>
      <c r="AT204" s="101">
        <v>476452433</v>
      </c>
      <c r="AU204" s="75" t="s">
        <v>111</v>
      </c>
      <c r="AV204" s="75">
        <v>1990</v>
      </c>
      <c r="AW204" s="75" t="s">
        <v>100</v>
      </c>
      <c r="AX204" s="75" t="s">
        <v>2071</v>
      </c>
      <c r="AY204" s="75" t="s">
        <v>1391</v>
      </c>
      <c r="AZ204" s="75" t="s">
        <v>1390</v>
      </c>
      <c r="BA204" s="75">
        <v>24</v>
      </c>
      <c r="BB204" s="75">
        <v>6</v>
      </c>
      <c r="BC204" s="75">
        <v>92.6</v>
      </c>
      <c r="BD204" s="75">
        <v>0.01</v>
      </c>
      <c r="BE204" s="75" t="s">
        <v>97</v>
      </c>
      <c r="BF204" s="75"/>
      <c r="BG204" s="75">
        <f>5876.34-550</f>
        <v>5326.34</v>
      </c>
      <c r="BH204" s="75"/>
      <c r="BI204" s="75"/>
      <c r="BJ204" s="75"/>
      <c r="BK204" s="75">
        <v>550</v>
      </c>
      <c r="BL204" s="75">
        <f t="shared" si="9"/>
        <v>5876.34</v>
      </c>
      <c r="BM204" s="103">
        <f t="shared" si="10"/>
        <v>323.19870000000003</v>
      </c>
      <c r="BN204" s="103">
        <f t="shared" si="11"/>
        <v>6199.5387000000001</v>
      </c>
      <c r="BO204" s="103">
        <v>6199.54</v>
      </c>
      <c r="BP204" s="75" t="s">
        <v>104</v>
      </c>
      <c r="BQ204" s="75"/>
      <c r="BR204" s="75"/>
      <c r="BS204" s="157">
        <v>2017</v>
      </c>
      <c r="BU204">
        <v>2017</v>
      </c>
    </row>
    <row r="205" spans="1:73" ht="43.15" customHeight="1" x14ac:dyDescent="0.25">
      <c r="A205" s="242" t="s">
        <v>186</v>
      </c>
      <c r="B205" s="242" t="s">
        <v>1389</v>
      </c>
      <c r="C205" s="159">
        <v>400</v>
      </c>
      <c r="D205" s="114">
        <v>42872</v>
      </c>
      <c r="E205" s="114"/>
      <c r="F205" s="114"/>
      <c r="G205" s="114"/>
      <c r="H205" s="114">
        <v>42873</v>
      </c>
      <c r="I205" s="114">
        <v>42873</v>
      </c>
      <c r="J205" s="114">
        <v>42877</v>
      </c>
      <c r="K205" s="114"/>
      <c r="L205" s="114">
        <v>42900</v>
      </c>
      <c r="M205" s="114">
        <v>42898</v>
      </c>
      <c r="N205" s="114"/>
      <c r="O205" s="114">
        <v>42912</v>
      </c>
      <c r="P205" s="114">
        <v>42912</v>
      </c>
      <c r="Q205" s="114">
        <v>42916</v>
      </c>
      <c r="R205" s="80"/>
      <c r="S205" s="114"/>
      <c r="T205" s="75"/>
      <c r="U205" s="75"/>
      <c r="V205" s="75"/>
      <c r="W205" s="75">
        <v>2</v>
      </c>
      <c r="X205" s="75">
        <v>27542</v>
      </c>
      <c r="Y205" s="75" t="str">
        <f ca="1">IF(I205="",IF(D205="","",IF(W205+X205&lt;15,"Données Nb pers ou RFR manquantes",IF(COUNTA(INDIRECT("TabRFR["&amp;YEAR(D205)&amp;"]"))&lt;&gt;COUNTA(TabRFR[Recherche RFR]),"Data RFR manquantes", IF(X205&lt;=INDEX(TabRFR[[2021]:[2025]],MATCH(BD!W205&amp;"-Très modestes",TabRFR[Recherche RFR],0),MATCH(TEXT(YEAR(BD!D205),"Standard"),TabRFR[[#Headers],[2021]:[2025]],0)),"Très Modeste",IF(X205&lt;=INDEX(TabRFR[[2021]:[2025]],MATCH(BD!W205&amp;"-modestes",TabRFR[Recherche RFR],0),MATCH(TEXT(YEAR(BD!D205),"Standard"),TabRFR[[#Headers],[2021]:[2025]],0)),"Modeste",IF(X205&lt;=INDEX(TabRFR[[2021]:[2025]],MATCH(BD!W205&amp;"-Intermédiaire",TabRFR[Recherche RFR],0),MATCH(TEXT(YEAR(BD!D205),"Standard"),TabRFR[[#Headers],[2021]:[2025]],0)),"Intermédiaire","Supérieur")))))),IF(D205="","",IF(W205+X205&lt;15,"Données Nb pers ou RFR manquantes",IF(COUNTA(INDIRECT("TabRFR["&amp;YEAR(I205)&amp;"]"))&lt;&gt;COUNTA(TabRFR[Recherche RFR]),"Data RFR manquantes", IF(X205&lt;=INDEX(TabRFR[[2021]:[2025]],MATCH(BD!W205&amp;"-Très modestes",TabRFR[Recherche RFR],0),MATCH(TEXT(YEAR(BD!I205),"Standard"),TabRFR[[#Headers],[2021]:[2025]],0)),"Très Modeste",IF(X205&lt;=INDEX(TabRFR[[2021]:[2025]],MATCH(BD!W205&amp;"-modestes",TabRFR[Recherche RFR],0),MATCH(TEXT(YEAR(BD!I205),"Standard"),TabRFR[[#Headers],[2021]:[2025]],0)),"Modeste",IF(X205&lt;=INDEX(TabRFR[[2021]:[2025]],MATCH(BD!W205&amp;"-Intermédiaire",TabRFR[Recherche RFR],0),MATCH(TEXT(YEAR(BD!I205),"Standard"),TabRFR[[#Headers],[2021]:[2025]],0)),"Intermédiaire","Supérieur")))))))</f>
        <v>Data RFR manquantes</v>
      </c>
      <c r="Z205" s="75"/>
      <c r="AA205" s="75" t="s">
        <v>1387</v>
      </c>
      <c r="AB205" s="75">
        <v>38620</v>
      </c>
      <c r="AC205" s="75" t="s">
        <v>1386</v>
      </c>
      <c r="AD205" s="73"/>
      <c r="AE205" s="102"/>
      <c r="AF205" s="75" t="s">
        <v>95</v>
      </c>
      <c r="AG205" s="75"/>
      <c r="AH205" s="75">
        <v>1980</v>
      </c>
      <c r="AI205" s="75"/>
      <c r="AJ205" s="75"/>
      <c r="AK205" s="75"/>
      <c r="AL205" s="75"/>
      <c r="AM205" s="75" t="s">
        <v>4236</v>
      </c>
      <c r="AN205" s="75" t="s">
        <v>4091</v>
      </c>
      <c r="AO205" s="75" t="s">
        <v>163</v>
      </c>
      <c r="AP205" s="75" t="s">
        <v>97</v>
      </c>
      <c r="AQ205" s="75"/>
      <c r="AR205" s="75">
        <v>42995</v>
      </c>
      <c r="AS205" s="102" t="s">
        <v>164</v>
      </c>
      <c r="AT205" s="101">
        <v>476370350</v>
      </c>
      <c r="AU205" s="75" t="s">
        <v>111</v>
      </c>
      <c r="AV205" s="75">
        <v>1995</v>
      </c>
      <c r="AW205" s="75" t="s">
        <v>100</v>
      </c>
      <c r="AX205" s="75" t="s">
        <v>112</v>
      </c>
      <c r="AY205" s="75" t="s">
        <v>1384</v>
      </c>
      <c r="AZ205" s="75" t="s">
        <v>1383</v>
      </c>
      <c r="BA205" s="75"/>
      <c r="BB205" s="75"/>
      <c r="BC205" s="75"/>
      <c r="BD205" s="75"/>
      <c r="BE205" s="75" t="s">
        <v>97</v>
      </c>
      <c r="BF205" s="75"/>
      <c r="BG205" s="75">
        <v>3697</v>
      </c>
      <c r="BH205" s="75"/>
      <c r="BI205" s="75"/>
      <c r="BJ205" s="75"/>
      <c r="BK205" s="75">
        <v>390</v>
      </c>
      <c r="BL205" s="75">
        <f t="shared" si="9"/>
        <v>4087</v>
      </c>
      <c r="BM205" s="103">
        <f t="shared" si="10"/>
        <v>224.785</v>
      </c>
      <c r="BN205" s="103">
        <f t="shared" si="11"/>
        <v>4311.7849999999999</v>
      </c>
      <c r="BO205" s="103">
        <v>4312.3</v>
      </c>
      <c r="BP205" s="75" t="s">
        <v>97</v>
      </c>
      <c r="BQ205" s="75"/>
      <c r="BR205" s="75"/>
      <c r="BS205" s="157">
        <v>2017</v>
      </c>
      <c r="BT205">
        <v>2020</v>
      </c>
      <c r="BU205">
        <v>2017</v>
      </c>
    </row>
    <row r="206" spans="1:73" ht="43.15" customHeight="1" x14ac:dyDescent="0.25">
      <c r="A206" s="242" t="s">
        <v>186</v>
      </c>
      <c r="B206" s="242" t="s">
        <v>1382</v>
      </c>
      <c r="C206" s="159">
        <v>400</v>
      </c>
      <c r="D206" s="114">
        <v>42884</v>
      </c>
      <c r="E206" s="114"/>
      <c r="F206" s="114"/>
      <c r="G206" s="114"/>
      <c r="H206" s="114">
        <v>42888</v>
      </c>
      <c r="I206" s="114">
        <v>42888</v>
      </c>
      <c r="J206" s="114">
        <v>42898</v>
      </c>
      <c r="K206" s="114"/>
      <c r="L206" s="114">
        <v>42948</v>
      </c>
      <c r="M206" s="114">
        <v>42941</v>
      </c>
      <c r="N206" s="114"/>
      <c r="O206" s="114">
        <v>42955</v>
      </c>
      <c r="P206" s="114">
        <v>42955</v>
      </c>
      <c r="Q206" s="114">
        <v>42956</v>
      </c>
      <c r="R206" s="80"/>
      <c r="S206" s="114"/>
      <c r="T206" s="75"/>
      <c r="U206" s="75"/>
      <c r="V206" s="75"/>
      <c r="W206" s="75">
        <v>3</v>
      </c>
      <c r="X206" s="75">
        <v>97226</v>
      </c>
      <c r="Y206" s="75" t="str">
        <f ca="1">IF(I206="",IF(D206="","",IF(W206+X206&lt;15,"Données Nb pers ou RFR manquantes",IF(COUNTA(INDIRECT("TabRFR["&amp;YEAR(D206)&amp;"]"))&lt;&gt;COUNTA(TabRFR[Recherche RFR]),"Data RFR manquantes", IF(X206&lt;=INDEX(TabRFR[[2021]:[2025]],MATCH(BD!W206&amp;"-Très modestes",TabRFR[Recherche RFR],0),MATCH(TEXT(YEAR(BD!D206),"Standard"),TabRFR[[#Headers],[2021]:[2025]],0)),"Très Modeste",IF(X206&lt;=INDEX(TabRFR[[2021]:[2025]],MATCH(BD!W206&amp;"-modestes",TabRFR[Recherche RFR],0),MATCH(TEXT(YEAR(BD!D206),"Standard"),TabRFR[[#Headers],[2021]:[2025]],0)),"Modeste",IF(X206&lt;=INDEX(TabRFR[[2021]:[2025]],MATCH(BD!W206&amp;"-Intermédiaire",TabRFR[Recherche RFR],0),MATCH(TEXT(YEAR(BD!D206),"Standard"),TabRFR[[#Headers],[2021]:[2025]],0)),"Intermédiaire","Supérieur")))))),IF(D206="","",IF(W206+X206&lt;15,"Données Nb pers ou RFR manquantes",IF(COUNTA(INDIRECT("TabRFR["&amp;YEAR(I206)&amp;"]"))&lt;&gt;COUNTA(TabRFR[Recherche RFR]),"Data RFR manquantes", IF(X206&lt;=INDEX(TabRFR[[2021]:[2025]],MATCH(BD!W206&amp;"-Très modestes",TabRFR[Recherche RFR],0),MATCH(TEXT(YEAR(BD!I206),"Standard"),TabRFR[[#Headers],[2021]:[2025]],0)),"Très Modeste",IF(X206&lt;=INDEX(TabRFR[[2021]:[2025]],MATCH(BD!W206&amp;"-modestes",TabRFR[Recherche RFR],0),MATCH(TEXT(YEAR(BD!I206),"Standard"),TabRFR[[#Headers],[2021]:[2025]],0)),"Modeste",IF(X206&lt;=INDEX(TabRFR[[2021]:[2025]],MATCH(BD!W206&amp;"-Intermédiaire",TabRFR[Recherche RFR],0),MATCH(TEXT(YEAR(BD!I206),"Standard"),TabRFR[[#Headers],[2021]:[2025]],0)),"Intermédiaire","Supérieur")))))))</f>
        <v>Data RFR manquantes</v>
      </c>
      <c r="Z206" s="75"/>
      <c r="AA206" s="75" t="s">
        <v>1380</v>
      </c>
      <c r="AB206" s="75">
        <v>38140</v>
      </c>
      <c r="AC206" s="75" t="s">
        <v>2357</v>
      </c>
      <c r="AD206" s="73"/>
      <c r="AE206" s="102"/>
      <c r="AF206" s="75" t="s">
        <v>95</v>
      </c>
      <c r="AG206" s="75"/>
      <c r="AH206" s="75">
        <v>2014</v>
      </c>
      <c r="AI206" s="75"/>
      <c r="AJ206" s="75"/>
      <c r="AK206" s="75"/>
      <c r="AL206" s="75"/>
      <c r="AM206" s="75" t="s">
        <v>4348</v>
      </c>
      <c r="AN206" s="75" t="s">
        <v>96</v>
      </c>
      <c r="AO206" s="75" t="s">
        <v>238</v>
      </c>
      <c r="AP206" s="75" t="s">
        <v>97</v>
      </c>
      <c r="AQ206" s="75"/>
      <c r="AR206" s="75">
        <v>42968</v>
      </c>
      <c r="AS206" s="102" t="s">
        <v>98</v>
      </c>
      <c r="AT206" s="101">
        <v>476323235</v>
      </c>
      <c r="AU206" s="75" t="s">
        <v>111</v>
      </c>
      <c r="AV206" s="75" t="s">
        <v>173</v>
      </c>
      <c r="AW206" s="75" t="s">
        <v>100</v>
      </c>
      <c r="AX206" s="75" t="s">
        <v>112</v>
      </c>
      <c r="AY206" s="75" t="s">
        <v>873</v>
      </c>
      <c r="AZ206" s="75" t="s">
        <v>1368</v>
      </c>
      <c r="BA206" s="75">
        <v>12</v>
      </c>
      <c r="BB206" s="75">
        <v>9.1999999999999993</v>
      </c>
      <c r="BC206" s="75">
        <v>77</v>
      </c>
      <c r="BD206" s="75">
        <v>3.7999999999999999E-2</v>
      </c>
      <c r="BE206" s="75" t="s">
        <v>97</v>
      </c>
      <c r="BF206" s="75"/>
      <c r="BG206" s="75">
        <v>1970</v>
      </c>
      <c r="BH206" s="75"/>
      <c r="BI206" s="75"/>
      <c r="BJ206" s="75"/>
      <c r="BK206" s="75">
        <v>1184</v>
      </c>
      <c r="BL206" s="75">
        <f t="shared" si="9"/>
        <v>3154</v>
      </c>
      <c r="BM206" s="103">
        <f t="shared" si="10"/>
        <v>173.47</v>
      </c>
      <c r="BN206" s="103">
        <f t="shared" si="11"/>
        <v>3327.47</v>
      </c>
      <c r="BO206" s="103"/>
      <c r="BP206" s="75" t="s">
        <v>97</v>
      </c>
      <c r="BQ206" s="75"/>
      <c r="BR206" s="75"/>
      <c r="BS206" s="157">
        <v>2017</v>
      </c>
      <c r="BT206">
        <v>2020</v>
      </c>
      <c r="BU206">
        <v>2017</v>
      </c>
    </row>
    <row r="207" spans="1:73" ht="43.15" customHeight="1" x14ac:dyDescent="0.25">
      <c r="A207" s="242" t="s">
        <v>186</v>
      </c>
      <c r="B207" s="242" t="s">
        <v>1378</v>
      </c>
      <c r="C207" s="159">
        <v>400</v>
      </c>
      <c r="D207" s="114">
        <v>42884</v>
      </c>
      <c r="E207" s="114"/>
      <c r="F207" s="114"/>
      <c r="G207" s="114"/>
      <c r="H207" s="114">
        <v>42888</v>
      </c>
      <c r="I207" s="114">
        <v>42888</v>
      </c>
      <c r="J207" s="114">
        <v>42901</v>
      </c>
      <c r="K207" s="114"/>
      <c r="L207" s="114">
        <v>42922</v>
      </c>
      <c r="M207" s="114">
        <v>42912</v>
      </c>
      <c r="N207" s="114"/>
      <c r="O207" s="114">
        <v>42923</v>
      </c>
      <c r="P207" s="114">
        <v>42923</v>
      </c>
      <c r="Q207" s="114">
        <v>42927</v>
      </c>
      <c r="R207" s="80"/>
      <c r="S207" s="114"/>
      <c r="T207" s="75"/>
      <c r="U207" s="75"/>
      <c r="V207" s="75"/>
      <c r="W207" s="75">
        <v>2</v>
      </c>
      <c r="X207" s="75">
        <v>56105</v>
      </c>
      <c r="Y207" s="75" t="str">
        <f ca="1">IF(I207="",IF(D207="","",IF(W207+X207&lt;15,"Données Nb pers ou RFR manquantes",IF(COUNTA(INDIRECT("TabRFR["&amp;YEAR(D207)&amp;"]"))&lt;&gt;COUNTA(TabRFR[Recherche RFR]),"Data RFR manquantes", IF(X207&lt;=INDEX(TabRFR[[2021]:[2025]],MATCH(BD!W207&amp;"-Très modestes",TabRFR[Recherche RFR],0),MATCH(TEXT(YEAR(BD!D207),"Standard"),TabRFR[[#Headers],[2021]:[2025]],0)),"Très Modeste",IF(X207&lt;=INDEX(TabRFR[[2021]:[2025]],MATCH(BD!W207&amp;"-modestes",TabRFR[Recherche RFR],0),MATCH(TEXT(YEAR(BD!D207),"Standard"),TabRFR[[#Headers],[2021]:[2025]],0)),"Modeste",IF(X207&lt;=INDEX(TabRFR[[2021]:[2025]],MATCH(BD!W207&amp;"-Intermédiaire",TabRFR[Recherche RFR],0),MATCH(TEXT(YEAR(BD!D207),"Standard"),TabRFR[[#Headers],[2021]:[2025]],0)),"Intermédiaire","Supérieur")))))),IF(D207="","",IF(W207+X207&lt;15,"Données Nb pers ou RFR manquantes",IF(COUNTA(INDIRECT("TabRFR["&amp;YEAR(I207)&amp;"]"))&lt;&gt;COUNTA(TabRFR[Recherche RFR]),"Data RFR manquantes", IF(X207&lt;=INDEX(TabRFR[[2021]:[2025]],MATCH(BD!W207&amp;"-Très modestes",TabRFR[Recherche RFR],0),MATCH(TEXT(YEAR(BD!I207),"Standard"),TabRFR[[#Headers],[2021]:[2025]],0)),"Très Modeste",IF(X207&lt;=INDEX(TabRFR[[2021]:[2025]],MATCH(BD!W207&amp;"-modestes",TabRFR[Recherche RFR],0),MATCH(TEXT(YEAR(BD!I207),"Standard"),TabRFR[[#Headers],[2021]:[2025]],0)),"Modeste",IF(X207&lt;=INDEX(TabRFR[[2021]:[2025]],MATCH(BD!W207&amp;"-Intermédiaire",TabRFR[Recherche RFR],0),MATCH(TEXT(YEAR(BD!I207),"Standard"),TabRFR[[#Headers],[2021]:[2025]],0)),"Intermédiaire","Supérieur")))))))</f>
        <v>Data RFR manquantes</v>
      </c>
      <c r="Z207" s="75"/>
      <c r="AA207" s="75" t="s">
        <v>1376</v>
      </c>
      <c r="AB207" s="75">
        <v>38140</v>
      </c>
      <c r="AC207" s="75" t="s">
        <v>363</v>
      </c>
      <c r="AD207" s="73"/>
      <c r="AE207" s="102"/>
      <c r="AF207" s="75" t="s">
        <v>95</v>
      </c>
      <c r="AG207" s="75"/>
      <c r="AH207" s="75">
        <v>42828</v>
      </c>
      <c r="AI207" s="75"/>
      <c r="AJ207" s="75"/>
      <c r="AK207" s="75"/>
      <c r="AL207" s="75"/>
      <c r="AM207" s="75" t="s">
        <v>4356</v>
      </c>
      <c r="AN207" s="75" t="s">
        <v>96</v>
      </c>
      <c r="AO207" s="75" t="s">
        <v>119</v>
      </c>
      <c r="AP207" s="75" t="s">
        <v>97</v>
      </c>
      <c r="AQ207" s="75"/>
      <c r="AR207" s="75">
        <v>43042</v>
      </c>
      <c r="AS207" s="102" t="s">
        <v>120</v>
      </c>
      <c r="AT207" s="101">
        <v>476071461</v>
      </c>
      <c r="AU207" s="75" t="s">
        <v>111</v>
      </c>
      <c r="AV207" s="75">
        <v>2001</v>
      </c>
      <c r="AW207" s="75" t="s">
        <v>100</v>
      </c>
      <c r="AX207" s="75" t="s">
        <v>112</v>
      </c>
      <c r="AY207" s="75" t="s">
        <v>190</v>
      </c>
      <c r="AZ207" s="75" t="s">
        <v>1374</v>
      </c>
      <c r="BA207" s="75">
        <v>37</v>
      </c>
      <c r="BB207" s="75">
        <v>6</v>
      </c>
      <c r="BC207" s="75">
        <v>80.7</v>
      </c>
      <c r="BD207" s="75">
        <v>0.09</v>
      </c>
      <c r="BE207" s="75" t="s">
        <v>97</v>
      </c>
      <c r="BF207" s="75"/>
      <c r="BG207" s="75">
        <v>4033.28</v>
      </c>
      <c r="BH207" s="75"/>
      <c r="BI207" s="75"/>
      <c r="BJ207" s="75"/>
      <c r="BK207" s="75">
        <v>420</v>
      </c>
      <c r="BL207" s="75">
        <f t="shared" si="9"/>
        <v>4453.2800000000007</v>
      </c>
      <c r="BM207" s="103">
        <f t="shared" si="10"/>
        <v>244.93040000000005</v>
      </c>
      <c r="BN207" s="103">
        <f t="shared" si="11"/>
        <v>4698.2104000000008</v>
      </c>
      <c r="BO207" s="103"/>
      <c r="BP207" s="75" t="s">
        <v>97</v>
      </c>
      <c r="BQ207" s="75"/>
      <c r="BR207" s="75"/>
      <c r="BS207" s="157">
        <v>2017</v>
      </c>
      <c r="BT207">
        <v>2020</v>
      </c>
      <c r="BU207">
        <v>2017</v>
      </c>
    </row>
    <row r="208" spans="1:73" ht="43.15" customHeight="1" x14ac:dyDescent="0.25">
      <c r="A208" s="242" t="s">
        <v>186</v>
      </c>
      <c r="B208" s="242" t="s">
        <v>1373</v>
      </c>
      <c r="C208" s="159">
        <v>400</v>
      </c>
      <c r="D208" s="114">
        <v>42884</v>
      </c>
      <c r="E208" s="114"/>
      <c r="F208" s="114"/>
      <c r="G208" s="114"/>
      <c r="H208" s="114">
        <v>42888</v>
      </c>
      <c r="I208" s="114">
        <v>42888</v>
      </c>
      <c r="J208" s="114">
        <v>42901</v>
      </c>
      <c r="K208" s="114"/>
      <c r="L208" s="114">
        <v>42955</v>
      </c>
      <c r="M208" s="114">
        <v>42933</v>
      </c>
      <c r="N208" s="114"/>
      <c r="O208" s="114">
        <v>42978</v>
      </c>
      <c r="P208" s="114">
        <v>42978</v>
      </c>
      <c r="Q208" s="114">
        <v>42986</v>
      </c>
      <c r="R208" s="80"/>
      <c r="S208" s="114"/>
      <c r="T208" s="75"/>
      <c r="U208" s="75"/>
      <c r="V208" s="75"/>
      <c r="W208" s="75">
        <v>2</v>
      </c>
      <c r="X208" s="75">
        <v>29386</v>
      </c>
      <c r="Y208" s="75" t="str">
        <f ca="1">IF(I208="",IF(D208="","",IF(W208+X208&lt;15,"Données Nb pers ou RFR manquantes",IF(COUNTA(INDIRECT("TabRFR["&amp;YEAR(D208)&amp;"]"))&lt;&gt;COUNTA(TabRFR[Recherche RFR]),"Data RFR manquantes", IF(X208&lt;=INDEX(TabRFR[[2021]:[2025]],MATCH(BD!W208&amp;"-Très modestes",TabRFR[Recherche RFR],0),MATCH(TEXT(YEAR(BD!D208),"Standard"),TabRFR[[#Headers],[2021]:[2025]],0)),"Très Modeste",IF(X208&lt;=INDEX(TabRFR[[2021]:[2025]],MATCH(BD!W208&amp;"-modestes",TabRFR[Recherche RFR],0),MATCH(TEXT(YEAR(BD!D208),"Standard"),TabRFR[[#Headers],[2021]:[2025]],0)),"Modeste",IF(X208&lt;=INDEX(TabRFR[[2021]:[2025]],MATCH(BD!W208&amp;"-Intermédiaire",TabRFR[Recherche RFR],0),MATCH(TEXT(YEAR(BD!D208),"Standard"),TabRFR[[#Headers],[2021]:[2025]],0)),"Intermédiaire","Supérieur")))))),IF(D208="","",IF(W208+X208&lt;15,"Données Nb pers ou RFR manquantes",IF(COUNTA(INDIRECT("TabRFR["&amp;YEAR(I208)&amp;"]"))&lt;&gt;COUNTA(TabRFR[Recherche RFR]),"Data RFR manquantes", IF(X208&lt;=INDEX(TabRFR[[2021]:[2025]],MATCH(BD!W208&amp;"-Très modestes",TabRFR[Recherche RFR],0),MATCH(TEXT(YEAR(BD!I208),"Standard"),TabRFR[[#Headers],[2021]:[2025]],0)),"Très Modeste",IF(X208&lt;=INDEX(TabRFR[[2021]:[2025]],MATCH(BD!W208&amp;"-modestes",TabRFR[Recherche RFR],0),MATCH(TEXT(YEAR(BD!I208),"Standard"),TabRFR[[#Headers],[2021]:[2025]],0)),"Modeste",IF(X208&lt;=INDEX(TabRFR[[2021]:[2025]],MATCH(BD!W208&amp;"-Intermédiaire",TabRFR[Recherche RFR],0),MATCH(TEXT(YEAR(BD!I208),"Standard"),TabRFR[[#Headers],[2021]:[2025]],0)),"Intermédiaire","Supérieur")))))))</f>
        <v>Data RFR manquantes</v>
      </c>
      <c r="Z208" s="75"/>
      <c r="AA208" s="75" t="s">
        <v>1370</v>
      </c>
      <c r="AB208" s="75">
        <v>38620</v>
      </c>
      <c r="AC208" s="75" t="s">
        <v>851</v>
      </c>
      <c r="AD208" s="73"/>
      <c r="AE208" s="102"/>
      <c r="AF208" s="75" t="s">
        <v>95</v>
      </c>
      <c r="AG208" s="75"/>
      <c r="AH208" s="75">
        <v>42339</v>
      </c>
      <c r="AI208" s="75"/>
      <c r="AJ208" s="75"/>
      <c r="AK208" s="75"/>
      <c r="AL208" s="75"/>
      <c r="AM208" s="75" t="s">
        <v>4348</v>
      </c>
      <c r="AN208" s="75" t="s">
        <v>96</v>
      </c>
      <c r="AO208" s="75" t="s">
        <v>238</v>
      </c>
      <c r="AP208" s="75" t="s">
        <v>97</v>
      </c>
      <c r="AQ208" s="75"/>
      <c r="AR208" s="75">
        <v>42968</v>
      </c>
      <c r="AS208" s="102" t="s">
        <v>98</v>
      </c>
      <c r="AT208" s="101">
        <v>476323235</v>
      </c>
      <c r="AU208" s="75" t="s">
        <v>111</v>
      </c>
      <c r="AV208" s="75">
        <v>1983</v>
      </c>
      <c r="AW208" s="75" t="s">
        <v>100</v>
      </c>
      <c r="AX208" s="75" t="s">
        <v>112</v>
      </c>
      <c r="AY208" s="75" t="s">
        <v>873</v>
      </c>
      <c r="AZ208" s="75" t="s">
        <v>1368</v>
      </c>
      <c r="BA208" s="75">
        <v>12</v>
      </c>
      <c r="BB208" s="75">
        <v>9.1999999999999993</v>
      </c>
      <c r="BC208" s="75">
        <v>77</v>
      </c>
      <c r="BD208" s="75">
        <v>3.7999999999999999E-2</v>
      </c>
      <c r="BE208" s="75" t="s">
        <v>97</v>
      </c>
      <c r="BF208" s="75"/>
      <c r="BG208" s="75">
        <v>2713</v>
      </c>
      <c r="BH208" s="75"/>
      <c r="BI208" s="75"/>
      <c r="BJ208" s="75"/>
      <c r="BK208" s="75">
        <v>568</v>
      </c>
      <c r="BL208" s="75">
        <f t="shared" si="9"/>
        <v>3281</v>
      </c>
      <c r="BM208" s="103">
        <f t="shared" si="10"/>
        <v>180.45500000000001</v>
      </c>
      <c r="BN208" s="103">
        <f t="shared" si="11"/>
        <v>3461.4549999999999</v>
      </c>
      <c r="BO208" s="103">
        <v>3660.85</v>
      </c>
      <c r="BP208" s="75" t="s">
        <v>97</v>
      </c>
      <c r="BQ208" s="75"/>
      <c r="BR208" s="75"/>
      <c r="BS208" s="157">
        <v>2017</v>
      </c>
      <c r="BT208">
        <v>2020</v>
      </c>
      <c r="BU208">
        <v>2017</v>
      </c>
    </row>
    <row r="209" spans="1:73" ht="43.15" customHeight="1" x14ac:dyDescent="0.25">
      <c r="A209" s="242" t="s">
        <v>186</v>
      </c>
      <c r="B209" s="242" t="s">
        <v>1367</v>
      </c>
      <c r="C209" s="159">
        <v>800</v>
      </c>
      <c r="D209" s="114">
        <v>42886</v>
      </c>
      <c r="E209" s="114"/>
      <c r="F209" s="114"/>
      <c r="G209" s="114"/>
      <c r="H209" s="114">
        <v>42895</v>
      </c>
      <c r="I209" s="114">
        <v>42895</v>
      </c>
      <c r="J209" s="114">
        <v>42901</v>
      </c>
      <c r="K209" s="114"/>
      <c r="L209" s="114">
        <v>42964</v>
      </c>
      <c r="M209" s="114">
        <v>42940</v>
      </c>
      <c r="N209" s="114" t="s">
        <v>1366</v>
      </c>
      <c r="O209" s="114">
        <v>42989</v>
      </c>
      <c r="P209" s="114">
        <v>42989</v>
      </c>
      <c r="Q209" s="114">
        <v>42999</v>
      </c>
      <c r="R209" s="100"/>
      <c r="S209" s="114"/>
      <c r="T209" s="75"/>
      <c r="U209" s="75"/>
      <c r="V209" s="75"/>
      <c r="W209" s="75">
        <v>2</v>
      </c>
      <c r="X209" s="75">
        <v>15174</v>
      </c>
      <c r="Y209" s="75" t="str">
        <f ca="1">IF(I209="",IF(D209="","",IF(W209+X209&lt;15,"Données Nb pers ou RFR manquantes",IF(COUNTA(INDIRECT("TabRFR["&amp;YEAR(D209)&amp;"]"))&lt;&gt;COUNTA(TabRFR[Recherche RFR]),"Data RFR manquantes", IF(X209&lt;=INDEX(TabRFR[[2021]:[2025]],MATCH(BD!W209&amp;"-Très modestes",TabRFR[Recherche RFR],0),MATCH(TEXT(YEAR(BD!D209),"Standard"),TabRFR[[#Headers],[2021]:[2025]],0)),"Très Modeste",IF(X209&lt;=INDEX(TabRFR[[2021]:[2025]],MATCH(BD!W209&amp;"-modestes",TabRFR[Recherche RFR],0),MATCH(TEXT(YEAR(BD!D209),"Standard"),TabRFR[[#Headers],[2021]:[2025]],0)),"Modeste",IF(X209&lt;=INDEX(TabRFR[[2021]:[2025]],MATCH(BD!W209&amp;"-Intermédiaire",TabRFR[Recherche RFR],0),MATCH(TEXT(YEAR(BD!D209),"Standard"),TabRFR[[#Headers],[2021]:[2025]],0)),"Intermédiaire","Supérieur")))))),IF(D209="","",IF(W209+X209&lt;15,"Données Nb pers ou RFR manquantes",IF(COUNTA(INDIRECT("TabRFR["&amp;YEAR(I209)&amp;"]"))&lt;&gt;COUNTA(TabRFR[Recherche RFR]),"Data RFR manquantes", IF(X209&lt;=INDEX(TabRFR[[2021]:[2025]],MATCH(BD!W209&amp;"-Très modestes",TabRFR[Recherche RFR],0),MATCH(TEXT(YEAR(BD!I209),"Standard"),TabRFR[[#Headers],[2021]:[2025]],0)),"Très Modeste",IF(X209&lt;=INDEX(TabRFR[[2021]:[2025]],MATCH(BD!W209&amp;"-modestes",TabRFR[Recherche RFR],0),MATCH(TEXT(YEAR(BD!I209),"Standard"),TabRFR[[#Headers],[2021]:[2025]],0)),"Modeste",IF(X209&lt;=INDEX(TabRFR[[2021]:[2025]],MATCH(BD!W209&amp;"-Intermédiaire",TabRFR[Recherche RFR],0),MATCH(TEXT(YEAR(BD!I209),"Standard"),TabRFR[[#Headers],[2021]:[2025]],0)),"Intermédiaire","Supérieur")))))))</f>
        <v>Data RFR manquantes</v>
      </c>
      <c r="Z209" s="75"/>
      <c r="AA209" s="75" t="s">
        <v>1364</v>
      </c>
      <c r="AB209" s="75">
        <v>38500</v>
      </c>
      <c r="AC209" s="75" t="s">
        <v>96</v>
      </c>
      <c r="AD209" s="73"/>
      <c r="AE209" s="102"/>
      <c r="AF209" s="75" t="s">
        <v>95</v>
      </c>
      <c r="AG209" s="75"/>
      <c r="AH209" s="75">
        <v>26299</v>
      </c>
      <c r="AI209" s="75"/>
      <c r="AJ209" s="75"/>
      <c r="AK209" s="75"/>
      <c r="AL209" s="75"/>
      <c r="AM209" s="75" t="s">
        <v>4236</v>
      </c>
      <c r="AN209" s="75" t="s">
        <v>4091</v>
      </c>
      <c r="AO209" s="75" t="s">
        <v>163</v>
      </c>
      <c r="AP209" s="75" t="s">
        <v>97</v>
      </c>
      <c r="AQ209" s="75"/>
      <c r="AR209" s="75">
        <v>42995</v>
      </c>
      <c r="AS209" s="102" t="s">
        <v>164</v>
      </c>
      <c r="AT209" s="101">
        <v>476370350</v>
      </c>
      <c r="AU209" s="75" t="s">
        <v>111</v>
      </c>
      <c r="AV209" s="75">
        <v>1980</v>
      </c>
      <c r="AW209" s="75" t="s">
        <v>100</v>
      </c>
      <c r="AX209" s="75" t="s">
        <v>112</v>
      </c>
      <c r="AY209" s="75" t="s">
        <v>1362</v>
      </c>
      <c r="AZ209" s="75" t="s">
        <v>1361</v>
      </c>
      <c r="BA209" s="75">
        <v>24</v>
      </c>
      <c r="BB209" s="75">
        <v>9</v>
      </c>
      <c r="BC209" s="75">
        <v>81</v>
      </c>
      <c r="BD209" s="75">
        <v>0.05</v>
      </c>
      <c r="BE209" s="75" t="s">
        <v>97</v>
      </c>
      <c r="BF209" s="75">
        <v>929</v>
      </c>
      <c r="BG209" s="75">
        <f>929+2151</f>
        <v>3080</v>
      </c>
      <c r="BH209" s="75"/>
      <c r="BI209" s="75"/>
      <c r="BJ209" s="75"/>
      <c r="BK209" s="75">
        <v>390</v>
      </c>
      <c r="BL209" s="75">
        <f t="shared" si="9"/>
        <v>3470</v>
      </c>
      <c r="BM209" s="103">
        <f t="shared" si="10"/>
        <v>190.85</v>
      </c>
      <c r="BN209" s="103">
        <f t="shared" si="11"/>
        <v>3660.85</v>
      </c>
      <c r="BO209" s="103">
        <v>3660.85</v>
      </c>
      <c r="BP209" s="75" t="s">
        <v>104</v>
      </c>
      <c r="BQ209" s="75"/>
      <c r="BR209" s="75"/>
      <c r="BS209" s="157">
        <v>2017</v>
      </c>
      <c r="BT209">
        <v>2020</v>
      </c>
      <c r="BU209">
        <v>2017</v>
      </c>
    </row>
    <row r="210" spans="1:73" ht="43.15" customHeight="1" x14ac:dyDescent="0.25">
      <c r="A210" s="242" t="s">
        <v>186</v>
      </c>
      <c r="B210" s="242" t="s">
        <v>1360</v>
      </c>
      <c r="C210" s="159">
        <v>400</v>
      </c>
      <c r="D210" s="114">
        <v>42887</v>
      </c>
      <c r="E210" s="114"/>
      <c r="F210" s="114"/>
      <c r="G210" s="114"/>
      <c r="H210" s="114">
        <v>42895</v>
      </c>
      <c r="I210" s="114">
        <v>42895</v>
      </c>
      <c r="J210" s="114">
        <v>42901</v>
      </c>
      <c r="K210" s="114"/>
      <c r="L210" s="114">
        <v>42957</v>
      </c>
      <c r="M210" s="114">
        <v>42916</v>
      </c>
      <c r="N210" s="114"/>
      <c r="O210" s="114">
        <v>42969</v>
      </c>
      <c r="P210" s="114">
        <v>42969</v>
      </c>
      <c r="Q210" s="114">
        <v>42986</v>
      </c>
      <c r="R210" s="80"/>
      <c r="S210" s="114"/>
      <c r="T210" s="75"/>
      <c r="U210" s="75"/>
      <c r="V210" s="75"/>
      <c r="W210" s="75">
        <v>2</v>
      </c>
      <c r="X210" s="75">
        <v>44849</v>
      </c>
      <c r="Y210" s="75" t="str">
        <f ca="1">IF(I210="",IF(D210="","",IF(W210+X210&lt;15,"Données Nb pers ou RFR manquantes",IF(COUNTA(INDIRECT("TabRFR["&amp;YEAR(D210)&amp;"]"))&lt;&gt;COUNTA(TabRFR[Recherche RFR]),"Data RFR manquantes", IF(X210&lt;=INDEX(TabRFR[[2021]:[2025]],MATCH(BD!W210&amp;"-Très modestes",TabRFR[Recherche RFR],0),MATCH(TEXT(YEAR(BD!D210),"Standard"),TabRFR[[#Headers],[2021]:[2025]],0)),"Très Modeste",IF(X210&lt;=INDEX(TabRFR[[2021]:[2025]],MATCH(BD!W210&amp;"-modestes",TabRFR[Recherche RFR],0),MATCH(TEXT(YEAR(BD!D210),"Standard"),TabRFR[[#Headers],[2021]:[2025]],0)),"Modeste",IF(X210&lt;=INDEX(TabRFR[[2021]:[2025]],MATCH(BD!W210&amp;"-Intermédiaire",TabRFR[Recherche RFR],0),MATCH(TEXT(YEAR(BD!D210),"Standard"),TabRFR[[#Headers],[2021]:[2025]],0)),"Intermédiaire","Supérieur")))))),IF(D210="","",IF(W210+X210&lt;15,"Données Nb pers ou RFR manquantes",IF(COUNTA(INDIRECT("TabRFR["&amp;YEAR(I210)&amp;"]"))&lt;&gt;COUNTA(TabRFR[Recherche RFR]),"Data RFR manquantes", IF(X210&lt;=INDEX(TabRFR[[2021]:[2025]],MATCH(BD!W210&amp;"-Très modestes",TabRFR[Recherche RFR],0),MATCH(TEXT(YEAR(BD!I210),"Standard"),TabRFR[[#Headers],[2021]:[2025]],0)),"Très Modeste",IF(X210&lt;=INDEX(TabRFR[[2021]:[2025]],MATCH(BD!W210&amp;"-modestes",TabRFR[Recherche RFR],0),MATCH(TEXT(YEAR(BD!I210),"Standard"),TabRFR[[#Headers],[2021]:[2025]],0)),"Modeste",IF(X210&lt;=INDEX(TabRFR[[2021]:[2025]],MATCH(BD!W210&amp;"-Intermédiaire",TabRFR[Recherche RFR],0),MATCH(TEXT(YEAR(BD!I210),"Standard"),TabRFR[[#Headers],[2021]:[2025]],0)),"Intermédiaire","Supérieur")))))))</f>
        <v>Data RFR manquantes</v>
      </c>
      <c r="Z210" s="75"/>
      <c r="AA210" s="75" t="s">
        <v>1358</v>
      </c>
      <c r="AB210" s="75">
        <v>38500</v>
      </c>
      <c r="AC210" s="75" t="s">
        <v>96</v>
      </c>
      <c r="AD210" s="73"/>
      <c r="AE210" s="102"/>
      <c r="AF210" s="75" t="s">
        <v>95</v>
      </c>
      <c r="AG210" s="75"/>
      <c r="AH210" s="75"/>
      <c r="AI210" s="75"/>
      <c r="AJ210" s="75"/>
      <c r="AK210" s="75"/>
      <c r="AL210" s="75"/>
      <c r="AM210" s="75" t="s">
        <v>4233</v>
      </c>
      <c r="AN210" s="75" t="s">
        <v>829</v>
      </c>
      <c r="AO210" s="75" t="s">
        <v>1323</v>
      </c>
      <c r="AP210" s="75" t="s">
        <v>97</v>
      </c>
      <c r="AQ210" s="75"/>
      <c r="AR210" s="75">
        <v>42948</v>
      </c>
      <c r="AS210" s="102" t="s">
        <v>211</v>
      </c>
      <c r="AT210" s="101">
        <v>438029038</v>
      </c>
      <c r="AU210" s="75" t="s">
        <v>111</v>
      </c>
      <c r="AV210" s="75">
        <v>1989</v>
      </c>
      <c r="AW210" s="75" t="s">
        <v>111</v>
      </c>
      <c r="AX210" s="75" t="s">
        <v>112</v>
      </c>
      <c r="AY210" s="75" t="s">
        <v>212</v>
      </c>
      <c r="AZ210" s="75" t="s">
        <v>1356</v>
      </c>
      <c r="BA210" s="75">
        <v>28</v>
      </c>
      <c r="BB210" s="75">
        <v>12</v>
      </c>
      <c r="BC210" s="75">
        <v>80</v>
      </c>
      <c r="BD210" s="75">
        <v>0.09</v>
      </c>
      <c r="BE210" s="75" t="s">
        <v>97</v>
      </c>
      <c r="BF210" s="75"/>
      <c r="BG210" s="75">
        <v>2983</v>
      </c>
      <c r="BH210" s="75"/>
      <c r="BI210" s="75"/>
      <c r="BJ210" s="75"/>
      <c r="BK210" s="75">
        <v>1108</v>
      </c>
      <c r="BL210" s="75">
        <f t="shared" si="9"/>
        <v>4091</v>
      </c>
      <c r="BM210" s="103">
        <f t="shared" si="10"/>
        <v>225.005</v>
      </c>
      <c r="BN210" s="103">
        <f t="shared" si="11"/>
        <v>4316.0050000000001</v>
      </c>
      <c r="BO210" s="103">
        <v>5800</v>
      </c>
      <c r="BP210" s="75"/>
      <c r="BQ210" s="75"/>
      <c r="BR210" s="75"/>
      <c r="BS210" s="157">
        <v>2017</v>
      </c>
      <c r="BT210">
        <v>2020</v>
      </c>
      <c r="BU210">
        <v>2017</v>
      </c>
    </row>
    <row r="211" spans="1:73" ht="43.15" customHeight="1" x14ac:dyDescent="0.25">
      <c r="A211" s="29" t="s">
        <v>186</v>
      </c>
      <c r="B211" s="29" t="s">
        <v>1355</v>
      </c>
      <c r="C211" s="161" t="s">
        <v>9</v>
      </c>
      <c r="D211" s="110">
        <v>42892</v>
      </c>
      <c r="E211" s="110"/>
      <c r="F211" s="110"/>
      <c r="G211" s="110"/>
      <c r="H211" s="110">
        <v>42895</v>
      </c>
      <c r="I211" s="110">
        <v>42895</v>
      </c>
      <c r="J211" s="110">
        <v>42909</v>
      </c>
      <c r="K211" s="110"/>
      <c r="L211" s="110"/>
      <c r="M211" s="110"/>
      <c r="N211" s="110" t="s">
        <v>1354</v>
      </c>
      <c r="O211" s="110"/>
      <c r="P211" s="110"/>
      <c r="Q211" s="110"/>
      <c r="R211" s="109"/>
      <c r="S211" s="110">
        <v>42909</v>
      </c>
      <c r="T211" s="110" t="s">
        <v>1354</v>
      </c>
      <c r="U211" s="111"/>
      <c r="V211" s="111"/>
      <c r="W211" s="111">
        <v>2</v>
      </c>
      <c r="X211" s="111">
        <v>25026</v>
      </c>
      <c r="Y211" s="75" t="str">
        <f ca="1">IF(I211="",IF(D211="","",IF(W211+X211&lt;15,"Données Nb pers ou RFR manquantes",IF(COUNTA(INDIRECT("TabRFR["&amp;YEAR(D211)&amp;"]"))&lt;&gt;COUNTA(TabRFR[Recherche RFR]),"Data RFR manquantes", IF(X211&lt;=INDEX(TabRFR[[2021]:[2025]],MATCH(BD!W211&amp;"-Très modestes",TabRFR[Recherche RFR],0),MATCH(TEXT(YEAR(BD!D211),"Standard"),TabRFR[[#Headers],[2021]:[2025]],0)),"Très Modeste",IF(X211&lt;=INDEX(TabRFR[[2021]:[2025]],MATCH(BD!W211&amp;"-modestes",TabRFR[Recherche RFR],0),MATCH(TEXT(YEAR(BD!D211),"Standard"),TabRFR[[#Headers],[2021]:[2025]],0)),"Modeste",IF(X211&lt;=INDEX(TabRFR[[2021]:[2025]],MATCH(BD!W211&amp;"-Intermédiaire",TabRFR[Recherche RFR],0),MATCH(TEXT(YEAR(BD!D211),"Standard"),TabRFR[[#Headers],[2021]:[2025]],0)),"Intermédiaire","Supérieur")))))),IF(D211="","",IF(W211+X211&lt;15,"Données Nb pers ou RFR manquantes",IF(COUNTA(INDIRECT("TabRFR["&amp;YEAR(I211)&amp;"]"))&lt;&gt;COUNTA(TabRFR[Recherche RFR]),"Data RFR manquantes", IF(X211&lt;=INDEX(TabRFR[[2021]:[2025]],MATCH(BD!W211&amp;"-Très modestes",TabRFR[Recherche RFR],0),MATCH(TEXT(YEAR(BD!I211),"Standard"),TabRFR[[#Headers],[2021]:[2025]],0)),"Très Modeste",IF(X211&lt;=INDEX(TabRFR[[2021]:[2025]],MATCH(BD!W211&amp;"-modestes",TabRFR[Recherche RFR],0),MATCH(TEXT(YEAR(BD!I211),"Standard"),TabRFR[[#Headers],[2021]:[2025]],0)),"Modeste",IF(X211&lt;=INDEX(TabRFR[[2021]:[2025]],MATCH(BD!W211&amp;"-Intermédiaire",TabRFR[Recherche RFR],0),MATCH(TEXT(YEAR(BD!I211),"Standard"),TabRFR[[#Headers],[2021]:[2025]],0)),"Intermédiaire","Supérieur")))))))</f>
        <v>Data RFR manquantes</v>
      </c>
      <c r="Z211" s="111"/>
      <c r="AA211" s="111" t="s">
        <v>1352</v>
      </c>
      <c r="AB211" s="111">
        <v>38430</v>
      </c>
      <c r="AC211" s="111" t="s">
        <v>3202</v>
      </c>
      <c r="AD211" s="127"/>
      <c r="AE211" s="102"/>
      <c r="AF211" s="111" t="s">
        <v>95</v>
      </c>
      <c r="AG211" s="111"/>
      <c r="AH211" s="111"/>
      <c r="AI211" s="111"/>
      <c r="AJ211" s="111"/>
      <c r="AK211" s="111"/>
      <c r="AL211" s="111"/>
      <c r="AM211" s="111" t="s">
        <v>4378</v>
      </c>
      <c r="AN211" s="111" t="s">
        <v>1350</v>
      </c>
      <c r="AO211" s="111" t="s">
        <v>1349</v>
      </c>
      <c r="AP211" s="111" t="s">
        <v>97</v>
      </c>
      <c r="AQ211" s="111"/>
      <c r="AR211" s="128">
        <v>42991</v>
      </c>
      <c r="AS211" s="102" t="s">
        <v>1348</v>
      </c>
      <c r="AT211" s="112">
        <v>614256518</v>
      </c>
      <c r="AU211" s="111" t="s">
        <v>746</v>
      </c>
      <c r="AV211" s="111">
        <v>1987</v>
      </c>
      <c r="AW211" s="111" t="s">
        <v>746</v>
      </c>
      <c r="AX211" s="75" t="s">
        <v>2071</v>
      </c>
      <c r="AY211" s="111" t="s">
        <v>1123</v>
      </c>
      <c r="AZ211" s="111" t="s">
        <v>1347</v>
      </c>
      <c r="BA211" s="111">
        <v>47</v>
      </c>
      <c r="BB211" s="111">
        <v>15</v>
      </c>
      <c r="BC211" s="111">
        <v>95.5</v>
      </c>
      <c r="BD211" s="111">
        <v>0.18</v>
      </c>
      <c r="BE211" s="111" t="s">
        <v>97</v>
      </c>
      <c r="BF211" s="111"/>
      <c r="BG211" s="111">
        <v>14316</v>
      </c>
      <c r="BH211" s="111"/>
      <c r="BI211" s="111"/>
      <c r="BJ211" s="111"/>
      <c r="BK211" s="111">
        <v>1050</v>
      </c>
      <c r="BL211" s="75">
        <f t="shared" si="9"/>
        <v>15366</v>
      </c>
      <c r="BM211" s="103">
        <f t="shared" si="10"/>
        <v>845.13</v>
      </c>
      <c r="BN211" s="103">
        <f t="shared" si="11"/>
        <v>16211.13</v>
      </c>
      <c r="BO211" s="113"/>
      <c r="BP211" s="111" t="s">
        <v>97</v>
      </c>
      <c r="BQ211" s="111"/>
      <c r="BR211" s="111"/>
      <c r="BS211" s="157">
        <v>2017</v>
      </c>
      <c r="BU211" t="s">
        <v>4180</v>
      </c>
    </row>
    <row r="212" spans="1:73" ht="43.15" customHeight="1" x14ac:dyDescent="0.25">
      <c r="A212" s="242" t="s">
        <v>186</v>
      </c>
      <c r="B212" s="242" t="s">
        <v>1346</v>
      </c>
      <c r="C212" s="159">
        <v>400</v>
      </c>
      <c r="D212" s="114">
        <v>42894</v>
      </c>
      <c r="E212" s="114"/>
      <c r="F212" s="114"/>
      <c r="G212" s="114"/>
      <c r="H212" s="114">
        <v>42895</v>
      </c>
      <c r="I212" s="114">
        <v>42895</v>
      </c>
      <c r="J212" s="114">
        <v>42909</v>
      </c>
      <c r="K212" s="114"/>
      <c r="L212" s="114">
        <v>42972</v>
      </c>
      <c r="M212" s="114">
        <v>42933</v>
      </c>
      <c r="N212" s="114"/>
      <c r="O212" s="114">
        <v>42992</v>
      </c>
      <c r="P212" s="114">
        <v>42992</v>
      </c>
      <c r="Q212" s="114">
        <v>42999</v>
      </c>
      <c r="R212" s="80"/>
      <c r="S212" s="114"/>
      <c r="T212" s="75"/>
      <c r="U212" s="75"/>
      <c r="V212" s="75"/>
      <c r="W212" s="75">
        <v>1</v>
      </c>
      <c r="X212" s="75">
        <v>35737</v>
      </c>
      <c r="Y212" s="75" t="str">
        <f ca="1">IF(I212="",IF(D212="","",IF(W212+X212&lt;15,"Données Nb pers ou RFR manquantes",IF(COUNTA(INDIRECT("TabRFR["&amp;YEAR(D212)&amp;"]"))&lt;&gt;COUNTA(TabRFR[Recherche RFR]),"Data RFR manquantes", IF(X212&lt;=INDEX(TabRFR[[2021]:[2025]],MATCH(BD!W212&amp;"-Très modestes",TabRFR[Recherche RFR],0),MATCH(TEXT(YEAR(BD!D212),"Standard"),TabRFR[[#Headers],[2021]:[2025]],0)),"Très Modeste",IF(X212&lt;=INDEX(TabRFR[[2021]:[2025]],MATCH(BD!W212&amp;"-modestes",TabRFR[Recherche RFR],0),MATCH(TEXT(YEAR(BD!D212),"Standard"),TabRFR[[#Headers],[2021]:[2025]],0)),"Modeste",IF(X212&lt;=INDEX(TabRFR[[2021]:[2025]],MATCH(BD!W212&amp;"-Intermédiaire",TabRFR[Recherche RFR],0),MATCH(TEXT(YEAR(BD!D212),"Standard"),TabRFR[[#Headers],[2021]:[2025]],0)),"Intermédiaire","Supérieur")))))),IF(D212="","",IF(W212+X212&lt;15,"Données Nb pers ou RFR manquantes",IF(COUNTA(INDIRECT("TabRFR["&amp;YEAR(I212)&amp;"]"))&lt;&gt;COUNTA(TabRFR[Recherche RFR]),"Data RFR manquantes", IF(X212&lt;=INDEX(TabRFR[[2021]:[2025]],MATCH(BD!W212&amp;"-Très modestes",TabRFR[Recherche RFR],0),MATCH(TEXT(YEAR(BD!I212),"Standard"),TabRFR[[#Headers],[2021]:[2025]],0)),"Très Modeste",IF(X212&lt;=INDEX(TabRFR[[2021]:[2025]],MATCH(BD!W212&amp;"-modestes",TabRFR[Recherche RFR],0),MATCH(TEXT(YEAR(BD!I212),"Standard"),TabRFR[[#Headers],[2021]:[2025]],0)),"Modeste",IF(X212&lt;=INDEX(TabRFR[[2021]:[2025]],MATCH(BD!W212&amp;"-Intermédiaire",TabRFR[Recherche RFR],0),MATCH(TEXT(YEAR(BD!I212),"Standard"),TabRFR[[#Headers],[2021]:[2025]],0)),"Intermédiaire","Supérieur")))))))</f>
        <v>Data RFR manquantes</v>
      </c>
      <c r="Z212" s="75"/>
      <c r="AA212" s="75" t="s">
        <v>1343</v>
      </c>
      <c r="AB212" s="75">
        <v>38140</v>
      </c>
      <c r="AC212" s="75" t="s">
        <v>237</v>
      </c>
      <c r="AD212" s="73"/>
      <c r="AE212" s="102"/>
      <c r="AF212" s="75" t="s">
        <v>95</v>
      </c>
      <c r="AG212" s="75"/>
      <c r="AH212" s="75"/>
      <c r="AI212" s="75"/>
      <c r="AJ212" s="75"/>
      <c r="AK212" s="75"/>
      <c r="AL212" s="75"/>
      <c r="AM212" s="75" t="s">
        <v>4348</v>
      </c>
      <c r="AN212" s="75" t="s">
        <v>96</v>
      </c>
      <c r="AO212" s="75" t="s">
        <v>238</v>
      </c>
      <c r="AP212" s="75" t="s">
        <v>97</v>
      </c>
      <c r="AQ212" s="75"/>
      <c r="AR212" s="75">
        <v>42968</v>
      </c>
      <c r="AS212" s="102" t="s">
        <v>98</v>
      </c>
      <c r="AT212" s="101">
        <v>476323235</v>
      </c>
      <c r="AU212" s="75" t="s">
        <v>111</v>
      </c>
      <c r="AV212" s="75">
        <v>1990</v>
      </c>
      <c r="AW212" s="75" t="s">
        <v>100</v>
      </c>
      <c r="AX212" s="75" t="s">
        <v>112</v>
      </c>
      <c r="AY212" s="75" t="s">
        <v>499</v>
      </c>
      <c r="AZ212" s="75" t="s">
        <v>1341</v>
      </c>
      <c r="BA212" s="75">
        <v>40</v>
      </c>
      <c r="BB212" s="75">
        <v>6</v>
      </c>
      <c r="BC212" s="75">
        <v>75</v>
      </c>
      <c r="BD212" s="75">
        <v>0.09</v>
      </c>
      <c r="BE212" s="75" t="s">
        <v>97</v>
      </c>
      <c r="BF212" s="75"/>
      <c r="BG212" s="75">
        <v>2236.42</v>
      </c>
      <c r="BH212" s="75"/>
      <c r="BI212" s="75"/>
      <c r="BJ212" s="75"/>
      <c r="BK212" s="75">
        <v>465</v>
      </c>
      <c r="BL212" s="75">
        <f t="shared" si="9"/>
        <v>2701.42</v>
      </c>
      <c r="BM212" s="103">
        <f t="shared" si="10"/>
        <v>148.57810000000001</v>
      </c>
      <c r="BN212" s="103">
        <f t="shared" si="11"/>
        <v>2849.9981000000002</v>
      </c>
      <c r="BO212" s="103">
        <v>2850</v>
      </c>
      <c r="BP212" s="75" t="s">
        <v>104</v>
      </c>
      <c r="BQ212" s="75"/>
      <c r="BR212" s="75"/>
      <c r="BS212" s="157">
        <v>2017</v>
      </c>
      <c r="BT212">
        <v>2020</v>
      </c>
      <c r="BU212">
        <v>2017</v>
      </c>
    </row>
    <row r="213" spans="1:73" ht="43.15" customHeight="1" x14ac:dyDescent="0.25">
      <c r="A213" s="242" t="s">
        <v>186</v>
      </c>
      <c r="B213" s="242" t="s">
        <v>1340</v>
      </c>
      <c r="C213" s="159">
        <v>400</v>
      </c>
      <c r="D213" s="114">
        <v>42899</v>
      </c>
      <c r="E213" s="114"/>
      <c r="F213" s="114"/>
      <c r="G213" s="114" t="s">
        <v>1339</v>
      </c>
      <c r="H213" s="114">
        <v>42922</v>
      </c>
      <c r="I213" s="114">
        <v>42922</v>
      </c>
      <c r="J213" s="114">
        <v>42927</v>
      </c>
      <c r="K213" s="114"/>
      <c r="L213" s="114">
        <v>43052</v>
      </c>
      <c r="M213" s="114">
        <v>43008</v>
      </c>
      <c r="N213" s="114"/>
      <c r="O213" s="114">
        <v>43054</v>
      </c>
      <c r="P213" s="114">
        <v>43054</v>
      </c>
      <c r="Q213" s="114">
        <v>43077</v>
      </c>
      <c r="R213" s="80"/>
      <c r="S213" s="114"/>
      <c r="T213" s="75"/>
      <c r="U213" s="75"/>
      <c r="V213" s="75"/>
      <c r="W213" s="75">
        <v>3</v>
      </c>
      <c r="X213" s="75">
        <v>81525</v>
      </c>
      <c r="Y213" s="75" t="str">
        <f ca="1">IF(I213="",IF(D213="","",IF(W213+X213&lt;15,"Données Nb pers ou RFR manquantes",IF(COUNTA(INDIRECT("TabRFR["&amp;YEAR(D213)&amp;"]"))&lt;&gt;COUNTA(TabRFR[Recherche RFR]),"Data RFR manquantes", IF(X213&lt;=INDEX(TabRFR[[2021]:[2025]],MATCH(BD!W213&amp;"-Très modestes",TabRFR[Recherche RFR],0),MATCH(TEXT(YEAR(BD!D213),"Standard"),TabRFR[[#Headers],[2021]:[2025]],0)),"Très Modeste",IF(X213&lt;=INDEX(TabRFR[[2021]:[2025]],MATCH(BD!W213&amp;"-modestes",TabRFR[Recherche RFR],0),MATCH(TEXT(YEAR(BD!D213),"Standard"),TabRFR[[#Headers],[2021]:[2025]],0)),"Modeste",IF(X213&lt;=INDEX(TabRFR[[2021]:[2025]],MATCH(BD!W213&amp;"-Intermédiaire",TabRFR[Recherche RFR],0),MATCH(TEXT(YEAR(BD!D213),"Standard"),TabRFR[[#Headers],[2021]:[2025]],0)),"Intermédiaire","Supérieur")))))),IF(D213="","",IF(W213+X213&lt;15,"Données Nb pers ou RFR manquantes",IF(COUNTA(INDIRECT("TabRFR["&amp;YEAR(I213)&amp;"]"))&lt;&gt;COUNTA(TabRFR[Recherche RFR]),"Data RFR manquantes", IF(X213&lt;=INDEX(TabRFR[[2021]:[2025]],MATCH(BD!W213&amp;"-Très modestes",TabRFR[Recherche RFR],0),MATCH(TEXT(YEAR(BD!I213),"Standard"),TabRFR[[#Headers],[2021]:[2025]],0)),"Très Modeste",IF(X213&lt;=INDEX(TabRFR[[2021]:[2025]],MATCH(BD!W213&amp;"-modestes",TabRFR[Recherche RFR],0),MATCH(TEXT(YEAR(BD!I213),"Standard"),TabRFR[[#Headers],[2021]:[2025]],0)),"Modeste",IF(X213&lt;=INDEX(TabRFR[[2021]:[2025]],MATCH(BD!W213&amp;"-Intermédiaire",TabRFR[Recherche RFR],0),MATCH(TEXT(YEAR(BD!I213),"Standard"),TabRFR[[#Headers],[2021]:[2025]],0)),"Intermédiaire","Supérieur")))))))</f>
        <v>Data RFR manquantes</v>
      </c>
      <c r="Z213" s="50"/>
      <c r="AA213" s="75" t="s">
        <v>1337</v>
      </c>
      <c r="AB213" s="75">
        <v>38850</v>
      </c>
      <c r="AC213" s="75" t="s">
        <v>148</v>
      </c>
      <c r="AD213" s="73"/>
      <c r="AE213" s="102"/>
      <c r="AF213" s="75" t="s">
        <v>95</v>
      </c>
      <c r="AG213" s="75"/>
      <c r="AH213" s="75"/>
      <c r="AI213" s="75"/>
      <c r="AJ213" s="75"/>
      <c r="AK213" s="75"/>
      <c r="AL213" s="75"/>
      <c r="AM213" s="75" t="s">
        <v>4348</v>
      </c>
      <c r="AN213" s="75" t="s">
        <v>96</v>
      </c>
      <c r="AO213" s="75" t="s">
        <v>238</v>
      </c>
      <c r="AP213" s="75" t="s">
        <v>97</v>
      </c>
      <c r="AQ213" s="75"/>
      <c r="AR213" s="75">
        <v>42968</v>
      </c>
      <c r="AS213" s="102" t="s">
        <v>98</v>
      </c>
      <c r="AT213" s="101">
        <v>476323235</v>
      </c>
      <c r="AU213" s="75" t="s">
        <v>111</v>
      </c>
      <c r="AV213" s="75">
        <v>1980</v>
      </c>
      <c r="AW213" s="75" t="s">
        <v>100</v>
      </c>
      <c r="AX213" s="75" t="s">
        <v>2071</v>
      </c>
      <c r="AY213" s="75" t="s">
        <v>102</v>
      </c>
      <c r="AZ213" s="75" t="s">
        <v>1159</v>
      </c>
      <c r="BA213" s="75">
        <v>17</v>
      </c>
      <c r="BB213" s="75">
        <v>10.1</v>
      </c>
      <c r="BC213" s="75">
        <v>90</v>
      </c>
      <c r="BD213" s="75">
        <v>0.02</v>
      </c>
      <c r="BE213" s="75" t="s">
        <v>97</v>
      </c>
      <c r="BF213" s="75"/>
      <c r="BG213" s="75">
        <v>2800</v>
      </c>
      <c r="BH213" s="75"/>
      <c r="BI213" s="75"/>
      <c r="BJ213" s="75"/>
      <c r="BK213" s="75">
        <v>220</v>
      </c>
      <c r="BL213" s="75">
        <f t="shared" si="9"/>
        <v>3020</v>
      </c>
      <c r="BM213" s="103">
        <f t="shared" si="10"/>
        <v>166.1</v>
      </c>
      <c r="BN213" s="103">
        <f t="shared" si="11"/>
        <v>3186.1</v>
      </c>
      <c r="BO213" s="103">
        <v>3186.1</v>
      </c>
      <c r="BP213" s="75"/>
      <c r="BQ213" s="75"/>
      <c r="BR213" s="75"/>
      <c r="BS213" s="157">
        <v>2017</v>
      </c>
      <c r="BU213">
        <v>2017</v>
      </c>
    </row>
    <row r="214" spans="1:73" ht="43.15" customHeight="1" x14ac:dyDescent="0.25">
      <c r="A214" s="29" t="s">
        <v>186</v>
      </c>
      <c r="B214" s="29" t="s">
        <v>1335</v>
      </c>
      <c r="C214" s="161" t="s">
        <v>9</v>
      </c>
      <c r="D214" s="110">
        <v>42902</v>
      </c>
      <c r="E214" s="110"/>
      <c r="F214" s="110"/>
      <c r="G214" s="110"/>
      <c r="H214" s="110"/>
      <c r="I214" s="110"/>
      <c r="J214" s="110"/>
      <c r="K214" s="110"/>
      <c r="L214" s="110"/>
      <c r="M214" s="110"/>
      <c r="N214" s="110"/>
      <c r="O214" s="110"/>
      <c r="P214" s="110"/>
      <c r="Q214" s="110"/>
      <c r="R214" s="109"/>
      <c r="S214" s="110">
        <v>42912</v>
      </c>
      <c r="T214" s="111" t="s">
        <v>1091</v>
      </c>
      <c r="U214" s="111"/>
      <c r="V214" s="111"/>
      <c r="W214" s="111">
        <v>2</v>
      </c>
      <c r="X214" s="111">
        <v>57082</v>
      </c>
      <c r="Y214" s="75" t="str">
        <f ca="1">IF(I214="",IF(D214="","",IF(W214+X214&lt;15,"Données Nb pers ou RFR manquantes",IF(COUNTA(INDIRECT("TabRFR["&amp;YEAR(D214)&amp;"]"))&lt;&gt;COUNTA(TabRFR[Recherche RFR]),"Data RFR manquantes", IF(X214&lt;=INDEX(TabRFR[[2021]:[2025]],MATCH(BD!W214&amp;"-Très modestes",TabRFR[Recherche RFR],0),MATCH(TEXT(YEAR(BD!D214),"Standard"),TabRFR[[#Headers],[2021]:[2025]],0)),"Très Modeste",IF(X214&lt;=INDEX(TabRFR[[2021]:[2025]],MATCH(BD!W214&amp;"-modestes",TabRFR[Recherche RFR],0),MATCH(TEXT(YEAR(BD!D214),"Standard"),TabRFR[[#Headers],[2021]:[2025]],0)),"Modeste",IF(X214&lt;=INDEX(TabRFR[[2021]:[2025]],MATCH(BD!W214&amp;"-Intermédiaire",TabRFR[Recherche RFR],0),MATCH(TEXT(YEAR(BD!D214),"Standard"),TabRFR[[#Headers],[2021]:[2025]],0)),"Intermédiaire","Supérieur")))))),IF(D214="","",IF(W214+X214&lt;15,"Données Nb pers ou RFR manquantes",IF(COUNTA(INDIRECT("TabRFR["&amp;YEAR(I214)&amp;"]"))&lt;&gt;COUNTA(TabRFR[Recherche RFR]),"Data RFR manquantes", IF(X214&lt;=INDEX(TabRFR[[2021]:[2025]],MATCH(BD!W214&amp;"-Très modestes",TabRFR[Recherche RFR],0),MATCH(TEXT(YEAR(BD!I214),"Standard"),TabRFR[[#Headers],[2021]:[2025]],0)),"Très Modeste",IF(X214&lt;=INDEX(TabRFR[[2021]:[2025]],MATCH(BD!W214&amp;"-modestes",TabRFR[Recherche RFR],0),MATCH(TEXT(YEAR(BD!I214),"Standard"),TabRFR[[#Headers],[2021]:[2025]],0)),"Modeste",IF(X214&lt;=INDEX(TabRFR[[2021]:[2025]],MATCH(BD!W214&amp;"-Intermédiaire",TabRFR[Recherche RFR],0),MATCH(TEXT(YEAR(BD!I214),"Standard"),TabRFR[[#Headers],[2021]:[2025]],0)),"Intermédiaire","Supérieur")))))))</f>
        <v>Data RFR manquantes</v>
      </c>
      <c r="Z214" s="75"/>
      <c r="AA214" s="111" t="s">
        <v>1334</v>
      </c>
      <c r="AB214" s="111">
        <v>38380</v>
      </c>
      <c r="AC214" s="111" t="s">
        <v>4346</v>
      </c>
      <c r="AD214" s="127"/>
      <c r="AE214" s="102"/>
      <c r="AF214" s="111" t="s">
        <v>95</v>
      </c>
      <c r="AG214" s="111"/>
      <c r="AH214" s="111"/>
      <c r="AI214" s="111"/>
      <c r="AJ214" s="111"/>
      <c r="AK214" s="111"/>
      <c r="AL214" s="111"/>
      <c r="AM214" s="111" t="s">
        <v>4379</v>
      </c>
      <c r="AN214" s="111" t="s">
        <v>4380</v>
      </c>
      <c r="AO214" s="111" t="s">
        <v>1333</v>
      </c>
      <c r="AP214" s="111" t="s">
        <v>97</v>
      </c>
      <c r="AQ214" s="111"/>
      <c r="AR214" s="111"/>
      <c r="AS214" s="102" t="s">
        <v>1332</v>
      </c>
      <c r="AT214" s="112" t="s">
        <v>1331</v>
      </c>
      <c r="AU214" s="111" t="s">
        <v>99</v>
      </c>
      <c r="AV214" s="111" t="s">
        <v>1330</v>
      </c>
      <c r="AW214" s="111" t="s">
        <v>100</v>
      </c>
      <c r="AX214" s="111" t="s">
        <v>112</v>
      </c>
      <c r="AY214" s="111"/>
      <c r="AZ214" s="111"/>
      <c r="BA214" s="111"/>
      <c r="BB214" s="111"/>
      <c r="BC214" s="111"/>
      <c r="BD214" s="111"/>
      <c r="BE214" s="111"/>
      <c r="BF214" s="111"/>
      <c r="BG214" s="111"/>
      <c r="BH214" s="111"/>
      <c r="BI214" s="111"/>
      <c r="BJ214" s="111"/>
      <c r="BK214" s="111"/>
      <c r="BL214" s="75">
        <f t="shared" si="9"/>
        <v>0</v>
      </c>
      <c r="BM214" s="103">
        <f t="shared" si="10"/>
        <v>0</v>
      </c>
      <c r="BN214" s="103">
        <f t="shared" si="11"/>
        <v>0</v>
      </c>
      <c r="BO214" s="113"/>
      <c r="BP214" s="111"/>
      <c r="BQ214" s="111"/>
      <c r="BR214" s="111"/>
      <c r="BS214" s="157">
        <v>2017</v>
      </c>
      <c r="BU214" t="s">
        <v>4180</v>
      </c>
    </row>
    <row r="215" spans="1:73" ht="43.15" customHeight="1" x14ac:dyDescent="0.25">
      <c r="A215" s="242" t="s">
        <v>186</v>
      </c>
      <c r="B215" s="242" t="s">
        <v>1329</v>
      </c>
      <c r="C215" s="159">
        <v>400</v>
      </c>
      <c r="D215" s="114">
        <v>42907</v>
      </c>
      <c r="E215" s="114"/>
      <c r="F215" s="114"/>
      <c r="G215" s="114"/>
      <c r="H215" s="114">
        <v>42912</v>
      </c>
      <c r="I215" s="114">
        <v>42912</v>
      </c>
      <c r="J215" s="114">
        <v>42916</v>
      </c>
      <c r="K215" s="114"/>
      <c r="L215" s="114">
        <v>43004</v>
      </c>
      <c r="M215" s="114">
        <v>42984</v>
      </c>
      <c r="N215" s="114" t="s">
        <v>1328</v>
      </c>
      <c r="O215" s="114">
        <v>43020</v>
      </c>
      <c r="P215" s="114">
        <v>43020</v>
      </c>
      <c r="Q215" s="114">
        <v>43028</v>
      </c>
      <c r="R215" s="80"/>
      <c r="S215" s="114"/>
      <c r="T215" s="75"/>
      <c r="U215" s="75"/>
      <c r="V215" s="75"/>
      <c r="W215" s="75">
        <v>3</v>
      </c>
      <c r="X215" s="75">
        <v>42645</v>
      </c>
      <c r="Y215" s="75" t="str">
        <f ca="1">IF(I215="",IF(D215="","",IF(W215+X215&lt;15,"Données Nb pers ou RFR manquantes",IF(COUNTA(INDIRECT("TabRFR["&amp;YEAR(D215)&amp;"]"))&lt;&gt;COUNTA(TabRFR[Recherche RFR]),"Data RFR manquantes", IF(X215&lt;=INDEX(TabRFR[[2021]:[2025]],MATCH(BD!W215&amp;"-Très modestes",TabRFR[Recherche RFR],0),MATCH(TEXT(YEAR(BD!D215),"Standard"),TabRFR[[#Headers],[2021]:[2025]],0)),"Très Modeste",IF(X215&lt;=INDEX(TabRFR[[2021]:[2025]],MATCH(BD!W215&amp;"-modestes",TabRFR[Recherche RFR],0),MATCH(TEXT(YEAR(BD!D215),"Standard"),TabRFR[[#Headers],[2021]:[2025]],0)),"Modeste",IF(X215&lt;=INDEX(TabRFR[[2021]:[2025]],MATCH(BD!W215&amp;"-Intermédiaire",TabRFR[Recherche RFR],0),MATCH(TEXT(YEAR(BD!D215),"Standard"),TabRFR[[#Headers],[2021]:[2025]],0)),"Intermédiaire","Supérieur")))))),IF(D215="","",IF(W215+X215&lt;15,"Données Nb pers ou RFR manquantes",IF(COUNTA(INDIRECT("TabRFR["&amp;YEAR(I215)&amp;"]"))&lt;&gt;COUNTA(TabRFR[Recherche RFR]),"Data RFR manquantes", IF(X215&lt;=INDEX(TabRFR[[2021]:[2025]],MATCH(BD!W215&amp;"-Très modestes",TabRFR[Recherche RFR],0),MATCH(TEXT(YEAR(BD!I215),"Standard"),TabRFR[[#Headers],[2021]:[2025]],0)),"Très Modeste",IF(X215&lt;=INDEX(TabRFR[[2021]:[2025]],MATCH(BD!W215&amp;"-modestes",TabRFR[Recherche RFR],0),MATCH(TEXT(YEAR(BD!I215),"Standard"),TabRFR[[#Headers],[2021]:[2025]],0)),"Modeste",IF(X215&lt;=INDEX(TabRFR[[2021]:[2025]],MATCH(BD!W215&amp;"-Intermédiaire",TabRFR[Recherche RFR],0),MATCH(TEXT(YEAR(BD!I215),"Standard"),TabRFR[[#Headers],[2021]:[2025]],0)),"Intermédiaire","Supérieur")))))))</f>
        <v>Data RFR manquantes</v>
      </c>
      <c r="Z215" s="75"/>
      <c r="AA215" s="75" t="s">
        <v>1325</v>
      </c>
      <c r="AB215" s="75">
        <v>38340</v>
      </c>
      <c r="AC215" s="75" t="s">
        <v>108</v>
      </c>
      <c r="AD215" s="73"/>
      <c r="AE215" s="102"/>
      <c r="AF215" s="75" t="s">
        <v>95</v>
      </c>
      <c r="AG215" s="75"/>
      <c r="AH215" s="75"/>
      <c r="AI215" s="75"/>
      <c r="AJ215" s="75"/>
      <c r="AK215" s="75"/>
      <c r="AL215" s="75"/>
      <c r="AM215" s="75" t="s">
        <v>4233</v>
      </c>
      <c r="AN215" s="75" t="s">
        <v>829</v>
      </c>
      <c r="AO215" s="75" t="s">
        <v>1323</v>
      </c>
      <c r="AP215" s="75" t="s">
        <v>97</v>
      </c>
      <c r="AQ215" s="75"/>
      <c r="AR215" s="75">
        <v>42948</v>
      </c>
      <c r="AS215" s="102" t="s">
        <v>211</v>
      </c>
      <c r="AT215" s="101">
        <v>608287337</v>
      </c>
      <c r="AU215" s="75" t="s">
        <v>99</v>
      </c>
      <c r="AV215" s="75">
        <v>1997</v>
      </c>
      <c r="AW215" s="75" t="s">
        <v>100</v>
      </c>
      <c r="AX215" s="75" t="s">
        <v>2071</v>
      </c>
      <c r="AY215" s="75" t="s">
        <v>272</v>
      </c>
      <c r="AZ215" s="75" t="s">
        <v>1322</v>
      </c>
      <c r="BA215" s="75">
        <v>18</v>
      </c>
      <c r="BB215" s="75">
        <v>9</v>
      </c>
      <c r="BC215" s="75">
        <v>90</v>
      </c>
      <c r="BD215" s="75">
        <v>0.01</v>
      </c>
      <c r="BE215" s="75" t="s">
        <v>97</v>
      </c>
      <c r="BF215" s="75"/>
      <c r="BG215" s="75">
        <v>3084.36</v>
      </c>
      <c r="BH215" s="75"/>
      <c r="BI215" s="75"/>
      <c r="BJ215" s="75"/>
      <c r="BK215" s="75">
        <v>508.05</v>
      </c>
      <c r="BL215" s="75">
        <f t="shared" si="9"/>
        <v>3592.4100000000003</v>
      </c>
      <c r="BM215" s="103">
        <f t="shared" si="10"/>
        <v>197.58255000000003</v>
      </c>
      <c r="BN215" s="103">
        <f t="shared" si="11"/>
        <v>3789.9925500000004</v>
      </c>
      <c r="BO215" s="103">
        <v>3790</v>
      </c>
      <c r="BP215" s="75" t="s">
        <v>97</v>
      </c>
      <c r="BQ215" s="75"/>
      <c r="BR215" s="75"/>
      <c r="BS215" s="157">
        <v>2017</v>
      </c>
      <c r="BU215">
        <v>2017</v>
      </c>
    </row>
    <row r="216" spans="1:73" ht="43.15" customHeight="1" x14ac:dyDescent="0.25">
      <c r="A216" s="242" t="s">
        <v>186</v>
      </c>
      <c r="B216" s="242" t="s">
        <v>1321</v>
      </c>
      <c r="C216" s="159">
        <v>800</v>
      </c>
      <c r="D216" s="114">
        <v>42908</v>
      </c>
      <c r="E216" s="114"/>
      <c r="F216" s="114"/>
      <c r="G216" s="114"/>
      <c r="H216" s="114">
        <v>42912</v>
      </c>
      <c r="I216" s="114">
        <v>42912</v>
      </c>
      <c r="J216" s="114">
        <v>42916</v>
      </c>
      <c r="K216" s="114"/>
      <c r="L216" s="114">
        <v>42972</v>
      </c>
      <c r="M216" s="114">
        <v>42968</v>
      </c>
      <c r="N216" s="114"/>
      <c r="O216" s="114">
        <v>42977</v>
      </c>
      <c r="P216" s="114">
        <v>42977</v>
      </c>
      <c r="Q216" s="114">
        <v>42986</v>
      </c>
      <c r="R216" s="100"/>
      <c r="S216" s="114"/>
      <c r="T216" s="75"/>
      <c r="U216" s="75"/>
      <c r="V216" s="75"/>
      <c r="W216" s="75">
        <v>4</v>
      </c>
      <c r="X216" s="75">
        <v>26922</v>
      </c>
      <c r="Y216" s="75" t="str">
        <f ca="1">IF(I216="",IF(D216="","",IF(W216+X216&lt;15,"Données Nb pers ou RFR manquantes",IF(COUNTA(INDIRECT("TabRFR["&amp;YEAR(D216)&amp;"]"))&lt;&gt;COUNTA(TabRFR[Recherche RFR]),"Data RFR manquantes", IF(X216&lt;=INDEX(TabRFR[[2021]:[2025]],MATCH(BD!W216&amp;"-Très modestes",TabRFR[Recherche RFR],0),MATCH(TEXT(YEAR(BD!D216),"Standard"),TabRFR[[#Headers],[2021]:[2025]],0)),"Très Modeste",IF(X216&lt;=INDEX(TabRFR[[2021]:[2025]],MATCH(BD!W216&amp;"-modestes",TabRFR[Recherche RFR],0),MATCH(TEXT(YEAR(BD!D216),"Standard"),TabRFR[[#Headers],[2021]:[2025]],0)),"Modeste",IF(X216&lt;=INDEX(TabRFR[[2021]:[2025]],MATCH(BD!W216&amp;"-Intermédiaire",TabRFR[Recherche RFR],0),MATCH(TEXT(YEAR(BD!D216),"Standard"),TabRFR[[#Headers],[2021]:[2025]],0)),"Intermédiaire","Supérieur")))))),IF(D216="","",IF(W216+X216&lt;15,"Données Nb pers ou RFR manquantes",IF(COUNTA(INDIRECT("TabRFR["&amp;YEAR(I216)&amp;"]"))&lt;&gt;COUNTA(TabRFR[Recherche RFR]),"Data RFR manquantes", IF(X216&lt;=INDEX(TabRFR[[2021]:[2025]],MATCH(BD!W216&amp;"-Très modestes",TabRFR[Recherche RFR],0),MATCH(TEXT(YEAR(BD!I216),"Standard"),TabRFR[[#Headers],[2021]:[2025]],0)),"Très Modeste",IF(X216&lt;=INDEX(TabRFR[[2021]:[2025]],MATCH(BD!W216&amp;"-modestes",TabRFR[Recherche RFR],0),MATCH(TEXT(YEAR(BD!I216),"Standard"),TabRFR[[#Headers],[2021]:[2025]],0)),"Modeste",IF(X216&lt;=INDEX(TabRFR[[2021]:[2025]],MATCH(BD!W216&amp;"-Intermédiaire",TabRFR[Recherche RFR],0),MATCH(TEXT(YEAR(BD!I216),"Standard"),TabRFR[[#Headers],[2021]:[2025]],0)),"Intermédiaire","Supérieur")))))))</f>
        <v>Data RFR manquantes</v>
      </c>
      <c r="Z216" s="75"/>
      <c r="AA216" s="75" t="s">
        <v>1319</v>
      </c>
      <c r="AB216" s="75">
        <v>38620</v>
      </c>
      <c r="AC216" s="75" t="s">
        <v>851</v>
      </c>
      <c r="AD216" s="73"/>
      <c r="AE216" s="102"/>
      <c r="AF216" s="75" t="s">
        <v>95</v>
      </c>
      <c r="AG216" s="75"/>
      <c r="AH216" s="75"/>
      <c r="AI216" s="75"/>
      <c r="AJ216" s="75"/>
      <c r="AK216" s="75"/>
      <c r="AL216" s="75"/>
      <c r="AM216" s="75" t="s">
        <v>4381</v>
      </c>
      <c r="AN216" s="75" t="s">
        <v>195</v>
      </c>
      <c r="AO216" s="75"/>
      <c r="AP216" s="75" t="s">
        <v>97</v>
      </c>
      <c r="AQ216" s="75"/>
      <c r="AR216" s="75">
        <v>42961</v>
      </c>
      <c r="AS216" s="75" t="s">
        <v>4171</v>
      </c>
      <c r="AT216" s="101">
        <v>961449772</v>
      </c>
      <c r="AU216" s="75" t="s">
        <v>99</v>
      </c>
      <c r="AV216" s="75" t="s">
        <v>112</v>
      </c>
      <c r="AW216" s="75" t="s">
        <v>100</v>
      </c>
      <c r="AX216" s="75" t="s">
        <v>112</v>
      </c>
      <c r="AY216" s="75" t="s">
        <v>212</v>
      </c>
      <c r="AZ216" s="75" t="s">
        <v>1316</v>
      </c>
      <c r="BA216" s="75">
        <v>16</v>
      </c>
      <c r="BB216" s="75">
        <v>7</v>
      </c>
      <c r="BC216" s="75">
        <v>83</v>
      </c>
      <c r="BD216" s="75">
        <v>0.05</v>
      </c>
      <c r="BE216" s="75" t="s">
        <v>97</v>
      </c>
      <c r="BF216" s="75"/>
      <c r="BG216" s="75">
        <v>2207</v>
      </c>
      <c r="BH216" s="75"/>
      <c r="BI216" s="75"/>
      <c r="BJ216" s="75"/>
      <c r="BK216" s="75">
        <v>598</v>
      </c>
      <c r="BL216" s="75">
        <f t="shared" si="9"/>
        <v>2805</v>
      </c>
      <c r="BM216" s="103">
        <f t="shared" si="10"/>
        <v>154.27500000000001</v>
      </c>
      <c r="BN216" s="103">
        <f t="shared" si="11"/>
        <v>2959.2750000000001</v>
      </c>
      <c r="BO216" s="103">
        <v>2540.4</v>
      </c>
      <c r="BP216" s="75" t="s">
        <v>97</v>
      </c>
      <c r="BQ216" s="75"/>
      <c r="BR216" s="75"/>
      <c r="BS216" s="157">
        <v>2017</v>
      </c>
      <c r="BT216">
        <v>2020</v>
      </c>
      <c r="BU216">
        <v>2017</v>
      </c>
    </row>
    <row r="217" spans="1:73" ht="43.15" customHeight="1" x14ac:dyDescent="0.25">
      <c r="A217" s="29" t="s">
        <v>186</v>
      </c>
      <c r="B217" s="29" t="s">
        <v>1315</v>
      </c>
      <c r="C217" s="161" t="s">
        <v>9</v>
      </c>
      <c r="D217" s="110">
        <v>42913</v>
      </c>
      <c r="E217" s="110"/>
      <c r="F217" s="110"/>
      <c r="G217" s="110" t="s">
        <v>1314</v>
      </c>
      <c r="H217" s="110">
        <v>42922</v>
      </c>
      <c r="I217" s="110">
        <v>42922</v>
      </c>
      <c r="J217" s="110">
        <v>42927</v>
      </c>
      <c r="K217" s="110"/>
      <c r="L217" s="110">
        <v>43061</v>
      </c>
      <c r="M217" s="110">
        <v>43025</v>
      </c>
      <c r="N217" s="110" t="s">
        <v>1313</v>
      </c>
      <c r="O217" s="110"/>
      <c r="P217" s="110"/>
      <c r="Q217" s="110"/>
      <c r="R217" s="109"/>
      <c r="S217" s="110">
        <v>42736</v>
      </c>
      <c r="T217" s="111" t="s">
        <v>3897</v>
      </c>
      <c r="U217" s="111"/>
      <c r="V217" s="111"/>
      <c r="W217" s="111">
        <v>2</v>
      </c>
      <c r="X217" s="111">
        <v>44102</v>
      </c>
      <c r="Y217" s="75" t="str">
        <f ca="1">IF(I217="",IF(D217="","",IF(W217+X217&lt;15,"Données Nb pers ou RFR manquantes",IF(COUNTA(INDIRECT("TabRFR["&amp;YEAR(D217)&amp;"]"))&lt;&gt;COUNTA(TabRFR[Recherche RFR]),"Data RFR manquantes", IF(X217&lt;=INDEX(TabRFR[[2021]:[2025]],MATCH(BD!W217&amp;"-Très modestes",TabRFR[Recherche RFR],0),MATCH(TEXT(YEAR(BD!D217),"Standard"),TabRFR[[#Headers],[2021]:[2025]],0)),"Très Modeste",IF(X217&lt;=INDEX(TabRFR[[2021]:[2025]],MATCH(BD!W217&amp;"-modestes",TabRFR[Recherche RFR],0),MATCH(TEXT(YEAR(BD!D217),"Standard"),TabRFR[[#Headers],[2021]:[2025]],0)),"Modeste",IF(X217&lt;=INDEX(TabRFR[[2021]:[2025]],MATCH(BD!W217&amp;"-Intermédiaire",TabRFR[Recherche RFR],0),MATCH(TEXT(YEAR(BD!D217),"Standard"),TabRFR[[#Headers],[2021]:[2025]],0)),"Intermédiaire","Supérieur")))))),IF(D217="","",IF(W217+X217&lt;15,"Données Nb pers ou RFR manquantes",IF(COUNTA(INDIRECT("TabRFR["&amp;YEAR(I217)&amp;"]"))&lt;&gt;COUNTA(TabRFR[Recherche RFR]),"Data RFR manquantes", IF(X217&lt;=INDEX(TabRFR[[2021]:[2025]],MATCH(BD!W217&amp;"-Très modestes",TabRFR[Recherche RFR],0),MATCH(TEXT(YEAR(BD!I217),"Standard"),TabRFR[[#Headers],[2021]:[2025]],0)),"Très Modeste",IF(X217&lt;=INDEX(TabRFR[[2021]:[2025]],MATCH(BD!W217&amp;"-modestes",TabRFR[Recherche RFR],0),MATCH(TEXT(YEAR(BD!I217),"Standard"),TabRFR[[#Headers],[2021]:[2025]],0)),"Modeste",IF(X217&lt;=INDEX(TabRFR[[2021]:[2025]],MATCH(BD!W217&amp;"-Intermédiaire",TabRFR[Recherche RFR],0),MATCH(TEXT(YEAR(BD!I217),"Standard"),TabRFR[[#Headers],[2021]:[2025]],0)),"Intermédiaire","Supérieur")))))))</f>
        <v>Data RFR manquantes</v>
      </c>
      <c r="Z217" s="111"/>
      <c r="AA217" s="111" t="s">
        <v>1311</v>
      </c>
      <c r="AB217" s="111">
        <v>38620</v>
      </c>
      <c r="AC217" s="111" t="s">
        <v>783</v>
      </c>
      <c r="AD217" s="127"/>
      <c r="AE217" s="102"/>
      <c r="AF217" s="111" t="s">
        <v>95</v>
      </c>
      <c r="AG217" s="111"/>
      <c r="AH217" s="111"/>
      <c r="AI217" s="111"/>
      <c r="AJ217" s="111"/>
      <c r="AK217" s="111"/>
      <c r="AL217" s="111"/>
      <c r="AM217" s="111" t="s">
        <v>4236</v>
      </c>
      <c r="AN217" s="111" t="s">
        <v>4091</v>
      </c>
      <c r="AO217" s="111" t="s">
        <v>163</v>
      </c>
      <c r="AP217" s="111" t="s">
        <v>97</v>
      </c>
      <c r="AQ217" s="111"/>
      <c r="AR217" s="111">
        <v>42995</v>
      </c>
      <c r="AS217" s="102" t="s">
        <v>285</v>
      </c>
      <c r="AT217" s="112">
        <v>476370492</v>
      </c>
      <c r="AU217" s="111" t="s">
        <v>100</v>
      </c>
      <c r="AV217" s="111">
        <v>2001</v>
      </c>
      <c r="AW217" s="111" t="s">
        <v>100</v>
      </c>
      <c r="AX217" s="75" t="s">
        <v>2071</v>
      </c>
      <c r="AY217" s="111" t="s">
        <v>1017</v>
      </c>
      <c r="AZ217" s="111" t="s">
        <v>1309</v>
      </c>
      <c r="BA217" s="111">
        <v>8</v>
      </c>
      <c r="BB217" s="111">
        <v>9</v>
      </c>
      <c r="BC217" s="111">
        <v>90.5</v>
      </c>
      <c r="BD217" s="111">
        <v>0</v>
      </c>
      <c r="BE217" s="111" t="s">
        <v>97</v>
      </c>
      <c r="BF217" s="111"/>
      <c r="BG217" s="111">
        <v>2930</v>
      </c>
      <c r="BH217" s="111"/>
      <c r="BI217" s="111"/>
      <c r="BJ217" s="111"/>
      <c r="BK217" s="111">
        <v>1583</v>
      </c>
      <c r="BL217" s="75">
        <f t="shared" si="9"/>
        <v>4513</v>
      </c>
      <c r="BM217" s="103">
        <f t="shared" si="10"/>
        <v>248.215</v>
      </c>
      <c r="BN217" s="103">
        <f t="shared" si="11"/>
        <v>4761.2150000000001</v>
      </c>
      <c r="BO217" s="113"/>
      <c r="BP217" s="111" t="s">
        <v>97</v>
      </c>
      <c r="BQ217" s="111"/>
      <c r="BR217" s="111"/>
      <c r="BS217" s="157">
        <v>2017</v>
      </c>
      <c r="BU217" t="s">
        <v>4180</v>
      </c>
    </row>
    <row r="218" spans="1:73" ht="43.15" customHeight="1" x14ac:dyDescent="0.25">
      <c r="A218" s="29" t="s">
        <v>186</v>
      </c>
      <c r="B218" s="29" t="s">
        <v>1308</v>
      </c>
      <c r="C218" s="161" t="s">
        <v>9</v>
      </c>
      <c r="D218" s="110">
        <v>42920</v>
      </c>
      <c r="E218" s="110"/>
      <c r="F218" s="110"/>
      <c r="G218" s="110"/>
      <c r="H218" s="110"/>
      <c r="I218" s="110"/>
      <c r="J218" s="110"/>
      <c r="K218" s="110"/>
      <c r="L218" s="110"/>
      <c r="M218" s="110"/>
      <c r="N218" s="110"/>
      <c r="O218" s="110"/>
      <c r="P218" s="110"/>
      <c r="Q218" s="110"/>
      <c r="R218" s="109"/>
      <c r="S218" s="110">
        <v>42922</v>
      </c>
      <c r="T218" s="111" t="s">
        <v>1307</v>
      </c>
      <c r="U218" s="111"/>
      <c r="V218" s="111"/>
      <c r="W218" s="111">
        <v>3</v>
      </c>
      <c r="X218" s="111">
        <v>63410</v>
      </c>
      <c r="Y218" s="75" t="str">
        <f ca="1">IF(I218="",IF(D218="","",IF(W218+X218&lt;15,"Données Nb pers ou RFR manquantes",IF(COUNTA(INDIRECT("TabRFR["&amp;YEAR(D218)&amp;"]"))&lt;&gt;COUNTA(TabRFR[Recherche RFR]),"Data RFR manquantes", IF(X218&lt;=INDEX(TabRFR[[2021]:[2025]],MATCH(BD!W218&amp;"-Très modestes",TabRFR[Recherche RFR],0),MATCH(TEXT(YEAR(BD!D218),"Standard"),TabRFR[[#Headers],[2021]:[2025]],0)),"Très Modeste",IF(X218&lt;=INDEX(TabRFR[[2021]:[2025]],MATCH(BD!W218&amp;"-modestes",TabRFR[Recherche RFR],0),MATCH(TEXT(YEAR(BD!D218),"Standard"),TabRFR[[#Headers],[2021]:[2025]],0)),"Modeste",IF(X218&lt;=INDEX(TabRFR[[2021]:[2025]],MATCH(BD!W218&amp;"-Intermédiaire",TabRFR[Recherche RFR],0),MATCH(TEXT(YEAR(BD!D218),"Standard"),TabRFR[[#Headers],[2021]:[2025]],0)),"Intermédiaire","Supérieur")))))),IF(D218="","",IF(W218+X218&lt;15,"Données Nb pers ou RFR manquantes",IF(COUNTA(INDIRECT("TabRFR["&amp;YEAR(I218)&amp;"]"))&lt;&gt;COUNTA(TabRFR[Recherche RFR]),"Data RFR manquantes", IF(X218&lt;=INDEX(TabRFR[[2021]:[2025]],MATCH(BD!W218&amp;"-Très modestes",TabRFR[Recherche RFR],0),MATCH(TEXT(YEAR(BD!I218),"Standard"),TabRFR[[#Headers],[2021]:[2025]],0)),"Très Modeste",IF(X218&lt;=INDEX(TabRFR[[2021]:[2025]],MATCH(BD!W218&amp;"-modestes",TabRFR[Recherche RFR],0),MATCH(TEXT(YEAR(BD!I218),"Standard"),TabRFR[[#Headers],[2021]:[2025]],0)),"Modeste",IF(X218&lt;=INDEX(TabRFR[[2021]:[2025]],MATCH(BD!W218&amp;"-Intermédiaire",TabRFR[Recherche RFR],0),MATCH(TEXT(YEAR(BD!I218),"Standard"),TabRFR[[#Headers],[2021]:[2025]],0)),"Intermédiaire","Supérieur")))))))</f>
        <v>Data RFR manquantes</v>
      </c>
      <c r="Z218" s="111"/>
      <c r="AA218" s="111" t="s">
        <v>1306</v>
      </c>
      <c r="AB218" s="111">
        <v>38134</v>
      </c>
      <c r="AC218" s="111" t="s">
        <v>3755</v>
      </c>
      <c r="AD218" s="127"/>
      <c r="AE218" s="102"/>
      <c r="AF218" s="111" t="s">
        <v>95</v>
      </c>
      <c r="AG218" s="111"/>
      <c r="AH218" s="111"/>
      <c r="AI218" s="111"/>
      <c r="AJ218" s="111"/>
      <c r="AK218" s="111"/>
      <c r="AL218" s="111"/>
      <c r="AM218" s="111" t="s">
        <v>4382</v>
      </c>
      <c r="AN218" s="111" t="s">
        <v>3708</v>
      </c>
      <c r="AO218" s="111" t="s">
        <v>1305</v>
      </c>
      <c r="AP218" s="111" t="s">
        <v>97</v>
      </c>
      <c r="AQ218" s="111"/>
      <c r="AR218" s="111">
        <v>43127</v>
      </c>
      <c r="AS218" s="102" t="s">
        <v>205</v>
      </c>
      <c r="AT218" s="112">
        <v>476552046</v>
      </c>
      <c r="AU218" s="111" t="s">
        <v>430</v>
      </c>
      <c r="AV218" s="111">
        <v>1986</v>
      </c>
      <c r="AW218" s="111" t="s">
        <v>100</v>
      </c>
      <c r="AX218" s="75" t="s">
        <v>2071</v>
      </c>
      <c r="AY218" s="111" t="s">
        <v>1304</v>
      </c>
      <c r="AZ218" s="111"/>
      <c r="BA218" s="111"/>
      <c r="BB218" s="111"/>
      <c r="BC218" s="111"/>
      <c r="BD218" s="111"/>
      <c r="BE218" s="111"/>
      <c r="BF218" s="111"/>
      <c r="BG218" s="111"/>
      <c r="BH218" s="111"/>
      <c r="BI218" s="111"/>
      <c r="BJ218" s="111"/>
      <c r="BK218" s="111"/>
      <c r="BL218" s="75">
        <f t="shared" si="9"/>
        <v>0</v>
      </c>
      <c r="BM218" s="103">
        <f t="shared" si="10"/>
        <v>0</v>
      </c>
      <c r="BN218" s="103">
        <f t="shared" si="11"/>
        <v>0</v>
      </c>
      <c r="BO218" s="113"/>
      <c r="BP218" s="111"/>
      <c r="BQ218" s="111"/>
      <c r="BR218" s="111"/>
      <c r="BS218" s="157">
        <v>2017</v>
      </c>
      <c r="BU218" t="s">
        <v>4180</v>
      </c>
    </row>
    <row r="219" spans="1:73" ht="43.15" customHeight="1" x14ac:dyDescent="0.25">
      <c r="A219" s="242" t="s">
        <v>186</v>
      </c>
      <c r="B219" s="242" t="s">
        <v>1303</v>
      </c>
      <c r="C219" s="159">
        <v>800</v>
      </c>
      <c r="D219" s="114">
        <v>42922</v>
      </c>
      <c r="E219" s="114"/>
      <c r="F219" s="114"/>
      <c r="G219" s="114"/>
      <c r="H219" s="114">
        <v>42923</v>
      </c>
      <c r="I219" s="114">
        <v>42923</v>
      </c>
      <c r="J219" s="114">
        <v>42927</v>
      </c>
      <c r="K219" s="114"/>
      <c r="L219" s="114">
        <v>43054</v>
      </c>
      <c r="M219" s="114">
        <v>43012</v>
      </c>
      <c r="N219" s="114" t="s">
        <v>1302</v>
      </c>
      <c r="O219" s="114">
        <v>43061</v>
      </c>
      <c r="P219" s="114">
        <v>43061</v>
      </c>
      <c r="Q219" s="114">
        <v>43077</v>
      </c>
      <c r="R219" s="100"/>
      <c r="S219" s="114"/>
      <c r="T219" s="75"/>
      <c r="U219" s="75"/>
      <c r="V219" s="75"/>
      <c r="W219" s="75">
        <v>4</v>
      </c>
      <c r="X219" s="75">
        <f>6279+14323</f>
        <v>20602</v>
      </c>
      <c r="Y219" s="75" t="str">
        <f ca="1">IF(I219="",IF(D219="","",IF(W219+X219&lt;15,"Données Nb pers ou RFR manquantes",IF(COUNTA(INDIRECT("TabRFR["&amp;YEAR(D219)&amp;"]"))&lt;&gt;COUNTA(TabRFR[Recherche RFR]),"Data RFR manquantes", IF(X219&lt;=INDEX(TabRFR[[2021]:[2025]],MATCH(BD!W219&amp;"-Très modestes",TabRFR[Recherche RFR],0),MATCH(TEXT(YEAR(BD!D219),"Standard"),TabRFR[[#Headers],[2021]:[2025]],0)),"Très Modeste",IF(X219&lt;=INDEX(TabRFR[[2021]:[2025]],MATCH(BD!W219&amp;"-modestes",TabRFR[Recherche RFR],0),MATCH(TEXT(YEAR(BD!D219),"Standard"),TabRFR[[#Headers],[2021]:[2025]],0)),"Modeste",IF(X219&lt;=INDEX(TabRFR[[2021]:[2025]],MATCH(BD!W219&amp;"-Intermédiaire",TabRFR[Recherche RFR],0),MATCH(TEXT(YEAR(BD!D219),"Standard"),TabRFR[[#Headers],[2021]:[2025]],0)),"Intermédiaire","Supérieur")))))),IF(D219="","",IF(W219+X219&lt;15,"Données Nb pers ou RFR manquantes",IF(COUNTA(INDIRECT("TabRFR["&amp;YEAR(I219)&amp;"]"))&lt;&gt;COUNTA(TabRFR[Recherche RFR]),"Data RFR manquantes", IF(X219&lt;=INDEX(TabRFR[[2021]:[2025]],MATCH(BD!W219&amp;"-Très modestes",TabRFR[Recherche RFR],0),MATCH(TEXT(YEAR(BD!I219),"Standard"),TabRFR[[#Headers],[2021]:[2025]],0)),"Très Modeste",IF(X219&lt;=INDEX(TabRFR[[2021]:[2025]],MATCH(BD!W219&amp;"-modestes",TabRFR[Recherche RFR],0),MATCH(TEXT(YEAR(BD!I219),"Standard"),TabRFR[[#Headers],[2021]:[2025]],0)),"Modeste",IF(X219&lt;=INDEX(TabRFR[[2021]:[2025]],MATCH(BD!W219&amp;"-Intermédiaire",TabRFR[Recherche RFR],0),MATCH(TEXT(YEAR(BD!I219),"Standard"),TabRFR[[#Headers],[2021]:[2025]],0)),"Intermédiaire","Supérieur")))))))</f>
        <v>Data RFR manquantes</v>
      </c>
      <c r="Z219" s="75"/>
      <c r="AA219" s="75" t="s">
        <v>1300</v>
      </c>
      <c r="AB219" s="75">
        <v>38850</v>
      </c>
      <c r="AC219" s="75" t="s">
        <v>438</v>
      </c>
      <c r="AD219" s="73"/>
      <c r="AE219" s="102"/>
      <c r="AF219" s="75" t="s">
        <v>95</v>
      </c>
      <c r="AG219" s="75"/>
      <c r="AH219" s="75"/>
      <c r="AI219" s="75"/>
      <c r="AJ219" s="75"/>
      <c r="AK219" s="75"/>
      <c r="AL219" s="75"/>
      <c r="AM219" s="75" t="s">
        <v>4191</v>
      </c>
      <c r="AN219" s="75" t="s">
        <v>96</v>
      </c>
      <c r="AO219" s="75" t="s">
        <v>229</v>
      </c>
      <c r="AP219" s="75" t="s">
        <v>97</v>
      </c>
      <c r="AQ219" s="75"/>
      <c r="AR219" s="75">
        <v>43213</v>
      </c>
      <c r="AS219" s="102" t="s">
        <v>230</v>
      </c>
      <c r="AT219" s="101">
        <v>476059938</v>
      </c>
      <c r="AU219" s="75" t="s">
        <v>100</v>
      </c>
      <c r="AV219" s="75">
        <v>1999</v>
      </c>
      <c r="AW219" s="75" t="s">
        <v>100</v>
      </c>
      <c r="AX219" s="75" t="s">
        <v>2071</v>
      </c>
      <c r="AY219" s="75" t="s">
        <v>232</v>
      </c>
      <c r="AZ219" s="75" t="s">
        <v>1298</v>
      </c>
      <c r="BA219" s="75">
        <v>16</v>
      </c>
      <c r="BB219" s="75">
        <v>9</v>
      </c>
      <c r="BC219" s="75">
        <v>90.4</v>
      </c>
      <c r="BD219" s="75">
        <v>16</v>
      </c>
      <c r="BE219" s="75" t="s">
        <v>97</v>
      </c>
      <c r="BF219" s="75"/>
      <c r="BG219" s="75">
        <v>5050</v>
      </c>
      <c r="BH219" s="75"/>
      <c r="BI219" s="75"/>
      <c r="BJ219" s="75"/>
      <c r="BK219" s="75">
        <v>420</v>
      </c>
      <c r="BL219" s="75">
        <f t="shared" si="9"/>
        <v>5470</v>
      </c>
      <c r="BM219" s="103">
        <f t="shared" si="10"/>
        <v>300.85000000000002</v>
      </c>
      <c r="BN219" s="103">
        <f t="shared" si="11"/>
        <v>5770.85</v>
      </c>
      <c r="BO219" s="103">
        <v>6268</v>
      </c>
      <c r="BP219" s="75" t="s">
        <v>97</v>
      </c>
      <c r="BQ219" s="75"/>
      <c r="BR219" s="75"/>
      <c r="BS219" s="157">
        <v>2017</v>
      </c>
      <c r="BU219">
        <v>2017</v>
      </c>
    </row>
    <row r="220" spans="1:73" ht="43.15" customHeight="1" x14ac:dyDescent="0.25">
      <c r="A220" s="242" t="s">
        <v>186</v>
      </c>
      <c r="B220" s="242" t="s">
        <v>1297</v>
      </c>
      <c r="C220" s="159">
        <v>400</v>
      </c>
      <c r="D220" s="114">
        <v>42926</v>
      </c>
      <c r="E220" s="114"/>
      <c r="F220" s="114"/>
      <c r="G220" s="114" t="s">
        <v>1296</v>
      </c>
      <c r="H220" s="114">
        <v>43020</v>
      </c>
      <c r="I220" s="114">
        <v>43020</v>
      </c>
      <c r="J220" s="114">
        <v>43032</v>
      </c>
      <c r="K220" s="114"/>
      <c r="L220" s="114">
        <v>43105</v>
      </c>
      <c r="M220" s="114">
        <v>43091</v>
      </c>
      <c r="N220" s="114" t="s">
        <v>1295</v>
      </c>
      <c r="O220" s="114">
        <v>43123</v>
      </c>
      <c r="P220" s="114">
        <v>43123</v>
      </c>
      <c r="Q220" s="114">
        <v>43130</v>
      </c>
      <c r="R220" s="80"/>
      <c r="S220" s="114"/>
      <c r="T220" s="75"/>
      <c r="U220" s="75"/>
      <c r="V220" s="75"/>
      <c r="W220" s="75">
        <v>4</v>
      </c>
      <c r="X220" s="75">
        <v>51197</v>
      </c>
      <c r="Y220" s="75" t="str">
        <f ca="1">IF(I220="",IF(D220="","",IF(W220+X220&lt;15,"Données Nb pers ou RFR manquantes",IF(COUNTA(INDIRECT("TabRFR["&amp;YEAR(D220)&amp;"]"))&lt;&gt;COUNTA(TabRFR[Recherche RFR]),"Data RFR manquantes", IF(X220&lt;=INDEX(TabRFR[[2021]:[2025]],MATCH(BD!W220&amp;"-Très modestes",TabRFR[Recherche RFR],0),MATCH(TEXT(YEAR(BD!D220),"Standard"),TabRFR[[#Headers],[2021]:[2025]],0)),"Très Modeste",IF(X220&lt;=INDEX(TabRFR[[2021]:[2025]],MATCH(BD!W220&amp;"-modestes",TabRFR[Recherche RFR],0),MATCH(TEXT(YEAR(BD!D220),"Standard"),TabRFR[[#Headers],[2021]:[2025]],0)),"Modeste",IF(X220&lt;=INDEX(TabRFR[[2021]:[2025]],MATCH(BD!W220&amp;"-Intermédiaire",TabRFR[Recherche RFR],0),MATCH(TEXT(YEAR(BD!D220),"Standard"),TabRFR[[#Headers],[2021]:[2025]],0)),"Intermédiaire","Supérieur")))))),IF(D220="","",IF(W220+X220&lt;15,"Données Nb pers ou RFR manquantes",IF(COUNTA(INDIRECT("TabRFR["&amp;YEAR(I220)&amp;"]"))&lt;&gt;COUNTA(TabRFR[Recherche RFR]),"Data RFR manquantes", IF(X220&lt;=INDEX(TabRFR[[2021]:[2025]],MATCH(BD!W220&amp;"-Très modestes",TabRFR[Recherche RFR],0),MATCH(TEXT(YEAR(BD!I220),"Standard"),TabRFR[[#Headers],[2021]:[2025]],0)),"Très Modeste",IF(X220&lt;=INDEX(TabRFR[[2021]:[2025]],MATCH(BD!W220&amp;"-modestes",TabRFR[Recherche RFR],0),MATCH(TEXT(YEAR(BD!I220),"Standard"),TabRFR[[#Headers],[2021]:[2025]],0)),"Modeste",IF(X220&lt;=INDEX(TabRFR[[2021]:[2025]],MATCH(BD!W220&amp;"-Intermédiaire",TabRFR[Recherche RFR],0),MATCH(TEXT(YEAR(BD!I220),"Standard"),TabRFR[[#Headers],[2021]:[2025]],0)),"Intermédiaire","Supérieur")))))))</f>
        <v>Data RFR manquantes</v>
      </c>
      <c r="Z220" s="75"/>
      <c r="AA220" s="75" t="s">
        <v>1292</v>
      </c>
      <c r="AB220" s="75">
        <v>38210</v>
      </c>
      <c r="AC220" s="75" t="s">
        <v>445</v>
      </c>
      <c r="AD220" s="73"/>
      <c r="AE220" s="102"/>
      <c r="AF220" s="75" t="s">
        <v>95</v>
      </c>
      <c r="AG220" s="75"/>
      <c r="AH220" s="75">
        <v>42787</v>
      </c>
      <c r="AI220" s="75"/>
      <c r="AJ220" s="75"/>
      <c r="AK220" s="75"/>
      <c r="AL220" s="75"/>
      <c r="AM220" s="75" t="s">
        <v>1886</v>
      </c>
      <c r="AN220" s="75" t="s">
        <v>195</v>
      </c>
      <c r="AO220" s="75" t="s">
        <v>1290</v>
      </c>
      <c r="AP220" s="75" t="s">
        <v>97</v>
      </c>
      <c r="AQ220" s="75"/>
      <c r="AR220" s="75">
        <v>43309</v>
      </c>
      <c r="AS220" s="102"/>
      <c r="AT220" s="101">
        <v>476065876</v>
      </c>
      <c r="AU220" s="75" t="s">
        <v>99</v>
      </c>
      <c r="AV220" s="75">
        <v>1974</v>
      </c>
      <c r="AW220" s="75" t="s">
        <v>100</v>
      </c>
      <c r="AX220" s="75" t="s">
        <v>112</v>
      </c>
      <c r="AY220" s="75" t="s">
        <v>1017</v>
      </c>
      <c r="AZ220" s="75" t="s">
        <v>1289</v>
      </c>
      <c r="BA220" s="75">
        <v>33</v>
      </c>
      <c r="BB220" s="75">
        <v>8.4</v>
      </c>
      <c r="BC220" s="75">
        <v>77</v>
      </c>
      <c r="BD220" s="75">
        <v>0.11</v>
      </c>
      <c r="BE220" s="75" t="s">
        <v>97</v>
      </c>
      <c r="BF220" s="75"/>
      <c r="BG220" s="75">
        <v>1801.5</v>
      </c>
      <c r="BH220" s="75"/>
      <c r="BI220" s="75"/>
      <c r="BJ220" s="75"/>
      <c r="BK220" s="75">
        <v>640</v>
      </c>
      <c r="BL220" s="75">
        <f t="shared" si="9"/>
        <v>2441.5</v>
      </c>
      <c r="BM220" s="103">
        <f t="shared" si="10"/>
        <v>134.2825</v>
      </c>
      <c r="BN220" s="103">
        <f t="shared" si="11"/>
        <v>2575.7824999999998</v>
      </c>
      <c r="BO220" s="103">
        <v>2575.7800000000002</v>
      </c>
      <c r="BP220" s="75" t="s">
        <v>104</v>
      </c>
      <c r="BQ220" s="74">
        <v>43420</v>
      </c>
      <c r="BR220" s="75"/>
      <c r="BS220" s="157">
        <v>2017</v>
      </c>
      <c r="BT220">
        <v>2020</v>
      </c>
      <c r="BU220">
        <v>2017</v>
      </c>
    </row>
    <row r="221" spans="1:73" ht="43.15" customHeight="1" x14ac:dyDescent="0.25">
      <c r="A221" s="242" t="s">
        <v>186</v>
      </c>
      <c r="B221" s="242" t="s">
        <v>1288</v>
      </c>
      <c r="C221" s="159">
        <v>400</v>
      </c>
      <c r="D221" s="114">
        <v>42927</v>
      </c>
      <c r="E221" s="114"/>
      <c r="F221" s="114"/>
      <c r="G221" s="114"/>
      <c r="H221" s="114">
        <v>42954</v>
      </c>
      <c r="I221" s="114">
        <v>42954</v>
      </c>
      <c r="J221" s="114">
        <v>42971</v>
      </c>
      <c r="K221" s="114"/>
      <c r="L221" s="114">
        <v>43021</v>
      </c>
      <c r="M221" s="114">
        <v>42994</v>
      </c>
      <c r="N221" s="114" t="s">
        <v>1287</v>
      </c>
      <c r="O221" s="114">
        <v>43042</v>
      </c>
      <c r="P221" s="114">
        <v>43042</v>
      </c>
      <c r="Q221" s="114">
        <v>43048</v>
      </c>
      <c r="R221" s="80"/>
      <c r="S221" s="114"/>
      <c r="T221" s="75"/>
      <c r="U221" s="75"/>
      <c r="V221" s="75"/>
      <c r="W221" s="75">
        <v>4</v>
      </c>
      <c r="X221" s="75">
        <v>63695</v>
      </c>
      <c r="Y221" s="75" t="str">
        <f ca="1">IF(I221="",IF(D221="","",IF(W221+X221&lt;15,"Données Nb pers ou RFR manquantes",IF(COUNTA(INDIRECT("TabRFR["&amp;YEAR(D221)&amp;"]"))&lt;&gt;COUNTA(TabRFR[Recherche RFR]),"Data RFR manquantes", IF(X221&lt;=INDEX(TabRFR[[2021]:[2025]],MATCH(BD!W221&amp;"-Très modestes",TabRFR[Recherche RFR],0),MATCH(TEXT(YEAR(BD!D221),"Standard"),TabRFR[[#Headers],[2021]:[2025]],0)),"Très Modeste",IF(X221&lt;=INDEX(TabRFR[[2021]:[2025]],MATCH(BD!W221&amp;"-modestes",TabRFR[Recherche RFR],0),MATCH(TEXT(YEAR(BD!D221),"Standard"),TabRFR[[#Headers],[2021]:[2025]],0)),"Modeste",IF(X221&lt;=INDEX(TabRFR[[2021]:[2025]],MATCH(BD!W221&amp;"-Intermédiaire",TabRFR[Recherche RFR],0),MATCH(TEXT(YEAR(BD!D221),"Standard"),TabRFR[[#Headers],[2021]:[2025]],0)),"Intermédiaire","Supérieur")))))),IF(D221="","",IF(W221+X221&lt;15,"Données Nb pers ou RFR manquantes",IF(COUNTA(INDIRECT("TabRFR["&amp;YEAR(I221)&amp;"]"))&lt;&gt;COUNTA(TabRFR[Recherche RFR]),"Data RFR manquantes", IF(X221&lt;=INDEX(TabRFR[[2021]:[2025]],MATCH(BD!W221&amp;"-Très modestes",TabRFR[Recherche RFR],0),MATCH(TEXT(YEAR(BD!I221),"Standard"),TabRFR[[#Headers],[2021]:[2025]],0)),"Très Modeste",IF(X221&lt;=INDEX(TabRFR[[2021]:[2025]],MATCH(BD!W221&amp;"-modestes",TabRFR[Recherche RFR],0),MATCH(TEXT(YEAR(BD!I221),"Standard"),TabRFR[[#Headers],[2021]:[2025]],0)),"Modeste",IF(X221&lt;=INDEX(TabRFR[[2021]:[2025]],MATCH(BD!W221&amp;"-Intermédiaire",TabRFR[Recherche RFR],0),MATCH(TEXT(YEAR(BD!I221),"Standard"),TabRFR[[#Headers],[2021]:[2025]],0)),"Intermédiaire","Supérieur")))))))</f>
        <v>Data RFR manquantes</v>
      </c>
      <c r="Z221" s="75"/>
      <c r="AA221" s="75" t="s">
        <v>1284</v>
      </c>
      <c r="AB221" s="75">
        <v>38340</v>
      </c>
      <c r="AC221" s="75" t="s">
        <v>108</v>
      </c>
      <c r="AD221" s="73"/>
      <c r="AE221" s="102"/>
      <c r="AF221" s="75" t="s">
        <v>95</v>
      </c>
      <c r="AG221" s="75"/>
      <c r="AH221" s="75"/>
      <c r="AI221" s="75"/>
      <c r="AJ221" s="75"/>
      <c r="AK221" s="75"/>
      <c r="AL221" s="75"/>
      <c r="AM221" s="75" t="s">
        <v>1282</v>
      </c>
      <c r="AN221" s="75" t="s">
        <v>4064</v>
      </c>
      <c r="AO221" s="75" t="s">
        <v>1281</v>
      </c>
      <c r="AP221" s="75" t="s">
        <v>97</v>
      </c>
      <c r="AQ221" s="75"/>
      <c r="AR221" s="75">
        <v>42991</v>
      </c>
      <c r="AS221" s="102" t="s">
        <v>1280</v>
      </c>
      <c r="AT221" s="101">
        <v>489087542</v>
      </c>
      <c r="AU221" s="75" t="s">
        <v>111</v>
      </c>
      <c r="AV221" s="75">
        <v>1986</v>
      </c>
      <c r="AW221" s="75" t="s">
        <v>100</v>
      </c>
      <c r="AX221" s="75" t="s">
        <v>112</v>
      </c>
      <c r="AY221" s="75" t="s">
        <v>700</v>
      </c>
      <c r="AZ221" s="75" t="s">
        <v>1279</v>
      </c>
      <c r="BA221" s="75">
        <v>14.9</v>
      </c>
      <c r="BB221" s="75">
        <v>9.5500000000000007</v>
      </c>
      <c r="BC221" s="75">
        <v>90</v>
      </c>
      <c r="BD221" s="75">
        <v>8.0000000000000002E-3</v>
      </c>
      <c r="BE221" s="75" t="s">
        <v>97</v>
      </c>
      <c r="BF221" s="75"/>
      <c r="BG221" s="75">
        <v>7045</v>
      </c>
      <c r="BH221" s="75"/>
      <c r="BI221" s="75"/>
      <c r="BJ221" s="75"/>
      <c r="BK221" s="75">
        <v>1300</v>
      </c>
      <c r="BL221" s="75">
        <f t="shared" si="9"/>
        <v>8345</v>
      </c>
      <c r="BM221" s="103">
        <f t="shared" si="10"/>
        <v>458.97500000000002</v>
      </c>
      <c r="BN221" s="103">
        <f t="shared" si="11"/>
        <v>8803.9750000000004</v>
      </c>
      <c r="BO221" s="103">
        <v>12620.07</v>
      </c>
      <c r="BP221" s="75" t="s">
        <v>97</v>
      </c>
      <c r="BQ221" s="74">
        <v>43420</v>
      </c>
      <c r="BR221" s="75"/>
      <c r="BS221" s="157">
        <v>2017</v>
      </c>
      <c r="BT221">
        <v>2020</v>
      </c>
      <c r="BU221">
        <v>2017</v>
      </c>
    </row>
    <row r="222" spans="1:73" ht="43.15" customHeight="1" x14ac:dyDescent="0.25">
      <c r="A222" s="242" t="s">
        <v>186</v>
      </c>
      <c r="B222" s="242" t="s">
        <v>1278</v>
      </c>
      <c r="C222" s="159">
        <v>800</v>
      </c>
      <c r="D222" s="114">
        <v>42927</v>
      </c>
      <c r="E222" s="114"/>
      <c r="F222" s="114"/>
      <c r="G222" s="114" t="s">
        <v>1277</v>
      </c>
      <c r="H222" s="114">
        <v>42978</v>
      </c>
      <c r="I222" s="114">
        <v>42978</v>
      </c>
      <c r="J222" s="114">
        <v>42985</v>
      </c>
      <c r="K222" s="114"/>
      <c r="L222" s="114">
        <v>43074</v>
      </c>
      <c r="M222" s="114">
        <v>43035</v>
      </c>
      <c r="N222" s="114" t="s">
        <v>1276</v>
      </c>
      <c r="O222" s="114">
        <v>43123</v>
      </c>
      <c r="P222" s="114">
        <v>43123</v>
      </c>
      <c r="Q222" s="114">
        <v>43130</v>
      </c>
      <c r="R222" s="100"/>
      <c r="S222" s="114"/>
      <c r="T222" s="75"/>
      <c r="U222" s="75"/>
      <c r="V222" s="75"/>
      <c r="W222" s="75">
        <v>1</v>
      </c>
      <c r="X222" s="75">
        <v>8612</v>
      </c>
      <c r="Y222" s="75" t="str">
        <f ca="1">IF(I222="",IF(D222="","",IF(W222+X222&lt;15,"Données Nb pers ou RFR manquantes",IF(COUNTA(INDIRECT("TabRFR["&amp;YEAR(D222)&amp;"]"))&lt;&gt;COUNTA(TabRFR[Recherche RFR]),"Data RFR manquantes", IF(X222&lt;=INDEX(TabRFR[[2021]:[2025]],MATCH(BD!W222&amp;"-Très modestes",TabRFR[Recherche RFR],0),MATCH(TEXT(YEAR(BD!D222),"Standard"),TabRFR[[#Headers],[2021]:[2025]],0)),"Très Modeste",IF(X222&lt;=INDEX(TabRFR[[2021]:[2025]],MATCH(BD!W222&amp;"-modestes",TabRFR[Recherche RFR],0),MATCH(TEXT(YEAR(BD!D222),"Standard"),TabRFR[[#Headers],[2021]:[2025]],0)),"Modeste",IF(X222&lt;=INDEX(TabRFR[[2021]:[2025]],MATCH(BD!W222&amp;"-Intermédiaire",TabRFR[Recherche RFR],0),MATCH(TEXT(YEAR(BD!D222),"Standard"),TabRFR[[#Headers],[2021]:[2025]],0)),"Intermédiaire","Supérieur")))))),IF(D222="","",IF(W222+X222&lt;15,"Données Nb pers ou RFR manquantes",IF(COUNTA(INDIRECT("TabRFR["&amp;YEAR(I222)&amp;"]"))&lt;&gt;COUNTA(TabRFR[Recherche RFR]),"Data RFR manquantes", IF(X222&lt;=INDEX(TabRFR[[2021]:[2025]],MATCH(BD!W222&amp;"-Très modestes",TabRFR[Recherche RFR],0),MATCH(TEXT(YEAR(BD!I222),"Standard"),TabRFR[[#Headers],[2021]:[2025]],0)),"Très Modeste",IF(X222&lt;=INDEX(TabRFR[[2021]:[2025]],MATCH(BD!W222&amp;"-modestes",TabRFR[Recherche RFR],0),MATCH(TEXT(YEAR(BD!I222),"Standard"),TabRFR[[#Headers],[2021]:[2025]],0)),"Modeste",IF(X222&lt;=INDEX(TabRFR[[2021]:[2025]],MATCH(BD!W222&amp;"-Intermédiaire",TabRFR[Recherche RFR],0),MATCH(TEXT(YEAR(BD!I222),"Standard"),TabRFR[[#Headers],[2021]:[2025]],0)),"Intermédiaire","Supérieur")))))))</f>
        <v>Data RFR manquantes</v>
      </c>
      <c r="Z222" s="75"/>
      <c r="AA222" s="75" t="s">
        <v>1273</v>
      </c>
      <c r="AB222" s="75">
        <v>38850</v>
      </c>
      <c r="AC222" s="75" t="s">
        <v>242</v>
      </c>
      <c r="AD222" s="73"/>
      <c r="AE222" s="102"/>
      <c r="AF222" s="75" t="s">
        <v>95</v>
      </c>
      <c r="AG222" s="75"/>
      <c r="AH222" s="75">
        <v>42923</v>
      </c>
      <c r="AI222" s="75"/>
      <c r="AJ222" s="75"/>
      <c r="AK222" s="75"/>
      <c r="AL222" s="75"/>
      <c r="AM222" s="75" t="s">
        <v>3973</v>
      </c>
      <c r="AN222" s="75" t="s">
        <v>96</v>
      </c>
      <c r="AO222" s="75"/>
      <c r="AP222" s="75" t="s">
        <v>97</v>
      </c>
      <c r="AQ222" s="75"/>
      <c r="AR222" s="75">
        <v>43361</v>
      </c>
      <c r="AS222" s="102" t="s">
        <v>141</v>
      </c>
      <c r="AT222" s="101">
        <v>476069938</v>
      </c>
      <c r="AU222" s="75" t="s">
        <v>99</v>
      </c>
      <c r="AV222" s="75">
        <v>1971</v>
      </c>
      <c r="AW222" s="75" t="s">
        <v>100</v>
      </c>
      <c r="AX222" s="75" t="s">
        <v>112</v>
      </c>
      <c r="AY222" s="75" t="s">
        <v>144</v>
      </c>
      <c r="AZ222" s="75" t="s">
        <v>1271</v>
      </c>
      <c r="BA222" s="75">
        <v>35</v>
      </c>
      <c r="BB222" s="75">
        <v>5.9</v>
      </c>
      <c r="BC222" s="75">
        <v>80.2</v>
      </c>
      <c r="BD222" s="75">
        <v>0.09</v>
      </c>
      <c r="BE222" s="75" t="s">
        <v>97</v>
      </c>
      <c r="BF222" s="75"/>
      <c r="BG222" s="75">
        <v>3402</v>
      </c>
      <c r="BH222" s="75"/>
      <c r="BI222" s="75"/>
      <c r="BJ222" s="75"/>
      <c r="BK222" s="75">
        <v>650</v>
      </c>
      <c r="BL222" s="75">
        <f t="shared" si="9"/>
        <v>4052</v>
      </c>
      <c r="BM222" s="103">
        <f t="shared" si="10"/>
        <v>222.86</v>
      </c>
      <c r="BN222" s="103">
        <f t="shared" si="11"/>
        <v>4274.8599999999997</v>
      </c>
      <c r="BO222" s="103">
        <v>4322.04</v>
      </c>
      <c r="BP222" s="75" t="s">
        <v>97</v>
      </c>
      <c r="BQ222" s="74">
        <v>43420</v>
      </c>
      <c r="BR222" s="75"/>
      <c r="BS222" s="157">
        <v>2017</v>
      </c>
      <c r="BT222">
        <v>2020</v>
      </c>
      <c r="BU222">
        <v>2017</v>
      </c>
    </row>
    <row r="223" spans="1:73" ht="43.15" customHeight="1" x14ac:dyDescent="0.25">
      <c r="A223" s="242" t="s">
        <v>186</v>
      </c>
      <c r="B223" s="242" t="s">
        <v>1270</v>
      </c>
      <c r="C223" s="159">
        <v>800</v>
      </c>
      <c r="D223" s="114">
        <v>42927</v>
      </c>
      <c r="E223" s="114"/>
      <c r="F223" s="114"/>
      <c r="G223" s="114" t="s">
        <v>1207</v>
      </c>
      <c r="H223" s="114">
        <v>42969</v>
      </c>
      <c r="I223" s="114">
        <v>42969</v>
      </c>
      <c r="J223" s="114">
        <v>42975</v>
      </c>
      <c r="K223" s="114"/>
      <c r="L223" s="114">
        <v>43074</v>
      </c>
      <c r="M223" s="114">
        <v>43053</v>
      </c>
      <c r="N223" s="114" t="s">
        <v>1269</v>
      </c>
      <c r="O223" s="114">
        <v>43082</v>
      </c>
      <c r="P223" s="114">
        <v>43082</v>
      </c>
      <c r="Q223" s="114">
        <v>43084</v>
      </c>
      <c r="R223" s="100"/>
      <c r="S223" s="114"/>
      <c r="T223" s="75"/>
      <c r="U223" s="75"/>
      <c r="V223" s="75"/>
      <c r="W223" s="75">
        <v>2</v>
      </c>
      <c r="X223" s="75">
        <v>29373</v>
      </c>
      <c r="Y223" s="75" t="str">
        <f ca="1">IF(I223="",IF(D223="","",IF(W223+X223&lt;15,"Données Nb pers ou RFR manquantes",IF(COUNTA(INDIRECT("TabRFR["&amp;YEAR(D223)&amp;"]"))&lt;&gt;COUNTA(TabRFR[Recherche RFR]),"Data RFR manquantes", IF(X223&lt;=INDEX(TabRFR[[2021]:[2025]],MATCH(BD!W223&amp;"-Très modestes",TabRFR[Recherche RFR],0),MATCH(TEXT(YEAR(BD!D223),"Standard"),TabRFR[[#Headers],[2021]:[2025]],0)),"Très Modeste",IF(X223&lt;=INDEX(TabRFR[[2021]:[2025]],MATCH(BD!W223&amp;"-modestes",TabRFR[Recherche RFR],0),MATCH(TEXT(YEAR(BD!D223),"Standard"),TabRFR[[#Headers],[2021]:[2025]],0)),"Modeste",IF(X223&lt;=INDEX(TabRFR[[2021]:[2025]],MATCH(BD!W223&amp;"-Intermédiaire",TabRFR[Recherche RFR],0),MATCH(TEXT(YEAR(BD!D223),"Standard"),TabRFR[[#Headers],[2021]:[2025]],0)),"Intermédiaire","Supérieur")))))),IF(D223="","",IF(W223+X223&lt;15,"Données Nb pers ou RFR manquantes",IF(COUNTA(INDIRECT("TabRFR["&amp;YEAR(I223)&amp;"]"))&lt;&gt;COUNTA(TabRFR[Recherche RFR]),"Data RFR manquantes", IF(X223&lt;=INDEX(TabRFR[[2021]:[2025]],MATCH(BD!W223&amp;"-Très modestes",TabRFR[Recherche RFR],0),MATCH(TEXT(YEAR(BD!I223),"Standard"),TabRFR[[#Headers],[2021]:[2025]],0)),"Très Modeste",IF(X223&lt;=INDEX(TabRFR[[2021]:[2025]],MATCH(BD!W223&amp;"-modestes",TabRFR[Recherche RFR],0),MATCH(TEXT(YEAR(BD!I223),"Standard"),TabRFR[[#Headers],[2021]:[2025]],0)),"Modeste",IF(X223&lt;=INDEX(TabRFR[[2021]:[2025]],MATCH(BD!W223&amp;"-Intermédiaire",TabRFR[Recherche RFR],0),MATCH(TEXT(YEAR(BD!I223),"Standard"),TabRFR[[#Headers],[2021]:[2025]],0)),"Intermédiaire","Supérieur")))))))</f>
        <v>Data RFR manquantes</v>
      </c>
      <c r="Z223" s="75"/>
      <c r="AA223" s="75" t="s">
        <v>1267</v>
      </c>
      <c r="AB223" s="75">
        <v>38340</v>
      </c>
      <c r="AC223" s="75" t="s">
        <v>108</v>
      </c>
      <c r="AD223" s="73"/>
      <c r="AE223" s="102"/>
      <c r="AF223" s="75" t="s">
        <v>95</v>
      </c>
      <c r="AG223" s="75"/>
      <c r="AH223" s="75">
        <v>1978</v>
      </c>
      <c r="AI223" s="75"/>
      <c r="AJ223" s="75"/>
      <c r="AK223" s="75"/>
      <c r="AL223" s="75"/>
      <c r="AM223" s="75" t="s">
        <v>4035</v>
      </c>
      <c r="AN223" s="75" t="s">
        <v>108</v>
      </c>
      <c r="AO223" s="75"/>
      <c r="AP223" s="75" t="s">
        <v>97</v>
      </c>
      <c r="AQ223" s="75"/>
      <c r="AR223" s="75">
        <v>43279</v>
      </c>
      <c r="AS223" s="102" t="s">
        <v>110</v>
      </c>
      <c r="AT223" s="101">
        <v>476500550</v>
      </c>
      <c r="AU223" s="75" t="s">
        <v>111</v>
      </c>
      <c r="AV223" s="75">
        <v>1980</v>
      </c>
      <c r="AW223" s="75" t="s">
        <v>111</v>
      </c>
      <c r="AX223" s="75" t="s">
        <v>112</v>
      </c>
      <c r="AY223" s="75" t="s">
        <v>113</v>
      </c>
      <c r="AZ223" s="75" t="s">
        <v>1265</v>
      </c>
      <c r="BA223" s="75">
        <v>30</v>
      </c>
      <c r="BB223" s="75">
        <v>9</v>
      </c>
      <c r="BC223" s="75">
        <v>78</v>
      </c>
      <c r="BD223" s="75">
        <v>0.11</v>
      </c>
      <c r="BE223" s="75" t="s">
        <v>97</v>
      </c>
      <c r="BF223" s="75"/>
      <c r="BG223" s="75">
        <v>2108.35</v>
      </c>
      <c r="BH223" s="75"/>
      <c r="BI223" s="75"/>
      <c r="BJ223" s="75"/>
      <c r="BK223" s="75">
        <v>2070</v>
      </c>
      <c r="BL223" s="75">
        <f t="shared" si="9"/>
        <v>4178.3500000000004</v>
      </c>
      <c r="BM223" s="103">
        <f t="shared" si="10"/>
        <v>229.80925000000002</v>
      </c>
      <c r="BN223" s="103">
        <f t="shared" si="11"/>
        <v>4408.1592500000006</v>
      </c>
      <c r="BO223" s="103"/>
      <c r="BP223" s="75" t="s">
        <v>97</v>
      </c>
      <c r="BQ223" s="74">
        <v>43420</v>
      </c>
      <c r="BR223" s="75"/>
      <c r="BS223" s="157">
        <v>2017</v>
      </c>
      <c r="BT223">
        <v>2020</v>
      </c>
      <c r="BU223">
        <v>2017</v>
      </c>
    </row>
    <row r="224" spans="1:73" ht="43.15" customHeight="1" x14ac:dyDescent="0.25">
      <c r="A224" s="242" t="s">
        <v>186</v>
      </c>
      <c r="B224" s="242" t="s">
        <v>1264</v>
      </c>
      <c r="C224" s="159">
        <v>400</v>
      </c>
      <c r="D224" s="114">
        <v>42928</v>
      </c>
      <c r="E224" s="114"/>
      <c r="F224" s="114"/>
      <c r="G224" s="114" t="s">
        <v>1263</v>
      </c>
      <c r="H224" s="114">
        <v>43323</v>
      </c>
      <c r="I224" s="114">
        <v>42958</v>
      </c>
      <c r="J224" s="114">
        <v>42971</v>
      </c>
      <c r="K224" s="114"/>
      <c r="L224" s="114">
        <v>43046</v>
      </c>
      <c r="M224" s="114">
        <v>43013</v>
      </c>
      <c r="N224" s="114"/>
      <c r="O224" s="114">
        <v>43054</v>
      </c>
      <c r="P224" s="114">
        <v>43054</v>
      </c>
      <c r="Q224" s="114">
        <v>43077</v>
      </c>
      <c r="R224" s="80"/>
      <c r="S224" s="114"/>
      <c r="T224" s="75"/>
      <c r="U224" s="75"/>
      <c r="V224" s="75"/>
      <c r="W224" s="75">
        <v>2</v>
      </c>
      <c r="X224" s="75">
        <v>49126</v>
      </c>
      <c r="Y224" s="75" t="str">
        <f ca="1">IF(I224="",IF(D224="","",IF(W224+X224&lt;15,"Données Nb pers ou RFR manquantes",IF(COUNTA(INDIRECT("TabRFR["&amp;YEAR(D224)&amp;"]"))&lt;&gt;COUNTA(TabRFR[Recherche RFR]),"Data RFR manquantes", IF(X224&lt;=INDEX(TabRFR[[2021]:[2025]],MATCH(BD!W224&amp;"-Très modestes",TabRFR[Recherche RFR],0),MATCH(TEXT(YEAR(BD!D224),"Standard"),TabRFR[[#Headers],[2021]:[2025]],0)),"Très Modeste",IF(X224&lt;=INDEX(TabRFR[[2021]:[2025]],MATCH(BD!W224&amp;"-modestes",TabRFR[Recherche RFR],0),MATCH(TEXT(YEAR(BD!D224),"Standard"),TabRFR[[#Headers],[2021]:[2025]],0)),"Modeste",IF(X224&lt;=INDEX(TabRFR[[2021]:[2025]],MATCH(BD!W224&amp;"-Intermédiaire",TabRFR[Recherche RFR],0),MATCH(TEXT(YEAR(BD!D224),"Standard"),TabRFR[[#Headers],[2021]:[2025]],0)),"Intermédiaire","Supérieur")))))),IF(D224="","",IF(W224+X224&lt;15,"Données Nb pers ou RFR manquantes",IF(COUNTA(INDIRECT("TabRFR["&amp;YEAR(I224)&amp;"]"))&lt;&gt;COUNTA(TabRFR[Recherche RFR]),"Data RFR manquantes", IF(X224&lt;=INDEX(TabRFR[[2021]:[2025]],MATCH(BD!W224&amp;"-Très modestes",TabRFR[Recherche RFR],0),MATCH(TEXT(YEAR(BD!I224),"Standard"),TabRFR[[#Headers],[2021]:[2025]],0)),"Très Modeste",IF(X224&lt;=INDEX(TabRFR[[2021]:[2025]],MATCH(BD!W224&amp;"-modestes",TabRFR[Recherche RFR],0),MATCH(TEXT(YEAR(BD!I224),"Standard"),TabRFR[[#Headers],[2021]:[2025]],0)),"Modeste",IF(X224&lt;=INDEX(TabRFR[[2021]:[2025]],MATCH(BD!W224&amp;"-Intermédiaire",TabRFR[Recherche RFR],0),MATCH(TEXT(YEAR(BD!I224),"Standard"),TabRFR[[#Headers],[2021]:[2025]],0)),"Intermédiaire","Supérieur")))))))</f>
        <v>Data RFR manquantes</v>
      </c>
      <c r="Z224" s="75"/>
      <c r="AA224" s="75" t="s">
        <v>1261</v>
      </c>
      <c r="AB224" s="75">
        <v>38340</v>
      </c>
      <c r="AC224" s="75" t="s">
        <v>108</v>
      </c>
      <c r="AD224" s="73"/>
      <c r="AE224" s="102"/>
      <c r="AF224" s="75" t="s">
        <v>95</v>
      </c>
      <c r="AG224" s="75"/>
      <c r="AH224" s="75">
        <v>42905</v>
      </c>
      <c r="AI224" s="75"/>
      <c r="AJ224" s="75"/>
      <c r="AK224" s="75"/>
      <c r="AL224" s="75"/>
      <c r="AM224" s="75" t="s">
        <v>4348</v>
      </c>
      <c r="AN224" s="75" t="s">
        <v>96</v>
      </c>
      <c r="AO224" s="75" t="s">
        <v>238</v>
      </c>
      <c r="AP224" s="75" t="s">
        <v>97</v>
      </c>
      <c r="AQ224" s="75"/>
      <c r="AR224" s="75">
        <v>42968</v>
      </c>
      <c r="AS224" s="102" t="s">
        <v>1259</v>
      </c>
      <c r="AT224" s="101">
        <v>476323235</v>
      </c>
      <c r="AU224" s="75" t="s">
        <v>99</v>
      </c>
      <c r="AV224" s="75">
        <v>1995</v>
      </c>
      <c r="AW224" s="75" t="s">
        <v>100</v>
      </c>
      <c r="AX224" s="75" t="s">
        <v>112</v>
      </c>
      <c r="AY224" s="75" t="s">
        <v>499</v>
      </c>
      <c r="AZ224" s="75" t="s">
        <v>1258</v>
      </c>
      <c r="BA224" s="75">
        <v>23</v>
      </c>
      <c r="BB224" s="75">
        <v>5.8</v>
      </c>
      <c r="BC224" s="75">
        <v>79</v>
      </c>
      <c r="BD224" s="75">
        <v>7.0000000000000007E-2</v>
      </c>
      <c r="BE224" s="75" t="s">
        <v>97</v>
      </c>
      <c r="BF224" s="75"/>
      <c r="BG224" s="75">
        <v>2461</v>
      </c>
      <c r="BH224" s="75"/>
      <c r="BI224" s="75"/>
      <c r="BJ224" s="75"/>
      <c r="BK224" s="75">
        <v>189</v>
      </c>
      <c r="BL224" s="75">
        <f t="shared" si="9"/>
        <v>2650</v>
      </c>
      <c r="BM224" s="103">
        <f t="shared" si="10"/>
        <v>145.75</v>
      </c>
      <c r="BN224" s="103">
        <f t="shared" si="11"/>
        <v>2795.75</v>
      </c>
      <c r="BO224" s="103">
        <f>2043.8+341+3067.94</f>
        <v>5452.74</v>
      </c>
      <c r="BP224" s="75" t="s">
        <v>97</v>
      </c>
      <c r="BQ224" s="74">
        <v>43420</v>
      </c>
      <c r="BR224" s="75"/>
      <c r="BS224" s="157">
        <v>2017</v>
      </c>
      <c r="BT224">
        <v>2020</v>
      </c>
      <c r="BU224">
        <v>2017</v>
      </c>
    </row>
    <row r="225" spans="1:73" ht="43.15" customHeight="1" x14ac:dyDescent="0.25">
      <c r="A225" s="242" t="s">
        <v>186</v>
      </c>
      <c r="B225" s="242" t="s">
        <v>1257</v>
      </c>
      <c r="C225" s="159">
        <v>400</v>
      </c>
      <c r="D225" s="114">
        <v>42928</v>
      </c>
      <c r="E225" s="114"/>
      <c r="F225" s="114"/>
      <c r="G225" s="114" t="s">
        <v>1256</v>
      </c>
      <c r="H225" s="114">
        <v>42958</v>
      </c>
      <c r="I225" s="114">
        <v>42958</v>
      </c>
      <c r="J225" s="114">
        <v>42971</v>
      </c>
      <c r="K225" s="114"/>
      <c r="L225" s="114">
        <v>43060</v>
      </c>
      <c r="M225" s="114">
        <v>43000</v>
      </c>
      <c r="N225" s="114" t="s">
        <v>1255</v>
      </c>
      <c r="O225" s="114">
        <v>43087</v>
      </c>
      <c r="P225" s="114">
        <v>43087</v>
      </c>
      <c r="Q225" s="114">
        <v>43130</v>
      </c>
      <c r="R225" s="80"/>
      <c r="S225" s="114"/>
      <c r="T225" s="75"/>
      <c r="U225" s="75"/>
      <c r="V225" s="75"/>
      <c r="W225" s="75">
        <v>4</v>
      </c>
      <c r="X225" s="75"/>
      <c r="Y225" s="75" t="str">
        <f ca="1">IF(I225="",IF(D225="","",IF(W225+X225&lt;15,"Données Nb pers ou RFR manquantes",IF(COUNTA(INDIRECT("TabRFR["&amp;YEAR(D225)&amp;"]"))&lt;&gt;COUNTA(TabRFR[Recherche RFR]),"Data RFR manquantes", IF(X225&lt;=INDEX(TabRFR[[2021]:[2025]],MATCH(BD!W225&amp;"-Très modestes",TabRFR[Recherche RFR],0),MATCH(TEXT(YEAR(BD!D225),"Standard"),TabRFR[[#Headers],[2021]:[2025]],0)),"Très Modeste",IF(X225&lt;=INDEX(TabRFR[[2021]:[2025]],MATCH(BD!W225&amp;"-modestes",TabRFR[Recherche RFR],0),MATCH(TEXT(YEAR(BD!D225),"Standard"),TabRFR[[#Headers],[2021]:[2025]],0)),"Modeste",IF(X225&lt;=INDEX(TabRFR[[2021]:[2025]],MATCH(BD!W225&amp;"-Intermédiaire",TabRFR[Recherche RFR],0),MATCH(TEXT(YEAR(BD!D225),"Standard"),TabRFR[[#Headers],[2021]:[2025]],0)),"Intermédiaire","Supérieur")))))),IF(D225="","",IF(W225+X225&lt;15,"Données Nb pers ou RFR manquantes",IF(COUNTA(INDIRECT("TabRFR["&amp;YEAR(I225)&amp;"]"))&lt;&gt;COUNTA(TabRFR[Recherche RFR]),"Data RFR manquantes", IF(X225&lt;=INDEX(TabRFR[[2021]:[2025]],MATCH(BD!W225&amp;"-Très modestes",TabRFR[Recherche RFR],0),MATCH(TEXT(YEAR(BD!I225),"Standard"),TabRFR[[#Headers],[2021]:[2025]],0)),"Très Modeste",IF(X225&lt;=INDEX(TabRFR[[2021]:[2025]],MATCH(BD!W225&amp;"-modestes",TabRFR[Recherche RFR],0),MATCH(TEXT(YEAR(BD!I225),"Standard"),TabRFR[[#Headers],[2021]:[2025]],0)),"Modeste",IF(X225&lt;=INDEX(TabRFR[[2021]:[2025]],MATCH(BD!W225&amp;"-Intermédiaire",TabRFR[Recherche RFR],0),MATCH(TEXT(YEAR(BD!I225),"Standard"),TabRFR[[#Headers],[2021]:[2025]],0)),"Intermédiaire","Supérieur")))))))</f>
        <v>Données Nb pers ou RFR manquantes</v>
      </c>
      <c r="Z225" s="75"/>
      <c r="AA225" s="75" t="s">
        <v>1252</v>
      </c>
      <c r="AB225" s="75">
        <v>38140</v>
      </c>
      <c r="AC225" s="75" t="s">
        <v>363</v>
      </c>
      <c r="AD225" s="73"/>
      <c r="AE225" s="102"/>
      <c r="AF225" s="75" t="s">
        <v>95</v>
      </c>
      <c r="AG225" s="75"/>
      <c r="AH225" s="75">
        <v>1999</v>
      </c>
      <c r="AI225" s="75"/>
      <c r="AJ225" s="75"/>
      <c r="AK225" s="75"/>
      <c r="AL225" s="75"/>
      <c r="AM225" s="75" t="s">
        <v>4383</v>
      </c>
      <c r="AN225" s="75" t="s">
        <v>451</v>
      </c>
      <c r="AO225" s="75" t="s">
        <v>1250</v>
      </c>
      <c r="AP225" s="75" t="s">
        <v>97</v>
      </c>
      <c r="AQ225" s="75"/>
      <c r="AR225" s="75"/>
      <c r="AS225" s="102" t="s">
        <v>585</v>
      </c>
      <c r="AT225" s="101">
        <v>474432868</v>
      </c>
      <c r="AU225" s="75" t="s">
        <v>111</v>
      </c>
      <c r="AV225" s="75">
        <v>1999</v>
      </c>
      <c r="AW225" s="75" t="s">
        <v>100</v>
      </c>
      <c r="AX225" s="77" t="s">
        <v>112</v>
      </c>
      <c r="AY225" s="75" t="s">
        <v>1249</v>
      </c>
      <c r="AZ225" s="75" t="s">
        <v>1248</v>
      </c>
      <c r="BA225" s="75">
        <v>18</v>
      </c>
      <c r="BB225" s="75">
        <v>6</v>
      </c>
      <c r="BC225" s="75">
        <v>81</v>
      </c>
      <c r="BD225" s="75">
        <v>7.0000000000000007E-2</v>
      </c>
      <c r="BE225" s="75" t="s">
        <v>374</v>
      </c>
      <c r="BF225" s="75"/>
      <c r="BG225" s="75">
        <v>3961</v>
      </c>
      <c r="BH225" s="75"/>
      <c r="BI225" s="75"/>
      <c r="BJ225" s="75"/>
      <c r="BK225" s="75">
        <v>600</v>
      </c>
      <c r="BL225" s="75">
        <f t="shared" si="9"/>
        <v>4561</v>
      </c>
      <c r="BM225" s="103">
        <f t="shared" si="10"/>
        <v>250.85499999999999</v>
      </c>
      <c r="BN225" s="103">
        <f t="shared" si="11"/>
        <v>4811.8549999999996</v>
      </c>
      <c r="BO225" s="103">
        <v>6100</v>
      </c>
      <c r="BP225" s="75" t="s">
        <v>97</v>
      </c>
      <c r="BQ225" s="74">
        <v>43420</v>
      </c>
      <c r="BR225" s="75"/>
      <c r="BS225" s="157">
        <v>2017</v>
      </c>
      <c r="BT225">
        <v>2020</v>
      </c>
      <c r="BU225">
        <v>2017</v>
      </c>
    </row>
    <row r="226" spans="1:73" ht="43.15" customHeight="1" x14ac:dyDescent="0.25">
      <c r="A226" s="242" t="s">
        <v>1241</v>
      </c>
      <c r="B226" s="242" t="s">
        <v>1247</v>
      </c>
      <c r="C226" s="159">
        <v>800</v>
      </c>
      <c r="D226" s="114">
        <v>42934</v>
      </c>
      <c r="E226" s="114"/>
      <c r="F226" s="114"/>
      <c r="G226" s="114"/>
      <c r="H226" s="114">
        <v>42958</v>
      </c>
      <c r="I226" s="114">
        <v>42958</v>
      </c>
      <c r="J226" s="114">
        <v>42971</v>
      </c>
      <c r="K226" s="114"/>
      <c r="L226" s="114">
        <v>43041</v>
      </c>
      <c r="M226" s="114">
        <v>42988</v>
      </c>
      <c r="N226" s="114"/>
      <c r="O226" s="114">
        <v>43042</v>
      </c>
      <c r="P226" s="114">
        <v>43042</v>
      </c>
      <c r="Q226" s="114">
        <v>43048</v>
      </c>
      <c r="R226" s="100"/>
      <c r="S226" s="114"/>
      <c r="T226" s="75"/>
      <c r="U226" s="75"/>
      <c r="V226" s="75"/>
      <c r="W226" s="75">
        <v>2</v>
      </c>
      <c r="X226" s="75">
        <v>24591</v>
      </c>
      <c r="Y226" s="75" t="str">
        <f ca="1">IF(I226="",IF(D226="","",IF(W226+X226&lt;15,"Données Nb pers ou RFR manquantes",IF(COUNTA(INDIRECT("TabRFR["&amp;YEAR(D226)&amp;"]"))&lt;&gt;COUNTA(TabRFR[Recherche RFR]),"Data RFR manquantes", IF(X226&lt;=INDEX(TabRFR[[2021]:[2025]],MATCH(BD!W226&amp;"-Très modestes",TabRFR[Recherche RFR],0),MATCH(TEXT(YEAR(BD!D226),"Standard"),TabRFR[[#Headers],[2021]:[2025]],0)),"Très Modeste",IF(X226&lt;=INDEX(TabRFR[[2021]:[2025]],MATCH(BD!W226&amp;"-modestes",TabRFR[Recherche RFR],0),MATCH(TEXT(YEAR(BD!D226),"Standard"),TabRFR[[#Headers],[2021]:[2025]],0)),"Modeste",IF(X226&lt;=INDEX(TabRFR[[2021]:[2025]],MATCH(BD!W226&amp;"-Intermédiaire",TabRFR[Recherche RFR],0),MATCH(TEXT(YEAR(BD!D226),"Standard"),TabRFR[[#Headers],[2021]:[2025]],0)),"Intermédiaire","Supérieur")))))),IF(D226="","",IF(W226+X226&lt;15,"Données Nb pers ou RFR manquantes",IF(COUNTA(INDIRECT("TabRFR["&amp;YEAR(I226)&amp;"]"))&lt;&gt;COUNTA(TabRFR[Recherche RFR]),"Data RFR manquantes", IF(X226&lt;=INDEX(TabRFR[[2021]:[2025]],MATCH(BD!W226&amp;"-Très modestes",TabRFR[Recherche RFR],0),MATCH(TEXT(YEAR(BD!I226),"Standard"),TabRFR[[#Headers],[2021]:[2025]],0)),"Très Modeste",IF(X226&lt;=INDEX(TabRFR[[2021]:[2025]],MATCH(BD!W226&amp;"-modestes",TabRFR[Recherche RFR],0),MATCH(TEXT(YEAR(BD!I226),"Standard"),TabRFR[[#Headers],[2021]:[2025]],0)),"Modeste",IF(X226&lt;=INDEX(TabRFR[[2021]:[2025]],MATCH(BD!W226&amp;"-Intermédiaire",TabRFR[Recherche RFR],0),MATCH(TEXT(YEAR(BD!I226),"Standard"),TabRFR[[#Headers],[2021]:[2025]],0)),"Intermédiaire","Supérieur")))))))</f>
        <v>Data RFR manquantes</v>
      </c>
      <c r="Z226" s="75"/>
      <c r="AA226" s="75" t="s">
        <v>1244</v>
      </c>
      <c r="AB226" s="75">
        <v>38210</v>
      </c>
      <c r="AC226" s="75" t="s">
        <v>195</v>
      </c>
      <c r="AD226" s="73"/>
      <c r="AE226" s="102"/>
      <c r="AF226" s="75" t="s">
        <v>95</v>
      </c>
      <c r="AG226" s="75">
        <v>33</v>
      </c>
      <c r="AH226" s="75">
        <v>29527</v>
      </c>
      <c r="AI226" s="75"/>
      <c r="AJ226" s="75"/>
      <c r="AK226" s="75"/>
      <c r="AL226" s="75"/>
      <c r="AM226" s="75" t="s">
        <v>218</v>
      </c>
      <c r="AN226" s="75" t="s">
        <v>217</v>
      </c>
      <c r="AO226" s="75" t="s">
        <v>219</v>
      </c>
      <c r="AP226" s="75" t="s">
        <v>97</v>
      </c>
      <c r="AQ226" s="75"/>
      <c r="AR226" s="75">
        <v>43034</v>
      </c>
      <c r="AS226" s="102" t="s">
        <v>220</v>
      </c>
      <c r="AT226" s="101" t="s">
        <v>1243</v>
      </c>
      <c r="AU226" s="75" t="s">
        <v>99</v>
      </c>
      <c r="AV226" s="75" t="s">
        <v>9</v>
      </c>
      <c r="AW226" s="75" t="s">
        <v>111</v>
      </c>
      <c r="AX226" s="75" t="s">
        <v>112</v>
      </c>
      <c r="AY226" s="75" t="s">
        <v>121</v>
      </c>
      <c r="AZ226" s="75" t="s">
        <v>1242</v>
      </c>
      <c r="BA226" s="75">
        <v>26</v>
      </c>
      <c r="BB226" s="75">
        <v>8</v>
      </c>
      <c r="BC226" s="75">
        <v>81</v>
      </c>
      <c r="BD226" s="75">
        <v>7.0000000000000007E-2</v>
      </c>
      <c r="BE226" s="75" t="s">
        <v>724</v>
      </c>
      <c r="BF226" s="75"/>
      <c r="BG226" s="75">
        <v>2742.5</v>
      </c>
      <c r="BH226" s="75"/>
      <c r="BI226" s="75"/>
      <c r="BJ226" s="75"/>
      <c r="BK226" s="75">
        <v>1332.03</v>
      </c>
      <c r="BL226" s="75">
        <f t="shared" si="9"/>
        <v>4074.5299999999997</v>
      </c>
      <c r="BM226" s="103">
        <f t="shared" si="10"/>
        <v>224.09914999999998</v>
      </c>
      <c r="BN226" s="103">
        <f t="shared" si="11"/>
        <v>4298.6291499999998</v>
      </c>
      <c r="BO226" s="103">
        <v>4298.63</v>
      </c>
      <c r="BP226" s="75" t="s">
        <v>97</v>
      </c>
      <c r="BQ226" s="74">
        <v>43420</v>
      </c>
      <c r="BR226" s="75"/>
      <c r="BS226" s="157">
        <v>2017</v>
      </c>
      <c r="BT226">
        <v>2020</v>
      </c>
      <c r="BU226">
        <v>2017</v>
      </c>
    </row>
    <row r="227" spans="1:73" ht="43.15" customHeight="1" x14ac:dyDescent="0.25">
      <c r="A227" s="242" t="s">
        <v>1241</v>
      </c>
      <c r="B227" s="242" t="s">
        <v>1240</v>
      </c>
      <c r="C227" s="159">
        <v>400</v>
      </c>
      <c r="D227" s="114">
        <v>42936</v>
      </c>
      <c r="E227" s="114"/>
      <c r="F227" s="114"/>
      <c r="G227" s="114"/>
      <c r="H227" s="114">
        <v>42958</v>
      </c>
      <c r="I227" s="114">
        <v>42958</v>
      </c>
      <c r="J227" s="114">
        <v>42971</v>
      </c>
      <c r="K227" s="114"/>
      <c r="L227" s="114">
        <v>43028</v>
      </c>
      <c r="M227" s="114">
        <v>43021</v>
      </c>
      <c r="N227" s="114"/>
      <c r="O227" s="114">
        <v>43031</v>
      </c>
      <c r="P227" s="114">
        <v>43031</v>
      </c>
      <c r="Q227" s="114">
        <v>43042</v>
      </c>
      <c r="R227" s="80"/>
      <c r="S227" s="114"/>
      <c r="T227" s="75"/>
      <c r="U227" s="75"/>
      <c r="V227" s="75"/>
      <c r="W227" s="75">
        <v>2</v>
      </c>
      <c r="X227" s="75">
        <v>63967</v>
      </c>
      <c r="Y227" s="75" t="str">
        <f ca="1">IF(I227="",IF(D227="","",IF(W227+X227&lt;15,"Données Nb pers ou RFR manquantes",IF(COUNTA(INDIRECT("TabRFR["&amp;YEAR(D227)&amp;"]"))&lt;&gt;COUNTA(TabRFR[Recherche RFR]),"Data RFR manquantes", IF(X227&lt;=INDEX(TabRFR[[2021]:[2025]],MATCH(BD!W227&amp;"-Très modestes",TabRFR[Recherche RFR],0),MATCH(TEXT(YEAR(BD!D227),"Standard"),TabRFR[[#Headers],[2021]:[2025]],0)),"Très Modeste",IF(X227&lt;=INDEX(TabRFR[[2021]:[2025]],MATCH(BD!W227&amp;"-modestes",TabRFR[Recherche RFR],0),MATCH(TEXT(YEAR(BD!D227),"Standard"),TabRFR[[#Headers],[2021]:[2025]],0)),"Modeste",IF(X227&lt;=INDEX(TabRFR[[2021]:[2025]],MATCH(BD!W227&amp;"-Intermédiaire",TabRFR[Recherche RFR],0),MATCH(TEXT(YEAR(BD!D227),"Standard"),TabRFR[[#Headers],[2021]:[2025]],0)),"Intermédiaire","Supérieur")))))),IF(D227="","",IF(W227+X227&lt;15,"Données Nb pers ou RFR manquantes",IF(COUNTA(INDIRECT("TabRFR["&amp;YEAR(I227)&amp;"]"))&lt;&gt;COUNTA(TabRFR[Recherche RFR]),"Data RFR manquantes", IF(X227&lt;=INDEX(TabRFR[[2021]:[2025]],MATCH(BD!W227&amp;"-Très modestes",TabRFR[Recherche RFR],0),MATCH(TEXT(YEAR(BD!I227),"Standard"),TabRFR[[#Headers],[2021]:[2025]],0)),"Très Modeste",IF(X227&lt;=INDEX(TabRFR[[2021]:[2025]],MATCH(BD!W227&amp;"-modestes",TabRFR[Recherche RFR],0),MATCH(TEXT(YEAR(BD!I227),"Standard"),TabRFR[[#Headers],[2021]:[2025]],0)),"Modeste",IF(X227&lt;=INDEX(TabRFR[[2021]:[2025]],MATCH(BD!W227&amp;"-Intermédiaire",TabRFR[Recherche RFR],0),MATCH(TEXT(YEAR(BD!I227),"Standard"),TabRFR[[#Headers],[2021]:[2025]],0)),"Intermédiaire","Supérieur")))))))</f>
        <v>Data RFR manquantes</v>
      </c>
      <c r="Z227" s="75"/>
      <c r="AA227" s="75" t="s">
        <v>1238</v>
      </c>
      <c r="AB227" s="75">
        <v>38140</v>
      </c>
      <c r="AC227" s="75" t="s">
        <v>237</v>
      </c>
      <c r="AD227" s="73"/>
      <c r="AE227" s="102"/>
      <c r="AF227" s="75" t="s">
        <v>95</v>
      </c>
      <c r="AG227" s="75">
        <v>120</v>
      </c>
      <c r="AH227" s="75"/>
      <c r="AI227" s="75"/>
      <c r="AJ227" s="75"/>
      <c r="AK227" s="75"/>
      <c r="AL227" s="75"/>
      <c r="AM227" s="75" t="s">
        <v>4383</v>
      </c>
      <c r="AN227" s="75" t="s">
        <v>584</v>
      </c>
      <c r="AO227" s="75" t="s">
        <v>1236</v>
      </c>
      <c r="AP227" s="75" t="s">
        <v>97</v>
      </c>
      <c r="AQ227" s="75"/>
      <c r="AR227" s="75">
        <v>43053</v>
      </c>
      <c r="AS227" s="102" t="s">
        <v>585</v>
      </c>
      <c r="AT227" s="101">
        <v>983777164</v>
      </c>
      <c r="AU227" s="75" t="s">
        <v>111</v>
      </c>
      <c r="AV227" s="75">
        <v>1994</v>
      </c>
      <c r="AW227" s="75" t="s">
        <v>100</v>
      </c>
      <c r="AX227" s="75" t="s">
        <v>2071</v>
      </c>
      <c r="AY227" s="75" t="s">
        <v>272</v>
      </c>
      <c r="AZ227" s="75" t="s">
        <v>1235</v>
      </c>
      <c r="BA227" s="75">
        <v>22</v>
      </c>
      <c r="BB227" s="75">
        <v>9</v>
      </c>
      <c r="BC227" s="75">
        <v>89</v>
      </c>
      <c r="BD227" s="75">
        <v>1.7000000000000001E-2</v>
      </c>
      <c r="BE227" s="75" t="s">
        <v>724</v>
      </c>
      <c r="BF227" s="75">
        <v>2190</v>
      </c>
      <c r="BG227" s="75">
        <f>1084.2+41.35+13.63+76.86+63.17+204</f>
        <v>1483.21</v>
      </c>
      <c r="BH227" s="75"/>
      <c r="BI227" s="75"/>
      <c r="BJ227" s="75"/>
      <c r="BK227" s="75">
        <v>600</v>
      </c>
      <c r="BL227" s="75">
        <f t="shared" si="9"/>
        <v>2083.21</v>
      </c>
      <c r="BM227" s="103">
        <f t="shared" si="10"/>
        <v>114.57655</v>
      </c>
      <c r="BN227" s="103">
        <f t="shared" si="11"/>
        <v>2197.7865499999998</v>
      </c>
      <c r="BO227" s="103">
        <v>4450.01</v>
      </c>
      <c r="BP227" s="75" t="s">
        <v>97</v>
      </c>
      <c r="BQ227" s="75"/>
      <c r="BR227" s="75"/>
      <c r="BS227" s="157">
        <v>2017</v>
      </c>
      <c r="BU227">
        <v>2017</v>
      </c>
    </row>
    <row r="228" spans="1:73" ht="43.15" customHeight="1" x14ac:dyDescent="0.25">
      <c r="A228" s="242" t="s">
        <v>186</v>
      </c>
      <c r="B228" s="242" t="s">
        <v>1234</v>
      </c>
      <c r="C228" s="159">
        <v>400</v>
      </c>
      <c r="D228" s="114">
        <v>42941</v>
      </c>
      <c r="E228" s="114"/>
      <c r="F228" s="114"/>
      <c r="G228" s="114" t="s">
        <v>1233</v>
      </c>
      <c r="H228" s="114">
        <v>42958</v>
      </c>
      <c r="I228" s="114">
        <v>42958</v>
      </c>
      <c r="J228" s="114">
        <v>42971</v>
      </c>
      <c r="K228" s="114"/>
      <c r="L228" s="114">
        <v>43010</v>
      </c>
      <c r="M228" s="114">
        <v>42979</v>
      </c>
      <c r="N228" s="114" t="s">
        <v>1232</v>
      </c>
      <c r="O228" s="114">
        <v>43042</v>
      </c>
      <c r="P228" s="114">
        <v>43042</v>
      </c>
      <c r="Q228" s="114">
        <v>43048</v>
      </c>
      <c r="R228" s="80"/>
      <c r="S228" s="114"/>
      <c r="T228" s="75"/>
      <c r="U228" s="75"/>
      <c r="V228" s="75"/>
      <c r="W228" s="75">
        <v>4</v>
      </c>
      <c r="X228" s="75">
        <f>27384+11182</f>
        <v>38566</v>
      </c>
      <c r="Y228" s="75" t="str">
        <f ca="1">IF(I228="",IF(D228="","",IF(W228+X228&lt;15,"Données Nb pers ou RFR manquantes",IF(COUNTA(INDIRECT("TabRFR["&amp;YEAR(D228)&amp;"]"))&lt;&gt;COUNTA(TabRFR[Recherche RFR]),"Data RFR manquantes", IF(X228&lt;=INDEX(TabRFR[[2021]:[2025]],MATCH(BD!W228&amp;"-Très modestes",TabRFR[Recherche RFR],0),MATCH(TEXT(YEAR(BD!D228),"Standard"),TabRFR[[#Headers],[2021]:[2025]],0)),"Très Modeste",IF(X228&lt;=INDEX(TabRFR[[2021]:[2025]],MATCH(BD!W228&amp;"-modestes",TabRFR[Recherche RFR],0),MATCH(TEXT(YEAR(BD!D228),"Standard"),TabRFR[[#Headers],[2021]:[2025]],0)),"Modeste",IF(X228&lt;=INDEX(TabRFR[[2021]:[2025]],MATCH(BD!W228&amp;"-Intermédiaire",TabRFR[Recherche RFR],0),MATCH(TEXT(YEAR(BD!D228),"Standard"),TabRFR[[#Headers],[2021]:[2025]],0)),"Intermédiaire","Supérieur")))))),IF(D228="","",IF(W228+X228&lt;15,"Données Nb pers ou RFR manquantes",IF(COUNTA(INDIRECT("TabRFR["&amp;YEAR(I228)&amp;"]"))&lt;&gt;COUNTA(TabRFR[Recherche RFR]),"Data RFR manquantes", IF(X228&lt;=INDEX(TabRFR[[2021]:[2025]],MATCH(BD!W228&amp;"-Très modestes",TabRFR[Recherche RFR],0),MATCH(TEXT(YEAR(BD!I228),"Standard"),TabRFR[[#Headers],[2021]:[2025]],0)),"Très Modeste",IF(X228&lt;=INDEX(TabRFR[[2021]:[2025]],MATCH(BD!W228&amp;"-modestes",TabRFR[Recherche RFR],0),MATCH(TEXT(YEAR(BD!I228),"Standard"),TabRFR[[#Headers],[2021]:[2025]],0)),"Modeste",IF(X228&lt;=INDEX(TabRFR[[2021]:[2025]],MATCH(BD!W228&amp;"-Intermédiaire",TabRFR[Recherche RFR],0),MATCH(TEXT(YEAR(BD!I228),"Standard"),TabRFR[[#Headers],[2021]:[2025]],0)),"Intermédiaire","Supérieur")))))))</f>
        <v>Data RFR manquantes</v>
      </c>
      <c r="Z228" s="75"/>
      <c r="AA228" s="75" t="s">
        <v>1230</v>
      </c>
      <c r="AB228" s="75">
        <v>38960</v>
      </c>
      <c r="AC228" s="75" t="s">
        <v>2378</v>
      </c>
      <c r="AD228" s="73"/>
      <c r="AE228" s="102"/>
      <c r="AF228" s="75" t="s">
        <v>95</v>
      </c>
      <c r="AG228" s="75">
        <v>100</v>
      </c>
      <c r="AH228" s="75"/>
      <c r="AI228" s="75"/>
      <c r="AJ228" s="75"/>
      <c r="AK228" s="75"/>
      <c r="AL228" s="75"/>
      <c r="AM228" s="75" t="s">
        <v>4360</v>
      </c>
      <c r="AN228" s="75" t="s">
        <v>3539</v>
      </c>
      <c r="AO228" s="75" t="s">
        <v>1228</v>
      </c>
      <c r="AP228" s="75" t="s">
        <v>97</v>
      </c>
      <c r="AQ228" s="75"/>
      <c r="AR228" s="75">
        <v>43074</v>
      </c>
      <c r="AS228" s="102" t="s">
        <v>505</v>
      </c>
      <c r="AT228" s="101">
        <v>681726245</v>
      </c>
      <c r="AU228" s="75" t="s">
        <v>100</v>
      </c>
      <c r="AV228" s="75" t="s">
        <v>9</v>
      </c>
      <c r="AW228" s="75" t="s">
        <v>100</v>
      </c>
      <c r="AX228" s="75" t="s">
        <v>2071</v>
      </c>
      <c r="AY228" s="75" t="s">
        <v>232</v>
      </c>
      <c r="AZ228" s="75" t="s">
        <v>471</v>
      </c>
      <c r="BA228" s="75">
        <v>15</v>
      </c>
      <c r="BB228" s="75">
        <v>10.9</v>
      </c>
      <c r="BC228" s="75">
        <v>88.8</v>
      </c>
      <c r="BD228" s="75">
        <v>0.01</v>
      </c>
      <c r="BE228" s="75" t="s">
        <v>724</v>
      </c>
      <c r="BF228" s="75"/>
      <c r="BG228" s="75">
        <v>5650</v>
      </c>
      <c r="BH228" s="75"/>
      <c r="BI228" s="75"/>
      <c r="BJ228" s="75"/>
      <c r="BK228" s="75">
        <v>672</v>
      </c>
      <c r="BL228" s="75">
        <f t="shared" si="9"/>
        <v>6322</v>
      </c>
      <c r="BM228" s="103">
        <f t="shared" si="10"/>
        <v>347.71</v>
      </c>
      <c r="BN228" s="103">
        <f t="shared" si="11"/>
        <v>6669.71</v>
      </c>
      <c r="BO228" s="103">
        <v>7187.9</v>
      </c>
      <c r="BP228" s="75" t="s">
        <v>104</v>
      </c>
      <c r="BQ228" s="75"/>
      <c r="BR228" s="75"/>
      <c r="BS228" s="157">
        <v>2017</v>
      </c>
      <c r="BU228">
        <v>2017</v>
      </c>
    </row>
    <row r="229" spans="1:73" ht="43.15" customHeight="1" x14ac:dyDescent="0.25">
      <c r="A229" s="242" t="s">
        <v>186</v>
      </c>
      <c r="B229" s="242" t="s">
        <v>1227</v>
      </c>
      <c r="C229" s="159">
        <v>800</v>
      </c>
      <c r="D229" s="114">
        <v>42942</v>
      </c>
      <c r="E229" s="114"/>
      <c r="F229" s="114"/>
      <c r="G229" s="114"/>
      <c r="H229" s="114">
        <v>42958</v>
      </c>
      <c r="I229" s="114">
        <v>42958</v>
      </c>
      <c r="J229" s="114">
        <v>42971</v>
      </c>
      <c r="K229" s="114"/>
      <c r="L229" s="114">
        <v>43102</v>
      </c>
      <c r="M229" s="114">
        <v>43088</v>
      </c>
      <c r="N229" s="114" t="s">
        <v>1226</v>
      </c>
      <c r="O229" s="114">
        <v>43123</v>
      </c>
      <c r="P229" s="114">
        <v>43123</v>
      </c>
      <c r="Q229" s="114">
        <v>43130</v>
      </c>
      <c r="R229" s="100"/>
      <c r="S229" s="114"/>
      <c r="T229" s="75"/>
      <c r="U229" s="75"/>
      <c r="V229" s="75"/>
      <c r="W229" s="75">
        <v>5</v>
      </c>
      <c r="X229" s="75">
        <v>42129</v>
      </c>
      <c r="Y229" s="75" t="str">
        <f ca="1">IF(I229="",IF(D229="","",IF(W229+X229&lt;15,"Données Nb pers ou RFR manquantes",IF(COUNTA(INDIRECT("TabRFR["&amp;YEAR(D229)&amp;"]"))&lt;&gt;COUNTA(TabRFR[Recherche RFR]),"Data RFR manquantes", IF(X229&lt;=INDEX(TabRFR[[2021]:[2025]],MATCH(BD!W229&amp;"-Très modestes",TabRFR[Recherche RFR],0),MATCH(TEXT(YEAR(BD!D229),"Standard"),TabRFR[[#Headers],[2021]:[2025]],0)),"Très Modeste",IF(X229&lt;=INDEX(TabRFR[[2021]:[2025]],MATCH(BD!W229&amp;"-modestes",TabRFR[Recherche RFR],0),MATCH(TEXT(YEAR(BD!D229),"Standard"),TabRFR[[#Headers],[2021]:[2025]],0)),"Modeste",IF(X229&lt;=INDEX(TabRFR[[2021]:[2025]],MATCH(BD!W229&amp;"-Intermédiaire",TabRFR[Recherche RFR],0),MATCH(TEXT(YEAR(BD!D229),"Standard"),TabRFR[[#Headers],[2021]:[2025]],0)),"Intermédiaire","Supérieur")))))),IF(D229="","",IF(W229+X229&lt;15,"Données Nb pers ou RFR manquantes",IF(COUNTA(INDIRECT("TabRFR["&amp;YEAR(I229)&amp;"]"))&lt;&gt;COUNTA(TabRFR[Recherche RFR]),"Data RFR manquantes", IF(X229&lt;=INDEX(TabRFR[[2021]:[2025]],MATCH(BD!W229&amp;"-Très modestes",TabRFR[Recherche RFR],0),MATCH(TEXT(YEAR(BD!I229),"Standard"),TabRFR[[#Headers],[2021]:[2025]],0)),"Très Modeste",IF(X229&lt;=INDEX(TabRFR[[2021]:[2025]],MATCH(BD!W229&amp;"-modestes",TabRFR[Recherche RFR],0),MATCH(TEXT(YEAR(BD!I229),"Standard"),TabRFR[[#Headers],[2021]:[2025]],0)),"Modeste",IF(X229&lt;=INDEX(TabRFR[[2021]:[2025]],MATCH(BD!W229&amp;"-Intermédiaire",TabRFR[Recherche RFR],0),MATCH(TEXT(YEAR(BD!I229),"Standard"),TabRFR[[#Headers],[2021]:[2025]],0)),"Intermédiaire","Supérieur")))))))</f>
        <v>Data RFR manquantes</v>
      </c>
      <c r="Z229" s="75"/>
      <c r="AA229" s="75" t="s">
        <v>1224</v>
      </c>
      <c r="AB229" s="75">
        <v>38340</v>
      </c>
      <c r="AC229" s="75" t="s">
        <v>108</v>
      </c>
      <c r="AD229" s="73"/>
      <c r="AE229" s="102"/>
      <c r="AF229" s="75" t="s">
        <v>95</v>
      </c>
      <c r="AG229" s="75">
        <v>150</v>
      </c>
      <c r="AH229" s="75"/>
      <c r="AI229" s="75"/>
      <c r="AJ229" s="75"/>
      <c r="AK229" s="75"/>
      <c r="AL229" s="75"/>
      <c r="AM229" s="75" t="s">
        <v>4233</v>
      </c>
      <c r="AN229" s="75" t="s">
        <v>829</v>
      </c>
      <c r="AO229" s="75"/>
      <c r="AP229" s="75" t="s">
        <v>97</v>
      </c>
      <c r="AQ229" s="75"/>
      <c r="AR229" s="75">
        <v>43321</v>
      </c>
      <c r="AS229" s="102" t="s">
        <v>211</v>
      </c>
      <c r="AT229" s="101">
        <v>438029038</v>
      </c>
      <c r="AU229" s="75" t="s">
        <v>100</v>
      </c>
      <c r="AV229" s="75">
        <v>1980</v>
      </c>
      <c r="AW229" s="75" t="s">
        <v>100</v>
      </c>
      <c r="AX229" s="75" t="s">
        <v>112</v>
      </c>
      <c r="AY229" s="75" t="s">
        <v>1039</v>
      </c>
      <c r="AZ229" s="75" t="s">
        <v>1222</v>
      </c>
      <c r="BA229" s="75">
        <v>14</v>
      </c>
      <c r="BB229" s="75">
        <v>7</v>
      </c>
      <c r="BC229" s="75">
        <v>80</v>
      </c>
      <c r="BD229" s="75">
        <v>0.1</v>
      </c>
      <c r="BE229" s="75" t="s">
        <v>724</v>
      </c>
      <c r="BF229" s="75"/>
      <c r="BG229" s="75">
        <v>2699.5</v>
      </c>
      <c r="BH229" s="75"/>
      <c r="BI229" s="75"/>
      <c r="BJ229" s="75"/>
      <c r="BK229" s="75">
        <v>1436</v>
      </c>
      <c r="BL229" s="75">
        <f t="shared" si="9"/>
        <v>4135.5</v>
      </c>
      <c r="BM229" s="103">
        <f t="shared" si="10"/>
        <v>227.45250000000001</v>
      </c>
      <c r="BN229" s="103">
        <f t="shared" si="11"/>
        <v>4362.9525000000003</v>
      </c>
      <c r="BO229" s="103">
        <v>4200</v>
      </c>
      <c r="BP229" s="75" t="s">
        <v>104</v>
      </c>
      <c r="BQ229" s="74">
        <v>43420</v>
      </c>
      <c r="BR229" s="75"/>
      <c r="BS229" s="157">
        <v>2017</v>
      </c>
      <c r="BT229">
        <v>2020</v>
      </c>
      <c r="BU229">
        <v>2017</v>
      </c>
    </row>
    <row r="230" spans="1:73" ht="43.15" customHeight="1" x14ac:dyDescent="0.25">
      <c r="A230" s="242" t="s">
        <v>186</v>
      </c>
      <c r="B230" s="242" t="s">
        <v>1221</v>
      </c>
      <c r="C230" s="159">
        <v>400</v>
      </c>
      <c r="D230" s="114">
        <v>42947</v>
      </c>
      <c r="E230" s="114"/>
      <c r="F230" s="114"/>
      <c r="G230" s="114"/>
      <c r="H230" s="114">
        <v>42958</v>
      </c>
      <c r="I230" s="114">
        <v>42958</v>
      </c>
      <c r="J230" s="114">
        <v>42971</v>
      </c>
      <c r="K230" s="114"/>
      <c r="L230" s="114">
        <v>43038</v>
      </c>
      <c r="M230" s="114">
        <v>42991</v>
      </c>
      <c r="N230" s="114" t="s">
        <v>1220</v>
      </c>
      <c r="O230" s="114">
        <v>43054</v>
      </c>
      <c r="P230" s="114">
        <v>43054</v>
      </c>
      <c r="Q230" s="114">
        <v>43077</v>
      </c>
      <c r="R230" s="80"/>
      <c r="S230" s="114"/>
      <c r="T230" s="75"/>
      <c r="U230" s="75"/>
      <c r="V230" s="75"/>
      <c r="W230" s="75">
        <v>3</v>
      </c>
      <c r="X230" s="75">
        <f>18254+17368</f>
        <v>35622</v>
      </c>
      <c r="Y230" s="75" t="str">
        <f ca="1">IF(I230="",IF(D230="","",IF(W230+X230&lt;15,"Données Nb pers ou RFR manquantes",IF(COUNTA(INDIRECT("TabRFR["&amp;YEAR(D230)&amp;"]"))&lt;&gt;COUNTA(TabRFR[Recherche RFR]),"Data RFR manquantes", IF(X230&lt;=INDEX(TabRFR[[2021]:[2025]],MATCH(BD!W230&amp;"-Très modestes",TabRFR[Recherche RFR],0),MATCH(TEXT(YEAR(BD!D230),"Standard"),TabRFR[[#Headers],[2021]:[2025]],0)),"Très Modeste",IF(X230&lt;=INDEX(TabRFR[[2021]:[2025]],MATCH(BD!W230&amp;"-modestes",TabRFR[Recherche RFR],0),MATCH(TEXT(YEAR(BD!D230),"Standard"),TabRFR[[#Headers],[2021]:[2025]],0)),"Modeste",IF(X230&lt;=INDEX(TabRFR[[2021]:[2025]],MATCH(BD!W230&amp;"-Intermédiaire",TabRFR[Recherche RFR],0),MATCH(TEXT(YEAR(BD!D230),"Standard"),TabRFR[[#Headers],[2021]:[2025]],0)),"Intermédiaire","Supérieur")))))),IF(D230="","",IF(W230+X230&lt;15,"Données Nb pers ou RFR manquantes",IF(COUNTA(INDIRECT("TabRFR["&amp;YEAR(I230)&amp;"]"))&lt;&gt;COUNTA(TabRFR[Recherche RFR]),"Data RFR manquantes", IF(X230&lt;=INDEX(TabRFR[[2021]:[2025]],MATCH(BD!W230&amp;"-Très modestes",TabRFR[Recherche RFR],0),MATCH(TEXT(YEAR(BD!I230),"Standard"),TabRFR[[#Headers],[2021]:[2025]],0)),"Très Modeste",IF(X230&lt;=INDEX(TabRFR[[2021]:[2025]],MATCH(BD!W230&amp;"-modestes",TabRFR[Recherche RFR],0),MATCH(TEXT(YEAR(BD!I230),"Standard"),TabRFR[[#Headers],[2021]:[2025]],0)),"Modeste",IF(X230&lt;=INDEX(TabRFR[[2021]:[2025]],MATCH(BD!W230&amp;"-Intermédiaire",TabRFR[Recherche RFR],0),MATCH(TEXT(YEAR(BD!I230),"Standard"),TabRFR[[#Headers],[2021]:[2025]],0)),"Intermédiaire","Supérieur")))))))</f>
        <v>Data RFR manquantes</v>
      </c>
      <c r="Z230" s="75"/>
      <c r="AA230" s="75" t="s">
        <v>1217</v>
      </c>
      <c r="AB230" s="75">
        <v>38140</v>
      </c>
      <c r="AC230" s="75" t="s">
        <v>363</v>
      </c>
      <c r="AD230" s="73"/>
      <c r="AE230" s="102"/>
      <c r="AF230" s="75" t="s">
        <v>95</v>
      </c>
      <c r="AG230" s="75">
        <v>100</v>
      </c>
      <c r="AH230" s="75"/>
      <c r="AI230" s="75"/>
      <c r="AJ230" s="75"/>
      <c r="AK230" s="75"/>
      <c r="AL230" s="75"/>
      <c r="AM230" s="75" t="s">
        <v>3973</v>
      </c>
      <c r="AN230" s="75" t="s">
        <v>96</v>
      </c>
      <c r="AO230" s="75"/>
      <c r="AP230" s="75" t="s">
        <v>97</v>
      </c>
      <c r="AQ230" s="75"/>
      <c r="AR230" s="75">
        <v>43361</v>
      </c>
      <c r="AS230" s="102" t="s">
        <v>141</v>
      </c>
      <c r="AT230" s="101">
        <v>476069938</v>
      </c>
      <c r="AU230" s="75" t="s">
        <v>99</v>
      </c>
      <c r="AV230" s="75" t="s">
        <v>9</v>
      </c>
      <c r="AW230" s="75" t="s">
        <v>100</v>
      </c>
      <c r="AX230" s="75" t="s">
        <v>2071</v>
      </c>
      <c r="AY230" s="75" t="s">
        <v>1215</v>
      </c>
      <c r="AZ230" s="75" t="s">
        <v>730</v>
      </c>
      <c r="BA230" s="75">
        <v>8</v>
      </c>
      <c r="BB230" s="75">
        <v>9</v>
      </c>
      <c r="BC230" s="75">
        <v>90.5</v>
      </c>
      <c r="BD230" s="75">
        <v>0</v>
      </c>
      <c r="BE230" s="75" t="s">
        <v>724</v>
      </c>
      <c r="BF230" s="75"/>
      <c r="BG230" s="75">
        <v>3200</v>
      </c>
      <c r="BH230" s="75"/>
      <c r="BI230" s="75"/>
      <c r="BJ230" s="75"/>
      <c r="BK230" s="75">
        <v>740</v>
      </c>
      <c r="BL230" s="75">
        <f t="shared" si="9"/>
        <v>3940</v>
      </c>
      <c r="BM230" s="103">
        <f t="shared" si="10"/>
        <v>216.7</v>
      </c>
      <c r="BN230" s="103">
        <f t="shared" si="11"/>
        <v>4156.7</v>
      </c>
      <c r="BO230" s="103">
        <v>5200</v>
      </c>
      <c r="BP230" s="75" t="s">
        <v>97</v>
      </c>
      <c r="BQ230" s="75"/>
      <c r="BR230" s="75"/>
      <c r="BS230" s="157">
        <v>2017</v>
      </c>
      <c r="BU230">
        <v>2017</v>
      </c>
    </row>
    <row r="231" spans="1:73" ht="43.15" customHeight="1" x14ac:dyDescent="0.25">
      <c r="A231" s="242" t="s">
        <v>186</v>
      </c>
      <c r="B231" s="242" t="s">
        <v>1214</v>
      </c>
      <c r="C231" s="159">
        <v>400</v>
      </c>
      <c r="D231" s="114">
        <v>42956</v>
      </c>
      <c r="E231" s="114"/>
      <c r="F231" s="114"/>
      <c r="G231" s="114" t="s">
        <v>1213</v>
      </c>
      <c r="H231" s="114">
        <v>42991</v>
      </c>
      <c r="I231" s="114">
        <v>42991</v>
      </c>
      <c r="J231" s="114">
        <v>42999</v>
      </c>
      <c r="K231" s="114"/>
      <c r="L231" s="114">
        <v>43089</v>
      </c>
      <c r="M231" s="114">
        <v>43053</v>
      </c>
      <c r="N231" s="114" t="s">
        <v>1212</v>
      </c>
      <c r="O231" s="114">
        <v>43123</v>
      </c>
      <c r="P231" s="114">
        <v>43123</v>
      </c>
      <c r="Q231" s="114">
        <v>43130</v>
      </c>
      <c r="R231" s="80"/>
      <c r="S231" s="114"/>
      <c r="T231" s="75"/>
      <c r="U231" s="75"/>
      <c r="V231" s="75"/>
      <c r="W231" s="75">
        <v>4</v>
      </c>
      <c r="X231" s="75"/>
      <c r="Y231" s="75" t="str">
        <f ca="1">IF(I231="",IF(D231="","",IF(W231+X231&lt;15,"Données Nb pers ou RFR manquantes",IF(COUNTA(INDIRECT("TabRFR["&amp;YEAR(D231)&amp;"]"))&lt;&gt;COUNTA(TabRFR[Recherche RFR]),"Data RFR manquantes", IF(X231&lt;=INDEX(TabRFR[[2021]:[2025]],MATCH(BD!W231&amp;"-Très modestes",TabRFR[Recherche RFR],0),MATCH(TEXT(YEAR(BD!D231),"Standard"),TabRFR[[#Headers],[2021]:[2025]],0)),"Très Modeste",IF(X231&lt;=INDEX(TabRFR[[2021]:[2025]],MATCH(BD!W231&amp;"-modestes",TabRFR[Recherche RFR],0),MATCH(TEXT(YEAR(BD!D231),"Standard"),TabRFR[[#Headers],[2021]:[2025]],0)),"Modeste",IF(X231&lt;=INDEX(TabRFR[[2021]:[2025]],MATCH(BD!W231&amp;"-Intermédiaire",TabRFR[Recherche RFR],0),MATCH(TEXT(YEAR(BD!D231),"Standard"),TabRFR[[#Headers],[2021]:[2025]],0)),"Intermédiaire","Supérieur")))))),IF(D231="","",IF(W231+X231&lt;15,"Données Nb pers ou RFR manquantes",IF(COUNTA(INDIRECT("TabRFR["&amp;YEAR(I231)&amp;"]"))&lt;&gt;COUNTA(TabRFR[Recherche RFR]),"Data RFR manquantes", IF(X231&lt;=INDEX(TabRFR[[2021]:[2025]],MATCH(BD!W231&amp;"-Très modestes",TabRFR[Recherche RFR],0),MATCH(TEXT(YEAR(BD!I231),"Standard"),TabRFR[[#Headers],[2021]:[2025]],0)),"Très Modeste",IF(X231&lt;=INDEX(TabRFR[[2021]:[2025]],MATCH(BD!W231&amp;"-modestes",TabRFR[Recherche RFR],0),MATCH(TEXT(YEAR(BD!I231),"Standard"),TabRFR[[#Headers],[2021]:[2025]],0)),"Modeste",IF(X231&lt;=INDEX(TabRFR[[2021]:[2025]],MATCH(BD!W231&amp;"-Intermédiaire",TabRFR[Recherche RFR],0),MATCH(TEXT(YEAR(BD!I231),"Standard"),TabRFR[[#Headers],[2021]:[2025]],0)),"Intermédiaire","Supérieur")))))))</f>
        <v>Données Nb pers ou RFR manquantes</v>
      </c>
      <c r="Z231" s="75"/>
      <c r="AA231" s="75" t="s">
        <v>906</v>
      </c>
      <c r="AB231" s="75">
        <v>38140</v>
      </c>
      <c r="AC231" s="75" t="s">
        <v>2357</v>
      </c>
      <c r="AD231" s="73"/>
      <c r="AE231" s="102"/>
      <c r="AF231" s="75" t="s">
        <v>95</v>
      </c>
      <c r="AG231" s="75"/>
      <c r="AH231" s="75"/>
      <c r="AI231" s="75"/>
      <c r="AJ231" s="75"/>
      <c r="AK231" s="75"/>
      <c r="AL231" s="75"/>
      <c r="AM231" s="75" t="s">
        <v>4031</v>
      </c>
      <c r="AN231" s="75" t="s">
        <v>4109</v>
      </c>
      <c r="AO231" s="75" t="s">
        <v>1140</v>
      </c>
      <c r="AP231" s="75" t="s">
        <v>97</v>
      </c>
      <c r="AQ231" s="75"/>
      <c r="AR231" s="75">
        <v>43172</v>
      </c>
      <c r="AS231" s="102" t="s">
        <v>156</v>
      </c>
      <c r="AT231" s="101">
        <v>698193037</v>
      </c>
      <c r="AU231" s="75" t="s">
        <v>111</v>
      </c>
      <c r="AV231" s="75" t="s">
        <v>231</v>
      </c>
      <c r="AW231" s="75" t="s">
        <v>100</v>
      </c>
      <c r="AX231" s="75" t="s">
        <v>112</v>
      </c>
      <c r="AY231" s="75" t="s">
        <v>338</v>
      </c>
      <c r="AZ231" s="75" t="s">
        <v>1209</v>
      </c>
      <c r="BA231" s="75">
        <v>29</v>
      </c>
      <c r="BB231" s="75">
        <v>7.5</v>
      </c>
      <c r="BC231" s="75">
        <v>77</v>
      </c>
      <c r="BD231" s="75">
        <v>0.05</v>
      </c>
      <c r="BE231" s="75" t="s">
        <v>724</v>
      </c>
      <c r="BF231" s="75"/>
      <c r="BG231" s="75">
        <v>999.17</v>
      </c>
      <c r="BH231" s="75"/>
      <c r="BI231" s="75"/>
      <c r="BJ231" s="75"/>
      <c r="BK231" s="75"/>
      <c r="BL231" s="75">
        <f t="shared" si="9"/>
        <v>999.17</v>
      </c>
      <c r="BM231" s="103">
        <f t="shared" si="10"/>
        <v>54.954349999999998</v>
      </c>
      <c r="BN231" s="103">
        <f t="shared" si="11"/>
        <v>1054.12435</v>
      </c>
      <c r="BO231" s="103">
        <v>3425.89</v>
      </c>
      <c r="BP231" s="75" t="s">
        <v>97</v>
      </c>
      <c r="BQ231" s="74">
        <v>43420</v>
      </c>
      <c r="BR231" s="75"/>
      <c r="BS231" s="157">
        <v>2017</v>
      </c>
      <c r="BT231">
        <v>2020</v>
      </c>
      <c r="BU231">
        <v>2017</v>
      </c>
    </row>
    <row r="232" spans="1:73" ht="43.15" customHeight="1" x14ac:dyDescent="0.25">
      <c r="A232" s="29" t="s">
        <v>186</v>
      </c>
      <c r="B232" s="29" t="s">
        <v>1208</v>
      </c>
      <c r="C232" s="161" t="s">
        <v>9</v>
      </c>
      <c r="D232" s="110">
        <v>42956</v>
      </c>
      <c r="E232" s="110"/>
      <c r="F232" s="110"/>
      <c r="G232" s="110" t="s">
        <v>1207</v>
      </c>
      <c r="H232" s="110"/>
      <c r="I232" s="110"/>
      <c r="J232" s="110"/>
      <c r="K232" s="110"/>
      <c r="L232" s="110"/>
      <c r="M232" s="110"/>
      <c r="N232" s="110"/>
      <c r="O232" s="110"/>
      <c r="P232" s="110"/>
      <c r="Q232" s="110"/>
      <c r="R232" s="109"/>
      <c r="S232" s="110">
        <v>43046</v>
      </c>
      <c r="T232" s="111" t="s">
        <v>1206</v>
      </c>
      <c r="U232" s="111"/>
      <c r="V232" s="111"/>
      <c r="W232" s="111"/>
      <c r="X232" s="111"/>
      <c r="Y232" s="75" t="str">
        <f ca="1">IF(I232="",IF(D232="","",IF(W232+X232&lt;15,"Données Nb pers ou RFR manquantes",IF(COUNTA(INDIRECT("TabRFR["&amp;YEAR(D232)&amp;"]"))&lt;&gt;COUNTA(TabRFR[Recherche RFR]),"Data RFR manquantes", IF(X232&lt;=INDEX(TabRFR[[2021]:[2025]],MATCH(BD!W232&amp;"-Très modestes",TabRFR[Recherche RFR],0),MATCH(TEXT(YEAR(BD!D232),"Standard"),TabRFR[[#Headers],[2021]:[2025]],0)),"Très Modeste",IF(X232&lt;=INDEX(TabRFR[[2021]:[2025]],MATCH(BD!W232&amp;"-modestes",TabRFR[Recherche RFR],0),MATCH(TEXT(YEAR(BD!D232),"Standard"),TabRFR[[#Headers],[2021]:[2025]],0)),"Modeste",IF(X232&lt;=INDEX(TabRFR[[2021]:[2025]],MATCH(BD!W232&amp;"-Intermédiaire",TabRFR[Recherche RFR],0),MATCH(TEXT(YEAR(BD!D232),"Standard"),TabRFR[[#Headers],[2021]:[2025]],0)),"Intermédiaire","Supérieur")))))),IF(D232="","",IF(W232+X232&lt;15,"Données Nb pers ou RFR manquantes",IF(COUNTA(INDIRECT("TabRFR["&amp;YEAR(I232)&amp;"]"))&lt;&gt;COUNTA(TabRFR[Recherche RFR]),"Data RFR manquantes", IF(X232&lt;=INDEX(TabRFR[[2021]:[2025]],MATCH(BD!W232&amp;"-Très modestes",TabRFR[Recherche RFR],0),MATCH(TEXT(YEAR(BD!I232),"Standard"),TabRFR[[#Headers],[2021]:[2025]],0)),"Très Modeste",IF(X232&lt;=INDEX(TabRFR[[2021]:[2025]],MATCH(BD!W232&amp;"-modestes",TabRFR[Recherche RFR],0),MATCH(TEXT(YEAR(BD!I232),"Standard"),TabRFR[[#Headers],[2021]:[2025]],0)),"Modeste",IF(X232&lt;=INDEX(TabRFR[[2021]:[2025]],MATCH(BD!W232&amp;"-Intermédiaire",TabRFR[Recherche RFR],0),MATCH(TEXT(YEAR(BD!I232),"Standard"),TabRFR[[#Headers],[2021]:[2025]],0)),"Intermédiaire","Supérieur")))))))</f>
        <v>Données Nb pers ou RFR manquantes</v>
      </c>
      <c r="Z232" s="111"/>
      <c r="AA232" s="111" t="s">
        <v>1204</v>
      </c>
      <c r="AB232" s="111">
        <v>38550</v>
      </c>
      <c r="AC232" s="111" t="s">
        <v>148</v>
      </c>
      <c r="AD232" s="127"/>
      <c r="AE232" s="102"/>
      <c r="AF232" s="111"/>
      <c r="AG232" s="111"/>
      <c r="AH232" s="111"/>
      <c r="AI232" s="111"/>
      <c r="AJ232" s="111"/>
      <c r="AK232" s="111"/>
      <c r="AL232" s="111"/>
      <c r="AM232" s="111"/>
      <c r="AN232" s="111"/>
      <c r="AO232" s="111"/>
      <c r="AP232" s="111"/>
      <c r="AQ232" s="111"/>
      <c r="AR232" s="111"/>
      <c r="AS232" s="102"/>
      <c r="AT232" s="112"/>
      <c r="AU232" s="111"/>
      <c r="AV232" s="111"/>
      <c r="AW232" s="111"/>
      <c r="AX232" s="111"/>
      <c r="AY232" s="111"/>
      <c r="AZ232" s="111"/>
      <c r="BA232" s="111"/>
      <c r="BB232" s="111"/>
      <c r="BC232" s="111"/>
      <c r="BD232" s="111"/>
      <c r="BE232" s="111"/>
      <c r="BF232" s="111"/>
      <c r="BG232" s="111"/>
      <c r="BH232" s="111"/>
      <c r="BI232" s="111"/>
      <c r="BJ232" s="111"/>
      <c r="BK232" s="111"/>
      <c r="BL232" s="75">
        <f t="shared" si="9"/>
        <v>0</v>
      </c>
      <c r="BM232" s="103">
        <f t="shared" si="10"/>
        <v>0</v>
      </c>
      <c r="BN232" s="103">
        <f t="shared" si="11"/>
        <v>0</v>
      </c>
      <c r="BO232" s="113"/>
      <c r="BP232" s="111"/>
      <c r="BQ232" s="111"/>
      <c r="BR232" s="111"/>
      <c r="BS232" s="157">
        <v>2017</v>
      </c>
      <c r="BU232" t="s">
        <v>4180</v>
      </c>
    </row>
    <row r="233" spans="1:73" ht="43.15" customHeight="1" x14ac:dyDescent="0.25">
      <c r="A233" s="242" t="s">
        <v>186</v>
      </c>
      <c r="B233" s="242" t="s">
        <v>1203</v>
      </c>
      <c r="C233" s="159">
        <v>800</v>
      </c>
      <c r="D233" s="114">
        <v>42949</v>
      </c>
      <c r="E233" s="114"/>
      <c r="F233" s="114"/>
      <c r="G233" s="114" t="s">
        <v>1202</v>
      </c>
      <c r="H233" s="114">
        <v>42977</v>
      </c>
      <c r="I233" s="114">
        <v>42977</v>
      </c>
      <c r="J233" s="114">
        <v>42985</v>
      </c>
      <c r="K233" s="114"/>
      <c r="L233" s="114">
        <v>43042</v>
      </c>
      <c r="M233" s="114">
        <v>43028</v>
      </c>
      <c r="N233" s="114"/>
      <c r="O233" s="114">
        <v>43042</v>
      </c>
      <c r="P233" s="114">
        <v>43042</v>
      </c>
      <c r="Q233" s="114">
        <v>43048</v>
      </c>
      <c r="R233" s="100"/>
      <c r="S233" s="114"/>
      <c r="T233" s="75"/>
      <c r="U233" s="75"/>
      <c r="V233" s="75"/>
      <c r="W233" s="75">
        <v>1</v>
      </c>
      <c r="X233" s="75"/>
      <c r="Y233" s="75" t="str">
        <f ca="1">IF(I233="",IF(D233="","",IF(W233+X233&lt;15,"Données Nb pers ou RFR manquantes",IF(COUNTA(INDIRECT("TabRFR["&amp;YEAR(D233)&amp;"]"))&lt;&gt;COUNTA(TabRFR[Recherche RFR]),"Data RFR manquantes", IF(X233&lt;=INDEX(TabRFR[[2021]:[2025]],MATCH(BD!W233&amp;"-Très modestes",TabRFR[Recherche RFR],0),MATCH(TEXT(YEAR(BD!D233),"Standard"),TabRFR[[#Headers],[2021]:[2025]],0)),"Très Modeste",IF(X233&lt;=INDEX(TabRFR[[2021]:[2025]],MATCH(BD!W233&amp;"-modestes",TabRFR[Recherche RFR],0),MATCH(TEXT(YEAR(BD!D233),"Standard"),TabRFR[[#Headers],[2021]:[2025]],0)),"Modeste",IF(X233&lt;=INDEX(TabRFR[[2021]:[2025]],MATCH(BD!W233&amp;"-Intermédiaire",TabRFR[Recherche RFR],0),MATCH(TEXT(YEAR(BD!D233),"Standard"),TabRFR[[#Headers],[2021]:[2025]],0)),"Intermédiaire","Supérieur")))))),IF(D233="","",IF(W233+X233&lt;15,"Données Nb pers ou RFR manquantes",IF(COUNTA(INDIRECT("TabRFR["&amp;YEAR(I233)&amp;"]"))&lt;&gt;COUNTA(TabRFR[Recherche RFR]),"Data RFR manquantes", IF(X233&lt;=INDEX(TabRFR[[2021]:[2025]],MATCH(BD!W233&amp;"-Très modestes",TabRFR[Recherche RFR],0),MATCH(TEXT(YEAR(BD!I233),"Standard"),TabRFR[[#Headers],[2021]:[2025]],0)),"Très Modeste",IF(X233&lt;=INDEX(TabRFR[[2021]:[2025]],MATCH(BD!W233&amp;"-modestes",TabRFR[Recherche RFR],0),MATCH(TEXT(YEAR(BD!I233),"Standard"),TabRFR[[#Headers],[2021]:[2025]],0)),"Modeste",IF(X233&lt;=INDEX(TabRFR[[2021]:[2025]],MATCH(BD!W233&amp;"-Intermédiaire",TabRFR[Recherche RFR],0),MATCH(TEXT(YEAR(BD!I233),"Standard"),TabRFR[[#Headers],[2021]:[2025]],0)),"Intermédiaire","Supérieur")))))))</f>
        <v>Données Nb pers ou RFR manquantes</v>
      </c>
      <c r="Z233" s="75"/>
      <c r="AA233" s="75" t="s">
        <v>1199</v>
      </c>
      <c r="AB233" s="75">
        <v>38500</v>
      </c>
      <c r="AC233" s="75" t="s">
        <v>96</v>
      </c>
      <c r="AD233" s="73"/>
      <c r="AE233" s="102"/>
      <c r="AF233" s="75" t="s">
        <v>95</v>
      </c>
      <c r="AG233" s="75"/>
      <c r="AH233" s="75"/>
      <c r="AI233" s="75"/>
      <c r="AJ233" s="75"/>
      <c r="AK233" s="75"/>
      <c r="AL233" s="75"/>
      <c r="AM233" s="75" t="s">
        <v>218</v>
      </c>
      <c r="AN233" s="75" t="s">
        <v>217</v>
      </c>
      <c r="AO233" s="75" t="s">
        <v>219</v>
      </c>
      <c r="AP233" s="75" t="s">
        <v>97</v>
      </c>
      <c r="AQ233" s="75"/>
      <c r="AR233" s="75">
        <v>43034</v>
      </c>
      <c r="AS233" s="102" t="s">
        <v>1004</v>
      </c>
      <c r="AT233" s="101">
        <v>476355605</v>
      </c>
      <c r="AU233" s="75" t="s">
        <v>99</v>
      </c>
      <c r="AV233" s="75" t="s">
        <v>231</v>
      </c>
      <c r="AW233" s="75" t="s">
        <v>100</v>
      </c>
      <c r="AX233" s="75" t="s">
        <v>2071</v>
      </c>
      <c r="AY233" s="75" t="s">
        <v>121</v>
      </c>
      <c r="AZ233" s="75" t="s">
        <v>1197</v>
      </c>
      <c r="BA233" s="75">
        <v>8</v>
      </c>
      <c r="BB233" s="75">
        <v>8.1999999999999993</v>
      </c>
      <c r="BC233" s="75">
        <v>87.7</v>
      </c>
      <c r="BD233" s="75">
        <v>0.01</v>
      </c>
      <c r="BE233" s="75" t="s">
        <v>724</v>
      </c>
      <c r="BF233" s="75"/>
      <c r="BG233" s="75">
        <v>3281</v>
      </c>
      <c r="BH233" s="75"/>
      <c r="BI233" s="75"/>
      <c r="BJ233" s="75"/>
      <c r="BK233" s="75">
        <v>774.09</v>
      </c>
      <c r="BL233" s="75">
        <f t="shared" si="9"/>
        <v>4055.09</v>
      </c>
      <c r="BM233" s="103">
        <f t="shared" si="10"/>
        <v>223.02995000000001</v>
      </c>
      <c r="BN233" s="103">
        <f t="shared" si="11"/>
        <v>4278.1199500000002</v>
      </c>
      <c r="BO233" s="103">
        <v>4278.12</v>
      </c>
      <c r="BP233" s="75" t="s">
        <v>97</v>
      </c>
      <c r="BQ233" s="75"/>
      <c r="BR233" s="75"/>
      <c r="BS233" s="157">
        <v>2017</v>
      </c>
      <c r="BU233">
        <v>2017</v>
      </c>
    </row>
    <row r="234" spans="1:73" ht="43.15" customHeight="1" x14ac:dyDescent="0.25">
      <c r="A234" s="242" t="s">
        <v>186</v>
      </c>
      <c r="B234" s="242" t="s">
        <v>1196</v>
      </c>
      <c r="C234" s="159">
        <v>400</v>
      </c>
      <c r="D234" s="114">
        <v>42963</v>
      </c>
      <c r="E234" s="114"/>
      <c r="F234" s="114"/>
      <c r="G234" s="114" t="s">
        <v>1195</v>
      </c>
      <c r="H234" s="114">
        <v>42992</v>
      </c>
      <c r="I234" s="114">
        <v>42992</v>
      </c>
      <c r="J234" s="114">
        <v>42999</v>
      </c>
      <c r="K234" s="114"/>
      <c r="L234" s="114">
        <v>43028</v>
      </c>
      <c r="M234" s="114">
        <v>43006</v>
      </c>
      <c r="N234" s="114"/>
      <c r="O234" s="114">
        <v>43031</v>
      </c>
      <c r="P234" s="114">
        <v>43031</v>
      </c>
      <c r="Q234" s="114">
        <v>43042</v>
      </c>
      <c r="R234" s="80"/>
      <c r="S234" s="114"/>
      <c r="T234" s="75"/>
      <c r="U234" s="75"/>
      <c r="V234" s="75"/>
      <c r="W234" s="75">
        <v>2</v>
      </c>
      <c r="X234" s="75"/>
      <c r="Y234" s="75" t="str">
        <f ca="1">IF(I234="",IF(D234="","",IF(W234+X234&lt;15,"Données Nb pers ou RFR manquantes",IF(COUNTA(INDIRECT("TabRFR["&amp;YEAR(D234)&amp;"]"))&lt;&gt;COUNTA(TabRFR[Recherche RFR]),"Data RFR manquantes", IF(X234&lt;=INDEX(TabRFR[[2021]:[2025]],MATCH(BD!W234&amp;"-Très modestes",TabRFR[Recherche RFR],0),MATCH(TEXT(YEAR(BD!D234),"Standard"),TabRFR[[#Headers],[2021]:[2025]],0)),"Très Modeste",IF(X234&lt;=INDEX(TabRFR[[2021]:[2025]],MATCH(BD!W234&amp;"-modestes",TabRFR[Recherche RFR],0),MATCH(TEXT(YEAR(BD!D234),"Standard"),TabRFR[[#Headers],[2021]:[2025]],0)),"Modeste",IF(X234&lt;=INDEX(TabRFR[[2021]:[2025]],MATCH(BD!W234&amp;"-Intermédiaire",TabRFR[Recherche RFR],0),MATCH(TEXT(YEAR(BD!D234),"Standard"),TabRFR[[#Headers],[2021]:[2025]],0)),"Intermédiaire","Supérieur")))))),IF(D234="","",IF(W234+X234&lt;15,"Données Nb pers ou RFR manquantes",IF(COUNTA(INDIRECT("TabRFR["&amp;YEAR(I234)&amp;"]"))&lt;&gt;COUNTA(TabRFR[Recherche RFR]),"Data RFR manquantes", IF(X234&lt;=INDEX(TabRFR[[2021]:[2025]],MATCH(BD!W234&amp;"-Très modestes",TabRFR[Recherche RFR],0),MATCH(TEXT(YEAR(BD!I234),"Standard"),TabRFR[[#Headers],[2021]:[2025]],0)),"Très Modeste",IF(X234&lt;=INDEX(TabRFR[[2021]:[2025]],MATCH(BD!W234&amp;"-modestes",TabRFR[Recherche RFR],0),MATCH(TEXT(YEAR(BD!I234),"Standard"),TabRFR[[#Headers],[2021]:[2025]],0)),"Modeste",IF(X234&lt;=INDEX(TabRFR[[2021]:[2025]],MATCH(BD!W234&amp;"-Intermédiaire",TabRFR[Recherche RFR],0),MATCH(TEXT(YEAR(BD!I234),"Standard"),TabRFR[[#Headers],[2021]:[2025]],0)),"Intermédiaire","Supérieur")))))))</f>
        <v>Données Nb pers ou RFR manquantes</v>
      </c>
      <c r="Z234" s="75"/>
      <c r="AA234" s="75" t="s">
        <v>1192</v>
      </c>
      <c r="AB234" s="75">
        <v>38430</v>
      </c>
      <c r="AC234" s="75" t="s">
        <v>217</v>
      </c>
      <c r="AD234" s="73"/>
      <c r="AE234" s="102"/>
      <c r="AF234" s="75" t="s">
        <v>95</v>
      </c>
      <c r="AG234" s="75"/>
      <c r="AH234" s="75"/>
      <c r="AI234" s="75"/>
      <c r="AJ234" s="75"/>
      <c r="AK234" s="75"/>
      <c r="AL234" s="75"/>
      <c r="AM234" s="75" t="s">
        <v>4258</v>
      </c>
      <c r="AN234" s="75" t="s">
        <v>451</v>
      </c>
      <c r="AO234" s="75" t="s">
        <v>1190</v>
      </c>
      <c r="AP234" s="75" t="s">
        <v>97</v>
      </c>
      <c r="AQ234" s="75"/>
      <c r="AR234" s="75">
        <v>43313</v>
      </c>
      <c r="AS234" s="102" t="s">
        <v>698</v>
      </c>
      <c r="AT234" s="101">
        <v>474430411</v>
      </c>
      <c r="AU234" s="75" t="s">
        <v>99</v>
      </c>
      <c r="AV234" s="75" t="s">
        <v>231</v>
      </c>
      <c r="AW234" s="75" t="s">
        <v>111</v>
      </c>
      <c r="AX234" s="75" t="s">
        <v>2071</v>
      </c>
      <c r="AY234" s="75" t="s">
        <v>174</v>
      </c>
      <c r="AZ234" s="75" t="s">
        <v>1189</v>
      </c>
      <c r="BA234" s="75">
        <v>25</v>
      </c>
      <c r="BB234" s="75">
        <v>9.6</v>
      </c>
      <c r="BC234" s="75">
        <v>90</v>
      </c>
      <c r="BD234" s="75">
        <v>0.01</v>
      </c>
      <c r="BE234" s="75"/>
      <c r="BF234" s="75"/>
      <c r="BG234" s="75">
        <v>3519</v>
      </c>
      <c r="BH234" s="75"/>
      <c r="BI234" s="75"/>
      <c r="BJ234" s="75"/>
      <c r="BK234" s="75">
        <v>2350</v>
      </c>
      <c r="BL234" s="75">
        <f t="shared" si="9"/>
        <v>5869</v>
      </c>
      <c r="BM234" s="103">
        <f t="shared" si="10"/>
        <v>322.79500000000002</v>
      </c>
      <c r="BN234" s="103">
        <f t="shared" si="11"/>
        <v>6191.7950000000001</v>
      </c>
      <c r="BO234" s="103"/>
      <c r="BP234" s="75" t="s">
        <v>97</v>
      </c>
      <c r="BQ234" s="75"/>
      <c r="BR234" s="75"/>
      <c r="BS234" s="157">
        <v>2017</v>
      </c>
      <c r="BU234">
        <v>2017</v>
      </c>
    </row>
    <row r="235" spans="1:73" ht="43.15" customHeight="1" x14ac:dyDescent="0.25">
      <c r="A235" s="242" t="s">
        <v>186</v>
      </c>
      <c r="B235" s="242" t="s">
        <v>1188</v>
      </c>
      <c r="C235" s="159">
        <v>400</v>
      </c>
      <c r="D235" s="114">
        <v>42964</v>
      </c>
      <c r="E235" s="114"/>
      <c r="F235" s="114"/>
      <c r="G235" s="114"/>
      <c r="H235" s="114">
        <v>42968</v>
      </c>
      <c r="I235" s="114">
        <v>42968</v>
      </c>
      <c r="J235" s="114">
        <v>42975</v>
      </c>
      <c r="K235" s="114"/>
      <c r="L235" s="114">
        <v>43049</v>
      </c>
      <c r="M235" s="114">
        <v>43047</v>
      </c>
      <c r="N235" s="114" t="s">
        <v>1187</v>
      </c>
      <c r="O235" s="114">
        <v>43087</v>
      </c>
      <c r="P235" s="114">
        <v>43087</v>
      </c>
      <c r="Q235" s="114">
        <v>43130</v>
      </c>
      <c r="R235" s="80"/>
      <c r="S235" s="114"/>
      <c r="T235" s="75"/>
      <c r="U235" s="75"/>
      <c r="V235" s="75"/>
      <c r="W235" s="75">
        <v>2</v>
      </c>
      <c r="X235" s="75">
        <v>49772</v>
      </c>
      <c r="Y235" s="75" t="str">
        <f ca="1">IF(I235="",IF(D235="","",IF(W235+X235&lt;15,"Données Nb pers ou RFR manquantes",IF(COUNTA(INDIRECT("TabRFR["&amp;YEAR(D235)&amp;"]"))&lt;&gt;COUNTA(TabRFR[Recherche RFR]),"Data RFR manquantes", IF(X235&lt;=INDEX(TabRFR[[2021]:[2025]],MATCH(BD!W235&amp;"-Très modestes",TabRFR[Recherche RFR],0),MATCH(TEXT(YEAR(BD!D235),"Standard"),TabRFR[[#Headers],[2021]:[2025]],0)),"Très Modeste",IF(X235&lt;=INDEX(TabRFR[[2021]:[2025]],MATCH(BD!W235&amp;"-modestes",TabRFR[Recherche RFR],0),MATCH(TEXT(YEAR(BD!D235),"Standard"),TabRFR[[#Headers],[2021]:[2025]],0)),"Modeste",IF(X235&lt;=INDEX(TabRFR[[2021]:[2025]],MATCH(BD!W235&amp;"-Intermédiaire",TabRFR[Recherche RFR],0),MATCH(TEXT(YEAR(BD!D235),"Standard"),TabRFR[[#Headers],[2021]:[2025]],0)),"Intermédiaire","Supérieur")))))),IF(D235="","",IF(W235+X235&lt;15,"Données Nb pers ou RFR manquantes",IF(COUNTA(INDIRECT("TabRFR["&amp;YEAR(I235)&amp;"]"))&lt;&gt;COUNTA(TabRFR[Recherche RFR]),"Data RFR manquantes", IF(X235&lt;=INDEX(TabRFR[[2021]:[2025]],MATCH(BD!W235&amp;"-Très modestes",TabRFR[Recherche RFR],0),MATCH(TEXT(YEAR(BD!I235),"Standard"),TabRFR[[#Headers],[2021]:[2025]],0)),"Très Modeste",IF(X235&lt;=INDEX(TabRFR[[2021]:[2025]],MATCH(BD!W235&amp;"-modestes",TabRFR[Recherche RFR],0),MATCH(TEXT(YEAR(BD!I235),"Standard"),TabRFR[[#Headers],[2021]:[2025]],0)),"Modeste",IF(X235&lt;=INDEX(TabRFR[[2021]:[2025]],MATCH(BD!W235&amp;"-Intermédiaire",TabRFR[Recherche RFR],0),MATCH(TEXT(YEAR(BD!I235),"Standard"),TabRFR[[#Headers],[2021]:[2025]],0)),"Intermédiaire","Supérieur")))))))</f>
        <v>Data RFR manquantes</v>
      </c>
      <c r="Z235" s="75"/>
      <c r="AA235" s="75" t="s">
        <v>1184</v>
      </c>
      <c r="AB235" s="75">
        <v>38850</v>
      </c>
      <c r="AC235" s="75" t="s">
        <v>438</v>
      </c>
      <c r="AD235" s="73"/>
      <c r="AE235" s="102"/>
      <c r="AF235" s="75" t="s">
        <v>95</v>
      </c>
      <c r="AG235" s="75"/>
      <c r="AH235" s="75"/>
      <c r="AI235" s="75"/>
      <c r="AJ235" s="75"/>
      <c r="AK235" s="75"/>
      <c r="AL235" s="75"/>
      <c r="AM235" s="75" t="s">
        <v>218</v>
      </c>
      <c r="AN235" s="75" t="s">
        <v>217</v>
      </c>
      <c r="AO235" s="75" t="s">
        <v>219</v>
      </c>
      <c r="AP235" s="75" t="s">
        <v>97</v>
      </c>
      <c r="AQ235" s="75"/>
      <c r="AR235" s="75">
        <v>43034</v>
      </c>
      <c r="AS235" s="102" t="s">
        <v>1004</v>
      </c>
      <c r="AT235" s="101">
        <v>476355605</v>
      </c>
      <c r="AU235" s="75" t="s">
        <v>99</v>
      </c>
      <c r="AV235" s="75">
        <v>2000</v>
      </c>
      <c r="AW235" s="75" t="s">
        <v>111</v>
      </c>
      <c r="AX235" s="75" t="s">
        <v>112</v>
      </c>
      <c r="AY235" s="75" t="s">
        <v>121</v>
      </c>
      <c r="AZ235" s="75" t="s">
        <v>1182</v>
      </c>
      <c r="BA235" s="75">
        <v>23</v>
      </c>
      <c r="BB235" s="75">
        <v>10</v>
      </c>
      <c r="BC235" s="75">
        <v>78</v>
      </c>
      <c r="BD235" s="75">
        <v>7.0000000000000007E-2</v>
      </c>
      <c r="BE235" s="75" t="s">
        <v>724</v>
      </c>
      <c r="BF235" s="75"/>
      <c r="BG235" s="75">
        <v>4252.04</v>
      </c>
      <c r="BH235" s="75"/>
      <c r="BI235" s="75"/>
      <c r="BJ235" s="75"/>
      <c r="BK235" s="75">
        <v>1332</v>
      </c>
      <c r="BL235" s="75">
        <f t="shared" si="9"/>
        <v>5584.04</v>
      </c>
      <c r="BM235" s="103">
        <f t="shared" si="10"/>
        <v>307.12220000000002</v>
      </c>
      <c r="BN235" s="103">
        <f t="shared" si="11"/>
        <v>5891.1621999999998</v>
      </c>
      <c r="BO235" s="103">
        <v>5829.16</v>
      </c>
      <c r="BP235" s="75" t="s">
        <v>97</v>
      </c>
      <c r="BQ235" s="74">
        <v>43420</v>
      </c>
      <c r="BR235" s="75"/>
      <c r="BS235" s="157">
        <v>2017</v>
      </c>
      <c r="BT235">
        <v>2020</v>
      </c>
      <c r="BU235">
        <v>2017</v>
      </c>
    </row>
    <row r="236" spans="1:73" ht="43.15" customHeight="1" x14ac:dyDescent="0.25">
      <c r="A236" s="242" t="s">
        <v>186</v>
      </c>
      <c r="B236" s="242" t="s">
        <v>1181</v>
      </c>
      <c r="C236" s="159">
        <v>400</v>
      </c>
      <c r="D236" s="114">
        <v>42964</v>
      </c>
      <c r="E236" s="114"/>
      <c r="F236" s="114"/>
      <c r="G236" s="114"/>
      <c r="H236" s="114">
        <v>42968</v>
      </c>
      <c r="I236" s="114">
        <v>42968</v>
      </c>
      <c r="J236" s="114">
        <v>42975</v>
      </c>
      <c r="K236" s="114"/>
      <c r="L236" s="114">
        <v>42995</v>
      </c>
      <c r="M236" s="114">
        <v>42991</v>
      </c>
      <c r="N236" s="114" t="s">
        <v>1180</v>
      </c>
      <c r="O236" s="114">
        <v>43021</v>
      </c>
      <c r="P236" s="114">
        <v>43021</v>
      </c>
      <c r="Q236" s="114">
        <v>43028</v>
      </c>
      <c r="R236" s="80"/>
      <c r="S236" s="114"/>
      <c r="T236" s="75"/>
      <c r="U236" s="75"/>
      <c r="V236" s="75"/>
      <c r="W236" s="75">
        <v>1</v>
      </c>
      <c r="X236" s="75">
        <v>69689</v>
      </c>
      <c r="Y236" s="75" t="str">
        <f ca="1">IF(I236="",IF(D236="","",IF(W236+X236&lt;15,"Données Nb pers ou RFR manquantes",IF(COUNTA(INDIRECT("TabRFR["&amp;YEAR(D236)&amp;"]"))&lt;&gt;COUNTA(TabRFR[Recherche RFR]),"Data RFR manquantes", IF(X236&lt;=INDEX(TabRFR[[2021]:[2025]],MATCH(BD!W236&amp;"-Très modestes",TabRFR[Recherche RFR],0),MATCH(TEXT(YEAR(BD!D236),"Standard"),TabRFR[[#Headers],[2021]:[2025]],0)),"Très Modeste",IF(X236&lt;=INDEX(TabRFR[[2021]:[2025]],MATCH(BD!W236&amp;"-modestes",TabRFR[Recherche RFR],0),MATCH(TEXT(YEAR(BD!D236),"Standard"),TabRFR[[#Headers],[2021]:[2025]],0)),"Modeste",IF(X236&lt;=INDEX(TabRFR[[2021]:[2025]],MATCH(BD!W236&amp;"-Intermédiaire",TabRFR[Recherche RFR],0),MATCH(TEXT(YEAR(BD!D236),"Standard"),TabRFR[[#Headers],[2021]:[2025]],0)),"Intermédiaire","Supérieur")))))),IF(D236="","",IF(W236+X236&lt;15,"Données Nb pers ou RFR manquantes",IF(COUNTA(INDIRECT("TabRFR["&amp;YEAR(I236)&amp;"]"))&lt;&gt;COUNTA(TabRFR[Recherche RFR]),"Data RFR manquantes", IF(X236&lt;=INDEX(TabRFR[[2021]:[2025]],MATCH(BD!W236&amp;"-Très modestes",TabRFR[Recherche RFR],0),MATCH(TEXT(YEAR(BD!I236),"Standard"),TabRFR[[#Headers],[2021]:[2025]],0)),"Très Modeste",IF(X236&lt;=INDEX(TabRFR[[2021]:[2025]],MATCH(BD!W236&amp;"-modestes",TabRFR[Recherche RFR],0),MATCH(TEXT(YEAR(BD!I236),"Standard"),TabRFR[[#Headers],[2021]:[2025]],0)),"Modeste",IF(X236&lt;=INDEX(TabRFR[[2021]:[2025]],MATCH(BD!W236&amp;"-Intermédiaire",TabRFR[Recherche RFR],0),MATCH(TEXT(YEAR(BD!I236),"Standard"),TabRFR[[#Headers],[2021]:[2025]],0)),"Intermédiaire","Supérieur")))))))</f>
        <v>Data RFR manquantes</v>
      </c>
      <c r="Z236" s="75"/>
      <c r="AA236" s="75" t="s">
        <v>1178</v>
      </c>
      <c r="AB236" s="75">
        <v>38340</v>
      </c>
      <c r="AC236" s="75" t="s">
        <v>108</v>
      </c>
      <c r="AD236" s="73"/>
      <c r="AE236" s="102"/>
      <c r="AF236" s="75" t="s">
        <v>95</v>
      </c>
      <c r="AG236" s="75"/>
      <c r="AH236" s="75"/>
      <c r="AI236" s="75"/>
      <c r="AJ236" s="75"/>
      <c r="AK236" s="75"/>
      <c r="AL236" s="75"/>
      <c r="AM236" s="75" t="s">
        <v>218</v>
      </c>
      <c r="AN236" s="75" t="s">
        <v>217</v>
      </c>
      <c r="AO236" s="75" t="s">
        <v>219</v>
      </c>
      <c r="AP236" s="75" t="s">
        <v>97</v>
      </c>
      <c r="AQ236" s="75"/>
      <c r="AR236" s="75">
        <v>43034</v>
      </c>
      <c r="AS236" s="102" t="s">
        <v>1004</v>
      </c>
      <c r="AT236" s="101">
        <v>476355605</v>
      </c>
      <c r="AU236" s="75" t="s">
        <v>111</v>
      </c>
      <c r="AV236" s="75">
        <v>1984</v>
      </c>
      <c r="AW236" s="75" t="s">
        <v>111</v>
      </c>
      <c r="AX236" s="75" t="s">
        <v>112</v>
      </c>
      <c r="AY236" s="75" t="s">
        <v>121</v>
      </c>
      <c r="AZ236" s="75" t="s">
        <v>1176</v>
      </c>
      <c r="BA236" s="75">
        <v>23</v>
      </c>
      <c r="BB236" s="75">
        <v>10</v>
      </c>
      <c r="BC236" s="75">
        <v>78</v>
      </c>
      <c r="BD236" s="75">
        <v>7.0000000000000007E-2</v>
      </c>
      <c r="BE236" s="75" t="s">
        <v>724</v>
      </c>
      <c r="BF236" s="75"/>
      <c r="BG236" s="75">
        <v>4411.5</v>
      </c>
      <c r="BH236" s="75"/>
      <c r="BI236" s="75"/>
      <c r="BJ236" s="75"/>
      <c r="BK236" s="75">
        <v>1532.03</v>
      </c>
      <c r="BL236" s="75">
        <f t="shared" si="9"/>
        <v>5943.53</v>
      </c>
      <c r="BM236" s="103">
        <f t="shared" si="10"/>
        <v>326.89414999999997</v>
      </c>
      <c r="BN236" s="103">
        <f t="shared" si="11"/>
        <v>6270.4241499999998</v>
      </c>
      <c r="BO236" s="103">
        <v>6270.42</v>
      </c>
      <c r="BP236" s="75" t="s">
        <v>97</v>
      </c>
      <c r="BQ236" s="74">
        <v>43420</v>
      </c>
      <c r="BR236" s="75"/>
      <c r="BS236" s="157">
        <v>2017</v>
      </c>
      <c r="BT236">
        <v>2020</v>
      </c>
      <c r="BU236">
        <v>2017</v>
      </c>
    </row>
    <row r="237" spans="1:73" ht="43.15" customHeight="1" x14ac:dyDescent="0.25">
      <c r="A237" s="242" t="s">
        <v>186</v>
      </c>
      <c r="B237" s="242" t="s">
        <v>1175</v>
      </c>
      <c r="C237" s="159">
        <v>400</v>
      </c>
      <c r="D237" s="114">
        <v>42965</v>
      </c>
      <c r="E237" s="114"/>
      <c r="F237" s="114"/>
      <c r="G237" s="114" t="s">
        <v>1174</v>
      </c>
      <c r="H237" s="114">
        <v>42977</v>
      </c>
      <c r="I237" s="114">
        <v>42977</v>
      </c>
      <c r="J237" s="114">
        <v>42983</v>
      </c>
      <c r="K237" s="114"/>
      <c r="L237" s="114">
        <v>43091</v>
      </c>
      <c r="M237" s="114">
        <v>43052</v>
      </c>
      <c r="N237" s="114"/>
      <c r="O237" s="114">
        <v>43102</v>
      </c>
      <c r="P237" s="114">
        <v>43102</v>
      </c>
      <c r="Q237" s="114">
        <v>43130</v>
      </c>
      <c r="R237" s="80"/>
      <c r="S237" s="114"/>
      <c r="T237" s="75"/>
      <c r="U237" s="75"/>
      <c r="V237" s="75"/>
      <c r="W237" s="75">
        <v>4</v>
      </c>
      <c r="X237" s="75">
        <v>40942</v>
      </c>
      <c r="Y237" s="75" t="str">
        <f ca="1">IF(I237="",IF(D237="","",IF(W237+X237&lt;15,"Données Nb pers ou RFR manquantes",IF(COUNTA(INDIRECT("TabRFR["&amp;YEAR(D237)&amp;"]"))&lt;&gt;COUNTA(TabRFR[Recherche RFR]),"Data RFR manquantes", IF(X237&lt;=INDEX(TabRFR[[2021]:[2025]],MATCH(BD!W237&amp;"-Très modestes",TabRFR[Recherche RFR],0),MATCH(TEXT(YEAR(BD!D237),"Standard"),TabRFR[[#Headers],[2021]:[2025]],0)),"Très Modeste",IF(X237&lt;=INDEX(TabRFR[[2021]:[2025]],MATCH(BD!W237&amp;"-modestes",TabRFR[Recherche RFR],0),MATCH(TEXT(YEAR(BD!D237),"Standard"),TabRFR[[#Headers],[2021]:[2025]],0)),"Modeste",IF(X237&lt;=INDEX(TabRFR[[2021]:[2025]],MATCH(BD!W237&amp;"-Intermédiaire",TabRFR[Recherche RFR],0),MATCH(TEXT(YEAR(BD!D237),"Standard"),TabRFR[[#Headers],[2021]:[2025]],0)),"Intermédiaire","Supérieur")))))),IF(D237="","",IF(W237+X237&lt;15,"Données Nb pers ou RFR manquantes",IF(COUNTA(INDIRECT("TabRFR["&amp;YEAR(I237)&amp;"]"))&lt;&gt;COUNTA(TabRFR[Recherche RFR]),"Data RFR manquantes", IF(X237&lt;=INDEX(TabRFR[[2021]:[2025]],MATCH(BD!W237&amp;"-Très modestes",TabRFR[Recherche RFR],0),MATCH(TEXT(YEAR(BD!I237),"Standard"),TabRFR[[#Headers],[2021]:[2025]],0)),"Très Modeste",IF(X237&lt;=INDEX(TabRFR[[2021]:[2025]],MATCH(BD!W237&amp;"-modestes",TabRFR[Recherche RFR],0),MATCH(TEXT(YEAR(BD!I237),"Standard"),TabRFR[[#Headers],[2021]:[2025]],0)),"Modeste",IF(X237&lt;=INDEX(TabRFR[[2021]:[2025]],MATCH(BD!W237&amp;"-Intermédiaire",TabRFR[Recherche RFR],0),MATCH(TEXT(YEAR(BD!I237),"Standard"),TabRFR[[#Headers],[2021]:[2025]],0)),"Intermédiaire","Supérieur")))))))</f>
        <v>Data RFR manquantes</v>
      </c>
      <c r="Z237" s="75"/>
      <c r="AA237" s="75" t="s">
        <v>1172</v>
      </c>
      <c r="AB237" s="75">
        <v>38140</v>
      </c>
      <c r="AC237" s="75" t="s">
        <v>363</v>
      </c>
      <c r="AD237" s="73"/>
      <c r="AE237" s="102"/>
      <c r="AF237" s="75" t="s">
        <v>95</v>
      </c>
      <c r="AG237" s="75"/>
      <c r="AH237" s="75"/>
      <c r="AI237" s="75"/>
      <c r="AJ237" s="75"/>
      <c r="AK237" s="75"/>
      <c r="AL237" s="75"/>
      <c r="AM237" s="75" t="s">
        <v>218</v>
      </c>
      <c r="AN237" s="75" t="s">
        <v>217</v>
      </c>
      <c r="AO237" s="75" t="s">
        <v>219</v>
      </c>
      <c r="AP237" s="75" t="s">
        <v>97</v>
      </c>
      <c r="AQ237" s="75"/>
      <c r="AR237" s="75">
        <v>43034</v>
      </c>
      <c r="AS237" s="102" t="s">
        <v>1004</v>
      </c>
      <c r="AT237" s="101">
        <v>476355606</v>
      </c>
      <c r="AU237" s="75" t="s">
        <v>100</v>
      </c>
      <c r="AV237" s="75">
        <v>1998</v>
      </c>
      <c r="AW237" s="75" t="s">
        <v>100</v>
      </c>
      <c r="AX237" s="75" t="s">
        <v>112</v>
      </c>
      <c r="AY237" s="75" t="s">
        <v>1171</v>
      </c>
      <c r="AZ237" s="75" t="s">
        <v>1170</v>
      </c>
      <c r="BA237" s="75">
        <v>31</v>
      </c>
      <c r="BB237" s="75">
        <v>6.6</v>
      </c>
      <c r="BC237" s="75">
        <v>82.7</v>
      </c>
      <c r="BD237" s="75">
        <v>0.08</v>
      </c>
      <c r="BE237" s="75" t="s">
        <v>97</v>
      </c>
      <c r="BF237" s="75"/>
      <c r="BG237" s="75">
        <v>5086.68</v>
      </c>
      <c r="BH237" s="75"/>
      <c r="BI237" s="75"/>
      <c r="BJ237" s="75"/>
      <c r="BK237" s="75">
        <v>1034.8</v>
      </c>
      <c r="BL237" s="75">
        <f t="shared" si="9"/>
        <v>6121.4800000000005</v>
      </c>
      <c r="BM237" s="103">
        <f t="shared" si="10"/>
        <v>336.68140000000005</v>
      </c>
      <c r="BN237" s="103">
        <f t="shared" si="11"/>
        <v>6458.1614000000009</v>
      </c>
      <c r="BO237" s="103">
        <v>5458.16</v>
      </c>
      <c r="BP237" s="75" t="s">
        <v>97</v>
      </c>
      <c r="BQ237" s="74">
        <v>43420</v>
      </c>
      <c r="BR237" s="75"/>
      <c r="BS237" s="157">
        <v>2017</v>
      </c>
      <c r="BT237">
        <v>2020</v>
      </c>
      <c r="BU237">
        <v>2017</v>
      </c>
    </row>
    <row r="238" spans="1:73" ht="43.15" customHeight="1" x14ac:dyDescent="0.25">
      <c r="A238" s="242" t="s">
        <v>186</v>
      </c>
      <c r="B238" s="242" t="s">
        <v>1169</v>
      </c>
      <c r="C238" s="159">
        <v>400</v>
      </c>
      <c r="D238" s="114">
        <v>42965</v>
      </c>
      <c r="E238" s="114"/>
      <c r="F238" s="114"/>
      <c r="G238" s="114"/>
      <c r="H238" s="114">
        <v>42977</v>
      </c>
      <c r="I238" s="114">
        <v>42977</v>
      </c>
      <c r="J238" s="114">
        <v>42983</v>
      </c>
      <c r="K238" s="114"/>
      <c r="L238" s="114">
        <v>43074</v>
      </c>
      <c r="M238" s="114">
        <v>43032</v>
      </c>
      <c r="N238" s="114"/>
      <c r="O238" s="114">
        <v>43081</v>
      </c>
      <c r="P238" s="114">
        <v>43081</v>
      </c>
      <c r="Q238" s="114">
        <v>43084</v>
      </c>
      <c r="R238" s="80"/>
      <c r="S238" s="114"/>
      <c r="T238" s="75"/>
      <c r="U238" s="75"/>
      <c r="V238" s="75"/>
      <c r="W238" s="75">
        <v>2</v>
      </c>
      <c r="X238" s="75">
        <v>43186</v>
      </c>
      <c r="Y238" s="75" t="str">
        <f ca="1">IF(I238="",IF(D238="","",IF(W238+X238&lt;15,"Données Nb pers ou RFR manquantes",IF(COUNTA(INDIRECT("TabRFR["&amp;YEAR(D238)&amp;"]"))&lt;&gt;COUNTA(TabRFR[Recherche RFR]),"Data RFR manquantes", IF(X238&lt;=INDEX(TabRFR[[2021]:[2025]],MATCH(BD!W238&amp;"-Très modestes",TabRFR[Recherche RFR],0),MATCH(TEXT(YEAR(BD!D238),"Standard"),TabRFR[[#Headers],[2021]:[2025]],0)),"Très Modeste",IF(X238&lt;=INDEX(TabRFR[[2021]:[2025]],MATCH(BD!W238&amp;"-modestes",TabRFR[Recherche RFR],0),MATCH(TEXT(YEAR(BD!D238),"Standard"),TabRFR[[#Headers],[2021]:[2025]],0)),"Modeste",IF(X238&lt;=INDEX(TabRFR[[2021]:[2025]],MATCH(BD!W238&amp;"-Intermédiaire",TabRFR[Recherche RFR],0),MATCH(TEXT(YEAR(BD!D238),"Standard"),TabRFR[[#Headers],[2021]:[2025]],0)),"Intermédiaire","Supérieur")))))),IF(D238="","",IF(W238+X238&lt;15,"Données Nb pers ou RFR manquantes",IF(COUNTA(INDIRECT("TabRFR["&amp;YEAR(I238)&amp;"]"))&lt;&gt;COUNTA(TabRFR[Recherche RFR]),"Data RFR manquantes", IF(X238&lt;=INDEX(TabRFR[[2021]:[2025]],MATCH(BD!W238&amp;"-Très modestes",TabRFR[Recherche RFR],0),MATCH(TEXT(YEAR(BD!I238),"Standard"),TabRFR[[#Headers],[2021]:[2025]],0)),"Très Modeste",IF(X238&lt;=INDEX(TabRFR[[2021]:[2025]],MATCH(BD!W238&amp;"-modestes",TabRFR[Recherche RFR],0),MATCH(TEXT(YEAR(BD!I238),"Standard"),TabRFR[[#Headers],[2021]:[2025]],0)),"Modeste",IF(X238&lt;=INDEX(TabRFR[[2021]:[2025]],MATCH(BD!W238&amp;"-Intermédiaire",TabRFR[Recherche RFR],0),MATCH(TEXT(YEAR(BD!I238),"Standard"),TabRFR[[#Headers],[2021]:[2025]],0)),"Intermédiaire","Supérieur")))))))</f>
        <v>Data RFR manquantes</v>
      </c>
      <c r="Z238" s="75"/>
      <c r="AA238" s="75" t="s">
        <v>331</v>
      </c>
      <c r="AB238" s="75">
        <v>38340</v>
      </c>
      <c r="AC238" s="75" t="s">
        <v>108</v>
      </c>
      <c r="AD238" s="73"/>
      <c r="AE238" s="102"/>
      <c r="AF238" s="75" t="s">
        <v>95</v>
      </c>
      <c r="AG238" s="75"/>
      <c r="AH238" s="75"/>
      <c r="AI238" s="75"/>
      <c r="AJ238" s="75"/>
      <c r="AK238" s="75"/>
      <c r="AL238" s="75"/>
      <c r="AM238" s="75" t="s">
        <v>4350</v>
      </c>
      <c r="AN238" s="75" t="s">
        <v>3333</v>
      </c>
      <c r="AO238" s="75" t="s">
        <v>1166</v>
      </c>
      <c r="AP238" s="75" t="s">
        <v>97</v>
      </c>
      <c r="AQ238" s="75"/>
      <c r="AR238" s="75">
        <v>43075</v>
      </c>
      <c r="AS238" s="102" t="s">
        <v>1165</v>
      </c>
      <c r="AT238" s="101">
        <v>476251477</v>
      </c>
      <c r="AU238" s="75" t="s">
        <v>111</v>
      </c>
      <c r="AV238" s="75">
        <v>1983</v>
      </c>
      <c r="AW238" s="75" t="s">
        <v>111</v>
      </c>
      <c r="AX238" s="75" t="s">
        <v>112</v>
      </c>
      <c r="AY238" s="75" t="s">
        <v>961</v>
      </c>
      <c r="AZ238" s="75" t="s">
        <v>1164</v>
      </c>
      <c r="BA238" s="75">
        <v>20</v>
      </c>
      <c r="BB238" s="75">
        <v>10.1</v>
      </c>
      <c r="BC238" s="75">
        <v>79</v>
      </c>
      <c r="BD238" s="75">
        <v>0.11</v>
      </c>
      <c r="BE238" s="75" t="s">
        <v>97</v>
      </c>
      <c r="BF238" s="75"/>
      <c r="BG238" s="75">
        <v>1522.5</v>
      </c>
      <c r="BH238" s="75"/>
      <c r="BI238" s="75"/>
      <c r="BJ238" s="75"/>
      <c r="BK238" s="75">
        <v>1200</v>
      </c>
      <c r="BL238" s="75">
        <f t="shared" si="9"/>
        <v>2722.5</v>
      </c>
      <c r="BM238" s="103">
        <f t="shared" si="10"/>
        <v>149.73750000000001</v>
      </c>
      <c r="BN238" s="103">
        <f t="shared" si="11"/>
        <v>2872.2375000000002</v>
      </c>
      <c r="BO238" s="103"/>
      <c r="BP238" s="75" t="s">
        <v>97</v>
      </c>
      <c r="BQ238" s="74">
        <v>43420</v>
      </c>
      <c r="BR238" s="75"/>
      <c r="BS238" s="157">
        <v>2017</v>
      </c>
      <c r="BT238">
        <v>2020</v>
      </c>
      <c r="BU238">
        <v>2017</v>
      </c>
    </row>
    <row r="239" spans="1:73" ht="43.15" customHeight="1" x14ac:dyDescent="0.25">
      <c r="A239" s="242" t="s">
        <v>186</v>
      </c>
      <c r="B239" s="242" t="s">
        <v>1163</v>
      </c>
      <c r="C239" s="159">
        <v>400</v>
      </c>
      <c r="D239" s="114">
        <v>42970</v>
      </c>
      <c r="E239" s="114"/>
      <c r="F239" s="114"/>
      <c r="G239" s="114"/>
      <c r="H239" s="114">
        <v>42977</v>
      </c>
      <c r="I239" s="114">
        <v>42977</v>
      </c>
      <c r="J239" s="114">
        <v>42983</v>
      </c>
      <c r="K239" s="114"/>
      <c r="L239" s="114">
        <v>43091</v>
      </c>
      <c r="M239" s="114">
        <v>43024</v>
      </c>
      <c r="N239" s="114"/>
      <c r="O239" s="114">
        <v>43102</v>
      </c>
      <c r="P239" s="114">
        <v>43102</v>
      </c>
      <c r="Q239" s="114">
        <v>43130</v>
      </c>
      <c r="R239" s="80"/>
      <c r="S239" s="114"/>
      <c r="T239" s="75"/>
      <c r="U239" s="75"/>
      <c r="V239" s="75"/>
      <c r="W239" s="75">
        <v>3</v>
      </c>
      <c r="X239" s="75">
        <f>20393+16234</f>
        <v>36627</v>
      </c>
      <c r="Y239" s="75" t="str">
        <f ca="1">IF(I239="",IF(D239="","",IF(W239+X239&lt;15,"Données Nb pers ou RFR manquantes",IF(COUNTA(INDIRECT("TabRFR["&amp;YEAR(D239)&amp;"]"))&lt;&gt;COUNTA(TabRFR[Recherche RFR]),"Data RFR manquantes", IF(X239&lt;=INDEX(TabRFR[[2021]:[2025]],MATCH(BD!W239&amp;"-Très modestes",TabRFR[Recherche RFR],0),MATCH(TEXT(YEAR(BD!D239),"Standard"),TabRFR[[#Headers],[2021]:[2025]],0)),"Très Modeste",IF(X239&lt;=INDEX(TabRFR[[2021]:[2025]],MATCH(BD!W239&amp;"-modestes",TabRFR[Recherche RFR],0),MATCH(TEXT(YEAR(BD!D239),"Standard"),TabRFR[[#Headers],[2021]:[2025]],0)),"Modeste",IF(X239&lt;=INDEX(TabRFR[[2021]:[2025]],MATCH(BD!W239&amp;"-Intermédiaire",TabRFR[Recherche RFR],0),MATCH(TEXT(YEAR(BD!D239),"Standard"),TabRFR[[#Headers],[2021]:[2025]],0)),"Intermédiaire","Supérieur")))))),IF(D239="","",IF(W239+X239&lt;15,"Données Nb pers ou RFR manquantes",IF(COUNTA(INDIRECT("TabRFR["&amp;YEAR(I239)&amp;"]"))&lt;&gt;COUNTA(TabRFR[Recherche RFR]),"Data RFR manquantes", IF(X239&lt;=INDEX(TabRFR[[2021]:[2025]],MATCH(BD!W239&amp;"-Très modestes",TabRFR[Recherche RFR],0),MATCH(TEXT(YEAR(BD!I239),"Standard"),TabRFR[[#Headers],[2021]:[2025]],0)),"Très Modeste",IF(X239&lt;=INDEX(TabRFR[[2021]:[2025]],MATCH(BD!W239&amp;"-modestes",TabRFR[Recherche RFR],0),MATCH(TEXT(YEAR(BD!I239),"Standard"),TabRFR[[#Headers],[2021]:[2025]],0)),"Modeste",IF(X239&lt;=INDEX(TabRFR[[2021]:[2025]],MATCH(BD!W239&amp;"-Intermédiaire",TabRFR[Recherche RFR],0),MATCH(TEXT(YEAR(BD!I239),"Standard"),TabRFR[[#Headers],[2021]:[2025]],0)),"Intermédiaire","Supérieur")))))))</f>
        <v>Data RFR manquantes</v>
      </c>
      <c r="Z239" s="75"/>
      <c r="AA239" s="75" t="s">
        <v>1161</v>
      </c>
      <c r="AB239" s="75">
        <v>38500</v>
      </c>
      <c r="AC239" s="75" t="s">
        <v>96</v>
      </c>
      <c r="AD239" s="73"/>
      <c r="AE239" s="102"/>
      <c r="AF239" s="75" t="s">
        <v>95</v>
      </c>
      <c r="AG239" s="75"/>
      <c r="AH239" s="75"/>
      <c r="AI239" s="75"/>
      <c r="AJ239" s="75"/>
      <c r="AK239" s="75"/>
      <c r="AL239" s="75"/>
      <c r="AM239" s="75" t="s">
        <v>4348</v>
      </c>
      <c r="AN239" s="75" t="s">
        <v>96</v>
      </c>
      <c r="AO239" s="75" t="s">
        <v>238</v>
      </c>
      <c r="AP239" s="75" t="s">
        <v>97</v>
      </c>
      <c r="AQ239" s="75"/>
      <c r="AR239" s="75">
        <v>43333</v>
      </c>
      <c r="AS239" s="102" t="s">
        <v>98</v>
      </c>
      <c r="AT239" s="101">
        <v>689668419</v>
      </c>
      <c r="AU239" s="75" t="s">
        <v>99</v>
      </c>
      <c r="AV239" s="75">
        <v>1973</v>
      </c>
      <c r="AW239" s="75" t="s">
        <v>100</v>
      </c>
      <c r="AX239" s="75" t="s">
        <v>2071</v>
      </c>
      <c r="AY239" s="75" t="s">
        <v>102</v>
      </c>
      <c r="AZ239" s="75" t="s">
        <v>1159</v>
      </c>
      <c r="BA239" s="75">
        <v>17</v>
      </c>
      <c r="BB239" s="75">
        <v>10.1</v>
      </c>
      <c r="BC239" s="75">
        <v>90</v>
      </c>
      <c r="BD239" s="75">
        <v>0.02</v>
      </c>
      <c r="BE239" s="75" t="s">
        <v>97</v>
      </c>
      <c r="BF239" s="75"/>
      <c r="BG239" s="75">
        <f>2800+690</f>
        <v>3490</v>
      </c>
      <c r="BH239" s="75"/>
      <c r="BI239" s="75"/>
      <c r="BJ239" s="75"/>
      <c r="BK239" s="75">
        <v>555</v>
      </c>
      <c r="BL239" s="75">
        <f t="shared" si="9"/>
        <v>4045</v>
      </c>
      <c r="BM239" s="103">
        <f t="shared" si="10"/>
        <v>222.47499999999999</v>
      </c>
      <c r="BN239" s="103">
        <f t="shared" si="11"/>
        <v>4267.4750000000004</v>
      </c>
      <c r="BO239" s="103">
        <v>3434.03</v>
      </c>
      <c r="BP239" s="75" t="s">
        <v>97</v>
      </c>
      <c r="BQ239" s="75"/>
      <c r="BR239" s="75"/>
      <c r="BS239" s="157">
        <v>2017</v>
      </c>
      <c r="BU239">
        <v>2017</v>
      </c>
    </row>
    <row r="240" spans="1:73" ht="43.15" customHeight="1" x14ac:dyDescent="0.25">
      <c r="A240" s="242" t="s">
        <v>186</v>
      </c>
      <c r="B240" s="242" t="s">
        <v>1158</v>
      </c>
      <c r="C240" s="159">
        <v>400</v>
      </c>
      <c r="D240" s="114">
        <v>42972</v>
      </c>
      <c r="E240" s="114"/>
      <c r="F240" s="114"/>
      <c r="G240" s="114"/>
      <c r="H240" s="114">
        <v>42977</v>
      </c>
      <c r="I240" s="114">
        <v>42977</v>
      </c>
      <c r="J240" s="114">
        <v>42983</v>
      </c>
      <c r="K240" s="114"/>
      <c r="L240" s="114">
        <v>43080</v>
      </c>
      <c r="M240" s="114">
        <v>43038</v>
      </c>
      <c r="N240" s="114"/>
      <c r="O240" s="114">
        <v>43082</v>
      </c>
      <c r="P240" s="114">
        <v>43082</v>
      </c>
      <c r="Q240" s="114">
        <v>43084</v>
      </c>
      <c r="R240" s="80"/>
      <c r="S240" s="114"/>
      <c r="T240" s="75"/>
      <c r="U240" s="75"/>
      <c r="V240" s="75"/>
      <c r="W240" s="75">
        <v>4</v>
      </c>
      <c r="X240" s="75">
        <v>93569</v>
      </c>
      <c r="Y240" s="75" t="str">
        <f ca="1">IF(I240="",IF(D240="","",IF(W240+X240&lt;15,"Données Nb pers ou RFR manquantes",IF(COUNTA(INDIRECT("TabRFR["&amp;YEAR(D240)&amp;"]"))&lt;&gt;COUNTA(TabRFR[Recherche RFR]),"Data RFR manquantes", IF(X240&lt;=INDEX(TabRFR[[2021]:[2025]],MATCH(BD!W240&amp;"-Très modestes",TabRFR[Recherche RFR],0),MATCH(TEXT(YEAR(BD!D240),"Standard"),TabRFR[[#Headers],[2021]:[2025]],0)),"Très Modeste",IF(X240&lt;=INDEX(TabRFR[[2021]:[2025]],MATCH(BD!W240&amp;"-modestes",TabRFR[Recherche RFR],0),MATCH(TEXT(YEAR(BD!D240),"Standard"),TabRFR[[#Headers],[2021]:[2025]],0)),"Modeste",IF(X240&lt;=INDEX(TabRFR[[2021]:[2025]],MATCH(BD!W240&amp;"-Intermédiaire",TabRFR[Recherche RFR],0),MATCH(TEXT(YEAR(BD!D240),"Standard"),TabRFR[[#Headers],[2021]:[2025]],0)),"Intermédiaire","Supérieur")))))),IF(D240="","",IF(W240+X240&lt;15,"Données Nb pers ou RFR manquantes",IF(COUNTA(INDIRECT("TabRFR["&amp;YEAR(I240)&amp;"]"))&lt;&gt;COUNTA(TabRFR[Recherche RFR]),"Data RFR manquantes", IF(X240&lt;=INDEX(TabRFR[[2021]:[2025]],MATCH(BD!W240&amp;"-Très modestes",TabRFR[Recherche RFR],0),MATCH(TEXT(YEAR(BD!I240),"Standard"),TabRFR[[#Headers],[2021]:[2025]],0)),"Très Modeste",IF(X240&lt;=INDEX(TabRFR[[2021]:[2025]],MATCH(BD!W240&amp;"-modestes",TabRFR[Recherche RFR],0),MATCH(TEXT(YEAR(BD!I240),"Standard"),TabRFR[[#Headers],[2021]:[2025]],0)),"Modeste",IF(X240&lt;=INDEX(TabRFR[[2021]:[2025]],MATCH(BD!W240&amp;"-Intermédiaire",TabRFR[Recherche RFR],0),MATCH(TEXT(YEAR(BD!I240),"Standard"),TabRFR[[#Headers],[2021]:[2025]],0)),"Intermédiaire","Supérieur")))))))</f>
        <v>Data RFR manquantes</v>
      </c>
      <c r="Z240" s="75"/>
      <c r="AA240" s="75" t="s">
        <v>1156</v>
      </c>
      <c r="AB240" s="75">
        <v>38960</v>
      </c>
      <c r="AC240" s="75" t="s">
        <v>2403</v>
      </c>
      <c r="AD240" s="73"/>
      <c r="AE240" s="102"/>
      <c r="AF240" s="75" t="s">
        <v>95</v>
      </c>
      <c r="AG240" s="75"/>
      <c r="AH240" s="75"/>
      <c r="AI240" s="75"/>
      <c r="AJ240" s="75"/>
      <c r="AK240" s="75"/>
      <c r="AL240" s="75"/>
      <c r="AM240" s="75" t="s">
        <v>4348</v>
      </c>
      <c r="AN240" s="75" t="s">
        <v>96</v>
      </c>
      <c r="AO240" s="75" t="s">
        <v>238</v>
      </c>
      <c r="AP240" s="75" t="s">
        <v>97</v>
      </c>
      <c r="AQ240" s="75"/>
      <c r="AR240" s="75">
        <v>43333</v>
      </c>
      <c r="AS240" s="102" t="s">
        <v>98</v>
      </c>
      <c r="AT240" s="101">
        <v>476323235</v>
      </c>
      <c r="AU240" s="75" t="s">
        <v>111</v>
      </c>
      <c r="AV240" s="75">
        <v>1998</v>
      </c>
      <c r="AW240" s="75" t="s">
        <v>100</v>
      </c>
      <c r="AX240" s="75" t="s">
        <v>112</v>
      </c>
      <c r="AY240" s="75" t="s">
        <v>499</v>
      </c>
      <c r="AZ240" s="75" t="s">
        <v>1154</v>
      </c>
      <c r="BA240" s="75">
        <v>7</v>
      </c>
      <c r="BB240" s="75">
        <v>8</v>
      </c>
      <c r="BC240" s="75">
        <v>78</v>
      </c>
      <c r="BD240" s="75">
        <v>0.06</v>
      </c>
      <c r="BE240" s="75" t="s">
        <v>97</v>
      </c>
      <c r="BF240" s="75"/>
      <c r="BG240" s="75">
        <v>4720</v>
      </c>
      <c r="BH240" s="75"/>
      <c r="BI240" s="75"/>
      <c r="BJ240" s="75"/>
      <c r="BK240" s="75">
        <v>710</v>
      </c>
      <c r="BL240" s="75">
        <f t="shared" si="9"/>
        <v>5430</v>
      </c>
      <c r="BM240" s="103">
        <f t="shared" si="10"/>
        <v>298.64999999999998</v>
      </c>
      <c r="BN240" s="103">
        <f t="shared" si="11"/>
        <v>5728.65</v>
      </c>
      <c r="BO240" s="103">
        <v>4533.34</v>
      </c>
      <c r="BP240" s="75" t="s">
        <v>104</v>
      </c>
      <c r="BQ240" s="74">
        <v>43420</v>
      </c>
      <c r="BR240" s="75"/>
      <c r="BS240" s="157">
        <v>2017</v>
      </c>
      <c r="BT240">
        <v>2020</v>
      </c>
      <c r="BU240">
        <v>2017</v>
      </c>
    </row>
    <row r="241" spans="1:73" ht="43.15" customHeight="1" x14ac:dyDescent="0.25">
      <c r="A241" s="242" t="s">
        <v>186</v>
      </c>
      <c r="B241" s="242" t="s">
        <v>1153</v>
      </c>
      <c r="C241" s="159">
        <v>400</v>
      </c>
      <c r="D241" s="114">
        <v>42972</v>
      </c>
      <c r="E241" s="114"/>
      <c r="F241" s="114"/>
      <c r="G241" s="114" t="s">
        <v>1152</v>
      </c>
      <c r="H241" s="114">
        <v>42978</v>
      </c>
      <c r="I241" s="114">
        <v>42978</v>
      </c>
      <c r="J241" s="114">
        <v>42983</v>
      </c>
      <c r="K241" s="114"/>
      <c r="L241" s="114">
        <v>43061</v>
      </c>
      <c r="M241" s="114">
        <v>43018</v>
      </c>
      <c r="N241" s="114"/>
      <c r="O241" s="114">
        <v>43061</v>
      </c>
      <c r="P241" s="114">
        <v>43061</v>
      </c>
      <c r="Q241" s="114">
        <v>43077</v>
      </c>
      <c r="R241" s="80"/>
      <c r="S241" s="114"/>
      <c r="T241" s="75"/>
      <c r="U241" s="75"/>
      <c r="V241" s="75"/>
      <c r="W241" s="75">
        <v>4</v>
      </c>
      <c r="X241" s="75">
        <v>65184</v>
      </c>
      <c r="Y241" s="75" t="str">
        <f ca="1">IF(I241="",IF(D241="","",IF(W241+X241&lt;15,"Données Nb pers ou RFR manquantes",IF(COUNTA(INDIRECT("TabRFR["&amp;YEAR(D241)&amp;"]"))&lt;&gt;COUNTA(TabRFR[Recherche RFR]),"Data RFR manquantes", IF(X241&lt;=INDEX(TabRFR[[2021]:[2025]],MATCH(BD!W241&amp;"-Très modestes",TabRFR[Recherche RFR],0),MATCH(TEXT(YEAR(BD!D241),"Standard"),TabRFR[[#Headers],[2021]:[2025]],0)),"Très Modeste",IF(X241&lt;=INDEX(TabRFR[[2021]:[2025]],MATCH(BD!W241&amp;"-modestes",TabRFR[Recherche RFR],0),MATCH(TEXT(YEAR(BD!D241),"Standard"),TabRFR[[#Headers],[2021]:[2025]],0)),"Modeste",IF(X241&lt;=INDEX(TabRFR[[2021]:[2025]],MATCH(BD!W241&amp;"-Intermédiaire",TabRFR[Recherche RFR],0),MATCH(TEXT(YEAR(BD!D241),"Standard"),TabRFR[[#Headers],[2021]:[2025]],0)),"Intermédiaire","Supérieur")))))),IF(D241="","",IF(W241+X241&lt;15,"Données Nb pers ou RFR manquantes",IF(COUNTA(INDIRECT("TabRFR["&amp;YEAR(I241)&amp;"]"))&lt;&gt;COUNTA(TabRFR[Recherche RFR]),"Data RFR manquantes", IF(X241&lt;=INDEX(TabRFR[[2021]:[2025]],MATCH(BD!W241&amp;"-Très modestes",TabRFR[Recherche RFR],0),MATCH(TEXT(YEAR(BD!I241),"Standard"),TabRFR[[#Headers],[2021]:[2025]],0)),"Très Modeste",IF(X241&lt;=INDEX(TabRFR[[2021]:[2025]],MATCH(BD!W241&amp;"-modestes",TabRFR[Recherche RFR],0),MATCH(TEXT(YEAR(BD!I241),"Standard"),TabRFR[[#Headers],[2021]:[2025]],0)),"Modeste",IF(X241&lt;=INDEX(TabRFR[[2021]:[2025]],MATCH(BD!W241&amp;"-Intermédiaire",TabRFR[Recherche RFR],0),MATCH(TEXT(YEAR(BD!I241),"Standard"),TabRFR[[#Headers],[2021]:[2025]],0)),"Intermédiaire","Supérieur")))))))</f>
        <v>Data RFR manquantes</v>
      </c>
      <c r="Z241" s="75"/>
      <c r="AA241" s="75" t="s">
        <v>1150</v>
      </c>
      <c r="AB241" s="75">
        <v>38340</v>
      </c>
      <c r="AC241" s="75" t="s">
        <v>108</v>
      </c>
      <c r="AD241" s="73"/>
      <c r="AE241" s="102"/>
      <c r="AF241" s="75" t="s">
        <v>95</v>
      </c>
      <c r="AG241" s="75"/>
      <c r="AH241" s="75"/>
      <c r="AI241" s="75"/>
      <c r="AJ241" s="75"/>
      <c r="AK241" s="75"/>
      <c r="AL241" s="75"/>
      <c r="AM241" s="75" t="s">
        <v>4233</v>
      </c>
      <c r="AN241" s="75" t="s">
        <v>829</v>
      </c>
      <c r="AO241" s="75" t="s">
        <v>325</v>
      </c>
      <c r="AP241" s="75" t="s">
        <v>97</v>
      </c>
      <c r="AQ241" s="75"/>
      <c r="AR241" s="75">
        <v>43321</v>
      </c>
      <c r="AS241" s="102" t="s">
        <v>211</v>
      </c>
      <c r="AT241" s="101">
        <v>438029038</v>
      </c>
      <c r="AU241" s="75" t="s">
        <v>99</v>
      </c>
      <c r="AV241" s="75">
        <v>1996</v>
      </c>
      <c r="AW241" s="75" t="s">
        <v>100</v>
      </c>
      <c r="AX241" s="75" t="s">
        <v>112</v>
      </c>
      <c r="AY241" s="75" t="s">
        <v>1039</v>
      </c>
      <c r="AZ241" s="75" t="s">
        <v>1148</v>
      </c>
      <c r="BA241" s="75">
        <v>14</v>
      </c>
      <c r="BB241" s="75">
        <v>7</v>
      </c>
      <c r="BC241" s="75">
        <v>80</v>
      </c>
      <c r="BD241" s="75">
        <v>0.1</v>
      </c>
      <c r="BE241" s="75" t="s">
        <v>97</v>
      </c>
      <c r="BF241" s="75"/>
      <c r="BG241" s="75">
        <f>2848+280+88+127</f>
        <v>3343</v>
      </c>
      <c r="BH241" s="75"/>
      <c r="BI241" s="75"/>
      <c r="BJ241" s="75"/>
      <c r="BK241" s="75">
        <v>700</v>
      </c>
      <c r="BL241" s="75">
        <f t="shared" si="9"/>
        <v>4043</v>
      </c>
      <c r="BM241" s="103">
        <f t="shared" si="10"/>
        <v>222.36500000000001</v>
      </c>
      <c r="BN241" s="103">
        <f t="shared" si="11"/>
        <v>4265.3649999999998</v>
      </c>
      <c r="BO241" s="103"/>
      <c r="BP241" s="75" t="s">
        <v>97</v>
      </c>
      <c r="BQ241" s="74">
        <v>43420</v>
      </c>
      <c r="BR241" s="75"/>
      <c r="BS241" s="157">
        <v>2017</v>
      </c>
      <c r="BT241">
        <v>2020</v>
      </c>
      <c r="BU241">
        <v>2017</v>
      </c>
    </row>
    <row r="242" spans="1:73" ht="43.15" customHeight="1" x14ac:dyDescent="0.25">
      <c r="A242" s="242" t="s">
        <v>186</v>
      </c>
      <c r="B242" s="242" t="s">
        <v>1147</v>
      </c>
      <c r="C242" s="159">
        <v>400</v>
      </c>
      <c r="D242" s="114">
        <v>42975</v>
      </c>
      <c r="E242" s="114"/>
      <c r="F242" s="114"/>
      <c r="G242" s="114" t="s">
        <v>1146</v>
      </c>
      <c r="H242" s="114">
        <v>42991</v>
      </c>
      <c r="I242" s="114">
        <v>42991</v>
      </c>
      <c r="J242" s="114">
        <v>42999</v>
      </c>
      <c r="K242" s="114"/>
      <c r="L242" s="114">
        <v>43041</v>
      </c>
      <c r="M242" s="114">
        <v>43025</v>
      </c>
      <c r="N242" s="114" t="s">
        <v>1145</v>
      </c>
      <c r="O242" s="114">
        <v>43109</v>
      </c>
      <c r="P242" s="114">
        <v>43109</v>
      </c>
      <c r="Q242" s="114">
        <v>43130</v>
      </c>
      <c r="R242" s="80"/>
      <c r="S242" s="114"/>
      <c r="T242" s="75"/>
      <c r="U242" s="75"/>
      <c r="V242" s="75"/>
      <c r="W242" s="75">
        <v>4</v>
      </c>
      <c r="X242" s="75">
        <f>24257+21406</f>
        <v>45663</v>
      </c>
      <c r="Y242" s="75" t="str">
        <f ca="1">IF(I242="",IF(D242="","",IF(W242+X242&lt;15,"Données Nb pers ou RFR manquantes",IF(COUNTA(INDIRECT("TabRFR["&amp;YEAR(D242)&amp;"]"))&lt;&gt;COUNTA(TabRFR[Recherche RFR]),"Data RFR manquantes", IF(X242&lt;=INDEX(TabRFR[[2021]:[2025]],MATCH(BD!W242&amp;"-Très modestes",TabRFR[Recherche RFR],0),MATCH(TEXT(YEAR(BD!D242),"Standard"),TabRFR[[#Headers],[2021]:[2025]],0)),"Très Modeste",IF(X242&lt;=INDEX(TabRFR[[2021]:[2025]],MATCH(BD!W242&amp;"-modestes",TabRFR[Recherche RFR],0),MATCH(TEXT(YEAR(BD!D242),"Standard"),TabRFR[[#Headers],[2021]:[2025]],0)),"Modeste",IF(X242&lt;=INDEX(TabRFR[[2021]:[2025]],MATCH(BD!W242&amp;"-Intermédiaire",TabRFR[Recherche RFR],0),MATCH(TEXT(YEAR(BD!D242),"Standard"),TabRFR[[#Headers],[2021]:[2025]],0)),"Intermédiaire","Supérieur")))))),IF(D242="","",IF(W242+X242&lt;15,"Données Nb pers ou RFR manquantes",IF(COUNTA(INDIRECT("TabRFR["&amp;YEAR(I242)&amp;"]"))&lt;&gt;COUNTA(TabRFR[Recherche RFR]),"Data RFR manquantes", IF(X242&lt;=INDEX(TabRFR[[2021]:[2025]],MATCH(BD!W242&amp;"-Très modestes",TabRFR[Recherche RFR],0),MATCH(TEXT(YEAR(BD!I242),"Standard"),TabRFR[[#Headers],[2021]:[2025]],0)),"Très Modeste",IF(X242&lt;=INDEX(TabRFR[[2021]:[2025]],MATCH(BD!W242&amp;"-modestes",TabRFR[Recherche RFR],0),MATCH(TEXT(YEAR(BD!I242),"Standard"),TabRFR[[#Headers],[2021]:[2025]],0)),"Modeste",IF(X242&lt;=INDEX(TabRFR[[2021]:[2025]],MATCH(BD!W242&amp;"-Intermédiaire",TabRFR[Recherche RFR],0),MATCH(TEXT(YEAR(BD!I242),"Standard"),TabRFR[[#Headers],[2021]:[2025]],0)),"Intermédiaire","Supérieur")))))))</f>
        <v>Data RFR manquantes</v>
      </c>
      <c r="Z242" s="75"/>
      <c r="AA242" s="75" t="s">
        <v>1142</v>
      </c>
      <c r="AB242" s="75">
        <v>38340</v>
      </c>
      <c r="AC242" s="75" t="s">
        <v>108</v>
      </c>
      <c r="AD242" s="73"/>
      <c r="AE242" s="102"/>
      <c r="AF242" s="75" t="s">
        <v>95</v>
      </c>
      <c r="AG242" s="75"/>
      <c r="AH242" s="75"/>
      <c r="AI242" s="75"/>
      <c r="AJ242" s="75"/>
      <c r="AK242" s="75"/>
      <c r="AL242" s="75"/>
      <c r="AM242" s="75" t="s">
        <v>4031</v>
      </c>
      <c r="AN242" s="75" t="s">
        <v>4109</v>
      </c>
      <c r="AO242" s="75" t="s">
        <v>1140</v>
      </c>
      <c r="AP242" s="75" t="s">
        <v>97</v>
      </c>
      <c r="AQ242" s="75"/>
      <c r="AR242" s="75">
        <v>43172</v>
      </c>
      <c r="AS242" s="102" t="s">
        <v>156</v>
      </c>
      <c r="AT242" s="101">
        <v>698193037</v>
      </c>
      <c r="AU242" s="75" t="s">
        <v>100</v>
      </c>
      <c r="AV242" s="75">
        <v>2000</v>
      </c>
      <c r="AW242" s="75" t="s">
        <v>100</v>
      </c>
      <c r="AX242" s="75" t="s">
        <v>2071</v>
      </c>
      <c r="AY242" s="75" t="s">
        <v>157</v>
      </c>
      <c r="AZ242" s="75" t="s">
        <v>1139</v>
      </c>
      <c r="BA242" s="75">
        <v>11</v>
      </c>
      <c r="BB242" s="75">
        <v>10.5</v>
      </c>
      <c r="BC242" s="75">
        <v>87</v>
      </c>
      <c r="BD242" s="75">
        <v>0.01</v>
      </c>
      <c r="BE242" s="75" t="s">
        <v>97</v>
      </c>
      <c r="BF242" s="75"/>
      <c r="BG242" s="75">
        <v>1908.33</v>
      </c>
      <c r="BH242" s="75"/>
      <c r="BI242" s="75"/>
      <c r="BJ242" s="75"/>
      <c r="BK242" s="75">
        <v>610.28</v>
      </c>
      <c r="BL242" s="75">
        <f t="shared" si="9"/>
        <v>2518.6099999999997</v>
      </c>
      <c r="BM242" s="103">
        <f t="shared" si="10"/>
        <v>138.52354999999997</v>
      </c>
      <c r="BN242" s="103">
        <f t="shared" si="11"/>
        <v>2657.1335499999996</v>
      </c>
      <c r="BO242" s="103">
        <v>2887.02</v>
      </c>
      <c r="BP242" s="75" t="s">
        <v>97</v>
      </c>
      <c r="BQ242" s="75"/>
      <c r="BR242" s="75"/>
      <c r="BS242" s="157">
        <v>2017</v>
      </c>
      <c r="BU242">
        <v>2017</v>
      </c>
    </row>
    <row r="243" spans="1:73" ht="43.15" customHeight="1" x14ac:dyDescent="0.25">
      <c r="A243" s="242" t="s">
        <v>186</v>
      </c>
      <c r="B243" s="242" t="s">
        <v>1138</v>
      </c>
      <c r="C243" s="159">
        <v>800</v>
      </c>
      <c r="D243" s="114">
        <v>42976</v>
      </c>
      <c r="E243" s="114"/>
      <c r="F243" s="114"/>
      <c r="G243" s="114"/>
      <c r="H243" s="114">
        <v>42977</v>
      </c>
      <c r="I243" s="114">
        <v>42977</v>
      </c>
      <c r="J243" s="114">
        <v>42985</v>
      </c>
      <c r="K243" s="114"/>
      <c r="L243" s="114">
        <v>43018</v>
      </c>
      <c r="M243" s="114">
        <v>43014</v>
      </c>
      <c r="N243" s="114" t="s">
        <v>1137</v>
      </c>
      <c r="O243" s="114">
        <v>43042</v>
      </c>
      <c r="P243" s="114">
        <v>43042</v>
      </c>
      <c r="Q243" s="114">
        <v>43048</v>
      </c>
      <c r="R243" s="100"/>
      <c r="S243" s="114"/>
      <c r="T243" s="75"/>
      <c r="U243" s="75"/>
      <c r="V243" s="75"/>
      <c r="W243" s="75">
        <v>3</v>
      </c>
      <c r="X243" s="75">
        <v>22519</v>
      </c>
      <c r="Y243" s="75" t="str">
        <f ca="1">IF(I243="",IF(D243="","",IF(W243+X243&lt;15,"Données Nb pers ou RFR manquantes",IF(COUNTA(INDIRECT("TabRFR["&amp;YEAR(D243)&amp;"]"))&lt;&gt;COUNTA(TabRFR[Recherche RFR]),"Data RFR manquantes", IF(X243&lt;=INDEX(TabRFR[[2021]:[2025]],MATCH(BD!W243&amp;"-Très modestes",TabRFR[Recherche RFR],0),MATCH(TEXT(YEAR(BD!D243),"Standard"),TabRFR[[#Headers],[2021]:[2025]],0)),"Très Modeste",IF(X243&lt;=INDEX(TabRFR[[2021]:[2025]],MATCH(BD!W243&amp;"-modestes",TabRFR[Recherche RFR],0),MATCH(TEXT(YEAR(BD!D243),"Standard"),TabRFR[[#Headers],[2021]:[2025]],0)),"Modeste",IF(X243&lt;=INDEX(TabRFR[[2021]:[2025]],MATCH(BD!W243&amp;"-Intermédiaire",TabRFR[Recherche RFR],0),MATCH(TEXT(YEAR(BD!D243),"Standard"),TabRFR[[#Headers],[2021]:[2025]],0)),"Intermédiaire","Supérieur")))))),IF(D243="","",IF(W243+X243&lt;15,"Données Nb pers ou RFR manquantes",IF(COUNTA(INDIRECT("TabRFR["&amp;YEAR(I243)&amp;"]"))&lt;&gt;COUNTA(TabRFR[Recherche RFR]),"Data RFR manquantes", IF(X243&lt;=INDEX(TabRFR[[2021]:[2025]],MATCH(BD!W243&amp;"-Très modestes",TabRFR[Recherche RFR],0),MATCH(TEXT(YEAR(BD!I243),"Standard"),TabRFR[[#Headers],[2021]:[2025]],0)),"Très Modeste",IF(X243&lt;=INDEX(TabRFR[[2021]:[2025]],MATCH(BD!W243&amp;"-modestes",TabRFR[Recherche RFR],0),MATCH(TEXT(YEAR(BD!I243),"Standard"),TabRFR[[#Headers],[2021]:[2025]],0)),"Modeste",IF(X243&lt;=INDEX(TabRFR[[2021]:[2025]],MATCH(BD!W243&amp;"-Intermédiaire",TabRFR[Recherche RFR],0),MATCH(TEXT(YEAR(BD!I243),"Standard"),TabRFR[[#Headers],[2021]:[2025]],0)),"Intermédiaire","Supérieur")))))))</f>
        <v>Data RFR manquantes</v>
      </c>
      <c r="Z243" s="75"/>
      <c r="AA243" s="75" t="s">
        <v>1134</v>
      </c>
      <c r="AB243" s="75">
        <v>38490</v>
      </c>
      <c r="AC243" s="75" t="s">
        <v>1133</v>
      </c>
      <c r="AD243" s="73"/>
      <c r="AE243" s="102"/>
      <c r="AF243" s="75" t="s">
        <v>95</v>
      </c>
      <c r="AG243" s="75"/>
      <c r="AH243" s="75"/>
      <c r="AI243" s="75"/>
      <c r="AJ243" s="75"/>
      <c r="AK243" s="75"/>
      <c r="AL243" s="75"/>
      <c r="AM243" s="75" t="s">
        <v>4236</v>
      </c>
      <c r="AN243" s="75" t="s">
        <v>4091</v>
      </c>
      <c r="AO243" s="75"/>
      <c r="AP243" s="75" t="s">
        <v>97</v>
      </c>
      <c r="AQ243" s="75"/>
      <c r="AR243" s="75">
        <v>42995</v>
      </c>
      <c r="AS243" s="102"/>
      <c r="AT243" s="101">
        <v>476370350</v>
      </c>
      <c r="AU243" s="75" t="s">
        <v>99</v>
      </c>
      <c r="AV243" s="75" t="s">
        <v>231</v>
      </c>
      <c r="AW243" s="75" t="s">
        <v>100</v>
      </c>
      <c r="AX243" s="75" t="s">
        <v>2071</v>
      </c>
      <c r="AY243" s="75" t="s">
        <v>1017</v>
      </c>
      <c r="AZ243" s="75" t="s">
        <v>1131</v>
      </c>
      <c r="BA243" s="75">
        <v>11</v>
      </c>
      <c r="BB243" s="75">
        <v>12</v>
      </c>
      <c r="BC243" s="75">
        <v>88.5</v>
      </c>
      <c r="BD243" s="75">
        <v>0.01</v>
      </c>
      <c r="BE243" s="75" t="s">
        <v>97</v>
      </c>
      <c r="BF243" s="75"/>
      <c r="BG243" s="75">
        <v>6218</v>
      </c>
      <c r="BH243" s="75"/>
      <c r="BI243" s="75"/>
      <c r="BJ243" s="75"/>
      <c r="BK243" s="75">
        <v>1443</v>
      </c>
      <c r="BL243" s="75">
        <f t="shared" si="9"/>
        <v>7661</v>
      </c>
      <c r="BM243" s="103">
        <f t="shared" si="10"/>
        <v>421.35500000000002</v>
      </c>
      <c r="BN243" s="103">
        <f t="shared" si="11"/>
        <v>8082.3549999999996</v>
      </c>
      <c r="BO243" s="103">
        <v>8400</v>
      </c>
      <c r="BP243" s="75" t="s">
        <v>97</v>
      </c>
      <c r="BQ243" s="75"/>
      <c r="BR243" s="75"/>
      <c r="BS243" s="157">
        <v>2017</v>
      </c>
      <c r="BU243">
        <v>2017</v>
      </c>
    </row>
    <row r="244" spans="1:73" ht="43.15" customHeight="1" x14ac:dyDescent="0.25">
      <c r="A244" s="242" t="s">
        <v>186</v>
      </c>
      <c r="B244" s="242" t="s">
        <v>1130</v>
      </c>
      <c r="C244" s="159">
        <v>800</v>
      </c>
      <c r="D244" s="114">
        <v>42978</v>
      </c>
      <c r="E244" s="114"/>
      <c r="F244" s="114"/>
      <c r="G244" s="114" t="s">
        <v>1129</v>
      </c>
      <c r="H244" s="114">
        <v>42978</v>
      </c>
      <c r="I244" s="114">
        <v>42978</v>
      </c>
      <c r="J244" s="114">
        <v>42985</v>
      </c>
      <c r="K244" s="114"/>
      <c r="L244" s="114">
        <v>42941</v>
      </c>
      <c r="M244" s="114">
        <v>43012</v>
      </c>
      <c r="N244" s="114" t="s">
        <v>1128</v>
      </c>
      <c r="O244" s="114">
        <v>43333</v>
      </c>
      <c r="P244" s="114">
        <v>43333</v>
      </c>
      <c r="Q244" s="114">
        <v>43343</v>
      </c>
      <c r="R244" s="100"/>
      <c r="S244" s="114"/>
      <c r="T244" s="75"/>
      <c r="U244" s="75"/>
      <c r="V244" s="75"/>
      <c r="W244" s="75">
        <v>5</v>
      </c>
      <c r="X244" s="75">
        <v>11765</v>
      </c>
      <c r="Y244" s="75" t="str">
        <f ca="1">IF(I244="",IF(D244="","",IF(W244+X244&lt;15,"Données Nb pers ou RFR manquantes",IF(COUNTA(INDIRECT("TabRFR["&amp;YEAR(D244)&amp;"]"))&lt;&gt;COUNTA(TabRFR[Recherche RFR]),"Data RFR manquantes", IF(X244&lt;=INDEX(TabRFR[[2021]:[2025]],MATCH(BD!W244&amp;"-Très modestes",TabRFR[Recherche RFR],0),MATCH(TEXT(YEAR(BD!D244),"Standard"),TabRFR[[#Headers],[2021]:[2025]],0)),"Très Modeste",IF(X244&lt;=INDEX(TabRFR[[2021]:[2025]],MATCH(BD!W244&amp;"-modestes",TabRFR[Recherche RFR],0),MATCH(TEXT(YEAR(BD!D244),"Standard"),TabRFR[[#Headers],[2021]:[2025]],0)),"Modeste",IF(X244&lt;=INDEX(TabRFR[[2021]:[2025]],MATCH(BD!W244&amp;"-Intermédiaire",TabRFR[Recherche RFR],0),MATCH(TEXT(YEAR(BD!D244),"Standard"),TabRFR[[#Headers],[2021]:[2025]],0)),"Intermédiaire","Supérieur")))))),IF(D244="","",IF(W244+X244&lt;15,"Données Nb pers ou RFR manquantes",IF(COUNTA(INDIRECT("TabRFR["&amp;YEAR(I244)&amp;"]"))&lt;&gt;COUNTA(TabRFR[Recherche RFR]),"Data RFR manquantes", IF(X244&lt;=INDEX(TabRFR[[2021]:[2025]],MATCH(BD!W244&amp;"-Très modestes",TabRFR[Recherche RFR],0),MATCH(TEXT(YEAR(BD!I244),"Standard"),TabRFR[[#Headers],[2021]:[2025]],0)),"Très Modeste",IF(X244&lt;=INDEX(TabRFR[[2021]:[2025]],MATCH(BD!W244&amp;"-modestes",TabRFR[Recherche RFR],0),MATCH(TEXT(YEAR(BD!I244),"Standard"),TabRFR[[#Headers],[2021]:[2025]],0)),"Modeste",IF(X244&lt;=INDEX(TabRFR[[2021]:[2025]],MATCH(BD!W244&amp;"-Intermédiaire",TabRFR[Recherche RFR],0),MATCH(TEXT(YEAR(BD!I244),"Standard"),TabRFR[[#Headers],[2021]:[2025]],0)),"Intermédiaire","Supérieur")))))))</f>
        <v>Data RFR manquantes</v>
      </c>
      <c r="Z244" s="75"/>
      <c r="AA244" s="75" t="s">
        <v>1126</v>
      </c>
      <c r="AB244" s="75">
        <v>38850</v>
      </c>
      <c r="AC244" s="75" t="s">
        <v>4304</v>
      </c>
      <c r="AD244" s="73"/>
      <c r="AE244" s="102"/>
      <c r="AF244" s="75" t="s">
        <v>95</v>
      </c>
      <c r="AG244" s="75"/>
      <c r="AH244" s="75"/>
      <c r="AI244" s="75"/>
      <c r="AJ244" s="75"/>
      <c r="AK244" s="75"/>
      <c r="AL244" s="75"/>
      <c r="AM244" s="75" t="s">
        <v>4384</v>
      </c>
      <c r="AN244" s="75" t="s">
        <v>96</v>
      </c>
      <c r="AO244" s="75" t="s">
        <v>1124</v>
      </c>
      <c r="AP244" s="75" t="s">
        <v>97</v>
      </c>
      <c r="AQ244" s="75"/>
      <c r="AR244" s="131">
        <v>43180</v>
      </c>
      <c r="AS244" s="102" t="s">
        <v>744</v>
      </c>
      <c r="AT244" s="101">
        <v>685231565</v>
      </c>
      <c r="AU244" s="75" t="s">
        <v>746</v>
      </c>
      <c r="AV244" s="75">
        <v>2000</v>
      </c>
      <c r="AW244" s="75" t="s">
        <v>746</v>
      </c>
      <c r="AX244" s="75" t="s">
        <v>112</v>
      </c>
      <c r="AY244" s="75" t="s">
        <v>1123</v>
      </c>
      <c r="AZ244" s="75" t="s">
        <v>1122</v>
      </c>
      <c r="BA244" s="75">
        <v>16</v>
      </c>
      <c r="BB244" s="75">
        <v>21</v>
      </c>
      <c r="BC244" s="75">
        <v>91.5</v>
      </c>
      <c r="BD244" s="75">
        <v>170</v>
      </c>
      <c r="BE244" s="75" t="s">
        <v>374</v>
      </c>
      <c r="BF244" s="75"/>
      <c r="BG244" s="75">
        <v>12150</v>
      </c>
      <c r="BH244" s="75"/>
      <c r="BI244" s="75"/>
      <c r="BJ244" s="75"/>
      <c r="BK244" s="75">
        <v>2730</v>
      </c>
      <c r="BL244" s="75">
        <f t="shared" si="9"/>
        <v>14880</v>
      </c>
      <c r="BM244" s="103">
        <f t="shared" si="10"/>
        <v>818.4</v>
      </c>
      <c r="BN244" s="103">
        <f t="shared" si="11"/>
        <v>15698.4</v>
      </c>
      <c r="BO244" s="103"/>
      <c r="BP244" s="75"/>
      <c r="BQ244" s="74">
        <v>43420</v>
      </c>
      <c r="BR244" s="75"/>
      <c r="BS244" s="157">
        <v>2017</v>
      </c>
      <c r="BT244">
        <v>2020</v>
      </c>
      <c r="BU244">
        <v>2017</v>
      </c>
    </row>
    <row r="245" spans="1:73" ht="43.15" customHeight="1" x14ac:dyDescent="0.25">
      <c r="A245" s="242" t="s">
        <v>186</v>
      </c>
      <c r="B245" s="242" t="s">
        <v>1121</v>
      </c>
      <c r="C245" s="159">
        <v>400</v>
      </c>
      <c r="D245" s="114">
        <v>42982</v>
      </c>
      <c r="E245" s="114"/>
      <c r="F245" s="114"/>
      <c r="G245" s="114" t="s">
        <v>193</v>
      </c>
      <c r="H245" s="114">
        <v>42991</v>
      </c>
      <c r="I245" s="114">
        <v>42991</v>
      </c>
      <c r="J245" s="114">
        <v>42999</v>
      </c>
      <c r="K245" s="114"/>
      <c r="L245" s="114">
        <v>43189</v>
      </c>
      <c r="M245" s="114">
        <v>43167</v>
      </c>
      <c r="N245" s="114" t="s">
        <v>1120</v>
      </c>
      <c r="O245" s="114">
        <v>43217</v>
      </c>
      <c r="P245" s="114">
        <v>43217</v>
      </c>
      <c r="Q245" s="114">
        <v>43258</v>
      </c>
      <c r="R245" s="80"/>
      <c r="S245" s="114"/>
      <c r="T245" s="75"/>
      <c r="U245" s="75"/>
      <c r="V245" s="75"/>
      <c r="W245" s="75">
        <v>2</v>
      </c>
      <c r="X245" s="75">
        <v>33694</v>
      </c>
      <c r="Y245" s="75" t="str">
        <f ca="1">IF(I245="",IF(D245="","",IF(W245+X245&lt;15,"Données Nb pers ou RFR manquantes",IF(COUNTA(INDIRECT("TabRFR["&amp;YEAR(D245)&amp;"]"))&lt;&gt;COUNTA(TabRFR[Recherche RFR]),"Data RFR manquantes", IF(X245&lt;=INDEX(TabRFR[[2021]:[2025]],MATCH(BD!W245&amp;"-Très modestes",TabRFR[Recherche RFR],0),MATCH(TEXT(YEAR(BD!D245),"Standard"),TabRFR[[#Headers],[2021]:[2025]],0)),"Très Modeste",IF(X245&lt;=INDEX(TabRFR[[2021]:[2025]],MATCH(BD!W245&amp;"-modestes",TabRFR[Recherche RFR],0),MATCH(TEXT(YEAR(BD!D245),"Standard"),TabRFR[[#Headers],[2021]:[2025]],0)),"Modeste",IF(X245&lt;=INDEX(TabRFR[[2021]:[2025]],MATCH(BD!W245&amp;"-Intermédiaire",TabRFR[Recherche RFR],0),MATCH(TEXT(YEAR(BD!D245),"Standard"),TabRFR[[#Headers],[2021]:[2025]],0)),"Intermédiaire","Supérieur")))))),IF(D245="","",IF(W245+X245&lt;15,"Données Nb pers ou RFR manquantes",IF(COUNTA(INDIRECT("TabRFR["&amp;YEAR(I245)&amp;"]"))&lt;&gt;COUNTA(TabRFR[Recherche RFR]),"Data RFR manquantes", IF(X245&lt;=INDEX(TabRFR[[2021]:[2025]],MATCH(BD!W245&amp;"-Très modestes",TabRFR[Recherche RFR],0),MATCH(TEXT(YEAR(BD!I245),"Standard"),TabRFR[[#Headers],[2021]:[2025]],0)),"Très Modeste",IF(X245&lt;=INDEX(TabRFR[[2021]:[2025]],MATCH(BD!W245&amp;"-modestes",TabRFR[Recherche RFR],0),MATCH(TEXT(YEAR(BD!I245),"Standard"),TabRFR[[#Headers],[2021]:[2025]],0)),"Modeste",IF(X245&lt;=INDEX(TabRFR[[2021]:[2025]],MATCH(BD!W245&amp;"-Intermédiaire",TabRFR[Recherche RFR],0),MATCH(TEXT(YEAR(BD!I245),"Standard"),TabRFR[[#Headers],[2021]:[2025]],0)),"Intermédiaire","Supérieur")))))))</f>
        <v>Data RFR manquantes</v>
      </c>
      <c r="Z245" s="75"/>
      <c r="AA245" s="75" t="s">
        <v>1117</v>
      </c>
      <c r="AB245" s="75">
        <v>38340</v>
      </c>
      <c r="AC245" s="75" t="s">
        <v>108</v>
      </c>
      <c r="AD245" s="73"/>
      <c r="AE245" s="102"/>
      <c r="AF245" s="75" t="s">
        <v>95</v>
      </c>
      <c r="AG245" s="75"/>
      <c r="AH245" s="75"/>
      <c r="AI245" s="75"/>
      <c r="AJ245" s="75"/>
      <c r="AK245" s="75"/>
      <c r="AL245" s="75"/>
      <c r="AM245" s="75" t="s">
        <v>4035</v>
      </c>
      <c r="AN245" s="75" t="s">
        <v>108</v>
      </c>
      <c r="AO245" s="75" t="s">
        <v>109</v>
      </c>
      <c r="AP245" s="75" t="s">
        <v>97</v>
      </c>
      <c r="AQ245" s="75"/>
      <c r="AR245" s="131">
        <v>43279</v>
      </c>
      <c r="AS245" s="102" t="s">
        <v>110</v>
      </c>
      <c r="AT245" s="101">
        <v>476500550</v>
      </c>
      <c r="AU245" s="75" t="s">
        <v>100</v>
      </c>
      <c r="AV245" s="75">
        <v>2000</v>
      </c>
      <c r="AW245" s="75" t="s">
        <v>100</v>
      </c>
      <c r="AX245" s="75" t="s">
        <v>112</v>
      </c>
      <c r="AY245" s="75" t="s">
        <v>113</v>
      </c>
      <c r="AZ245" s="75" t="s">
        <v>1115</v>
      </c>
      <c r="BA245" s="75">
        <v>39</v>
      </c>
      <c r="BB245" s="75">
        <v>6</v>
      </c>
      <c r="BC245" s="75">
        <v>80</v>
      </c>
      <c r="BD245" s="75">
        <v>0.06</v>
      </c>
      <c r="BE245" s="75" t="s">
        <v>97</v>
      </c>
      <c r="BF245" s="75"/>
      <c r="BG245" s="75">
        <v>2833</v>
      </c>
      <c r="BH245" s="75"/>
      <c r="BI245" s="75"/>
      <c r="BJ245" s="75"/>
      <c r="BK245" s="75">
        <v>450</v>
      </c>
      <c r="BL245" s="75">
        <f t="shared" si="9"/>
        <v>3283</v>
      </c>
      <c r="BM245" s="103">
        <f t="shared" si="10"/>
        <v>180.565</v>
      </c>
      <c r="BN245" s="103">
        <f t="shared" si="11"/>
        <v>3463.5650000000001</v>
      </c>
      <c r="BO245" s="103"/>
      <c r="BP245" s="75" t="s">
        <v>97</v>
      </c>
      <c r="BQ245" s="74">
        <v>43420</v>
      </c>
      <c r="BR245" s="75"/>
      <c r="BS245" s="157">
        <v>2017</v>
      </c>
      <c r="BT245">
        <v>2020</v>
      </c>
      <c r="BU245">
        <v>2017</v>
      </c>
    </row>
    <row r="246" spans="1:73" ht="43.15" customHeight="1" x14ac:dyDescent="0.25">
      <c r="A246" s="242" t="s">
        <v>186</v>
      </c>
      <c r="B246" s="242" t="s">
        <v>1114</v>
      </c>
      <c r="C246" s="159">
        <v>400</v>
      </c>
      <c r="D246" s="114">
        <v>42982</v>
      </c>
      <c r="E246" s="114"/>
      <c r="F246" s="114"/>
      <c r="G246" s="114"/>
      <c r="H246" s="114">
        <v>42991</v>
      </c>
      <c r="I246" s="114">
        <v>42991</v>
      </c>
      <c r="J246" s="114">
        <v>42999</v>
      </c>
      <c r="K246" s="114"/>
      <c r="L246" s="114">
        <v>43081</v>
      </c>
      <c r="M246" s="114">
        <v>43042</v>
      </c>
      <c r="N246" s="114"/>
      <c r="O246" s="114">
        <v>43082</v>
      </c>
      <c r="P246" s="114">
        <v>43082</v>
      </c>
      <c r="Q246" s="114">
        <v>43084</v>
      </c>
      <c r="R246" s="80"/>
      <c r="S246" s="114"/>
      <c r="T246" s="75"/>
      <c r="U246" s="75"/>
      <c r="V246" s="75"/>
      <c r="W246" s="75">
        <v>4</v>
      </c>
      <c r="X246" s="75">
        <v>58854</v>
      </c>
      <c r="Y246" s="75" t="str">
        <f ca="1">IF(I246="",IF(D246="","",IF(W246+X246&lt;15,"Données Nb pers ou RFR manquantes",IF(COUNTA(INDIRECT("TabRFR["&amp;YEAR(D246)&amp;"]"))&lt;&gt;COUNTA(TabRFR[Recherche RFR]),"Data RFR manquantes", IF(X246&lt;=INDEX(TabRFR[[2021]:[2025]],MATCH(BD!W246&amp;"-Très modestes",TabRFR[Recherche RFR],0),MATCH(TEXT(YEAR(BD!D246),"Standard"),TabRFR[[#Headers],[2021]:[2025]],0)),"Très Modeste",IF(X246&lt;=INDEX(TabRFR[[2021]:[2025]],MATCH(BD!W246&amp;"-modestes",TabRFR[Recherche RFR],0),MATCH(TEXT(YEAR(BD!D246),"Standard"),TabRFR[[#Headers],[2021]:[2025]],0)),"Modeste",IF(X246&lt;=INDEX(TabRFR[[2021]:[2025]],MATCH(BD!W246&amp;"-Intermédiaire",TabRFR[Recherche RFR],0),MATCH(TEXT(YEAR(BD!D246),"Standard"),TabRFR[[#Headers],[2021]:[2025]],0)),"Intermédiaire","Supérieur")))))),IF(D246="","",IF(W246+X246&lt;15,"Données Nb pers ou RFR manquantes",IF(COUNTA(INDIRECT("TabRFR["&amp;YEAR(I246)&amp;"]"))&lt;&gt;COUNTA(TabRFR[Recherche RFR]),"Data RFR manquantes", IF(X246&lt;=INDEX(TabRFR[[2021]:[2025]],MATCH(BD!W246&amp;"-Très modestes",TabRFR[Recherche RFR],0),MATCH(TEXT(YEAR(BD!I246),"Standard"),TabRFR[[#Headers],[2021]:[2025]],0)),"Très Modeste",IF(X246&lt;=INDEX(TabRFR[[2021]:[2025]],MATCH(BD!W246&amp;"-modestes",TabRFR[Recherche RFR],0),MATCH(TEXT(YEAR(BD!I246),"Standard"),TabRFR[[#Headers],[2021]:[2025]],0)),"Modeste",IF(X246&lt;=INDEX(TabRFR[[2021]:[2025]],MATCH(BD!W246&amp;"-Intermédiaire",TabRFR[Recherche RFR],0),MATCH(TEXT(YEAR(BD!I246),"Standard"),TabRFR[[#Headers],[2021]:[2025]],0)),"Intermédiaire","Supérieur")))))))</f>
        <v>Data RFR manquantes</v>
      </c>
      <c r="Z246" s="75"/>
      <c r="AA246" s="75" t="s">
        <v>1111</v>
      </c>
      <c r="AB246" s="75">
        <v>38210</v>
      </c>
      <c r="AC246" s="75" t="s">
        <v>195</v>
      </c>
      <c r="AD246" s="73"/>
      <c r="AE246" s="102"/>
      <c r="AF246" s="75" t="s">
        <v>95</v>
      </c>
      <c r="AG246" s="75"/>
      <c r="AH246" s="75"/>
      <c r="AI246" s="75"/>
      <c r="AJ246" s="75"/>
      <c r="AK246" s="75"/>
      <c r="AL246" s="75"/>
      <c r="AM246" s="75" t="s">
        <v>4356</v>
      </c>
      <c r="AN246" s="75" t="s">
        <v>96</v>
      </c>
      <c r="AO246" s="75"/>
      <c r="AP246" s="75" t="s">
        <v>97</v>
      </c>
      <c r="AQ246" s="75"/>
      <c r="AR246" s="75">
        <v>43042</v>
      </c>
      <c r="AS246" s="102" t="s">
        <v>120</v>
      </c>
      <c r="AT246" s="101">
        <v>476071461</v>
      </c>
      <c r="AU246" s="75" t="s">
        <v>100</v>
      </c>
      <c r="AV246" s="75">
        <v>1998</v>
      </c>
      <c r="AW246" s="75" t="s">
        <v>100</v>
      </c>
      <c r="AX246" s="75" t="s">
        <v>2071</v>
      </c>
      <c r="AY246" s="75" t="s">
        <v>102</v>
      </c>
      <c r="AZ246" s="75" t="s">
        <v>1109</v>
      </c>
      <c r="BA246" s="75">
        <v>17</v>
      </c>
      <c r="BB246" s="75">
        <v>8.1</v>
      </c>
      <c r="BC246" s="75">
        <v>90.9</v>
      </c>
      <c r="BD246" s="75">
        <v>0</v>
      </c>
      <c r="BE246" s="75" t="s">
        <v>97</v>
      </c>
      <c r="BF246" s="75"/>
      <c r="BG246" s="75">
        <v>3369</v>
      </c>
      <c r="BH246" s="75"/>
      <c r="BI246" s="75"/>
      <c r="BJ246" s="75"/>
      <c r="BK246" s="75">
        <v>1467</v>
      </c>
      <c r="BL246" s="75">
        <f t="shared" si="9"/>
        <v>4836</v>
      </c>
      <c r="BM246" s="103">
        <f t="shared" si="10"/>
        <v>265.98</v>
      </c>
      <c r="BN246" s="103">
        <f t="shared" si="11"/>
        <v>5101.9799999999996</v>
      </c>
      <c r="BO246" s="103">
        <f>760.17+4300</f>
        <v>5060.17</v>
      </c>
      <c r="BP246" s="75" t="s">
        <v>97</v>
      </c>
      <c r="BQ246" s="75"/>
      <c r="BR246" s="75"/>
      <c r="BS246" s="157">
        <v>2017</v>
      </c>
      <c r="BU246">
        <v>2017</v>
      </c>
    </row>
    <row r="247" spans="1:73" ht="43.15" customHeight="1" x14ac:dyDescent="0.25">
      <c r="A247" s="242" t="s">
        <v>186</v>
      </c>
      <c r="B247" s="242" t="s">
        <v>1108</v>
      </c>
      <c r="C247" s="159">
        <v>400</v>
      </c>
      <c r="D247" s="114">
        <v>42984</v>
      </c>
      <c r="E247" s="114"/>
      <c r="F247" s="114"/>
      <c r="G247" s="114" t="s">
        <v>1107</v>
      </c>
      <c r="H247" s="114">
        <v>42992</v>
      </c>
      <c r="I247" s="114">
        <v>42992</v>
      </c>
      <c r="J247" s="114">
        <v>42999</v>
      </c>
      <c r="K247" s="114"/>
      <c r="L247" s="114">
        <v>43080</v>
      </c>
      <c r="M247" s="114">
        <v>43043</v>
      </c>
      <c r="N247" s="114"/>
      <c r="O247" s="114">
        <v>43082</v>
      </c>
      <c r="P247" s="114">
        <v>43082</v>
      </c>
      <c r="Q247" s="114">
        <v>43084</v>
      </c>
      <c r="R247" s="80"/>
      <c r="S247" s="114"/>
      <c r="T247" s="75"/>
      <c r="U247" s="75"/>
      <c r="V247" s="75"/>
      <c r="W247" s="75">
        <v>3</v>
      </c>
      <c r="X247" s="75">
        <v>42040</v>
      </c>
      <c r="Y247" s="75" t="str">
        <f ca="1">IF(I247="",IF(D247="","",IF(W247+X247&lt;15,"Données Nb pers ou RFR manquantes",IF(COUNTA(INDIRECT("TabRFR["&amp;YEAR(D247)&amp;"]"))&lt;&gt;COUNTA(TabRFR[Recherche RFR]),"Data RFR manquantes", IF(X247&lt;=INDEX(TabRFR[[2021]:[2025]],MATCH(BD!W247&amp;"-Très modestes",TabRFR[Recherche RFR],0),MATCH(TEXT(YEAR(BD!D247),"Standard"),TabRFR[[#Headers],[2021]:[2025]],0)),"Très Modeste",IF(X247&lt;=INDEX(TabRFR[[2021]:[2025]],MATCH(BD!W247&amp;"-modestes",TabRFR[Recherche RFR],0),MATCH(TEXT(YEAR(BD!D247),"Standard"),TabRFR[[#Headers],[2021]:[2025]],0)),"Modeste",IF(X247&lt;=INDEX(TabRFR[[2021]:[2025]],MATCH(BD!W247&amp;"-Intermédiaire",TabRFR[Recherche RFR],0),MATCH(TEXT(YEAR(BD!D247),"Standard"),TabRFR[[#Headers],[2021]:[2025]],0)),"Intermédiaire","Supérieur")))))),IF(D247="","",IF(W247+X247&lt;15,"Données Nb pers ou RFR manquantes",IF(COUNTA(INDIRECT("TabRFR["&amp;YEAR(I247)&amp;"]"))&lt;&gt;COUNTA(TabRFR[Recherche RFR]),"Data RFR manquantes", IF(X247&lt;=INDEX(TabRFR[[2021]:[2025]],MATCH(BD!W247&amp;"-Très modestes",TabRFR[Recherche RFR],0),MATCH(TEXT(YEAR(BD!I247),"Standard"),TabRFR[[#Headers],[2021]:[2025]],0)),"Très Modeste",IF(X247&lt;=INDEX(TabRFR[[2021]:[2025]],MATCH(BD!W247&amp;"-modestes",TabRFR[Recherche RFR],0),MATCH(TEXT(YEAR(BD!I247),"Standard"),TabRFR[[#Headers],[2021]:[2025]],0)),"Modeste",IF(X247&lt;=INDEX(TabRFR[[2021]:[2025]],MATCH(BD!W247&amp;"-Intermédiaire",TabRFR[Recherche RFR],0),MATCH(TEXT(YEAR(BD!I247),"Standard"),TabRFR[[#Headers],[2021]:[2025]],0)),"Intermédiaire","Supérieur")))))))</f>
        <v>Data RFR manquantes</v>
      </c>
      <c r="Z247" s="75"/>
      <c r="AA247" s="75" t="s">
        <v>1106</v>
      </c>
      <c r="AB247" s="75">
        <v>38430</v>
      </c>
      <c r="AC247" s="75" t="s">
        <v>3202</v>
      </c>
      <c r="AD247" s="73"/>
      <c r="AE247" s="102"/>
      <c r="AF247" s="75" t="s">
        <v>95</v>
      </c>
      <c r="AG247" s="75"/>
      <c r="AH247" s="75"/>
      <c r="AI247" s="75"/>
      <c r="AJ247" s="75"/>
      <c r="AK247" s="75"/>
      <c r="AL247" s="75"/>
      <c r="AM247" s="75" t="s">
        <v>4356</v>
      </c>
      <c r="AN247" s="75" t="s">
        <v>96</v>
      </c>
      <c r="AO247" s="75" t="s">
        <v>119</v>
      </c>
      <c r="AP247" s="75" t="s">
        <v>97</v>
      </c>
      <c r="AQ247" s="75"/>
      <c r="AR247" s="75">
        <v>43042</v>
      </c>
      <c r="AS247" s="102" t="s">
        <v>120</v>
      </c>
      <c r="AT247" s="101">
        <v>476071461</v>
      </c>
      <c r="AU247" s="75" t="s">
        <v>111</v>
      </c>
      <c r="AV247" s="75">
        <v>2000</v>
      </c>
      <c r="AW247" s="75" t="s">
        <v>100</v>
      </c>
      <c r="AX247" s="75" t="s">
        <v>112</v>
      </c>
      <c r="AY247" s="75" t="s">
        <v>121</v>
      </c>
      <c r="AZ247" s="75" t="s">
        <v>1104</v>
      </c>
      <c r="BA247" s="75">
        <v>20</v>
      </c>
      <c r="BB247" s="75">
        <v>6</v>
      </c>
      <c r="BC247" s="75">
        <v>83</v>
      </c>
      <c r="BD247" s="75">
        <v>0.11</v>
      </c>
      <c r="BE247" s="75" t="s">
        <v>97</v>
      </c>
      <c r="BF247" s="75"/>
      <c r="BG247" s="75">
        <v>1549.8</v>
      </c>
      <c r="BH247" s="75"/>
      <c r="BI247" s="75"/>
      <c r="BJ247" s="75"/>
      <c r="BK247" s="75">
        <v>420</v>
      </c>
      <c r="BL247" s="75">
        <f t="shared" si="9"/>
        <v>1969.8</v>
      </c>
      <c r="BM247" s="103">
        <f t="shared" si="10"/>
        <v>108.339</v>
      </c>
      <c r="BN247" s="103">
        <f t="shared" si="11"/>
        <v>2078.1390000000001</v>
      </c>
      <c r="BO247" s="103">
        <f>561+2238</f>
        <v>2799</v>
      </c>
      <c r="BP247" s="75" t="s">
        <v>97</v>
      </c>
      <c r="BQ247" s="74">
        <v>43420</v>
      </c>
      <c r="BR247" s="75"/>
      <c r="BS247" s="157">
        <v>2017</v>
      </c>
      <c r="BT247">
        <v>2020</v>
      </c>
      <c r="BU247">
        <v>2017</v>
      </c>
    </row>
    <row r="248" spans="1:73" ht="43.15" customHeight="1" x14ac:dyDescent="0.25">
      <c r="A248" s="242" t="s">
        <v>186</v>
      </c>
      <c r="B248" s="242" t="s">
        <v>1103</v>
      </c>
      <c r="C248" s="159">
        <v>800</v>
      </c>
      <c r="D248" s="114">
        <v>42985</v>
      </c>
      <c r="E248" s="114"/>
      <c r="F248" s="114"/>
      <c r="G248" s="114" t="s">
        <v>1102</v>
      </c>
      <c r="H248" s="114">
        <v>43005</v>
      </c>
      <c r="I248" s="114">
        <v>43005</v>
      </c>
      <c r="J248" s="114">
        <v>43028</v>
      </c>
      <c r="K248" s="114"/>
      <c r="L248" s="114">
        <v>43047</v>
      </c>
      <c r="M248" s="114">
        <v>43042</v>
      </c>
      <c r="N248" s="114"/>
      <c r="O248" s="114">
        <v>43054</v>
      </c>
      <c r="P248" s="114">
        <v>43054</v>
      </c>
      <c r="Q248" s="114">
        <v>43077</v>
      </c>
      <c r="R248" s="100"/>
      <c r="S248" s="114"/>
      <c r="T248" s="75"/>
      <c r="U248" s="75"/>
      <c r="V248" s="75"/>
      <c r="W248" s="75">
        <v>5</v>
      </c>
      <c r="X248" s="75">
        <v>13879</v>
      </c>
      <c r="Y248" s="75" t="str">
        <f ca="1">IF(I248="",IF(D248="","",IF(W248+X248&lt;15,"Données Nb pers ou RFR manquantes",IF(COUNTA(INDIRECT("TabRFR["&amp;YEAR(D248)&amp;"]"))&lt;&gt;COUNTA(TabRFR[Recherche RFR]),"Data RFR manquantes", IF(X248&lt;=INDEX(TabRFR[[2021]:[2025]],MATCH(BD!W248&amp;"-Très modestes",TabRFR[Recherche RFR],0),MATCH(TEXT(YEAR(BD!D248),"Standard"),TabRFR[[#Headers],[2021]:[2025]],0)),"Très Modeste",IF(X248&lt;=INDEX(TabRFR[[2021]:[2025]],MATCH(BD!W248&amp;"-modestes",TabRFR[Recherche RFR],0),MATCH(TEXT(YEAR(BD!D248),"Standard"),TabRFR[[#Headers],[2021]:[2025]],0)),"Modeste",IF(X248&lt;=INDEX(TabRFR[[2021]:[2025]],MATCH(BD!W248&amp;"-Intermédiaire",TabRFR[Recherche RFR],0),MATCH(TEXT(YEAR(BD!D248),"Standard"),TabRFR[[#Headers],[2021]:[2025]],0)),"Intermédiaire","Supérieur")))))),IF(D248="","",IF(W248+X248&lt;15,"Données Nb pers ou RFR manquantes",IF(COUNTA(INDIRECT("TabRFR["&amp;YEAR(I248)&amp;"]"))&lt;&gt;COUNTA(TabRFR[Recherche RFR]),"Data RFR manquantes", IF(X248&lt;=INDEX(TabRFR[[2021]:[2025]],MATCH(BD!W248&amp;"-Très modestes",TabRFR[Recherche RFR],0),MATCH(TEXT(YEAR(BD!I248),"Standard"),TabRFR[[#Headers],[2021]:[2025]],0)),"Très Modeste",IF(X248&lt;=INDEX(TabRFR[[2021]:[2025]],MATCH(BD!W248&amp;"-modestes",TabRFR[Recherche RFR],0),MATCH(TEXT(YEAR(BD!I248),"Standard"),TabRFR[[#Headers],[2021]:[2025]],0)),"Modeste",IF(X248&lt;=INDEX(TabRFR[[2021]:[2025]],MATCH(BD!W248&amp;"-Intermédiaire",TabRFR[Recherche RFR],0),MATCH(TEXT(YEAR(BD!I248),"Standard"),TabRFR[[#Headers],[2021]:[2025]],0)),"Intermédiaire","Supérieur")))))))</f>
        <v>Data RFR manquantes</v>
      </c>
      <c r="Z248" s="75"/>
      <c r="AA248" s="75" t="s">
        <v>1100</v>
      </c>
      <c r="AB248" s="75">
        <v>38140</v>
      </c>
      <c r="AC248" s="75" t="s">
        <v>363</v>
      </c>
      <c r="AD248" s="73"/>
      <c r="AE248" s="102"/>
      <c r="AF248" s="75" t="s">
        <v>95</v>
      </c>
      <c r="AG248" s="75"/>
      <c r="AH248" s="75"/>
      <c r="AI248" s="75"/>
      <c r="AJ248" s="75"/>
      <c r="AK248" s="75"/>
      <c r="AL248" s="75"/>
      <c r="AM248" s="75" t="s">
        <v>4356</v>
      </c>
      <c r="AN248" s="75" t="s">
        <v>96</v>
      </c>
      <c r="AO248" s="75" t="s">
        <v>119</v>
      </c>
      <c r="AP248" s="75" t="s">
        <v>97</v>
      </c>
      <c r="AQ248" s="75"/>
      <c r="AR248" s="75">
        <v>43042</v>
      </c>
      <c r="AS248" s="102" t="s">
        <v>120</v>
      </c>
      <c r="AT248" s="101">
        <v>476071461</v>
      </c>
      <c r="AU248" s="75" t="s">
        <v>100</v>
      </c>
      <c r="AV248" s="75">
        <v>1998</v>
      </c>
      <c r="AW248" s="75" t="s">
        <v>100</v>
      </c>
      <c r="AX248" s="75" t="s">
        <v>112</v>
      </c>
      <c r="AY248" s="75" t="s">
        <v>190</v>
      </c>
      <c r="AZ248" s="75" t="s">
        <v>1098</v>
      </c>
      <c r="BA248" s="75">
        <v>35</v>
      </c>
      <c r="BB248" s="75">
        <v>5</v>
      </c>
      <c r="BC248" s="75">
        <v>80.099999999999994</v>
      </c>
      <c r="BD248" s="75">
        <v>7.0000000000000007E-2</v>
      </c>
      <c r="BE248" s="75" t="s">
        <v>97</v>
      </c>
      <c r="BF248" s="75"/>
      <c r="BG248" s="75">
        <v>2877.73</v>
      </c>
      <c r="BH248" s="75"/>
      <c r="BI248" s="75"/>
      <c r="BJ248" s="75"/>
      <c r="BK248" s="75">
        <v>300</v>
      </c>
      <c r="BL248" s="75">
        <f t="shared" si="9"/>
        <v>3177.73</v>
      </c>
      <c r="BM248" s="103">
        <f t="shared" si="10"/>
        <v>174.77515</v>
      </c>
      <c r="BN248" s="103">
        <f t="shared" si="11"/>
        <v>3352.50515</v>
      </c>
      <c r="BO248" s="103"/>
      <c r="BP248" s="75" t="s">
        <v>97</v>
      </c>
      <c r="BQ248" s="74">
        <v>43420</v>
      </c>
      <c r="BR248" s="75"/>
      <c r="BS248" s="157">
        <v>2017</v>
      </c>
      <c r="BT248">
        <v>2020</v>
      </c>
      <c r="BU248">
        <v>2017</v>
      </c>
    </row>
    <row r="249" spans="1:73" ht="43.15" customHeight="1" x14ac:dyDescent="0.25">
      <c r="A249" s="242" t="s">
        <v>186</v>
      </c>
      <c r="B249" s="242" t="s">
        <v>1097</v>
      </c>
      <c r="C249" s="159">
        <v>400</v>
      </c>
      <c r="D249" s="114">
        <v>42989</v>
      </c>
      <c r="E249" s="114"/>
      <c r="F249" s="114"/>
      <c r="G249" s="114"/>
      <c r="H249" s="114">
        <v>42992</v>
      </c>
      <c r="I249" s="114">
        <v>42992</v>
      </c>
      <c r="J249" s="114">
        <v>42999</v>
      </c>
      <c r="K249" s="114"/>
      <c r="L249" s="114">
        <v>43027</v>
      </c>
      <c r="M249" s="114">
        <v>43025</v>
      </c>
      <c r="N249" s="114"/>
      <c r="O249" s="114">
        <v>43031</v>
      </c>
      <c r="P249" s="114">
        <v>43031</v>
      </c>
      <c r="Q249" s="114">
        <v>43042</v>
      </c>
      <c r="R249" s="80"/>
      <c r="S249" s="114"/>
      <c r="T249" s="75"/>
      <c r="U249" s="75"/>
      <c r="V249" s="75"/>
      <c r="W249" s="75">
        <v>4</v>
      </c>
      <c r="X249" s="75">
        <v>40338</v>
      </c>
      <c r="Y249" s="75" t="str">
        <f ca="1">IF(I249="",IF(D249="","",IF(W249+X249&lt;15,"Données Nb pers ou RFR manquantes",IF(COUNTA(INDIRECT("TabRFR["&amp;YEAR(D249)&amp;"]"))&lt;&gt;COUNTA(TabRFR[Recherche RFR]),"Data RFR manquantes", IF(X249&lt;=INDEX(TabRFR[[2021]:[2025]],MATCH(BD!W249&amp;"-Très modestes",TabRFR[Recherche RFR],0),MATCH(TEXT(YEAR(BD!D249),"Standard"),TabRFR[[#Headers],[2021]:[2025]],0)),"Très Modeste",IF(X249&lt;=INDEX(TabRFR[[2021]:[2025]],MATCH(BD!W249&amp;"-modestes",TabRFR[Recherche RFR],0),MATCH(TEXT(YEAR(BD!D249),"Standard"),TabRFR[[#Headers],[2021]:[2025]],0)),"Modeste",IF(X249&lt;=INDEX(TabRFR[[2021]:[2025]],MATCH(BD!W249&amp;"-Intermédiaire",TabRFR[Recherche RFR],0),MATCH(TEXT(YEAR(BD!D249),"Standard"),TabRFR[[#Headers],[2021]:[2025]],0)),"Intermédiaire","Supérieur")))))),IF(D249="","",IF(W249+X249&lt;15,"Données Nb pers ou RFR manquantes",IF(COUNTA(INDIRECT("TabRFR["&amp;YEAR(I249)&amp;"]"))&lt;&gt;COUNTA(TabRFR[Recherche RFR]),"Data RFR manquantes", IF(X249&lt;=INDEX(TabRFR[[2021]:[2025]],MATCH(BD!W249&amp;"-Très modestes",TabRFR[Recherche RFR],0),MATCH(TEXT(YEAR(BD!I249),"Standard"),TabRFR[[#Headers],[2021]:[2025]],0)),"Très Modeste",IF(X249&lt;=INDEX(TabRFR[[2021]:[2025]],MATCH(BD!W249&amp;"-modestes",TabRFR[Recherche RFR],0),MATCH(TEXT(YEAR(BD!I249),"Standard"),TabRFR[[#Headers],[2021]:[2025]],0)),"Modeste",IF(X249&lt;=INDEX(TabRFR[[2021]:[2025]],MATCH(BD!W249&amp;"-Intermédiaire",TabRFR[Recherche RFR],0),MATCH(TEXT(YEAR(BD!I249),"Standard"),TabRFR[[#Headers],[2021]:[2025]],0)),"Intermédiaire","Supérieur")))))))</f>
        <v>Data RFR manquantes</v>
      </c>
      <c r="Z249" s="75"/>
      <c r="AA249" s="75" t="s">
        <v>1095</v>
      </c>
      <c r="AB249" s="75">
        <v>38340</v>
      </c>
      <c r="AC249" s="75" t="s">
        <v>108</v>
      </c>
      <c r="AD249" s="73"/>
      <c r="AE249" s="102"/>
      <c r="AF249" s="75" t="s">
        <v>95</v>
      </c>
      <c r="AG249" s="75"/>
      <c r="AH249" s="75"/>
      <c r="AI249" s="75"/>
      <c r="AJ249" s="75"/>
      <c r="AK249" s="75"/>
      <c r="AL249" s="75"/>
      <c r="AM249" s="75" t="s">
        <v>4233</v>
      </c>
      <c r="AN249" s="75" t="s">
        <v>829</v>
      </c>
      <c r="AO249" s="75" t="s">
        <v>210</v>
      </c>
      <c r="AP249" s="75" t="s">
        <v>97</v>
      </c>
      <c r="AQ249" s="75"/>
      <c r="AR249" s="75">
        <v>43321</v>
      </c>
      <c r="AS249" s="102" t="s">
        <v>211</v>
      </c>
      <c r="AT249" s="101">
        <v>438029038</v>
      </c>
      <c r="AU249" s="75" t="s">
        <v>99</v>
      </c>
      <c r="AV249" s="75">
        <v>1980</v>
      </c>
      <c r="AW249" s="75" t="s">
        <v>100</v>
      </c>
      <c r="AX249" s="75" t="s">
        <v>112</v>
      </c>
      <c r="AY249" s="75" t="s">
        <v>1073</v>
      </c>
      <c r="AZ249" s="75" t="s">
        <v>1093</v>
      </c>
      <c r="BA249" s="75">
        <v>26</v>
      </c>
      <c r="BB249" s="75">
        <v>6.2</v>
      </c>
      <c r="BC249" s="75">
        <v>79</v>
      </c>
      <c r="BD249" s="75">
        <v>0.08</v>
      </c>
      <c r="BE249" s="75" t="s">
        <v>97</v>
      </c>
      <c r="BF249" s="75"/>
      <c r="BG249" s="75">
        <v>3469</v>
      </c>
      <c r="BH249" s="75"/>
      <c r="BI249" s="75"/>
      <c r="BJ249" s="75"/>
      <c r="BK249" s="75">
        <v>1118.48</v>
      </c>
      <c r="BL249" s="75">
        <f t="shared" si="9"/>
        <v>4587.4799999999996</v>
      </c>
      <c r="BM249" s="103">
        <f t="shared" si="10"/>
        <v>252.31139999999996</v>
      </c>
      <c r="BN249" s="103">
        <f t="shared" si="11"/>
        <v>4839.7913999999992</v>
      </c>
      <c r="BO249" s="103">
        <v>4840</v>
      </c>
      <c r="BP249" s="75" t="s">
        <v>97</v>
      </c>
      <c r="BQ249" s="74">
        <v>43420</v>
      </c>
      <c r="BR249" s="75"/>
      <c r="BS249" s="157">
        <v>2017</v>
      </c>
      <c r="BT249">
        <v>2020</v>
      </c>
      <c r="BU249">
        <v>2017</v>
      </c>
    </row>
    <row r="250" spans="1:73" ht="43.15" customHeight="1" x14ac:dyDescent="0.25">
      <c r="A250" s="29" t="s">
        <v>186</v>
      </c>
      <c r="B250" s="29" t="s">
        <v>1092</v>
      </c>
      <c r="C250" s="161" t="s">
        <v>9</v>
      </c>
      <c r="D250" s="110">
        <v>42991</v>
      </c>
      <c r="E250" s="110"/>
      <c r="F250" s="110"/>
      <c r="G250" s="110"/>
      <c r="H250" s="110"/>
      <c r="I250" s="110"/>
      <c r="J250" s="110"/>
      <c r="K250" s="110"/>
      <c r="L250" s="110"/>
      <c r="M250" s="110"/>
      <c r="N250" s="110"/>
      <c r="O250" s="110"/>
      <c r="P250" s="110"/>
      <c r="Q250" s="110"/>
      <c r="R250" s="109"/>
      <c r="S250" s="110">
        <v>42992</v>
      </c>
      <c r="T250" s="111" t="s">
        <v>1091</v>
      </c>
      <c r="U250" s="111"/>
      <c r="V250" s="111"/>
      <c r="W250" s="111">
        <v>4</v>
      </c>
      <c r="X250" s="111">
        <v>37113</v>
      </c>
      <c r="Y250" s="75" t="str">
        <f ca="1">IF(I250="",IF(D250="","",IF(W250+X250&lt;15,"Données Nb pers ou RFR manquantes",IF(COUNTA(INDIRECT("TabRFR["&amp;YEAR(D250)&amp;"]"))&lt;&gt;COUNTA(TabRFR[Recherche RFR]),"Data RFR manquantes", IF(X250&lt;=INDEX(TabRFR[[2021]:[2025]],MATCH(BD!W250&amp;"-Très modestes",TabRFR[Recherche RFR],0),MATCH(TEXT(YEAR(BD!D250),"Standard"),TabRFR[[#Headers],[2021]:[2025]],0)),"Très Modeste",IF(X250&lt;=INDEX(TabRFR[[2021]:[2025]],MATCH(BD!W250&amp;"-modestes",TabRFR[Recherche RFR],0),MATCH(TEXT(YEAR(BD!D250),"Standard"),TabRFR[[#Headers],[2021]:[2025]],0)),"Modeste",IF(X250&lt;=INDEX(TabRFR[[2021]:[2025]],MATCH(BD!W250&amp;"-Intermédiaire",TabRFR[Recherche RFR],0),MATCH(TEXT(YEAR(BD!D250),"Standard"),TabRFR[[#Headers],[2021]:[2025]],0)),"Intermédiaire","Supérieur")))))),IF(D250="","",IF(W250+X250&lt;15,"Données Nb pers ou RFR manquantes",IF(COUNTA(INDIRECT("TabRFR["&amp;YEAR(I250)&amp;"]"))&lt;&gt;COUNTA(TabRFR[Recherche RFR]),"Data RFR manquantes", IF(X250&lt;=INDEX(TabRFR[[2021]:[2025]],MATCH(BD!W250&amp;"-Très modestes",TabRFR[Recherche RFR],0),MATCH(TEXT(YEAR(BD!I250),"Standard"),TabRFR[[#Headers],[2021]:[2025]],0)),"Très Modeste",IF(X250&lt;=INDEX(TabRFR[[2021]:[2025]],MATCH(BD!W250&amp;"-modestes",TabRFR[Recherche RFR],0),MATCH(TEXT(YEAR(BD!I250),"Standard"),TabRFR[[#Headers],[2021]:[2025]],0)),"Modeste",IF(X250&lt;=INDEX(TabRFR[[2021]:[2025]],MATCH(BD!W250&amp;"-Intermédiaire",TabRFR[Recherche RFR],0),MATCH(TEXT(YEAR(BD!I250),"Standard"),TabRFR[[#Headers],[2021]:[2025]],0)),"Intermédiaire","Supérieur")))))))</f>
        <v>Data RFR manquantes</v>
      </c>
      <c r="Z250" s="111"/>
      <c r="AA250" s="111" t="s">
        <v>1090</v>
      </c>
      <c r="AB250" s="111">
        <v>38140</v>
      </c>
      <c r="AC250" s="111" t="s">
        <v>1089</v>
      </c>
      <c r="AD250" s="127"/>
      <c r="AE250" s="102"/>
      <c r="AF250" s="111" t="s">
        <v>95</v>
      </c>
      <c r="AG250" s="111"/>
      <c r="AH250" s="111"/>
      <c r="AI250" s="111"/>
      <c r="AJ250" s="111"/>
      <c r="AK250" s="111"/>
      <c r="AL250" s="111"/>
      <c r="AM250" s="111" t="s">
        <v>4356</v>
      </c>
      <c r="AN250" s="111" t="s">
        <v>96</v>
      </c>
      <c r="AO250" s="111" t="s">
        <v>119</v>
      </c>
      <c r="AP250" s="111" t="s">
        <v>97</v>
      </c>
      <c r="AQ250" s="111"/>
      <c r="AR250" s="111">
        <v>43042</v>
      </c>
      <c r="AS250" s="102" t="s">
        <v>120</v>
      </c>
      <c r="AT250" s="112">
        <v>476071461</v>
      </c>
      <c r="AU250" s="111" t="s">
        <v>100</v>
      </c>
      <c r="AV250" s="111" t="s">
        <v>1088</v>
      </c>
      <c r="AW250" s="111" t="s">
        <v>100</v>
      </c>
      <c r="AX250" s="111" t="s">
        <v>112</v>
      </c>
      <c r="AY250" s="111" t="s">
        <v>190</v>
      </c>
      <c r="AZ250" s="111"/>
      <c r="BA250" s="111"/>
      <c r="BB250" s="111"/>
      <c r="BC250" s="111"/>
      <c r="BD250" s="111"/>
      <c r="BE250" s="111"/>
      <c r="BF250" s="111"/>
      <c r="BG250" s="111"/>
      <c r="BH250" s="111"/>
      <c r="BI250" s="111"/>
      <c r="BJ250" s="111"/>
      <c r="BK250" s="111"/>
      <c r="BL250" s="75">
        <f t="shared" si="9"/>
        <v>0</v>
      </c>
      <c r="BM250" s="103">
        <f t="shared" si="10"/>
        <v>0</v>
      </c>
      <c r="BN250" s="103">
        <f t="shared" si="11"/>
        <v>0</v>
      </c>
      <c r="BO250" s="113"/>
      <c r="BP250" s="111"/>
      <c r="BQ250" s="135"/>
      <c r="BR250" s="111"/>
      <c r="BS250" s="157">
        <v>2017</v>
      </c>
      <c r="BU250" t="s">
        <v>4180</v>
      </c>
    </row>
    <row r="251" spans="1:73" ht="43.15" customHeight="1" x14ac:dyDescent="0.25">
      <c r="A251" s="242" t="s">
        <v>186</v>
      </c>
      <c r="B251" s="242" t="s">
        <v>1087</v>
      </c>
      <c r="C251" s="159">
        <v>400</v>
      </c>
      <c r="D251" s="114">
        <v>42996</v>
      </c>
      <c r="E251" s="114"/>
      <c r="F251" s="114"/>
      <c r="G251" s="114" t="s">
        <v>1086</v>
      </c>
      <c r="H251" s="114">
        <v>43007</v>
      </c>
      <c r="I251" s="114">
        <v>43007</v>
      </c>
      <c r="J251" s="114">
        <v>43028</v>
      </c>
      <c r="K251" s="114"/>
      <c r="L251" s="114">
        <v>43041</v>
      </c>
      <c r="M251" s="114">
        <v>43036</v>
      </c>
      <c r="N251" s="114"/>
      <c r="O251" s="114">
        <v>43042</v>
      </c>
      <c r="P251" s="114">
        <v>43042</v>
      </c>
      <c r="Q251" s="114">
        <v>43048</v>
      </c>
      <c r="R251" s="80"/>
      <c r="S251" s="114"/>
      <c r="T251" s="75"/>
      <c r="U251" s="75"/>
      <c r="V251" s="75"/>
      <c r="W251" s="75">
        <v>3</v>
      </c>
      <c r="X251" s="75">
        <v>39556</v>
      </c>
      <c r="Y251" s="75" t="str">
        <f ca="1">IF(I251="",IF(D251="","",IF(W251+X251&lt;15,"Données Nb pers ou RFR manquantes",IF(COUNTA(INDIRECT("TabRFR["&amp;YEAR(D251)&amp;"]"))&lt;&gt;COUNTA(TabRFR[Recherche RFR]),"Data RFR manquantes", IF(X251&lt;=INDEX(TabRFR[[2021]:[2025]],MATCH(BD!W251&amp;"-Très modestes",TabRFR[Recherche RFR],0),MATCH(TEXT(YEAR(BD!D251),"Standard"),TabRFR[[#Headers],[2021]:[2025]],0)),"Très Modeste",IF(X251&lt;=INDEX(TabRFR[[2021]:[2025]],MATCH(BD!W251&amp;"-modestes",TabRFR[Recherche RFR],0),MATCH(TEXT(YEAR(BD!D251),"Standard"),TabRFR[[#Headers],[2021]:[2025]],0)),"Modeste",IF(X251&lt;=INDEX(TabRFR[[2021]:[2025]],MATCH(BD!W251&amp;"-Intermédiaire",TabRFR[Recherche RFR],0),MATCH(TEXT(YEAR(BD!D251),"Standard"),TabRFR[[#Headers],[2021]:[2025]],0)),"Intermédiaire","Supérieur")))))),IF(D251="","",IF(W251+X251&lt;15,"Données Nb pers ou RFR manquantes",IF(COUNTA(INDIRECT("TabRFR["&amp;YEAR(I251)&amp;"]"))&lt;&gt;COUNTA(TabRFR[Recherche RFR]),"Data RFR manquantes", IF(X251&lt;=INDEX(TabRFR[[2021]:[2025]],MATCH(BD!W251&amp;"-Très modestes",TabRFR[Recherche RFR],0),MATCH(TEXT(YEAR(BD!I251),"Standard"),TabRFR[[#Headers],[2021]:[2025]],0)),"Très Modeste",IF(X251&lt;=INDEX(TabRFR[[2021]:[2025]],MATCH(BD!W251&amp;"-modestes",TabRFR[Recherche RFR],0),MATCH(TEXT(YEAR(BD!I251),"Standard"),TabRFR[[#Headers],[2021]:[2025]],0)),"Modeste",IF(X251&lt;=INDEX(TabRFR[[2021]:[2025]],MATCH(BD!W251&amp;"-Intermédiaire",TabRFR[Recherche RFR],0),MATCH(TEXT(YEAR(BD!I251),"Standard"),TabRFR[[#Headers],[2021]:[2025]],0)),"Intermédiaire","Supérieur")))))))</f>
        <v>Data RFR manquantes</v>
      </c>
      <c r="Z251" s="75"/>
      <c r="AA251" s="75" t="s">
        <v>1083</v>
      </c>
      <c r="AB251" s="75">
        <v>38620</v>
      </c>
      <c r="AC251" s="75" t="s">
        <v>783</v>
      </c>
      <c r="AD251" s="73"/>
      <c r="AE251" s="102"/>
      <c r="AF251" s="75" t="s">
        <v>95</v>
      </c>
      <c r="AG251" s="75"/>
      <c r="AH251" s="75"/>
      <c r="AI251" s="75"/>
      <c r="AJ251" s="75"/>
      <c r="AK251" s="75"/>
      <c r="AL251" s="75"/>
      <c r="AM251" s="75" t="s">
        <v>4236</v>
      </c>
      <c r="AN251" s="75" t="s">
        <v>4091</v>
      </c>
      <c r="AO251" s="75" t="s">
        <v>163</v>
      </c>
      <c r="AP251" s="75"/>
      <c r="AQ251" s="75"/>
      <c r="AR251" s="75"/>
      <c r="AS251" s="102" t="s">
        <v>1081</v>
      </c>
      <c r="AT251" s="101">
        <v>476370350</v>
      </c>
      <c r="AU251" s="75"/>
      <c r="AV251" s="75">
        <v>2000</v>
      </c>
      <c r="AW251" s="75" t="s">
        <v>100</v>
      </c>
      <c r="AX251" s="75" t="s">
        <v>2071</v>
      </c>
      <c r="AY251" s="75" t="s">
        <v>734</v>
      </c>
      <c r="AZ251" s="75" t="s">
        <v>1080</v>
      </c>
      <c r="BA251" s="75">
        <v>20</v>
      </c>
      <c r="BB251" s="75">
        <v>9.1</v>
      </c>
      <c r="BC251" s="75">
        <v>92</v>
      </c>
      <c r="BD251" s="75">
        <v>0.01</v>
      </c>
      <c r="BE251" s="75" t="s">
        <v>97</v>
      </c>
      <c r="BF251" s="75"/>
      <c r="BG251" s="75">
        <v>1749</v>
      </c>
      <c r="BH251" s="75"/>
      <c r="BI251" s="75"/>
      <c r="BJ251" s="75"/>
      <c r="BK251" s="75">
        <v>600</v>
      </c>
      <c r="BL251" s="75">
        <f t="shared" si="9"/>
        <v>2349</v>
      </c>
      <c r="BM251" s="103">
        <f t="shared" si="10"/>
        <v>129.19499999999999</v>
      </c>
      <c r="BN251" s="103">
        <f t="shared" si="11"/>
        <v>2478.1950000000002</v>
      </c>
      <c r="BO251" s="103">
        <v>2568.09</v>
      </c>
      <c r="BP251" s="75" t="s">
        <v>104</v>
      </c>
      <c r="BQ251" s="75"/>
      <c r="BR251" s="75"/>
      <c r="BS251" s="157">
        <v>2017</v>
      </c>
      <c r="BU251">
        <v>2017</v>
      </c>
    </row>
    <row r="252" spans="1:73" ht="43.15" customHeight="1" x14ac:dyDescent="0.25">
      <c r="A252" s="242" t="s">
        <v>186</v>
      </c>
      <c r="B252" s="242" t="s">
        <v>1079</v>
      </c>
      <c r="C252" s="159">
        <v>400</v>
      </c>
      <c r="D252" s="114">
        <v>42996</v>
      </c>
      <c r="E252" s="114"/>
      <c r="F252" s="114"/>
      <c r="G252" s="114" t="s">
        <v>1078</v>
      </c>
      <c r="H252" s="114">
        <v>43042</v>
      </c>
      <c r="I252" s="114">
        <v>43042</v>
      </c>
      <c r="J252" s="114">
        <v>43049</v>
      </c>
      <c r="K252" s="114"/>
      <c r="L252" s="114">
        <v>43083</v>
      </c>
      <c r="M252" s="114">
        <v>43059</v>
      </c>
      <c r="N252" s="114"/>
      <c r="O252" s="114">
        <v>43087</v>
      </c>
      <c r="P252" s="114">
        <v>43087</v>
      </c>
      <c r="Q252" s="114">
        <v>43130</v>
      </c>
      <c r="R252" s="80"/>
      <c r="S252" s="114"/>
      <c r="T252" s="75"/>
      <c r="U252" s="75"/>
      <c r="V252" s="75"/>
      <c r="W252" s="75">
        <v>2</v>
      </c>
      <c r="X252" s="75">
        <v>34943</v>
      </c>
      <c r="Y252" s="75" t="str">
        <f ca="1">IF(I252="",IF(D252="","",IF(W252+X252&lt;15,"Données Nb pers ou RFR manquantes",IF(COUNTA(INDIRECT("TabRFR["&amp;YEAR(D252)&amp;"]"))&lt;&gt;COUNTA(TabRFR[Recherche RFR]),"Data RFR manquantes", IF(X252&lt;=INDEX(TabRFR[[2021]:[2025]],MATCH(BD!W252&amp;"-Très modestes",TabRFR[Recherche RFR],0),MATCH(TEXT(YEAR(BD!D252),"Standard"),TabRFR[[#Headers],[2021]:[2025]],0)),"Très Modeste",IF(X252&lt;=INDEX(TabRFR[[2021]:[2025]],MATCH(BD!W252&amp;"-modestes",TabRFR[Recherche RFR],0),MATCH(TEXT(YEAR(BD!D252),"Standard"),TabRFR[[#Headers],[2021]:[2025]],0)),"Modeste",IF(X252&lt;=INDEX(TabRFR[[2021]:[2025]],MATCH(BD!W252&amp;"-Intermédiaire",TabRFR[Recherche RFR],0),MATCH(TEXT(YEAR(BD!D252),"Standard"),TabRFR[[#Headers],[2021]:[2025]],0)),"Intermédiaire","Supérieur")))))),IF(D252="","",IF(W252+X252&lt;15,"Données Nb pers ou RFR manquantes",IF(COUNTA(INDIRECT("TabRFR["&amp;YEAR(I252)&amp;"]"))&lt;&gt;COUNTA(TabRFR[Recherche RFR]),"Data RFR manquantes", IF(X252&lt;=INDEX(TabRFR[[2021]:[2025]],MATCH(BD!W252&amp;"-Très modestes",TabRFR[Recherche RFR],0),MATCH(TEXT(YEAR(BD!I252),"Standard"),TabRFR[[#Headers],[2021]:[2025]],0)),"Très Modeste",IF(X252&lt;=INDEX(TabRFR[[2021]:[2025]],MATCH(BD!W252&amp;"-modestes",TabRFR[Recherche RFR],0),MATCH(TEXT(YEAR(BD!I252),"Standard"),TabRFR[[#Headers],[2021]:[2025]],0)),"Modeste",IF(X252&lt;=INDEX(TabRFR[[2021]:[2025]],MATCH(BD!W252&amp;"-Intermédiaire",TabRFR[Recherche RFR],0),MATCH(TEXT(YEAR(BD!I252),"Standard"),TabRFR[[#Headers],[2021]:[2025]],0)),"Intermédiaire","Supérieur")))))))</f>
        <v>Data RFR manquantes</v>
      </c>
      <c r="Z252" s="75"/>
      <c r="AA252" s="75" t="s">
        <v>1075</v>
      </c>
      <c r="AB252" s="75">
        <v>38620</v>
      </c>
      <c r="AC252" s="75" t="s">
        <v>851</v>
      </c>
      <c r="AD252" s="73"/>
      <c r="AE252" s="102"/>
      <c r="AF252" s="75" t="s">
        <v>95</v>
      </c>
      <c r="AG252" s="75"/>
      <c r="AH252" s="75"/>
      <c r="AI252" s="75"/>
      <c r="AJ252" s="75"/>
      <c r="AK252" s="75"/>
      <c r="AL252" s="75"/>
      <c r="AM252" s="75" t="s">
        <v>4376</v>
      </c>
      <c r="AN252" s="75" t="s">
        <v>451</v>
      </c>
      <c r="AO252" s="75" t="s">
        <v>464</v>
      </c>
      <c r="AP252" s="75" t="s">
        <v>97</v>
      </c>
      <c r="AQ252" s="75"/>
      <c r="AR252" s="75">
        <v>42948</v>
      </c>
      <c r="AS252" s="102" t="s">
        <v>698</v>
      </c>
      <c r="AT252" s="101">
        <v>424430411</v>
      </c>
      <c r="AU252" s="75" t="s">
        <v>99</v>
      </c>
      <c r="AV252" s="75">
        <v>1982</v>
      </c>
      <c r="AW252" s="75" t="s">
        <v>100</v>
      </c>
      <c r="AX252" s="75" t="s">
        <v>112</v>
      </c>
      <c r="AY252" s="75" t="s">
        <v>1073</v>
      </c>
      <c r="AZ252" s="75" t="s">
        <v>1072</v>
      </c>
      <c r="BA252" s="75"/>
      <c r="BB252" s="75"/>
      <c r="BC252" s="75"/>
      <c r="BD252" s="75"/>
      <c r="BE252" s="75"/>
      <c r="BF252" s="75">
        <v>4429</v>
      </c>
      <c r="BG252" s="75">
        <v>4429</v>
      </c>
      <c r="BH252" s="75"/>
      <c r="BI252" s="75"/>
      <c r="BJ252" s="75"/>
      <c r="BK252" s="75">
        <v>400</v>
      </c>
      <c r="BL252" s="75">
        <f t="shared" si="9"/>
        <v>4829</v>
      </c>
      <c r="BM252" s="103">
        <f t="shared" si="10"/>
        <v>265.59500000000003</v>
      </c>
      <c r="BN252" s="103">
        <f t="shared" si="11"/>
        <v>5094.5950000000003</v>
      </c>
      <c r="BO252" s="103">
        <v>4429</v>
      </c>
      <c r="BP252" s="75" t="s">
        <v>97</v>
      </c>
      <c r="BQ252" s="74">
        <v>43420</v>
      </c>
      <c r="BR252" s="75"/>
      <c r="BS252" s="157">
        <v>2017</v>
      </c>
      <c r="BT252">
        <v>2020</v>
      </c>
      <c r="BU252">
        <v>2017</v>
      </c>
    </row>
    <row r="253" spans="1:73" ht="43.15" customHeight="1" x14ac:dyDescent="0.25">
      <c r="A253" s="242" t="s">
        <v>186</v>
      </c>
      <c r="B253" s="242" t="s">
        <v>1071</v>
      </c>
      <c r="C253" s="159">
        <v>400</v>
      </c>
      <c r="D253" s="114">
        <v>42996</v>
      </c>
      <c r="E253" s="114"/>
      <c r="F253" s="114"/>
      <c r="G253" s="114" t="s">
        <v>1070</v>
      </c>
      <c r="H253" s="114">
        <v>43020</v>
      </c>
      <c r="I253" s="114">
        <v>43020</v>
      </c>
      <c r="J253" s="114">
        <v>43032</v>
      </c>
      <c r="K253" s="114"/>
      <c r="L253" s="114">
        <v>43061</v>
      </c>
      <c r="M253" s="114">
        <v>43039</v>
      </c>
      <c r="N253" s="114" t="s">
        <v>1069</v>
      </c>
      <c r="O253" s="114">
        <v>43082</v>
      </c>
      <c r="P253" s="114">
        <v>43082</v>
      </c>
      <c r="Q253" s="114">
        <v>43084</v>
      </c>
      <c r="R253" s="80"/>
      <c r="S253" s="114"/>
      <c r="T253" s="75"/>
      <c r="U253" s="75"/>
      <c r="V253" s="75"/>
      <c r="W253" s="75">
        <v>3</v>
      </c>
      <c r="X253" s="75">
        <v>38050</v>
      </c>
      <c r="Y253" s="75" t="str">
        <f ca="1">IF(I253="",IF(D253="","",IF(W253+X253&lt;15,"Données Nb pers ou RFR manquantes",IF(COUNTA(INDIRECT("TabRFR["&amp;YEAR(D253)&amp;"]"))&lt;&gt;COUNTA(TabRFR[Recherche RFR]),"Data RFR manquantes", IF(X253&lt;=INDEX(TabRFR[[2021]:[2025]],MATCH(BD!W253&amp;"-Très modestes",TabRFR[Recherche RFR],0),MATCH(TEXT(YEAR(BD!D253),"Standard"),TabRFR[[#Headers],[2021]:[2025]],0)),"Très Modeste",IF(X253&lt;=INDEX(TabRFR[[2021]:[2025]],MATCH(BD!W253&amp;"-modestes",TabRFR[Recherche RFR],0),MATCH(TEXT(YEAR(BD!D253),"Standard"),TabRFR[[#Headers],[2021]:[2025]],0)),"Modeste",IF(X253&lt;=INDEX(TabRFR[[2021]:[2025]],MATCH(BD!W253&amp;"-Intermédiaire",TabRFR[Recherche RFR],0),MATCH(TEXT(YEAR(BD!D253),"Standard"),TabRFR[[#Headers],[2021]:[2025]],0)),"Intermédiaire","Supérieur")))))),IF(D253="","",IF(W253+X253&lt;15,"Données Nb pers ou RFR manquantes",IF(COUNTA(INDIRECT("TabRFR["&amp;YEAR(I253)&amp;"]"))&lt;&gt;COUNTA(TabRFR[Recherche RFR]),"Data RFR manquantes", IF(X253&lt;=INDEX(TabRFR[[2021]:[2025]],MATCH(BD!W253&amp;"-Très modestes",TabRFR[Recherche RFR],0),MATCH(TEXT(YEAR(BD!I253),"Standard"),TabRFR[[#Headers],[2021]:[2025]],0)),"Très Modeste",IF(X253&lt;=INDEX(TabRFR[[2021]:[2025]],MATCH(BD!W253&amp;"-modestes",TabRFR[Recherche RFR],0),MATCH(TEXT(YEAR(BD!I253),"Standard"),TabRFR[[#Headers],[2021]:[2025]],0)),"Modeste",IF(X253&lt;=INDEX(TabRFR[[2021]:[2025]],MATCH(BD!W253&amp;"-Intermédiaire",TabRFR[Recherche RFR],0),MATCH(TEXT(YEAR(BD!I253),"Standard"),TabRFR[[#Headers],[2021]:[2025]],0)),"Intermédiaire","Supérieur")))))))</f>
        <v>Data RFR manquantes</v>
      </c>
      <c r="Z253" s="75"/>
      <c r="AA253" s="75" t="s">
        <v>1066</v>
      </c>
      <c r="AB253" s="75">
        <v>38210</v>
      </c>
      <c r="AC253" s="75" t="s">
        <v>195</v>
      </c>
      <c r="AD253" s="73"/>
      <c r="AE253" s="102"/>
      <c r="AF253" s="75" t="s">
        <v>95</v>
      </c>
      <c r="AG253" s="75"/>
      <c r="AH253" s="75"/>
      <c r="AI253" s="75"/>
      <c r="AJ253" s="75"/>
      <c r="AK253" s="75"/>
      <c r="AL253" s="75"/>
      <c r="AM253" s="75" t="s">
        <v>1886</v>
      </c>
      <c r="AN253" s="75" t="s">
        <v>195</v>
      </c>
      <c r="AO253" s="75" t="s">
        <v>464</v>
      </c>
      <c r="AP253" s="75" t="s">
        <v>104</v>
      </c>
      <c r="AQ253" s="75"/>
      <c r="AR253" s="75"/>
      <c r="AS253" s="102" t="s">
        <v>516</v>
      </c>
      <c r="AT253" s="101">
        <v>476065876</v>
      </c>
      <c r="AU253" s="75" t="s">
        <v>100</v>
      </c>
      <c r="AV253" s="75"/>
      <c r="AW253" s="75" t="s">
        <v>100</v>
      </c>
      <c r="AX253" s="75" t="s">
        <v>2071</v>
      </c>
      <c r="AY253" s="75" t="s">
        <v>1064</v>
      </c>
      <c r="AZ253" s="75" t="s">
        <v>1063</v>
      </c>
      <c r="BA253" s="75">
        <v>2</v>
      </c>
      <c r="BB253" s="75">
        <v>9</v>
      </c>
      <c r="BC253" s="75">
        <v>90</v>
      </c>
      <c r="BD253" s="75">
        <v>0.02</v>
      </c>
      <c r="BE253" s="75" t="s">
        <v>97</v>
      </c>
      <c r="BF253" s="75"/>
      <c r="BG253" s="75">
        <v>2474</v>
      </c>
      <c r="BH253" s="75"/>
      <c r="BI253" s="75"/>
      <c r="BJ253" s="75"/>
      <c r="BK253" s="75">
        <v>640</v>
      </c>
      <c r="BL253" s="75">
        <f t="shared" si="9"/>
        <v>3114</v>
      </c>
      <c r="BM253" s="103">
        <f t="shared" si="10"/>
        <v>171.27</v>
      </c>
      <c r="BN253" s="103">
        <f t="shared" si="11"/>
        <v>3285.27</v>
      </c>
      <c r="BO253" s="103"/>
      <c r="BP253" s="75"/>
      <c r="BQ253" s="75"/>
      <c r="BR253" s="75"/>
      <c r="BS253" s="157">
        <v>2017</v>
      </c>
      <c r="BU253">
        <v>2017</v>
      </c>
    </row>
    <row r="254" spans="1:73" ht="43.15" customHeight="1" x14ac:dyDescent="0.25">
      <c r="A254" s="242" t="s">
        <v>186</v>
      </c>
      <c r="B254" s="242" t="s">
        <v>1062</v>
      </c>
      <c r="C254" s="159">
        <v>400</v>
      </c>
      <c r="D254" s="114">
        <v>42996</v>
      </c>
      <c r="E254" s="114"/>
      <c r="F254" s="114"/>
      <c r="G254" s="114"/>
      <c r="H254" s="114">
        <v>43005</v>
      </c>
      <c r="I254" s="114">
        <v>43005</v>
      </c>
      <c r="J254" s="114">
        <v>43028</v>
      </c>
      <c r="K254" s="114"/>
      <c r="L254" s="114">
        <v>43041</v>
      </c>
      <c r="M254" s="114">
        <v>43034</v>
      </c>
      <c r="N254" s="114"/>
      <c r="O254" s="114">
        <v>43042</v>
      </c>
      <c r="P254" s="114">
        <v>43042</v>
      </c>
      <c r="Q254" s="114">
        <v>43048</v>
      </c>
      <c r="R254" s="80"/>
      <c r="S254" s="114"/>
      <c r="T254" s="75"/>
      <c r="U254" s="75"/>
      <c r="V254" s="75"/>
      <c r="W254" s="75">
        <v>2</v>
      </c>
      <c r="X254" s="75">
        <v>62113</v>
      </c>
      <c r="Y254" s="75" t="str">
        <f ca="1">IF(I254="",IF(D254="","",IF(W254+X254&lt;15,"Données Nb pers ou RFR manquantes",IF(COUNTA(INDIRECT("TabRFR["&amp;YEAR(D254)&amp;"]"))&lt;&gt;COUNTA(TabRFR[Recherche RFR]),"Data RFR manquantes", IF(X254&lt;=INDEX(TabRFR[[2021]:[2025]],MATCH(BD!W254&amp;"-Très modestes",TabRFR[Recherche RFR],0),MATCH(TEXT(YEAR(BD!D254),"Standard"),TabRFR[[#Headers],[2021]:[2025]],0)),"Très Modeste",IF(X254&lt;=INDEX(TabRFR[[2021]:[2025]],MATCH(BD!W254&amp;"-modestes",TabRFR[Recherche RFR],0),MATCH(TEXT(YEAR(BD!D254),"Standard"),TabRFR[[#Headers],[2021]:[2025]],0)),"Modeste",IF(X254&lt;=INDEX(TabRFR[[2021]:[2025]],MATCH(BD!W254&amp;"-Intermédiaire",TabRFR[Recherche RFR],0),MATCH(TEXT(YEAR(BD!D254),"Standard"),TabRFR[[#Headers],[2021]:[2025]],0)),"Intermédiaire","Supérieur")))))),IF(D254="","",IF(W254+X254&lt;15,"Données Nb pers ou RFR manquantes",IF(COUNTA(INDIRECT("TabRFR["&amp;YEAR(I254)&amp;"]"))&lt;&gt;COUNTA(TabRFR[Recherche RFR]),"Data RFR manquantes", IF(X254&lt;=INDEX(TabRFR[[2021]:[2025]],MATCH(BD!W254&amp;"-Très modestes",TabRFR[Recherche RFR],0),MATCH(TEXT(YEAR(BD!I254),"Standard"),TabRFR[[#Headers],[2021]:[2025]],0)),"Très Modeste",IF(X254&lt;=INDEX(TabRFR[[2021]:[2025]],MATCH(BD!W254&amp;"-modestes",TabRFR[Recherche RFR],0),MATCH(TEXT(YEAR(BD!I254),"Standard"),TabRFR[[#Headers],[2021]:[2025]],0)),"Modeste",IF(X254&lt;=INDEX(TabRFR[[2021]:[2025]],MATCH(BD!W254&amp;"-Intermédiaire",TabRFR[Recherche RFR],0),MATCH(TEXT(YEAR(BD!I254),"Standard"),TabRFR[[#Headers],[2021]:[2025]],0)),"Intermédiaire","Supérieur")))))))</f>
        <v>Data RFR manquantes</v>
      </c>
      <c r="Z254" s="75"/>
      <c r="AA254" s="75" t="s">
        <v>1059</v>
      </c>
      <c r="AB254" s="75">
        <v>38850</v>
      </c>
      <c r="AC254" s="75" t="s">
        <v>4304</v>
      </c>
      <c r="AD254" s="73"/>
      <c r="AE254" s="102"/>
      <c r="AF254" s="75" t="s">
        <v>95</v>
      </c>
      <c r="AG254" s="75"/>
      <c r="AH254" s="75"/>
      <c r="AI254" s="75"/>
      <c r="AJ254" s="75"/>
      <c r="AK254" s="75"/>
      <c r="AL254" s="75"/>
      <c r="AM254" s="75" t="s">
        <v>4354</v>
      </c>
      <c r="AN254" s="75" t="s">
        <v>1056</v>
      </c>
      <c r="AO254" s="75" t="s">
        <v>1055</v>
      </c>
      <c r="AP254" s="75" t="s">
        <v>97</v>
      </c>
      <c r="AQ254" s="75"/>
      <c r="AR254" s="75">
        <v>43302</v>
      </c>
      <c r="AS254" s="102" t="s">
        <v>1054</v>
      </c>
      <c r="AT254" s="101">
        <v>479842535</v>
      </c>
      <c r="AU254" s="75" t="s">
        <v>99</v>
      </c>
      <c r="AV254" s="75">
        <v>1950</v>
      </c>
      <c r="AW254" s="75" t="s">
        <v>100</v>
      </c>
      <c r="AX254" s="75" t="s">
        <v>112</v>
      </c>
      <c r="AY254" s="75" t="s">
        <v>251</v>
      </c>
      <c r="AZ254" s="75" t="s">
        <v>1053</v>
      </c>
      <c r="BA254" s="75">
        <v>16</v>
      </c>
      <c r="BB254" s="75">
        <v>5.9</v>
      </c>
      <c r="BC254" s="75">
        <v>81.7</v>
      </c>
      <c r="BD254" s="75">
        <v>0.1</v>
      </c>
      <c r="BE254" s="75" t="s">
        <v>97</v>
      </c>
      <c r="BF254" s="75"/>
      <c r="BG254" s="75">
        <v>1922</v>
      </c>
      <c r="BH254" s="75"/>
      <c r="BI254" s="75"/>
      <c r="BJ254" s="75"/>
      <c r="BK254" s="75">
        <v>790</v>
      </c>
      <c r="BL254" s="75">
        <f t="shared" si="9"/>
        <v>2712</v>
      </c>
      <c r="BM254" s="103">
        <f t="shared" si="10"/>
        <v>149.16</v>
      </c>
      <c r="BN254" s="103">
        <f t="shared" si="11"/>
        <v>2861.16</v>
      </c>
      <c r="BO254" s="103">
        <v>4001.62</v>
      </c>
      <c r="BP254" s="75" t="s">
        <v>104</v>
      </c>
      <c r="BQ254" s="74">
        <v>43420</v>
      </c>
      <c r="BR254" s="75"/>
      <c r="BS254" s="157">
        <v>2017</v>
      </c>
      <c r="BT254">
        <v>2020</v>
      </c>
      <c r="BU254">
        <v>2017</v>
      </c>
    </row>
    <row r="255" spans="1:73" ht="43.15" customHeight="1" x14ac:dyDescent="0.25">
      <c r="A255" s="242" t="s">
        <v>186</v>
      </c>
      <c r="B255" s="242" t="s">
        <v>1052</v>
      </c>
      <c r="C255" s="159">
        <v>400</v>
      </c>
      <c r="D255" s="114">
        <v>42998</v>
      </c>
      <c r="E255" s="114"/>
      <c r="F255" s="114"/>
      <c r="G255" s="114"/>
      <c r="H255" s="114">
        <v>43005</v>
      </c>
      <c r="I255" s="114">
        <v>43005</v>
      </c>
      <c r="J255" s="114">
        <v>43028</v>
      </c>
      <c r="K255" s="114"/>
      <c r="L255" s="114">
        <v>43122</v>
      </c>
      <c r="M255" s="114">
        <v>43429</v>
      </c>
      <c r="N255" s="114"/>
      <c r="O255" s="114">
        <v>43123</v>
      </c>
      <c r="P255" s="114">
        <v>43123</v>
      </c>
      <c r="Q255" s="114">
        <v>43130</v>
      </c>
      <c r="R255" s="80"/>
      <c r="S255" s="114"/>
      <c r="T255" s="75"/>
      <c r="U255" s="75"/>
      <c r="V255" s="75"/>
      <c r="W255" s="75">
        <v>5</v>
      </c>
      <c r="X255" s="75">
        <v>66852</v>
      </c>
      <c r="Y255" s="75" t="str">
        <f ca="1">IF(I255="",IF(D255="","",IF(W255+X255&lt;15,"Données Nb pers ou RFR manquantes",IF(COUNTA(INDIRECT("TabRFR["&amp;YEAR(D255)&amp;"]"))&lt;&gt;COUNTA(TabRFR[Recherche RFR]),"Data RFR manquantes", IF(X255&lt;=INDEX(TabRFR[[2021]:[2025]],MATCH(BD!W255&amp;"-Très modestes",TabRFR[Recherche RFR],0),MATCH(TEXT(YEAR(BD!D255),"Standard"),TabRFR[[#Headers],[2021]:[2025]],0)),"Très Modeste",IF(X255&lt;=INDEX(TabRFR[[2021]:[2025]],MATCH(BD!W255&amp;"-modestes",TabRFR[Recherche RFR],0),MATCH(TEXT(YEAR(BD!D255),"Standard"),TabRFR[[#Headers],[2021]:[2025]],0)),"Modeste",IF(X255&lt;=INDEX(TabRFR[[2021]:[2025]],MATCH(BD!W255&amp;"-Intermédiaire",TabRFR[Recherche RFR],0),MATCH(TEXT(YEAR(BD!D255),"Standard"),TabRFR[[#Headers],[2021]:[2025]],0)),"Intermédiaire","Supérieur")))))),IF(D255="","",IF(W255+X255&lt;15,"Données Nb pers ou RFR manquantes",IF(COUNTA(INDIRECT("TabRFR["&amp;YEAR(I255)&amp;"]"))&lt;&gt;COUNTA(TabRFR[Recherche RFR]),"Data RFR manquantes", IF(X255&lt;=INDEX(TabRFR[[2021]:[2025]],MATCH(BD!W255&amp;"-Très modestes",TabRFR[Recherche RFR],0),MATCH(TEXT(YEAR(BD!I255),"Standard"),TabRFR[[#Headers],[2021]:[2025]],0)),"Très Modeste",IF(X255&lt;=INDEX(TabRFR[[2021]:[2025]],MATCH(BD!W255&amp;"-modestes",TabRFR[Recherche RFR],0),MATCH(TEXT(YEAR(BD!I255),"Standard"),TabRFR[[#Headers],[2021]:[2025]],0)),"Modeste",IF(X255&lt;=INDEX(TabRFR[[2021]:[2025]],MATCH(BD!W255&amp;"-Intermédiaire",TabRFR[Recherche RFR],0),MATCH(TEXT(YEAR(BD!I255),"Standard"),TabRFR[[#Headers],[2021]:[2025]],0)),"Intermédiaire","Supérieur")))))))</f>
        <v>Data RFR manquantes</v>
      </c>
      <c r="Z255" s="75"/>
      <c r="AA255" s="75" t="s">
        <v>1050</v>
      </c>
      <c r="AB255" s="75">
        <v>38500</v>
      </c>
      <c r="AC255" s="75" t="s">
        <v>96</v>
      </c>
      <c r="AD255" s="73"/>
      <c r="AE255" s="102"/>
      <c r="AF255" s="75" t="s">
        <v>95</v>
      </c>
      <c r="AG255" s="75"/>
      <c r="AH255" s="75"/>
      <c r="AI255" s="75"/>
      <c r="AJ255" s="75"/>
      <c r="AK255" s="75"/>
      <c r="AL255" s="75"/>
      <c r="AM255" s="75" t="s">
        <v>4356</v>
      </c>
      <c r="AN255" s="75" t="s">
        <v>96</v>
      </c>
      <c r="AO255" s="75" t="s">
        <v>119</v>
      </c>
      <c r="AP255" s="75" t="s">
        <v>97</v>
      </c>
      <c r="AQ255" s="75"/>
      <c r="AR255" s="75">
        <v>43042</v>
      </c>
      <c r="AS255" s="102" t="s">
        <v>770</v>
      </c>
      <c r="AT255" s="101">
        <v>476071461</v>
      </c>
      <c r="AU255" s="75" t="s">
        <v>99</v>
      </c>
      <c r="AV255" s="75">
        <v>1999</v>
      </c>
      <c r="AW255" s="75" t="s">
        <v>100</v>
      </c>
      <c r="AX255" s="75" t="s">
        <v>2071</v>
      </c>
      <c r="AY255" s="75" t="s">
        <v>102</v>
      </c>
      <c r="AZ255" s="75" t="s">
        <v>1048</v>
      </c>
      <c r="BA255" s="75">
        <v>17</v>
      </c>
      <c r="BB255" s="75">
        <v>8.1</v>
      </c>
      <c r="BC255" s="75">
        <v>90.9</v>
      </c>
      <c r="BD255" s="75">
        <v>0</v>
      </c>
      <c r="BE255" s="75" t="s">
        <v>97</v>
      </c>
      <c r="BF255" s="75"/>
      <c r="BG255" s="75">
        <v>4102</v>
      </c>
      <c r="BH255" s="75"/>
      <c r="BI255" s="75"/>
      <c r="BJ255" s="75"/>
      <c r="BK255" s="75">
        <v>420</v>
      </c>
      <c r="BL255" s="75">
        <f t="shared" si="9"/>
        <v>4522</v>
      </c>
      <c r="BM255" s="103">
        <f t="shared" si="10"/>
        <v>248.71</v>
      </c>
      <c r="BN255" s="103">
        <f t="shared" si="11"/>
        <v>4770.71</v>
      </c>
      <c r="BO255" s="103">
        <v>5000</v>
      </c>
      <c r="BP255" s="75" t="s">
        <v>97</v>
      </c>
      <c r="BQ255" s="75"/>
      <c r="BR255" s="75"/>
      <c r="BS255" s="157">
        <v>2017</v>
      </c>
      <c r="BU255">
        <v>2017</v>
      </c>
    </row>
    <row r="256" spans="1:73" ht="43.15" customHeight="1" x14ac:dyDescent="0.25">
      <c r="A256" s="242" t="s">
        <v>186</v>
      </c>
      <c r="B256" s="242" t="s">
        <v>1047</v>
      </c>
      <c r="C256" s="159">
        <v>400</v>
      </c>
      <c r="D256" s="114">
        <v>43000</v>
      </c>
      <c r="E256" s="114"/>
      <c r="F256" s="114"/>
      <c r="G256" s="114" t="s">
        <v>1046</v>
      </c>
      <c r="H256" s="114">
        <v>43007</v>
      </c>
      <c r="I256" s="114">
        <v>43007</v>
      </c>
      <c r="J256" s="114">
        <v>43028</v>
      </c>
      <c r="K256" s="114"/>
      <c r="L256" s="114">
        <v>43152</v>
      </c>
      <c r="M256" s="114">
        <v>43053</v>
      </c>
      <c r="N256" s="114"/>
      <c r="O256" s="114">
        <v>43172</v>
      </c>
      <c r="P256" s="114">
        <v>43172</v>
      </c>
      <c r="Q256" s="114">
        <v>43200</v>
      </c>
      <c r="R256" s="80"/>
      <c r="S256" s="114"/>
      <c r="T256" s="75"/>
      <c r="U256" s="75"/>
      <c r="V256" s="75"/>
      <c r="W256" s="75">
        <v>3</v>
      </c>
      <c r="X256" s="75">
        <v>36629</v>
      </c>
      <c r="Y256" s="75" t="str">
        <f ca="1">IF(I256="",IF(D256="","",IF(W256+X256&lt;15,"Données Nb pers ou RFR manquantes",IF(COUNTA(INDIRECT("TabRFR["&amp;YEAR(D256)&amp;"]"))&lt;&gt;COUNTA(TabRFR[Recherche RFR]),"Data RFR manquantes", IF(X256&lt;=INDEX(TabRFR[[2021]:[2025]],MATCH(BD!W256&amp;"-Très modestes",TabRFR[Recherche RFR],0),MATCH(TEXT(YEAR(BD!D256),"Standard"),TabRFR[[#Headers],[2021]:[2025]],0)),"Très Modeste",IF(X256&lt;=INDEX(TabRFR[[2021]:[2025]],MATCH(BD!W256&amp;"-modestes",TabRFR[Recherche RFR],0),MATCH(TEXT(YEAR(BD!D256),"Standard"),TabRFR[[#Headers],[2021]:[2025]],0)),"Modeste",IF(X256&lt;=INDEX(TabRFR[[2021]:[2025]],MATCH(BD!W256&amp;"-Intermédiaire",TabRFR[Recherche RFR],0),MATCH(TEXT(YEAR(BD!D256),"Standard"),TabRFR[[#Headers],[2021]:[2025]],0)),"Intermédiaire","Supérieur")))))),IF(D256="","",IF(W256+X256&lt;15,"Données Nb pers ou RFR manquantes",IF(COUNTA(INDIRECT("TabRFR["&amp;YEAR(I256)&amp;"]"))&lt;&gt;COUNTA(TabRFR[Recherche RFR]),"Data RFR manquantes", IF(X256&lt;=INDEX(TabRFR[[2021]:[2025]],MATCH(BD!W256&amp;"-Très modestes",TabRFR[Recherche RFR],0),MATCH(TEXT(YEAR(BD!I256),"Standard"),TabRFR[[#Headers],[2021]:[2025]],0)),"Très Modeste",IF(X256&lt;=INDEX(TabRFR[[2021]:[2025]],MATCH(BD!W256&amp;"-modestes",TabRFR[Recherche RFR],0),MATCH(TEXT(YEAR(BD!I256),"Standard"),TabRFR[[#Headers],[2021]:[2025]],0)),"Modeste",IF(X256&lt;=INDEX(TabRFR[[2021]:[2025]],MATCH(BD!W256&amp;"-Intermédiaire",TabRFR[Recherche RFR],0),MATCH(TEXT(YEAR(BD!I256),"Standard"),TabRFR[[#Headers],[2021]:[2025]],0)),"Intermédiaire","Supérieur")))))))</f>
        <v>Data RFR manquantes</v>
      </c>
      <c r="Z256" s="75"/>
      <c r="AA256" s="75" t="s">
        <v>1044</v>
      </c>
      <c r="AB256" s="75">
        <v>38960</v>
      </c>
      <c r="AC256" s="75" t="s">
        <v>2403</v>
      </c>
      <c r="AD256" s="73"/>
      <c r="AE256" s="102"/>
      <c r="AF256" s="75" t="s">
        <v>95</v>
      </c>
      <c r="AG256" s="75"/>
      <c r="AH256" s="75"/>
      <c r="AI256" s="75"/>
      <c r="AJ256" s="75"/>
      <c r="AK256" s="75"/>
      <c r="AL256" s="75"/>
      <c r="AM256" s="75" t="s">
        <v>4356</v>
      </c>
      <c r="AN256" s="75" t="s">
        <v>96</v>
      </c>
      <c r="AO256" s="75" t="s">
        <v>119</v>
      </c>
      <c r="AP256" s="75" t="s">
        <v>97</v>
      </c>
      <c r="AQ256" s="75"/>
      <c r="AR256" s="131">
        <v>43042</v>
      </c>
      <c r="AS256" s="102" t="s">
        <v>120</v>
      </c>
      <c r="AT256" s="101">
        <v>476071461</v>
      </c>
      <c r="AU256" s="75" t="s">
        <v>111</v>
      </c>
      <c r="AV256" s="75">
        <v>1999</v>
      </c>
      <c r="AW256" s="75" t="s">
        <v>100</v>
      </c>
      <c r="AX256" s="75" t="s">
        <v>112</v>
      </c>
      <c r="AY256" s="75" t="s">
        <v>121</v>
      </c>
      <c r="AZ256" s="75" t="s">
        <v>1011</v>
      </c>
      <c r="BA256" s="75">
        <v>34</v>
      </c>
      <c r="BB256" s="75">
        <v>7</v>
      </c>
      <c r="BC256" s="75">
        <v>80</v>
      </c>
      <c r="BD256" s="75">
        <v>0.08</v>
      </c>
      <c r="BE256" s="75" t="s">
        <v>97</v>
      </c>
      <c r="BF256" s="75"/>
      <c r="BG256" s="75">
        <v>2875.87</v>
      </c>
      <c r="BH256" s="75"/>
      <c r="BI256" s="75"/>
      <c r="BJ256" s="75"/>
      <c r="BK256" s="75">
        <v>420</v>
      </c>
      <c r="BL256" s="75">
        <f t="shared" si="9"/>
        <v>3295.87</v>
      </c>
      <c r="BM256" s="103">
        <f t="shared" si="10"/>
        <v>181.27285000000001</v>
      </c>
      <c r="BN256" s="103">
        <f t="shared" si="11"/>
        <v>3477.1428499999997</v>
      </c>
      <c r="BO256" s="103">
        <v>3000</v>
      </c>
      <c r="BP256" s="75" t="s">
        <v>104</v>
      </c>
      <c r="BQ256" s="74">
        <v>43420</v>
      </c>
      <c r="BR256" s="75"/>
      <c r="BS256" s="157">
        <v>2017</v>
      </c>
      <c r="BT256">
        <v>2020</v>
      </c>
      <c r="BU256">
        <v>2017</v>
      </c>
    </row>
    <row r="257" spans="1:73" ht="43.15" customHeight="1" x14ac:dyDescent="0.25">
      <c r="A257" s="242" t="s">
        <v>186</v>
      </c>
      <c r="B257" s="242" t="s">
        <v>1043</v>
      </c>
      <c r="C257" s="159">
        <v>400</v>
      </c>
      <c r="D257" s="114">
        <v>43003</v>
      </c>
      <c r="E257" s="114"/>
      <c r="F257" s="114"/>
      <c r="G257" s="114"/>
      <c r="H257" s="114">
        <v>43005</v>
      </c>
      <c r="I257" s="114">
        <v>43005</v>
      </c>
      <c r="J257" s="114">
        <v>43028</v>
      </c>
      <c r="K257" s="114"/>
      <c r="L257" s="114">
        <v>43056</v>
      </c>
      <c r="M257" s="114">
        <v>43046</v>
      </c>
      <c r="N257" s="114"/>
      <c r="O257" s="114">
        <v>43074</v>
      </c>
      <c r="P257" s="114">
        <v>43074</v>
      </c>
      <c r="Q257" s="114">
        <v>43077</v>
      </c>
      <c r="R257" s="80"/>
      <c r="S257" s="114"/>
      <c r="T257" s="75"/>
      <c r="U257" s="75"/>
      <c r="V257" s="75"/>
      <c r="W257" s="75">
        <v>4</v>
      </c>
      <c r="X257" s="75">
        <v>54688</v>
      </c>
      <c r="Y257" s="75" t="str">
        <f ca="1">IF(I257="",IF(D257="","",IF(W257+X257&lt;15,"Données Nb pers ou RFR manquantes",IF(COUNTA(INDIRECT("TabRFR["&amp;YEAR(D257)&amp;"]"))&lt;&gt;COUNTA(TabRFR[Recherche RFR]),"Data RFR manquantes", IF(X257&lt;=INDEX(TabRFR[[2021]:[2025]],MATCH(BD!W257&amp;"-Très modestes",TabRFR[Recherche RFR],0),MATCH(TEXT(YEAR(BD!D257),"Standard"),TabRFR[[#Headers],[2021]:[2025]],0)),"Très Modeste",IF(X257&lt;=INDEX(TabRFR[[2021]:[2025]],MATCH(BD!W257&amp;"-modestes",TabRFR[Recherche RFR],0),MATCH(TEXT(YEAR(BD!D257),"Standard"),TabRFR[[#Headers],[2021]:[2025]],0)),"Modeste",IF(X257&lt;=INDEX(TabRFR[[2021]:[2025]],MATCH(BD!W257&amp;"-Intermédiaire",TabRFR[Recherche RFR],0),MATCH(TEXT(YEAR(BD!D257),"Standard"),TabRFR[[#Headers],[2021]:[2025]],0)),"Intermédiaire","Supérieur")))))),IF(D257="","",IF(W257+X257&lt;15,"Données Nb pers ou RFR manquantes",IF(COUNTA(INDIRECT("TabRFR["&amp;YEAR(I257)&amp;"]"))&lt;&gt;COUNTA(TabRFR[Recherche RFR]),"Data RFR manquantes", IF(X257&lt;=INDEX(TabRFR[[2021]:[2025]],MATCH(BD!W257&amp;"-Très modestes",TabRFR[Recherche RFR],0),MATCH(TEXT(YEAR(BD!I257),"Standard"),TabRFR[[#Headers],[2021]:[2025]],0)),"Très Modeste",IF(X257&lt;=INDEX(TabRFR[[2021]:[2025]],MATCH(BD!W257&amp;"-modestes",TabRFR[Recherche RFR],0),MATCH(TEXT(YEAR(BD!I257),"Standard"),TabRFR[[#Headers],[2021]:[2025]],0)),"Modeste",IF(X257&lt;=INDEX(TabRFR[[2021]:[2025]],MATCH(BD!W257&amp;"-Intermédiaire",TabRFR[Recherche RFR],0),MATCH(TEXT(YEAR(BD!I257),"Standard"),TabRFR[[#Headers],[2021]:[2025]],0)),"Intermédiaire","Supérieur")))))))</f>
        <v>Data RFR manquantes</v>
      </c>
      <c r="Z257" s="75"/>
      <c r="AA257" s="75" t="s">
        <v>1041</v>
      </c>
      <c r="AB257" s="75">
        <v>38210</v>
      </c>
      <c r="AC257" s="75" t="s">
        <v>195</v>
      </c>
      <c r="AD257" s="73"/>
      <c r="AE257" s="102"/>
      <c r="AF257" s="75" t="s">
        <v>95</v>
      </c>
      <c r="AG257" s="75"/>
      <c r="AH257" s="75"/>
      <c r="AI257" s="75"/>
      <c r="AJ257" s="75"/>
      <c r="AK257" s="75"/>
      <c r="AL257" s="75"/>
      <c r="AM257" s="75" t="s">
        <v>4233</v>
      </c>
      <c r="AN257" s="75" t="s">
        <v>829</v>
      </c>
      <c r="AO257" s="75" t="s">
        <v>325</v>
      </c>
      <c r="AP257" s="75" t="s">
        <v>97</v>
      </c>
      <c r="AQ257" s="75"/>
      <c r="AR257" s="75">
        <v>43321</v>
      </c>
      <c r="AS257" s="102" t="s">
        <v>211</v>
      </c>
      <c r="AT257" s="101">
        <v>608287337</v>
      </c>
      <c r="AU257" s="75" t="s">
        <v>111</v>
      </c>
      <c r="AV257" s="75">
        <v>1990</v>
      </c>
      <c r="AW257" s="75" t="s">
        <v>100</v>
      </c>
      <c r="AX257" s="75" t="s">
        <v>112</v>
      </c>
      <c r="AY257" s="75" t="s">
        <v>1039</v>
      </c>
      <c r="AZ257" s="75" t="s">
        <v>1038</v>
      </c>
      <c r="BA257" s="75">
        <v>14</v>
      </c>
      <c r="BB257" s="75">
        <v>7</v>
      </c>
      <c r="BC257" s="75">
        <v>80</v>
      </c>
      <c r="BD257" s="75">
        <v>0.1</v>
      </c>
      <c r="BE257" s="75" t="s">
        <v>97</v>
      </c>
      <c r="BF257" s="75"/>
      <c r="BG257" s="75">
        <v>2910</v>
      </c>
      <c r="BH257" s="75"/>
      <c r="BI257" s="75"/>
      <c r="BJ257" s="75"/>
      <c r="BK257" s="75">
        <v>395</v>
      </c>
      <c r="BL257" s="75">
        <f t="shared" si="9"/>
        <v>3305</v>
      </c>
      <c r="BM257" s="103">
        <f t="shared" si="10"/>
        <v>181.77500000000001</v>
      </c>
      <c r="BN257" s="103">
        <f t="shared" si="11"/>
        <v>3486.7750000000001</v>
      </c>
      <c r="BO257" s="103"/>
      <c r="BP257" s="75" t="s">
        <v>104</v>
      </c>
      <c r="BQ257" s="74">
        <v>43420</v>
      </c>
      <c r="BR257" s="75"/>
      <c r="BS257" s="157">
        <v>2017</v>
      </c>
      <c r="BT257">
        <v>2020</v>
      </c>
      <c r="BU257">
        <v>2017</v>
      </c>
    </row>
    <row r="258" spans="1:73" ht="43.15" customHeight="1" x14ac:dyDescent="0.25">
      <c r="A258" s="29" t="s">
        <v>186</v>
      </c>
      <c r="B258" s="29" t="s">
        <v>1037</v>
      </c>
      <c r="C258" s="161" t="s">
        <v>9</v>
      </c>
      <c r="D258" s="110">
        <v>43003</v>
      </c>
      <c r="E258" s="110"/>
      <c r="F258" s="110"/>
      <c r="G258" s="110" t="s">
        <v>1036</v>
      </c>
      <c r="H258" s="110"/>
      <c r="I258" s="110"/>
      <c r="J258" s="110"/>
      <c r="K258" s="110"/>
      <c r="L258" s="110"/>
      <c r="M258" s="110"/>
      <c r="N258" s="110"/>
      <c r="O258" s="110"/>
      <c r="P258" s="110"/>
      <c r="Q258" s="110"/>
      <c r="R258" s="109"/>
      <c r="S258" s="110">
        <v>43201</v>
      </c>
      <c r="T258" s="111" t="s">
        <v>1035</v>
      </c>
      <c r="U258" s="111"/>
      <c r="V258" s="111"/>
      <c r="W258" s="111">
        <v>2</v>
      </c>
      <c r="X258" s="111">
        <v>41120</v>
      </c>
      <c r="Y258" s="75" t="str">
        <f ca="1">IF(I258="",IF(D258="","",IF(W258+X258&lt;15,"Données Nb pers ou RFR manquantes",IF(COUNTA(INDIRECT("TabRFR["&amp;YEAR(D258)&amp;"]"))&lt;&gt;COUNTA(TabRFR[Recherche RFR]),"Data RFR manquantes", IF(X258&lt;=INDEX(TabRFR[[2021]:[2025]],MATCH(BD!W258&amp;"-Très modestes",TabRFR[Recherche RFR],0),MATCH(TEXT(YEAR(BD!D258),"Standard"),TabRFR[[#Headers],[2021]:[2025]],0)),"Très Modeste",IF(X258&lt;=INDEX(TabRFR[[2021]:[2025]],MATCH(BD!W258&amp;"-modestes",TabRFR[Recherche RFR],0),MATCH(TEXT(YEAR(BD!D258),"Standard"),TabRFR[[#Headers],[2021]:[2025]],0)),"Modeste",IF(X258&lt;=INDEX(TabRFR[[2021]:[2025]],MATCH(BD!W258&amp;"-Intermédiaire",TabRFR[Recherche RFR],0),MATCH(TEXT(YEAR(BD!D258),"Standard"),TabRFR[[#Headers],[2021]:[2025]],0)),"Intermédiaire","Supérieur")))))),IF(D258="","",IF(W258+X258&lt;15,"Données Nb pers ou RFR manquantes",IF(COUNTA(INDIRECT("TabRFR["&amp;YEAR(I258)&amp;"]"))&lt;&gt;COUNTA(TabRFR[Recherche RFR]),"Data RFR manquantes", IF(X258&lt;=INDEX(TabRFR[[2021]:[2025]],MATCH(BD!W258&amp;"-Très modestes",TabRFR[Recherche RFR],0),MATCH(TEXT(YEAR(BD!I258),"Standard"),TabRFR[[#Headers],[2021]:[2025]],0)),"Très Modeste",IF(X258&lt;=INDEX(TabRFR[[2021]:[2025]],MATCH(BD!W258&amp;"-modestes",TabRFR[Recherche RFR],0),MATCH(TEXT(YEAR(BD!I258),"Standard"),TabRFR[[#Headers],[2021]:[2025]],0)),"Modeste",IF(X258&lt;=INDEX(TabRFR[[2021]:[2025]],MATCH(BD!W258&amp;"-Intermédiaire",TabRFR[Recherche RFR],0),MATCH(TEXT(YEAR(BD!I258),"Standard"),TabRFR[[#Headers],[2021]:[2025]],0)),"Intermédiaire","Supérieur")))))))</f>
        <v>Data RFR manquantes</v>
      </c>
      <c r="Z258" s="111"/>
      <c r="AA258" s="111" t="s">
        <v>1033</v>
      </c>
      <c r="AB258" s="111">
        <v>38140</v>
      </c>
      <c r="AC258" s="111" t="s">
        <v>237</v>
      </c>
      <c r="AD258" s="127"/>
      <c r="AE258" s="102"/>
      <c r="AF258" s="111" t="s">
        <v>95</v>
      </c>
      <c r="AG258" s="111"/>
      <c r="AH258" s="111"/>
      <c r="AI258" s="111"/>
      <c r="AJ258" s="111"/>
      <c r="AK258" s="111"/>
      <c r="AL258" s="111"/>
      <c r="AM258" s="111" t="s">
        <v>4356</v>
      </c>
      <c r="AN258" s="111" t="s">
        <v>96</v>
      </c>
      <c r="AO258" s="111" t="s">
        <v>119</v>
      </c>
      <c r="AP258" s="111" t="s">
        <v>97</v>
      </c>
      <c r="AQ258" s="111"/>
      <c r="AR258" s="128">
        <v>43042</v>
      </c>
      <c r="AS258" s="102" t="s">
        <v>120</v>
      </c>
      <c r="AT258" s="112">
        <v>476071461</v>
      </c>
      <c r="AU258" s="111" t="s">
        <v>172</v>
      </c>
      <c r="AV258" s="111">
        <v>1984</v>
      </c>
      <c r="AW258" s="111" t="s">
        <v>172</v>
      </c>
      <c r="AX258" s="111" t="s">
        <v>112</v>
      </c>
      <c r="AY258" s="111"/>
      <c r="AZ258" s="111"/>
      <c r="BA258" s="111"/>
      <c r="BB258" s="111"/>
      <c r="BC258" s="111"/>
      <c r="BD258" s="111"/>
      <c r="BE258" s="111"/>
      <c r="BF258" s="111"/>
      <c r="BG258" s="111"/>
      <c r="BH258" s="111"/>
      <c r="BI258" s="111"/>
      <c r="BJ258" s="111"/>
      <c r="BK258" s="111"/>
      <c r="BL258" s="75">
        <f t="shared" si="9"/>
        <v>0</v>
      </c>
      <c r="BM258" s="103">
        <f t="shared" si="10"/>
        <v>0</v>
      </c>
      <c r="BN258" s="103">
        <f t="shared" si="11"/>
        <v>0</v>
      </c>
      <c r="BO258" s="113"/>
      <c r="BP258" s="111"/>
      <c r="BQ258" s="135"/>
      <c r="BR258" s="111"/>
      <c r="BS258" s="157">
        <v>2017</v>
      </c>
      <c r="BU258" t="s">
        <v>4180</v>
      </c>
    </row>
    <row r="259" spans="1:73" ht="43.15" customHeight="1" x14ac:dyDescent="0.25">
      <c r="A259" s="242" t="s">
        <v>186</v>
      </c>
      <c r="B259" s="242" t="s">
        <v>1031</v>
      </c>
      <c r="C259" s="159">
        <v>400</v>
      </c>
      <c r="D259" s="114">
        <v>43007</v>
      </c>
      <c r="E259" s="114"/>
      <c r="F259" s="114"/>
      <c r="G259" s="114" t="s">
        <v>1030</v>
      </c>
      <c r="H259" s="114">
        <v>43021</v>
      </c>
      <c r="I259" s="114">
        <v>43021</v>
      </c>
      <c r="J259" s="114">
        <v>43032</v>
      </c>
      <c r="K259" s="114"/>
      <c r="L259" s="114">
        <v>43081</v>
      </c>
      <c r="M259" s="114">
        <v>43056</v>
      </c>
      <c r="N259" s="114"/>
      <c r="O259" s="114">
        <v>43082</v>
      </c>
      <c r="P259" s="114">
        <v>43082</v>
      </c>
      <c r="Q259" s="114">
        <v>43084</v>
      </c>
      <c r="R259" s="80"/>
      <c r="S259" s="114"/>
      <c r="T259" s="75"/>
      <c r="U259" s="75"/>
      <c r="V259" s="75"/>
      <c r="W259" s="75">
        <v>4</v>
      </c>
      <c r="X259" s="75">
        <v>42385</v>
      </c>
      <c r="Y259" s="75" t="str">
        <f ca="1">IF(I259="",IF(D259="","",IF(W259+X259&lt;15,"Données Nb pers ou RFR manquantes",IF(COUNTA(INDIRECT("TabRFR["&amp;YEAR(D259)&amp;"]"))&lt;&gt;COUNTA(TabRFR[Recherche RFR]),"Data RFR manquantes", IF(X259&lt;=INDEX(TabRFR[[2021]:[2025]],MATCH(BD!W259&amp;"-Très modestes",TabRFR[Recherche RFR],0),MATCH(TEXT(YEAR(BD!D259),"Standard"),TabRFR[[#Headers],[2021]:[2025]],0)),"Très Modeste",IF(X259&lt;=INDEX(TabRFR[[2021]:[2025]],MATCH(BD!W259&amp;"-modestes",TabRFR[Recherche RFR],0),MATCH(TEXT(YEAR(BD!D259),"Standard"),TabRFR[[#Headers],[2021]:[2025]],0)),"Modeste",IF(X259&lt;=INDEX(TabRFR[[2021]:[2025]],MATCH(BD!W259&amp;"-Intermédiaire",TabRFR[Recherche RFR],0),MATCH(TEXT(YEAR(BD!D259),"Standard"),TabRFR[[#Headers],[2021]:[2025]],0)),"Intermédiaire","Supérieur")))))),IF(D259="","",IF(W259+X259&lt;15,"Données Nb pers ou RFR manquantes",IF(COUNTA(INDIRECT("TabRFR["&amp;YEAR(I259)&amp;"]"))&lt;&gt;COUNTA(TabRFR[Recherche RFR]),"Data RFR manquantes", IF(X259&lt;=INDEX(TabRFR[[2021]:[2025]],MATCH(BD!W259&amp;"-Très modestes",TabRFR[Recherche RFR],0),MATCH(TEXT(YEAR(BD!I259),"Standard"),TabRFR[[#Headers],[2021]:[2025]],0)),"Très Modeste",IF(X259&lt;=INDEX(TabRFR[[2021]:[2025]],MATCH(BD!W259&amp;"-modestes",TabRFR[Recherche RFR],0),MATCH(TEXT(YEAR(BD!I259),"Standard"),TabRFR[[#Headers],[2021]:[2025]],0)),"Modeste",IF(X259&lt;=INDEX(TabRFR[[2021]:[2025]],MATCH(BD!W259&amp;"-Intermédiaire",TabRFR[Recherche RFR],0),MATCH(TEXT(YEAR(BD!I259),"Standard"),TabRFR[[#Headers],[2021]:[2025]],0)),"Intermédiaire","Supérieur")))))))</f>
        <v>Data RFR manquantes</v>
      </c>
      <c r="Z259" s="75"/>
      <c r="AA259" s="75" t="s">
        <v>1027</v>
      </c>
      <c r="AB259" s="75">
        <v>38140</v>
      </c>
      <c r="AC259" s="75" t="s">
        <v>237</v>
      </c>
      <c r="AD259" s="73"/>
      <c r="AE259" s="102"/>
      <c r="AF259" s="75" t="s">
        <v>95</v>
      </c>
      <c r="AG259" s="75"/>
      <c r="AH259" s="75"/>
      <c r="AI259" s="75"/>
      <c r="AJ259" s="75"/>
      <c r="AK259" s="75"/>
      <c r="AL259" s="75"/>
      <c r="AM259" s="75" t="s">
        <v>4376</v>
      </c>
      <c r="AN259" s="75" t="s">
        <v>451</v>
      </c>
      <c r="AO259" s="75" t="s">
        <v>464</v>
      </c>
      <c r="AP259" s="75" t="s">
        <v>97</v>
      </c>
      <c r="AQ259" s="75"/>
      <c r="AR259" s="75">
        <v>43313</v>
      </c>
      <c r="AS259" s="102" t="s">
        <v>1025</v>
      </c>
      <c r="AT259" s="101">
        <v>474430411</v>
      </c>
      <c r="AU259" s="75" t="s">
        <v>111</v>
      </c>
      <c r="AV259" s="75"/>
      <c r="AW259" s="75" t="s">
        <v>100</v>
      </c>
      <c r="AX259" s="75" t="s">
        <v>2071</v>
      </c>
      <c r="AY259" s="75" t="s">
        <v>174</v>
      </c>
      <c r="AZ259" s="75" t="s">
        <v>1024</v>
      </c>
      <c r="BA259" s="75">
        <v>17</v>
      </c>
      <c r="BB259" s="75">
        <v>11.2</v>
      </c>
      <c r="BC259" s="75">
        <v>90</v>
      </c>
      <c r="BD259" s="75">
        <v>0.02</v>
      </c>
      <c r="BE259" s="75" t="s">
        <v>97</v>
      </c>
      <c r="BF259" s="75"/>
      <c r="BG259" s="75">
        <v>3439</v>
      </c>
      <c r="BH259" s="75"/>
      <c r="BI259" s="75"/>
      <c r="BJ259" s="75"/>
      <c r="BK259" s="75">
        <v>800</v>
      </c>
      <c r="BL259" s="75">
        <f t="shared" si="9"/>
        <v>4239</v>
      </c>
      <c r="BM259" s="103">
        <f t="shared" si="10"/>
        <v>233.14500000000001</v>
      </c>
      <c r="BN259" s="103">
        <f t="shared" si="11"/>
        <v>4472.1450000000004</v>
      </c>
      <c r="BO259" s="103">
        <v>5006.3500000000004</v>
      </c>
      <c r="BP259" s="75" t="s">
        <v>97</v>
      </c>
      <c r="BQ259" s="75"/>
      <c r="BR259" s="75"/>
      <c r="BS259" s="157">
        <v>2017</v>
      </c>
      <c r="BU259">
        <v>2017</v>
      </c>
    </row>
    <row r="260" spans="1:73" ht="43.15" customHeight="1" x14ac:dyDescent="0.25">
      <c r="A260" s="242" t="s">
        <v>186</v>
      </c>
      <c r="B260" s="242" t="s">
        <v>1023</v>
      </c>
      <c r="C260" s="163">
        <v>400</v>
      </c>
      <c r="D260" s="76">
        <v>43007</v>
      </c>
      <c r="E260" s="76"/>
      <c r="F260" s="76"/>
      <c r="G260" s="76" t="s">
        <v>1022</v>
      </c>
      <c r="H260" s="76">
        <v>43021</v>
      </c>
      <c r="I260" s="76">
        <v>43021</v>
      </c>
      <c r="J260" s="76">
        <v>43032</v>
      </c>
      <c r="K260" s="76"/>
      <c r="L260" s="76">
        <v>43816</v>
      </c>
      <c r="M260" s="76">
        <v>43815</v>
      </c>
      <c r="N260" s="76" t="s">
        <v>4114</v>
      </c>
      <c r="O260" s="76">
        <v>43872</v>
      </c>
      <c r="P260" s="76">
        <v>43872</v>
      </c>
      <c r="Q260" s="76">
        <v>43875</v>
      </c>
      <c r="R260" s="81"/>
      <c r="S260" s="76"/>
      <c r="T260" s="77" t="s">
        <v>4179</v>
      </c>
      <c r="U260" s="77"/>
      <c r="V260" s="77"/>
      <c r="W260" s="77">
        <v>1</v>
      </c>
      <c r="X260" s="77">
        <v>44768</v>
      </c>
      <c r="Y260" s="75" t="str">
        <f ca="1">IF(I260="",IF(D260="","",IF(W260+X260&lt;15,"Données Nb pers ou RFR manquantes",IF(COUNTA(INDIRECT("TabRFR["&amp;YEAR(D260)&amp;"]"))&lt;&gt;COUNTA(TabRFR[Recherche RFR]),"Data RFR manquantes", IF(X260&lt;=INDEX(TabRFR[[2021]:[2025]],MATCH(BD!W260&amp;"-Très modestes",TabRFR[Recherche RFR],0),MATCH(TEXT(YEAR(BD!D260),"Standard"),TabRFR[[#Headers],[2021]:[2025]],0)),"Très Modeste",IF(X260&lt;=INDEX(TabRFR[[2021]:[2025]],MATCH(BD!W260&amp;"-modestes",TabRFR[Recherche RFR],0),MATCH(TEXT(YEAR(BD!D260),"Standard"),TabRFR[[#Headers],[2021]:[2025]],0)),"Modeste",IF(X260&lt;=INDEX(TabRFR[[2021]:[2025]],MATCH(BD!W260&amp;"-Intermédiaire",TabRFR[Recherche RFR],0),MATCH(TEXT(YEAR(BD!D260),"Standard"),TabRFR[[#Headers],[2021]:[2025]],0)),"Intermédiaire","Supérieur")))))),IF(D260="","",IF(W260+X260&lt;15,"Données Nb pers ou RFR manquantes",IF(COUNTA(INDIRECT("TabRFR["&amp;YEAR(I260)&amp;"]"))&lt;&gt;COUNTA(TabRFR[Recherche RFR]),"Data RFR manquantes", IF(X260&lt;=INDEX(TabRFR[[2021]:[2025]],MATCH(BD!W260&amp;"-Très modestes",TabRFR[Recherche RFR],0),MATCH(TEXT(YEAR(BD!I260),"Standard"),TabRFR[[#Headers],[2021]:[2025]],0)),"Très Modeste",IF(X260&lt;=INDEX(TabRFR[[2021]:[2025]],MATCH(BD!W260&amp;"-modestes",TabRFR[Recherche RFR],0),MATCH(TEXT(YEAR(BD!I260),"Standard"),TabRFR[[#Headers],[2021]:[2025]],0)),"Modeste",IF(X260&lt;=INDEX(TabRFR[[2021]:[2025]],MATCH(BD!W260&amp;"-Intermédiaire",TabRFR[Recherche RFR],0),MATCH(TEXT(YEAR(BD!I260),"Standard"),TabRFR[[#Headers],[2021]:[2025]],0)),"Intermédiaire","Supérieur")))))))</f>
        <v>Data RFR manquantes</v>
      </c>
      <c r="Z260" s="77"/>
      <c r="AA260" s="77" t="s">
        <v>1019</v>
      </c>
      <c r="AB260" s="77">
        <v>38500</v>
      </c>
      <c r="AC260" s="77" t="s">
        <v>2572</v>
      </c>
      <c r="AD260" s="78"/>
      <c r="AE260" s="50"/>
      <c r="AF260" s="77" t="s">
        <v>95</v>
      </c>
      <c r="AG260" s="77"/>
      <c r="AH260" s="77"/>
      <c r="AI260" s="77"/>
      <c r="AJ260" s="77"/>
      <c r="AK260" s="77"/>
      <c r="AL260" s="77"/>
      <c r="AM260" s="77" t="s">
        <v>1886</v>
      </c>
      <c r="AN260" s="77" t="s">
        <v>195</v>
      </c>
      <c r="AO260" s="77" t="s">
        <v>464</v>
      </c>
      <c r="AP260" s="77" t="s">
        <v>97</v>
      </c>
      <c r="AQ260" s="77"/>
      <c r="AR260" s="132">
        <v>43309</v>
      </c>
      <c r="AS260" s="238" t="s">
        <v>516</v>
      </c>
      <c r="AT260" s="133">
        <v>476065876</v>
      </c>
      <c r="AU260" s="77" t="s">
        <v>430</v>
      </c>
      <c r="AV260" s="77"/>
      <c r="AW260" s="77" t="s">
        <v>100</v>
      </c>
      <c r="AX260" s="75" t="s">
        <v>2071</v>
      </c>
      <c r="AY260" s="77" t="s">
        <v>1017</v>
      </c>
      <c r="AZ260" s="77" t="s">
        <v>1016</v>
      </c>
      <c r="BA260" s="77">
        <v>11</v>
      </c>
      <c r="BB260" s="77">
        <v>12</v>
      </c>
      <c r="BC260" s="77">
        <v>88</v>
      </c>
      <c r="BD260" s="77">
        <v>0.01</v>
      </c>
      <c r="BE260" s="77" t="s">
        <v>97</v>
      </c>
      <c r="BF260" s="77"/>
      <c r="BG260" s="77">
        <v>7552</v>
      </c>
      <c r="BH260" s="77"/>
      <c r="BI260" s="77"/>
      <c r="BJ260" s="77"/>
      <c r="BK260" s="77">
        <v>3500</v>
      </c>
      <c r="BL260" s="75">
        <f t="shared" si="9"/>
        <v>11052</v>
      </c>
      <c r="BM260" s="103">
        <f t="shared" si="10"/>
        <v>607.86</v>
      </c>
      <c r="BN260" s="103">
        <f t="shared" si="11"/>
        <v>11659.86</v>
      </c>
      <c r="BO260" s="80">
        <v>8161.06</v>
      </c>
      <c r="BP260" s="77" t="s">
        <v>97</v>
      </c>
      <c r="BQ260" s="77"/>
      <c r="BR260" s="77"/>
      <c r="BS260" s="157">
        <v>2017</v>
      </c>
      <c r="BU260">
        <v>2017</v>
      </c>
    </row>
    <row r="261" spans="1:73" ht="43.15" customHeight="1" x14ac:dyDescent="0.25">
      <c r="A261" s="242" t="s">
        <v>186</v>
      </c>
      <c r="B261" s="242" t="s">
        <v>1015</v>
      </c>
      <c r="C261" s="159">
        <v>400</v>
      </c>
      <c r="D261" s="114">
        <v>43013</v>
      </c>
      <c r="E261" s="114"/>
      <c r="F261" s="114"/>
      <c r="G261" s="114"/>
      <c r="H261" s="114">
        <v>43020</v>
      </c>
      <c r="I261" s="114">
        <v>43020</v>
      </c>
      <c r="J261" s="114">
        <v>43032</v>
      </c>
      <c r="K261" s="114"/>
      <c r="L261" s="114">
        <v>43039</v>
      </c>
      <c r="M261" s="114">
        <v>43035</v>
      </c>
      <c r="N261" s="114"/>
      <c r="O261" s="114">
        <v>43042</v>
      </c>
      <c r="P261" s="114">
        <v>43042</v>
      </c>
      <c r="Q261" s="114">
        <v>43048</v>
      </c>
      <c r="R261" s="80"/>
      <c r="S261" s="114"/>
      <c r="T261" s="75"/>
      <c r="U261" s="75"/>
      <c r="V261" s="75"/>
      <c r="W261" s="75">
        <v>2</v>
      </c>
      <c r="X261" s="75">
        <v>29585</v>
      </c>
      <c r="Y261" s="75" t="str">
        <f ca="1">IF(I261="",IF(D261="","",IF(W261+X261&lt;15,"Données Nb pers ou RFR manquantes",IF(COUNTA(INDIRECT("TabRFR["&amp;YEAR(D261)&amp;"]"))&lt;&gt;COUNTA(TabRFR[Recherche RFR]),"Data RFR manquantes", IF(X261&lt;=INDEX(TabRFR[[2021]:[2025]],MATCH(BD!W261&amp;"-Très modestes",TabRFR[Recherche RFR],0),MATCH(TEXT(YEAR(BD!D261),"Standard"),TabRFR[[#Headers],[2021]:[2025]],0)),"Très Modeste",IF(X261&lt;=INDEX(TabRFR[[2021]:[2025]],MATCH(BD!W261&amp;"-modestes",TabRFR[Recherche RFR],0),MATCH(TEXT(YEAR(BD!D261),"Standard"),TabRFR[[#Headers],[2021]:[2025]],0)),"Modeste",IF(X261&lt;=INDEX(TabRFR[[2021]:[2025]],MATCH(BD!W261&amp;"-Intermédiaire",TabRFR[Recherche RFR],0),MATCH(TEXT(YEAR(BD!D261),"Standard"),TabRFR[[#Headers],[2021]:[2025]],0)),"Intermédiaire","Supérieur")))))),IF(D261="","",IF(W261+X261&lt;15,"Données Nb pers ou RFR manquantes",IF(COUNTA(INDIRECT("TabRFR["&amp;YEAR(I261)&amp;"]"))&lt;&gt;COUNTA(TabRFR[Recherche RFR]),"Data RFR manquantes", IF(X261&lt;=INDEX(TabRFR[[2021]:[2025]],MATCH(BD!W261&amp;"-Très modestes",TabRFR[Recherche RFR],0),MATCH(TEXT(YEAR(BD!I261),"Standard"),TabRFR[[#Headers],[2021]:[2025]],0)),"Très Modeste",IF(X261&lt;=INDEX(TabRFR[[2021]:[2025]],MATCH(BD!W261&amp;"-modestes",TabRFR[Recherche RFR],0),MATCH(TEXT(YEAR(BD!I261),"Standard"),TabRFR[[#Headers],[2021]:[2025]],0)),"Modeste",IF(X261&lt;=INDEX(TabRFR[[2021]:[2025]],MATCH(BD!W261&amp;"-Intermédiaire",TabRFR[Recherche RFR],0),MATCH(TEXT(YEAR(BD!I261),"Standard"),TabRFR[[#Headers],[2021]:[2025]],0)),"Intermédiaire","Supérieur")))))))</f>
        <v>Data RFR manquantes</v>
      </c>
      <c r="Z261" s="75"/>
      <c r="AA261" s="75" t="s">
        <v>349</v>
      </c>
      <c r="AB261" s="75">
        <v>38620</v>
      </c>
      <c r="AC261" s="75" t="s">
        <v>857</v>
      </c>
      <c r="AD261" s="73"/>
      <c r="AE261" s="102"/>
      <c r="AF261" s="75" t="s">
        <v>95</v>
      </c>
      <c r="AG261" s="75"/>
      <c r="AH261" s="75"/>
      <c r="AI261" s="75"/>
      <c r="AJ261" s="75"/>
      <c r="AK261" s="75"/>
      <c r="AL261" s="75"/>
      <c r="AM261" s="75" t="s">
        <v>4356</v>
      </c>
      <c r="AN261" s="75" t="s">
        <v>96</v>
      </c>
      <c r="AO261" s="75" t="s">
        <v>119</v>
      </c>
      <c r="AP261" s="75" t="s">
        <v>97</v>
      </c>
      <c r="AQ261" s="75"/>
      <c r="AR261" s="75">
        <v>43042</v>
      </c>
      <c r="AS261" s="102" t="s">
        <v>120</v>
      </c>
      <c r="AT261" s="101">
        <v>476071461</v>
      </c>
      <c r="AU261" s="75" t="s">
        <v>99</v>
      </c>
      <c r="AV261" s="75">
        <v>1970</v>
      </c>
      <c r="AW261" s="75" t="s">
        <v>100</v>
      </c>
      <c r="AX261" s="75" t="s">
        <v>112</v>
      </c>
      <c r="AY261" s="75" t="s">
        <v>121</v>
      </c>
      <c r="AZ261" s="75" t="s">
        <v>1011</v>
      </c>
      <c r="BA261" s="75">
        <v>34</v>
      </c>
      <c r="BB261" s="75">
        <v>7</v>
      </c>
      <c r="BC261" s="75">
        <v>80</v>
      </c>
      <c r="BD261" s="75">
        <v>0.08</v>
      </c>
      <c r="BE261" s="75" t="s">
        <v>97</v>
      </c>
      <c r="BF261" s="75"/>
      <c r="BG261" s="75">
        <v>2245.62</v>
      </c>
      <c r="BH261" s="75"/>
      <c r="BI261" s="75"/>
      <c r="BJ261" s="75"/>
      <c r="BK261" s="75">
        <v>420</v>
      </c>
      <c r="BL261" s="75">
        <f t="shared" si="9"/>
        <v>2665.62</v>
      </c>
      <c r="BM261" s="103">
        <f t="shared" si="10"/>
        <v>146.60909999999998</v>
      </c>
      <c r="BN261" s="103">
        <f t="shared" si="11"/>
        <v>2812.2291</v>
      </c>
      <c r="BO261" s="103">
        <v>3000</v>
      </c>
      <c r="BP261" s="75" t="s">
        <v>97</v>
      </c>
      <c r="BQ261" s="74">
        <v>43420</v>
      </c>
      <c r="BR261" s="75"/>
      <c r="BS261" s="157">
        <v>2017</v>
      </c>
      <c r="BT261">
        <v>2020</v>
      </c>
      <c r="BU261">
        <v>2017</v>
      </c>
    </row>
    <row r="262" spans="1:73" ht="43.15" customHeight="1" x14ac:dyDescent="0.25">
      <c r="A262" s="242" t="s">
        <v>186</v>
      </c>
      <c r="B262" s="242" t="s">
        <v>1010</v>
      </c>
      <c r="C262" s="159">
        <v>400</v>
      </c>
      <c r="D262" s="114">
        <v>43013</v>
      </c>
      <c r="E262" s="114"/>
      <c r="F262" s="114"/>
      <c r="G262" s="114" t="s">
        <v>1009</v>
      </c>
      <c r="H262" s="114">
        <v>43033</v>
      </c>
      <c r="I262" s="114">
        <v>43033</v>
      </c>
      <c r="J262" s="114">
        <v>43049</v>
      </c>
      <c r="K262" s="114"/>
      <c r="L262" s="114">
        <v>43129</v>
      </c>
      <c r="M262" s="114">
        <v>43419</v>
      </c>
      <c r="N262" s="114"/>
      <c r="O262" s="114">
        <v>43147</v>
      </c>
      <c r="P262" s="114">
        <v>43147</v>
      </c>
      <c r="Q262" s="114">
        <v>43200</v>
      </c>
      <c r="R262" s="80"/>
      <c r="S262" s="114"/>
      <c r="T262" s="75"/>
      <c r="U262" s="75"/>
      <c r="V262" s="75"/>
      <c r="W262" s="75">
        <v>1</v>
      </c>
      <c r="X262" s="75">
        <v>29997</v>
      </c>
      <c r="Y262" s="75" t="str">
        <f ca="1">IF(I262="",IF(D262="","",IF(W262+X262&lt;15,"Données Nb pers ou RFR manquantes",IF(COUNTA(INDIRECT("TabRFR["&amp;YEAR(D262)&amp;"]"))&lt;&gt;COUNTA(TabRFR[Recherche RFR]),"Data RFR manquantes", IF(X262&lt;=INDEX(TabRFR[[2021]:[2025]],MATCH(BD!W262&amp;"-Très modestes",TabRFR[Recherche RFR],0),MATCH(TEXT(YEAR(BD!D262),"Standard"),TabRFR[[#Headers],[2021]:[2025]],0)),"Très Modeste",IF(X262&lt;=INDEX(TabRFR[[2021]:[2025]],MATCH(BD!W262&amp;"-modestes",TabRFR[Recherche RFR],0),MATCH(TEXT(YEAR(BD!D262),"Standard"),TabRFR[[#Headers],[2021]:[2025]],0)),"Modeste",IF(X262&lt;=INDEX(TabRFR[[2021]:[2025]],MATCH(BD!W262&amp;"-Intermédiaire",TabRFR[Recherche RFR],0),MATCH(TEXT(YEAR(BD!D262),"Standard"),TabRFR[[#Headers],[2021]:[2025]],0)),"Intermédiaire","Supérieur")))))),IF(D262="","",IF(W262+X262&lt;15,"Données Nb pers ou RFR manquantes",IF(COUNTA(INDIRECT("TabRFR["&amp;YEAR(I262)&amp;"]"))&lt;&gt;COUNTA(TabRFR[Recherche RFR]),"Data RFR manquantes", IF(X262&lt;=INDEX(TabRFR[[2021]:[2025]],MATCH(BD!W262&amp;"-Très modestes",TabRFR[Recherche RFR],0),MATCH(TEXT(YEAR(BD!I262),"Standard"),TabRFR[[#Headers],[2021]:[2025]],0)),"Très Modeste",IF(X262&lt;=INDEX(TabRFR[[2021]:[2025]],MATCH(BD!W262&amp;"-modestes",TabRFR[Recherche RFR],0),MATCH(TEXT(YEAR(BD!I262),"Standard"),TabRFR[[#Headers],[2021]:[2025]],0)),"Modeste",IF(X262&lt;=INDEX(TabRFR[[2021]:[2025]],MATCH(BD!W262&amp;"-Intermédiaire",TabRFR[Recherche RFR],0),MATCH(TEXT(YEAR(BD!I262),"Standard"),TabRFR[[#Headers],[2021]:[2025]],0)),"Intermédiaire","Supérieur")))))))</f>
        <v>Data RFR manquantes</v>
      </c>
      <c r="Z262" s="75"/>
      <c r="AA262" s="75" t="s">
        <v>1007</v>
      </c>
      <c r="AB262" s="75">
        <v>38340</v>
      </c>
      <c r="AC262" s="75" t="s">
        <v>3129</v>
      </c>
      <c r="AD262" s="73"/>
      <c r="AE262" s="102"/>
      <c r="AF262" s="75" t="s">
        <v>95</v>
      </c>
      <c r="AG262" s="75"/>
      <c r="AH262" s="75"/>
      <c r="AI262" s="75"/>
      <c r="AJ262" s="75"/>
      <c r="AK262" s="75"/>
      <c r="AL262" s="75"/>
      <c r="AM262" s="75" t="s">
        <v>218</v>
      </c>
      <c r="AN262" s="75" t="s">
        <v>217</v>
      </c>
      <c r="AO262" s="75" t="s">
        <v>219</v>
      </c>
      <c r="AP262" s="75" t="s">
        <v>97</v>
      </c>
      <c r="AQ262" s="75"/>
      <c r="AR262" s="131">
        <v>43034</v>
      </c>
      <c r="AS262" s="102" t="s">
        <v>1004</v>
      </c>
      <c r="AT262" s="101">
        <v>476355605</v>
      </c>
      <c r="AU262" s="75" t="s">
        <v>100</v>
      </c>
      <c r="AV262" s="75">
        <v>1997</v>
      </c>
      <c r="AW262" s="75" t="s">
        <v>100</v>
      </c>
      <c r="AX262" s="75" t="s">
        <v>2071</v>
      </c>
      <c r="AY262" s="75" t="s">
        <v>121</v>
      </c>
      <c r="AZ262" s="75" t="s">
        <v>580</v>
      </c>
      <c r="BA262" s="75">
        <v>8</v>
      </c>
      <c r="BB262" s="75">
        <v>8.1999999999999993</v>
      </c>
      <c r="BC262" s="75">
        <v>87.7</v>
      </c>
      <c r="BD262" s="75">
        <v>0.01</v>
      </c>
      <c r="BE262" s="75" t="s">
        <v>97</v>
      </c>
      <c r="BF262" s="75"/>
      <c r="BG262" s="75">
        <v>3048.06</v>
      </c>
      <c r="BH262" s="75"/>
      <c r="BI262" s="75"/>
      <c r="BJ262" s="75"/>
      <c r="BK262" s="75">
        <v>974.09</v>
      </c>
      <c r="BL262" s="75">
        <f t="shared" ref="BL262:BL325" si="12">BG262+BK262</f>
        <v>4022.15</v>
      </c>
      <c r="BM262" s="103">
        <f t="shared" ref="BM262:BM325" si="13">BL262*0.055</f>
        <v>221.21825000000001</v>
      </c>
      <c r="BN262" s="103">
        <f t="shared" ref="BN262:BN325" si="14">BL262+BM262</f>
        <v>4243.3682500000004</v>
      </c>
      <c r="BO262" s="103">
        <f>1436+2807.37</f>
        <v>4243.37</v>
      </c>
      <c r="BP262" s="75" t="s">
        <v>97</v>
      </c>
      <c r="BQ262" s="75"/>
      <c r="BR262" s="75"/>
      <c r="BS262" s="157">
        <v>2017</v>
      </c>
      <c r="BU262">
        <v>2017</v>
      </c>
    </row>
    <row r="263" spans="1:73" ht="43.15" customHeight="1" x14ac:dyDescent="0.25">
      <c r="A263" s="242" t="s">
        <v>186</v>
      </c>
      <c r="B263" s="242" t="s">
        <v>1003</v>
      </c>
      <c r="C263" s="159">
        <v>800</v>
      </c>
      <c r="D263" s="114">
        <v>43013</v>
      </c>
      <c r="E263" s="114"/>
      <c r="F263" s="114"/>
      <c r="G263" s="114"/>
      <c r="H263" s="114">
        <v>43026</v>
      </c>
      <c r="I263" s="114">
        <v>43026</v>
      </c>
      <c r="J263" s="114">
        <v>43032</v>
      </c>
      <c r="K263" s="114"/>
      <c r="L263" s="114">
        <v>43061</v>
      </c>
      <c r="M263" s="114">
        <v>43049</v>
      </c>
      <c r="N263" s="114"/>
      <c r="O263" s="114">
        <v>43061</v>
      </c>
      <c r="P263" s="114">
        <v>43061</v>
      </c>
      <c r="Q263" s="114">
        <v>43077</v>
      </c>
      <c r="R263" s="100"/>
      <c r="S263" s="114"/>
      <c r="T263" s="75"/>
      <c r="U263" s="75"/>
      <c r="V263" s="75"/>
      <c r="W263" s="75">
        <v>2</v>
      </c>
      <c r="X263" s="75">
        <v>25146</v>
      </c>
      <c r="Y263" s="75" t="str">
        <f ca="1">IF(I263="",IF(D263="","",IF(W263+X263&lt;15,"Données Nb pers ou RFR manquantes",IF(COUNTA(INDIRECT("TabRFR["&amp;YEAR(D263)&amp;"]"))&lt;&gt;COUNTA(TabRFR[Recherche RFR]),"Data RFR manquantes", IF(X263&lt;=INDEX(TabRFR[[2021]:[2025]],MATCH(BD!W263&amp;"-Très modestes",TabRFR[Recherche RFR],0),MATCH(TEXT(YEAR(BD!D263),"Standard"),TabRFR[[#Headers],[2021]:[2025]],0)),"Très Modeste",IF(X263&lt;=INDEX(TabRFR[[2021]:[2025]],MATCH(BD!W263&amp;"-modestes",TabRFR[Recherche RFR],0),MATCH(TEXT(YEAR(BD!D263),"Standard"),TabRFR[[#Headers],[2021]:[2025]],0)),"Modeste",IF(X263&lt;=INDEX(TabRFR[[2021]:[2025]],MATCH(BD!W263&amp;"-Intermédiaire",TabRFR[Recherche RFR],0),MATCH(TEXT(YEAR(BD!D263),"Standard"),TabRFR[[#Headers],[2021]:[2025]],0)),"Intermédiaire","Supérieur")))))),IF(D263="","",IF(W263+X263&lt;15,"Données Nb pers ou RFR manquantes",IF(COUNTA(INDIRECT("TabRFR["&amp;YEAR(I263)&amp;"]"))&lt;&gt;COUNTA(TabRFR[Recherche RFR]),"Data RFR manquantes", IF(X263&lt;=INDEX(TabRFR[[2021]:[2025]],MATCH(BD!W263&amp;"-Très modestes",TabRFR[Recherche RFR],0),MATCH(TEXT(YEAR(BD!I263),"Standard"),TabRFR[[#Headers],[2021]:[2025]],0)),"Très Modeste",IF(X263&lt;=INDEX(TabRFR[[2021]:[2025]],MATCH(BD!W263&amp;"-modestes",TabRFR[Recherche RFR],0),MATCH(TEXT(YEAR(BD!I263),"Standard"),TabRFR[[#Headers],[2021]:[2025]],0)),"Modeste",IF(X263&lt;=INDEX(TabRFR[[2021]:[2025]],MATCH(BD!W263&amp;"-Intermédiaire",TabRFR[Recherche RFR],0),MATCH(TEXT(YEAR(BD!I263),"Standard"),TabRFR[[#Headers],[2021]:[2025]],0)),"Intermédiaire","Supérieur")))))))</f>
        <v>Data RFR manquantes</v>
      </c>
      <c r="Z263" s="75"/>
      <c r="AA263" s="75" t="s">
        <v>1000</v>
      </c>
      <c r="AB263" s="75">
        <v>38400</v>
      </c>
      <c r="AC263" s="75" t="s">
        <v>108</v>
      </c>
      <c r="AD263" s="73"/>
      <c r="AE263" s="102"/>
      <c r="AF263" s="75" t="s">
        <v>95</v>
      </c>
      <c r="AG263" s="75"/>
      <c r="AH263" s="75"/>
      <c r="AI263" s="75"/>
      <c r="AJ263" s="75"/>
      <c r="AK263" s="75"/>
      <c r="AL263" s="75"/>
      <c r="AM263" s="75" t="s">
        <v>3973</v>
      </c>
      <c r="AN263" s="75" t="s">
        <v>96</v>
      </c>
      <c r="AO263" s="75" t="s">
        <v>998</v>
      </c>
      <c r="AP263" s="75" t="s">
        <v>97</v>
      </c>
      <c r="AQ263" s="75"/>
      <c r="AR263" s="75">
        <v>43361</v>
      </c>
      <c r="AS263" s="102" t="s">
        <v>141</v>
      </c>
      <c r="AT263" s="101">
        <v>476069938</v>
      </c>
      <c r="AU263" s="75" t="s">
        <v>111</v>
      </c>
      <c r="AV263" s="75">
        <v>1985</v>
      </c>
      <c r="AW263" s="75" t="s">
        <v>100</v>
      </c>
      <c r="AX263" s="75" t="s">
        <v>112</v>
      </c>
      <c r="AY263" s="75" t="s">
        <v>144</v>
      </c>
      <c r="AZ263" s="75" t="s">
        <v>997</v>
      </c>
      <c r="BA263" s="75">
        <v>39</v>
      </c>
      <c r="BB263" s="75">
        <v>5.9</v>
      </c>
      <c r="BC263" s="75">
        <v>80.2</v>
      </c>
      <c r="BD263" s="75">
        <v>7.0000000000000007E-2</v>
      </c>
      <c r="BE263" s="75" t="s">
        <v>97</v>
      </c>
      <c r="BF263" s="75"/>
      <c r="BG263" s="75">
        <v>3300</v>
      </c>
      <c r="BH263" s="75"/>
      <c r="BI263" s="75"/>
      <c r="BJ263" s="75"/>
      <c r="BK263" s="75">
        <v>680</v>
      </c>
      <c r="BL263" s="75">
        <f t="shared" si="12"/>
        <v>3980</v>
      </c>
      <c r="BM263" s="103">
        <f t="shared" si="13"/>
        <v>218.9</v>
      </c>
      <c r="BN263" s="103">
        <f t="shared" si="14"/>
        <v>4198.8999999999996</v>
      </c>
      <c r="BO263" s="103"/>
      <c r="BP263" s="75" t="s">
        <v>97</v>
      </c>
      <c r="BQ263" s="74">
        <v>43420</v>
      </c>
      <c r="BR263" s="75"/>
      <c r="BS263" s="157">
        <v>2017</v>
      </c>
      <c r="BT263">
        <v>2020</v>
      </c>
      <c r="BU263">
        <v>2017</v>
      </c>
    </row>
    <row r="264" spans="1:73" ht="43.15" customHeight="1" x14ac:dyDescent="0.25">
      <c r="A264" s="242" t="s">
        <v>186</v>
      </c>
      <c r="B264" s="242" t="s">
        <v>996</v>
      </c>
      <c r="C264" s="159">
        <v>800</v>
      </c>
      <c r="D264" s="114">
        <v>43014</v>
      </c>
      <c r="E264" s="114"/>
      <c r="F264" s="114"/>
      <c r="G264" s="114"/>
      <c r="H264" s="114">
        <v>43026</v>
      </c>
      <c r="I264" s="114">
        <v>43026</v>
      </c>
      <c r="J264" s="114">
        <v>43032</v>
      </c>
      <c r="K264" s="114"/>
      <c r="L264" s="114" t="s">
        <v>995</v>
      </c>
      <c r="M264" s="114">
        <v>43034</v>
      </c>
      <c r="N264" s="114" t="s">
        <v>151</v>
      </c>
      <c r="O264" s="114">
        <v>43061</v>
      </c>
      <c r="P264" s="114">
        <v>43061</v>
      </c>
      <c r="Q264" s="114">
        <v>43077</v>
      </c>
      <c r="R264" s="100"/>
      <c r="S264" s="114"/>
      <c r="T264" s="75"/>
      <c r="U264" s="75"/>
      <c r="V264" s="75"/>
      <c r="W264" s="75">
        <v>1</v>
      </c>
      <c r="X264" s="75">
        <f>8822+9694</f>
        <v>18516</v>
      </c>
      <c r="Y264" s="75" t="str">
        <f ca="1">IF(I264="",IF(D264="","",IF(W264+X264&lt;15,"Données Nb pers ou RFR manquantes",IF(COUNTA(INDIRECT("TabRFR["&amp;YEAR(D264)&amp;"]"))&lt;&gt;COUNTA(TabRFR[Recherche RFR]),"Data RFR manquantes", IF(X264&lt;=INDEX(TabRFR[[2021]:[2025]],MATCH(BD!W264&amp;"-Très modestes",TabRFR[Recherche RFR],0),MATCH(TEXT(YEAR(BD!D264),"Standard"),TabRFR[[#Headers],[2021]:[2025]],0)),"Très Modeste",IF(X264&lt;=INDEX(TabRFR[[2021]:[2025]],MATCH(BD!W264&amp;"-modestes",TabRFR[Recherche RFR],0),MATCH(TEXT(YEAR(BD!D264),"Standard"),TabRFR[[#Headers],[2021]:[2025]],0)),"Modeste",IF(X264&lt;=INDEX(TabRFR[[2021]:[2025]],MATCH(BD!W264&amp;"-Intermédiaire",TabRFR[Recherche RFR],0),MATCH(TEXT(YEAR(BD!D264),"Standard"),TabRFR[[#Headers],[2021]:[2025]],0)),"Intermédiaire","Supérieur")))))),IF(D264="","",IF(W264+X264&lt;15,"Données Nb pers ou RFR manquantes",IF(COUNTA(INDIRECT("TabRFR["&amp;YEAR(I264)&amp;"]"))&lt;&gt;COUNTA(TabRFR[Recherche RFR]),"Data RFR manquantes", IF(X264&lt;=INDEX(TabRFR[[2021]:[2025]],MATCH(BD!W264&amp;"-Très modestes",TabRFR[Recherche RFR],0),MATCH(TEXT(YEAR(BD!I264),"Standard"),TabRFR[[#Headers],[2021]:[2025]],0)),"Très Modeste",IF(X264&lt;=INDEX(TabRFR[[2021]:[2025]],MATCH(BD!W264&amp;"-modestes",TabRFR[Recherche RFR],0),MATCH(TEXT(YEAR(BD!I264),"Standard"),TabRFR[[#Headers],[2021]:[2025]],0)),"Modeste",IF(X264&lt;=INDEX(TabRFR[[2021]:[2025]],MATCH(BD!W264&amp;"-Intermédiaire",TabRFR[Recherche RFR],0),MATCH(TEXT(YEAR(BD!I264),"Standard"),TabRFR[[#Headers],[2021]:[2025]],0)),"Intermédiaire","Supérieur")))))))</f>
        <v>Data RFR manquantes</v>
      </c>
      <c r="Z264" s="75"/>
      <c r="AA264" s="75" t="s">
        <v>993</v>
      </c>
      <c r="AB264" s="75">
        <v>38960</v>
      </c>
      <c r="AC264" s="75" t="s">
        <v>2378</v>
      </c>
      <c r="AD264" s="73"/>
      <c r="AE264" s="102"/>
      <c r="AF264" s="75"/>
      <c r="AG264" s="75"/>
      <c r="AH264" s="75"/>
      <c r="AI264" s="75"/>
      <c r="AJ264" s="75"/>
      <c r="AK264" s="75"/>
      <c r="AL264" s="75"/>
      <c r="AM264" s="75" t="s">
        <v>4356</v>
      </c>
      <c r="AN264" s="75" t="s">
        <v>96</v>
      </c>
      <c r="AO264" s="75" t="s">
        <v>119</v>
      </c>
      <c r="AP264" s="75" t="s">
        <v>97</v>
      </c>
      <c r="AQ264" s="75"/>
      <c r="AR264" s="75">
        <v>43042</v>
      </c>
      <c r="AS264" s="102" t="s">
        <v>120</v>
      </c>
      <c r="AT264" s="101">
        <v>476071461</v>
      </c>
      <c r="AU264" s="75" t="s">
        <v>100</v>
      </c>
      <c r="AV264" s="75">
        <v>1999</v>
      </c>
      <c r="AW264" s="75" t="s">
        <v>100</v>
      </c>
      <c r="AX264" s="75" t="s">
        <v>2071</v>
      </c>
      <c r="AY264" s="75" t="s">
        <v>102</v>
      </c>
      <c r="AZ264" s="75" t="s">
        <v>103</v>
      </c>
      <c r="BA264" s="75">
        <v>17</v>
      </c>
      <c r="BB264" s="75">
        <v>10.1</v>
      </c>
      <c r="BC264" s="75">
        <v>90</v>
      </c>
      <c r="BD264" s="75">
        <v>0.02</v>
      </c>
      <c r="BE264" s="75" t="s">
        <v>97</v>
      </c>
      <c r="BF264" s="75"/>
      <c r="BG264" s="75">
        <v>3140.73</v>
      </c>
      <c r="BH264" s="75"/>
      <c r="BI264" s="75"/>
      <c r="BJ264" s="75"/>
      <c r="BK264" s="75">
        <v>350</v>
      </c>
      <c r="BL264" s="75">
        <f t="shared" si="12"/>
        <v>3490.73</v>
      </c>
      <c r="BM264" s="103">
        <f t="shared" si="13"/>
        <v>191.99015</v>
      </c>
      <c r="BN264" s="103">
        <f t="shared" si="14"/>
        <v>3682.7201500000001</v>
      </c>
      <c r="BO264" s="103">
        <v>4119.43</v>
      </c>
      <c r="BP264" s="75" t="s">
        <v>97</v>
      </c>
      <c r="BQ264" s="75"/>
      <c r="BR264" s="75"/>
      <c r="BS264" s="157">
        <v>2017</v>
      </c>
      <c r="BU264">
        <v>2017</v>
      </c>
    </row>
    <row r="265" spans="1:73" ht="43.15" customHeight="1" x14ac:dyDescent="0.25">
      <c r="A265" s="242" t="s">
        <v>90</v>
      </c>
      <c r="B265" s="242" t="s">
        <v>992</v>
      </c>
      <c r="C265" s="159">
        <v>400</v>
      </c>
      <c r="D265" s="114">
        <v>43018</v>
      </c>
      <c r="E265" s="114"/>
      <c r="F265" s="114"/>
      <c r="G265" s="114"/>
      <c r="H265" s="114">
        <v>43033</v>
      </c>
      <c r="I265" s="114">
        <v>43033</v>
      </c>
      <c r="J265" s="114">
        <v>43049</v>
      </c>
      <c r="K265" s="114"/>
      <c r="L265" s="114">
        <v>43067</v>
      </c>
      <c r="M265" s="114">
        <v>43059</v>
      </c>
      <c r="N265" s="114"/>
      <c r="O265" s="114">
        <v>43074</v>
      </c>
      <c r="P265" s="114">
        <v>43074</v>
      </c>
      <c r="Q265" s="114">
        <v>43077</v>
      </c>
      <c r="R265" s="80"/>
      <c r="S265" s="114"/>
      <c r="T265" s="75"/>
      <c r="U265" s="75"/>
      <c r="V265" s="75"/>
      <c r="W265" s="75">
        <v>2</v>
      </c>
      <c r="X265" s="75">
        <v>31707</v>
      </c>
      <c r="Y265" s="75" t="str">
        <f ca="1">IF(I265="",IF(D265="","",IF(W265+X265&lt;15,"Données Nb pers ou RFR manquantes",IF(COUNTA(INDIRECT("TabRFR["&amp;YEAR(D265)&amp;"]"))&lt;&gt;COUNTA(TabRFR[Recherche RFR]),"Data RFR manquantes", IF(X265&lt;=INDEX(TabRFR[[2021]:[2025]],MATCH(BD!W265&amp;"-Très modestes",TabRFR[Recherche RFR],0),MATCH(TEXT(YEAR(BD!D265),"Standard"),TabRFR[[#Headers],[2021]:[2025]],0)),"Très Modeste",IF(X265&lt;=INDEX(TabRFR[[2021]:[2025]],MATCH(BD!W265&amp;"-modestes",TabRFR[Recherche RFR],0),MATCH(TEXT(YEAR(BD!D265),"Standard"),TabRFR[[#Headers],[2021]:[2025]],0)),"Modeste",IF(X265&lt;=INDEX(TabRFR[[2021]:[2025]],MATCH(BD!W265&amp;"-Intermédiaire",TabRFR[Recherche RFR],0),MATCH(TEXT(YEAR(BD!D265),"Standard"),TabRFR[[#Headers],[2021]:[2025]],0)),"Intermédiaire","Supérieur")))))),IF(D265="","",IF(W265+X265&lt;15,"Données Nb pers ou RFR manquantes",IF(COUNTA(INDIRECT("TabRFR["&amp;YEAR(I265)&amp;"]"))&lt;&gt;COUNTA(TabRFR[Recherche RFR]),"Data RFR manquantes", IF(X265&lt;=INDEX(TabRFR[[2021]:[2025]],MATCH(BD!W265&amp;"-Très modestes",TabRFR[Recherche RFR],0),MATCH(TEXT(YEAR(BD!I265),"Standard"),TabRFR[[#Headers],[2021]:[2025]],0)),"Très Modeste",IF(X265&lt;=INDEX(TabRFR[[2021]:[2025]],MATCH(BD!W265&amp;"-modestes",TabRFR[Recherche RFR],0),MATCH(TEXT(YEAR(BD!I265),"Standard"),TabRFR[[#Headers],[2021]:[2025]],0)),"Modeste",IF(X265&lt;=INDEX(TabRFR[[2021]:[2025]],MATCH(BD!W265&amp;"-Intermédiaire",TabRFR[Recherche RFR],0),MATCH(TEXT(YEAR(BD!I265),"Standard"),TabRFR[[#Headers],[2021]:[2025]],0)),"Intermédiaire","Supérieur")))))))</f>
        <v>Data RFR manquantes</v>
      </c>
      <c r="Z265" s="75"/>
      <c r="AA265" s="75" t="s">
        <v>990</v>
      </c>
      <c r="AB265" s="75">
        <v>38850</v>
      </c>
      <c r="AC265" s="75" t="s">
        <v>4304</v>
      </c>
      <c r="AD265" s="73"/>
      <c r="AE265" s="102"/>
      <c r="AF265" s="75" t="s">
        <v>95</v>
      </c>
      <c r="AG265" s="75"/>
      <c r="AH265" s="75"/>
      <c r="AI265" s="75"/>
      <c r="AJ265" s="75"/>
      <c r="AK265" s="75"/>
      <c r="AL265" s="75"/>
      <c r="AM265" s="75" t="s">
        <v>4385</v>
      </c>
      <c r="AN265" s="75" t="s">
        <v>170</v>
      </c>
      <c r="AO265" s="75" t="s">
        <v>988</v>
      </c>
      <c r="AP265" s="75" t="s">
        <v>97</v>
      </c>
      <c r="AQ265" s="75"/>
      <c r="AR265" s="75">
        <v>43053</v>
      </c>
      <c r="AS265" s="102" t="s">
        <v>171</v>
      </c>
      <c r="AT265" s="101">
        <v>983486751</v>
      </c>
      <c r="AU265" s="75" t="s">
        <v>111</v>
      </c>
      <c r="AV265" s="75">
        <v>1995</v>
      </c>
      <c r="AW265" s="75" t="s">
        <v>100</v>
      </c>
      <c r="AX265" s="75" t="s">
        <v>112</v>
      </c>
      <c r="AY265" s="75" t="s">
        <v>174</v>
      </c>
      <c r="AZ265" s="75" t="s">
        <v>175</v>
      </c>
      <c r="BA265" s="75">
        <v>40</v>
      </c>
      <c r="BB265" s="75">
        <v>6</v>
      </c>
      <c r="BC265" s="75">
        <v>85</v>
      </c>
      <c r="BD265" s="75">
        <v>0.1</v>
      </c>
      <c r="BE265" s="75" t="s">
        <v>97</v>
      </c>
      <c r="BF265" s="75"/>
      <c r="BG265" s="75">
        <v>2420</v>
      </c>
      <c r="BH265" s="75"/>
      <c r="BI265" s="75"/>
      <c r="BJ265" s="75"/>
      <c r="BK265" s="75">
        <f>3504.48-2420</f>
        <v>1084.48</v>
      </c>
      <c r="BL265" s="75">
        <f t="shared" si="12"/>
        <v>3504.48</v>
      </c>
      <c r="BM265" s="103">
        <f t="shared" si="13"/>
        <v>192.74639999999999</v>
      </c>
      <c r="BN265" s="103">
        <f t="shared" si="14"/>
        <v>3697.2264</v>
      </c>
      <c r="BO265" s="103"/>
      <c r="BP265" s="75" t="s">
        <v>97</v>
      </c>
      <c r="BQ265" s="74">
        <v>43420</v>
      </c>
      <c r="BR265" s="75"/>
      <c r="BS265" s="157">
        <v>2017</v>
      </c>
      <c r="BT265">
        <v>2020</v>
      </c>
      <c r="BU265">
        <v>2017</v>
      </c>
    </row>
    <row r="266" spans="1:73" ht="43.15" customHeight="1" x14ac:dyDescent="0.25">
      <c r="A266" s="29" t="s">
        <v>90</v>
      </c>
      <c r="B266" s="29" t="s">
        <v>987</v>
      </c>
      <c r="C266" s="161" t="s">
        <v>9</v>
      </c>
      <c r="D266" s="110">
        <v>43018</v>
      </c>
      <c r="E266" s="110"/>
      <c r="F266" s="110"/>
      <c r="G266" s="110"/>
      <c r="H266" s="110"/>
      <c r="I266" s="110"/>
      <c r="J266" s="110"/>
      <c r="K266" s="110"/>
      <c r="L266" s="110"/>
      <c r="M266" s="110"/>
      <c r="N266" s="110"/>
      <c r="O266" s="110"/>
      <c r="P266" s="110"/>
      <c r="Q266" s="110"/>
      <c r="R266" s="109"/>
      <c r="S266" s="110">
        <v>43032</v>
      </c>
      <c r="T266" s="111" t="s">
        <v>986</v>
      </c>
      <c r="U266" s="111"/>
      <c r="V266" s="111"/>
      <c r="W266" s="111">
        <v>3</v>
      </c>
      <c r="X266" s="111">
        <v>19406</v>
      </c>
      <c r="Y266" s="75" t="str">
        <f ca="1">IF(I266="",IF(D266="","",IF(W266+X266&lt;15,"Données Nb pers ou RFR manquantes",IF(COUNTA(INDIRECT("TabRFR["&amp;YEAR(D266)&amp;"]"))&lt;&gt;COUNTA(TabRFR[Recherche RFR]),"Data RFR manquantes", IF(X266&lt;=INDEX(TabRFR[[2021]:[2025]],MATCH(BD!W266&amp;"-Très modestes",TabRFR[Recherche RFR],0),MATCH(TEXT(YEAR(BD!D266),"Standard"),TabRFR[[#Headers],[2021]:[2025]],0)),"Très Modeste",IF(X266&lt;=INDEX(TabRFR[[2021]:[2025]],MATCH(BD!W266&amp;"-modestes",TabRFR[Recherche RFR],0),MATCH(TEXT(YEAR(BD!D266),"Standard"),TabRFR[[#Headers],[2021]:[2025]],0)),"Modeste",IF(X266&lt;=INDEX(TabRFR[[2021]:[2025]],MATCH(BD!W266&amp;"-Intermédiaire",TabRFR[Recherche RFR],0),MATCH(TEXT(YEAR(BD!D266),"Standard"),TabRFR[[#Headers],[2021]:[2025]],0)),"Intermédiaire","Supérieur")))))),IF(D266="","",IF(W266+X266&lt;15,"Données Nb pers ou RFR manquantes",IF(COUNTA(INDIRECT("TabRFR["&amp;YEAR(I266)&amp;"]"))&lt;&gt;COUNTA(TabRFR[Recherche RFR]),"Data RFR manquantes", IF(X266&lt;=INDEX(TabRFR[[2021]:[2025]],MATCH(BD!W266&amp;"-Très modestes",TabRFR[Recherche RFR],0),MATCH(TEXT(YEAR(BD!I266),"Standard"),TabRFR[[#Headers],[2021]:[2025]],0)),"Très Modeste",IF(X266&lt;=INDEX(TabRFR[[2021]:[2025]],MATCH(BD!W266&amp;"-modestes",TabRFR[Recherche RFR],0),MATCH(TEXT(YEAR(BD!I266),"Standard"),TabRFR[[#Headers],[2021]:[2025]],0)),"Modeste",IF(X266&lt;=INDEX(TabRFR[[2021]:[2025]],MATCH(BD!W266&amp;"-Intermédiaire",TabRFR[Recherche RFR],0),MATCH(TEXT(YEAR(BD!I266),"Standard"),TabRFR[[#Headers],[2021]:[2025]],0)),"Intermédiaire","Supérieur")))))))</f>
        <v>Data RFR manquantes</v>
      </c>
      <c r="Z266" s="111"/>
      <c r="AA266" s="111" t="s">
        <v>985</v>
      </c>
      <c r="AB266" s="111">
        <v>38340</v>
      </c>
      <c r="AC266" s="111" t="s">
        <v>108</v>
      </c>
      <c r="AD266" s="127"/>
      <c r="AE266" s="102"/>
      <c r="AF266" s="111"/>
      <c r="AG266" s="111"/>
      <c r="AH266" s="111"/>
      <c r="AI266" s="111"/>
      <c r="AJ266" s="111"/>
      <c r="AK266" s="111"/>
      <c r="AL266" s="111"/>
      <c r="AM266" s="77" t="s">
        <v>4198</v>
      </c>
      <c r="AN266" s="111" t="s">
        <v>521</v>
      </c>
      <c r="AO266" s="111" t="s">
        <v>522</v>
      </c>
      <c r="AP266" s="111" t="s">
        <v>97</v>
      </c>
      <c r="AQ266" s="111"/>
      <c r="AR266" s="135"/>
      <c r="AS266" s="102"/>
      <c r="AT266" s="112">
        <v>476134004</v>
      </c>
      <c r="AU266" s="111" t="s">
        <v>99</v>
      </c>
      <c r="AV266" s="111"/>
      <c r="AW266" s="111" t="s">
        <v>100</v>
      </c>
      <c r="AX266" s="75" t="s">
        <v>2071</v>
      </c>
      <c r="AY266" s="111"/>
      <c r="AZ266" s="111"/>
      <c r="BA266" s="111"/>
      <c r="BB266" s="111"/>
      <c r="BC266" s="111"/>
      <c r="BD266" s="111"/>
      <c r="BE266" s="111"/>
      <c r="BF266" s="111"/>
      <c r="BG266" s="111" t="s">
        <v>464</v>
      </c>
      <c r="BH266" s="111"/>
      <c r="BI266" s="111"/>
      <c r="BJ266" s="111"/>
      <c r="BK266" s="111"/>
      <c r="BL266" s="75" t="e">
        <f t="shared" si="12"/>
        <v>#VALUE!</v>
      </c>
      <c r="BM266" s="103" t="e">
        <f t="shared" si="13"/>
        <v>#VALUE!</v>
      </c>
      <c r="BN266" s="103" t="e">
        <f t="shared" si="14"/>
        <v>#VALUE!</v>
      </c>
      <c r="BO266" s="113"/>
      <c r="BP266" s="111"/>
      <c r="BQ266" s="111"/>
      <c r="BR266" s="111"/>
      <c r="BS266" s="157">
        <v>2017</v>
      </c>
      <c r="BU266" t="s">
        <v>4180</v>
      </c>
    </row>
    <row r="267" spans="1:73" ht="43.15" customHeight="1" x14ac:dyDescent="0.25">
      <c r="A267" s="242" t="s">
        <v>90</v>
      </c>
      <c r="B267" s="242" t="s">
        <v>984</v>
      </c>
      <c r="C267" s="159">
        <v>400</v>
      </c>
      <c r="D267" s="114">
        <v>43019</v>
      </c>
      <c r="E267" s="114"/>
      <c r="F267" s="114"/>
      <c r="G267" s="114"/>
      <c r="H267" s="114">
        <v>43032</v>
      </c>
      <c r="I267" s="114">
        <v>43032</v>
      </c>
      <c r="J267" s="114">
        <v>43049</v>
      </c>
      <c r="K267" s="114"/>
      <c r="L267" s="114">
        <v>43082</v>
      </c>
      <c r="M267" s="114">
        <v>43055</v>
      </c>
      <c r="N267" s="114"/>
      <c r="O267" s="114">
        <v>43082</v>
      </c>
      <c r="P267" s="114">
        <v>43082</v>
      </c>
      <c r="Q267" s="114">
        <v>43084</v>
      </c>
      <c r="R267" s="80"/>
      <c r="S267" s="114"/>
      <c r="T267" s="75"/>
      <c r="U267" s="75"/>
      <c r="V267" s="75"/>
      <c r="W267" s="75">
        <v>5</v>
      </c>
      <c r="X267" s="75">
        <v>61724</v>
      </c>
      <c r="Y267" s="75" t="str">
        <f ca="1">IF(I267="",IF(D267="","",IF(W267+X267&lt;15,"Données Nb pers ou RFR manquantes",IF(COUNTA(INDIRECT("TabRFR["&amp;YEAR(D267)&amp;"]"))&lt;&gt;COUNTA(TabRFR[Recherche RFR]),"Data RFR manquantes", IF(X267&lt;=INDEX(TabRFR[[2021]:[2025]],MATCH(BD!W267&amp;"-Très modestes",TabRFR[Recherche RFR],0),MATCH(TEXT(YEAR(BD!D267),"Standard"),TabRFR[[#Headers],[2021]:[2025]],0)),"Très Modeste",IF(X267&lt;=INDEX(TabRFR[[2021]:[2025]],MATCH(BD!W267&amp;"-modestes",TabRFR[Recherche RFR],0),MATCH(TEXT(YEAR(BD!D267),"Standard"),TabRFR[[#Headers],[2021]:[2025]],0)),"Modeste",IF(X267&lt;=INDEX(TabRFR[[2021]:[2025]],MATCH(BD!W267&amp;"-Intermédiaire",TabRFR[Recherche RFR],0),MATCH(TEXT(YEAR(BD!D267),"Standard"),TabRFR[[#Headers],[2021]:[2025]],0)),"Intermédiaire","Supérieur")))))),IF(D267="","",IF(W267+X267&lt;15,"Données Nb pers ou RFR manquantes",IF(COUNTA(INDIRECT("TabRFR["&amp;YEAR(I267)&amp;"]"))&lt;&gt;COUNTA(TabRFR[Recherche RFR]),"Data RFR manquantes", IF(X267&lt;=INDEX(TabRFR[[2021]:[2025]],MATCH(BD!W267&amp;"-Très modestes",TabRFR[Recherche RFR],0),MATCH(TEXT(YEAR(BD!I267),"Standard"),TabRFR[[#Headers],[2021]:[2025]],0)),"Très Modeste",IF(X267&lt;=INDEX(TabRFR[[2021]:[2025]],MATCH(BD!W267&amp;"-modestes",TabRFR[Recherche RFR],0),MATCH(TEXT(YEAR(BD!I267),"Standard"),TabRFR[[#Headers],[2021]:[2025]],0)),"Modeste",IF(X267&lt;=INDEX(TabRFR[[2021]:[2025]],MATCH(BD!W267&amp;"-Intermédiaire",TabRFR[Recherche RFR],0),MATCH(TEXT(YEAR(BD!I267),"Standard"),TabRFR[[#Headers],[2021]:[2025]],0)),"Intermédiaire","Supérieur")))))))</f>
        <v>Data RFR manquantes</v>
      </c>
      <c r="Z267" s="75"/>
      <c r="AA267" s="75" t="s">
        <v>981</v>
      </c>
      <c r="AB267" s="75">
        <v>38210</v>
      </c>
      <c r="AC267" s="75" t="s">
        <v>195</v>
      </c>
      <c r="AD267" s="73"/>
      <c r="AE267" s="102"/>
      <c r="AF267" s="75" t="s">
        <v>95</v>
      </c>
      <c r="AG267" s="75"/>
      <c r="AH267" s="75"/>
      <c r="AI267" s="75"/>
      <c r="AJ267" s="75"/>
      <c r="AK267" s="75"/>
      <c r="AL267" s="75"/>
      <c r="AM267" s="75" t="s">
        <v>4359</v>
      </c>
      <c r="AN267" s="75" t="s">
        <v>829</v>
      </c>
      <c r="AO267" s="75" t="s">
        <v>464</v>
      </c>
      <c r="AP267" s="75" t="s">
        <v>97</v>
      </c>
      <c r="AQ267" s="75"/>
      <c r="AR267" s="75">
        <v>43387</v>
      </c>
      <c r="AS267" s="102" t="s">
        <v>491</v>
      </c>
      <c r="AT267" s="101">
        <v>476452433</v>
      </c>
      <c r="AU267" s="75" t="s">
        <v>111</v>
      </c>
      <c r="AV267" s="75">
        <v>1991</v>
      </c>
      <c r="AW267" s="75" t="s">
        <v>100</v>
      </c>
      <c r="AX267" s="75" t="s">
        <v>112</v>
      </c>
      <c r="AY267" s="75" t="s">
        <v>492</v>
      </c>
      <c r="AZ267" s="75" t="s">
        <v>979</v>
      </c>
      <c r="BA267" s="75">
        <v>16</v>
      </c>
      <c r="BB267" s="75">
        <v>6.4</v>
      </c>
      <c r="BC267" s="75">
        <v>81</v>
      </c>
      <c r="BD267" s="75">
        <v>0.08</v>
      </c>
      <c r="BE267" s="75" t="s">
        <v>97</v>
      </c>
      <c r="BF267" s="75"/>
      <c r="BG267" s="75">
        <v>4350</v>
      </c>
      <c r="BH267" s="75"/>
      <c r="BI267" s="75"/>
      <c r="BJ267" s="75"/>
      <c r="BK267" s="75">
        <v>710</v>
      </c>
      <c r="BL267" s="75">
        <f t="shared" si="12"/>
        <v>5060</v>
      </c>
      <c r="BM267" s="103">
        <f t="shared" si="13"/>
        <v>278.3</v>
      </c>
      <c r="BN267" s="103">
        <f t="shared" si="14"/>
        <v>5338.3</v>
      </c>
      <c r="BO267" s="103">
        <f>3536.54+1800</f>
        <v>5336.54</v>
      </c>
      <c r="BP267" s="75" t="s">
        <v>97</v>
      </c>
      <c r="BQ267" s="74">
        <v>43420</v>
      </c>
      <c r="BR267" s="75"/>
      <c r="BS267" s="157">
        <v>2017</v>
      </c>
      <c r="BT267">
        <v>2020</v>
      </c>
      <c r="BU267">
        <v>2017</v>
      </c>
    </row>
    <row r="268" spans="1:73" ht="43.15" customHeight="1" x14ac:dyDescent="0.25">
      <c r="A268" s="242" t="s">
        <v>90</v>
      </c>
      <c r="B268" s="242" t="s">
        <v>978</v>
      </c>
      <c r="C268" s="159">
        <v>800</v>
      </c>
      <c r="D268" s="114">
        <v>43020</v>
      </c>
      <c r="E268" s="114"/>
      <c r="F268" s="114"/>
      <c r="G268" s="114" t="s">
        <v>977</v>
      </c>
      <c r="H268" s="114">
        <v>43032</v>
      </c>
      <c r="I268" s="114">
        <v>43032</v>
      </c>
      <c r="J268" s="114">
        <v>43049</v>
      </c>
      <c r="K268" s="114"/>
      <c r="L268" s="114">
        <v>43102</v>
      </c>
      <c r="M268" s="114">
        <v>43080</v>
      </c>
      <c r="N268" s="114"/>
      <c r="O268" s="114">
        <v>43102</v>
      </c>
      <c r="P268" s="114">
        <v>43102</v>
      </c>
      <c r="Q268" s="114">
        <v>43130</v>
      </c>
      <c r="R268" s="100"/>
      <c r="S268" s="114"/>
      <c r="T268" s="75"/>
      <c r="U268" s="75"/>
      <c r="V268" s="75"/>
      <c r="W268" s="75">
        <v>1</v>
      </c>
      <c r="X268" s="75">
        <v>12960</v>
      </c>
      <c r="Y268" s="75" t="str">
        <f ca="1">IF(I268="",IF(D268="","",IF(W268+X268&lt;15,"Données Nb pers ou RFR manquantes",IF(COUNTA(INDIRECT("TabRFR["&amp;YEAR(D268)&amp;"]"))&lt;&gt;COUNTA(TabRFR[Recherche RFR]),"Data RFR manquantes", IF(X268&lt;=INDEX(TabRFR[[2021]:[2025]],MATCH(BD!W268&amp;"-Très modestes",TabRFR[Recherche RFR],0),MATCH(TEXT(YEAR(BD!D268),"Standard"),TabRFR[[#Headers],[2021]:[2025]],0)),"Très Modeste",IF(X268&lt;=INDEX(TabRFR[[2021]:[2025]],MATCH(BD!W268&amp;"-modestes",TabRFR[Recherche RFR],0),MATCH(TEXT(YEAR(BD!D268),"Standard"),TabRFR[[#Headers],[2021]:[2025]],0)),"Modeste",IF(X268&lt;=INDEX(TabRFR[[2021]:[2025]],MATCH(BD!W268&amp;"-Intermédiaire",TabRFR[Recherche RFR],0),MATCH(TEXT(YEAR(BD!D268),"Standard"),TabRFR[[#Headers],[2021]:[2025]],0)),"Intermédiaire","Supérieur")))))),IF(D268="","",IF(W268+X268&lt;15,"Données Nb pers ou RFR manquantes",IF(COUNTA(INDIRECT("TabRFR["&amp;YEAR(I268)&amp;"]"))&lt;&gt;COUNTA(TabRFR[Recherche RFR]),"Data RFR manquantes", IF(X268&lt;=INDEX(TabRFR[[2021]:[2025]],MATCH(BD!W268&amp;"-Très modestes",TabRFR[Recherche RFR],0),MATCH(TEXT(YEAR(BD!I268),"Standard"),TabRFR[[#Headers],[2021]:[2025]],0)),"Très Modeste",IF(X268&lt;=INDEX(TabRFR[[2021]:[2025]],MATCH(BD!W268&amp;"-modestes",TabRFR[Recherche RFR],0),MATCH(TEXT(YEAR(BD!I268),"Standard"),TabRFR[[#Headers],[2021]:[2025]],0)),"Modeste",IF(X268&lt;=INDEX(TabRFR[[2021]:[2025]],MATCH(BD!W268&amp;"-Intermédiaire",TabRFR[Recherche RFR],0),MATCH(TEXT(YEAR(BD!I268),"Standard"),TabRFR[[#Headers],[2021]:[2025]],0)),"Intermédiaire","Supérieur")))))))</f>
        <v>Data RFR manquantes</v>
      </c>
      <c r="Z268" s="75"/>
      <c r="AA268" s="75" t="s">
        <v>974</v>
      </c>
      <c r="AB268" s="75">
        <v>38140</v>
      </c>
      <c r="AC268" s="75" t="s">
        <v>237</v>
      </c>
      <c r="AD268" s="73"/>
      <c r="AE268" s="102"/>
      <c r="AF268" s="75" t="s">
        <v>95</v>
      </c>
      <c r="AG268" s="75"/>
      <c r="AH268" s="75"/>
      <c r="AI268" s="75"/>
      <c r="AJ268" s="75"/>
      <c r="AK268" s="75"/>
      <c r="AL268" s="75"/>
      <c r="AM268" s="75" t="s">
        <v>4258</v>
      </c>
      <c r="AN268" s="75" t="s">
        <v>451</v>
      </c>
      <c r="AO268" s="75" t="s">
        <v>464</v>
      </c>
      <c r="AP268" s="75" t="s">
        <v>97</v>
      </c>
      <c r="AQ268" s="75"/>
      <c r="AR268" s="75">
        <v>43313</v>
      </c>
      <c r="AS268" s="102" t="s">
        <v>698</v>
      </c>
      <c r="AT268" s="101">
        <v>474937373</v>
      </c>
      <c r="AU268" s="75" t="s">
        <v>99</v>
      </c>
      <c r="AV268" s="75" t="s">
        <v>231</v>
      </c>
      <c r="AW268" s="75" t="s">
        <v>100</v>
      </c>
      <c r="AX268" s="75" t="s">
        <v>2071</v>
      </c>
      <c r="AY268" s="75" t="s">
        <v>174</v>
      </c>
      <c r="AZ268" s="75" t="s">
        <v>972</v>
      </c>
      <c r="BA268" s="75">
        <v>17</v>
      </c>
      <c r="BB268" s="75">
        <v>9</v>
      </c>
      <c r="BC268" s="75">
        <v>94</v>
      </c>
      <c r="BD268" s="75">
        <v>0.02</v>
      </c>
      <c r="BE268" s="75" t="s">
        <v>97</v>
      </c>
      <c r="BF268" s="75"/>
      <c r="BG268" s="75">
        <v>2910</v>
      </c>
      <c r="BH268" s="75"/>
      <c r="BI268" s="75"/>
      <c r="BJ268" s="75"/>
      <c r="BK268" s="75">
        <v>850</v>
      </c>
      <c r="BL268" s="75">
        <f t="shared" si="12"/>
        <v>3760</v>
      </c>
      <c r="BM268" s="103">
        <f t="shared" si="13"/>
        <v>206.8</v>
      </c>
      <c r="BN268" s="103">
        <f t="shared" si="14"/>
        <v>3966.8</v>
      </c>
      <c r="BO268" s="103">
        <v>4030.1</v>
      </c>
      <c r="BP268" s="75" t="s">
        <v>104</v>
      </c>
      <c r="BQ268" s="75"/>
      <c r="BR268" s="75"/>
      <c r="BS268" s="157">
        <v>2018</v>
      </c>
      <c r="BU268">
        <v>2017</v>
      </c>
    </row>
    <row r="269" spans="1:73" ht="43.15" customHeight="1" x14ac:dyDescent="0.25">
      <c r="A269" s="29" t="s">
        <v>90</v>
      </c>
      <c r="B269" s="29" t="s">
        <v>971</v>
      </c>
      <c r="C269" s="161" t="s">
        <v>9</v>
      </c>
      <c r="D269" s="110">
        <v>43021</v>
      </c>
      <c r="E269" s="110"/>
      <c r="F269" s="110"/>
      <c r="G269" s="110"/>
      <c r="H269" s="110">
        <v>43032</v>
      </c>
      <c r="I269" s="110"/>
      <c r="J269" s="110"/>
      <c r="K269" s="110"/>
      <c r="L269" s="110"/>
      <c r="M269" s="110"/>
      <c r="N269" s="110"/>
      <c r="O269" s="110"/>
      <c r="P269" s="110"/>
      <c r="Q269" s="110"/>
      <c r="R269" s="109"/>
      <c r="S269" s="110">
        <v>43053</v>
      </c>
      <c r="T269" s="111" t="s">
        <v>970</v>
      </c>
      <c r="U269" s="111"/>
      <c r="V269" s="111"/>
      <c r="W269" s="111">
        <v>2</v>
      </c>
      <c r="X269" s="111">
        <v>30080</v>
      </c>
      <c r="Y269" s="75" t="str">
        <f ca="1">IF(I269="",IF(D269="","",IF(W269+X269&lt;15,"Données Nb pers ou RFR manquantes",IF(COUNTA(INDIRECT("TabRFR["&amp;YEAR(D269)&amp;"]"))&lt;&gt;COUNTA(TabRFR[Recherche RFR]),"Data RFR manquantes", IF(X269&lt;=INDEX(TabRFR[[2021]:[2025]],MATCH(BD!W269&amp;"-Très modestes",TabRFR[Recherche RFR],0),MATCH(TEXT(YEAR(BD!D269),"Standard"),TabRFR[[#Headers],[2021]:[2025]],0)),"Très Modeste",IF(X269&lt;=INDEX(TabRFR[[2021]:[2025]],MATCH(BD!W269&amp;"-modestes",TabRFR[Recherche RFR],0),MATCH(TEXT(YEAR(BD!D269),"Standard"),TabRFR[[#Headers],[2021]:[2025]],0)),"Modeste",IF(X269&lt;=INDEX(TabRFR[[2021]:[2025]],MATCH(BD!W269&amp;"-Intermédiaire",TabRFR[Recherche RFR],0),MATCH(TEXT(YEAR(BD!D269),"Standard"),TabRFR[[#Headers],[2021]:[2025]],0)),"Intermédiaire","Supérieur")))))),IF(D269="","",IF(W269+X269&lt;15,"Données Nb pers ou RFR manquantes",IF(COUNTA(INDIRECT("TabRFR["&amp;YEAR(I269)&amp;"]"))&lt;&gt;COUNTA(TabRFR[Recherche RFR]),"Data RFR manquantes", IF(X269&lt;=INDEX(TabRFR[[2021]:[2025]],MATCH(BD!W269&amp;"-Très modestes",TabRFR[Recherche RFR],0),MATCH(TEXT(YEAR(BD!I269),"Standard"),TabRFR[[#Headers],[2021]:[2025]],0)),"Très Modeste",IF(X269&lt;=INDEX(TabRFR[[2021]:[2025]],MATCH(BD!W269&amp;"-modestes",TabRFR[Recherche RFR],0),MATCH(TEXT(YEAR(BD!I269),"Standard"),TabRFR[[#Headers],[2021]:[2025]],0)),"Modeste",IF(X269&lt;=INDEX(TabRFR[[2021]:[2025]],MATCH(BD!W269&amp;"-Intermédiaire",TabRFR[Recherche RFR],0),MATCH(TEXT(YEAR(BD!I269),"Standard"),TabRFR[[#Headers],[2021]:[2025]],0)),"Intermédiaire","Supérieur")))))))</f>
        <v>Data RFR manquantes</v>
      </c>
      <c r="Z269" s="111"/>
      <c r="AA269" s="111" t="s">
        <v>968</v>
      </c>
      <c r="AB269" s="111">
        <v>38620</v>
      </c>
      <c r="AC269" s="111" t="s">
        <v>857</v>
      </c>
      <c r="AD269" s="127"/>
      <c r="AE269" s="102"/>
      <c r="AF269" s="111" t="s">
        <v>95</v>
      </c>
      <c r="AG269" s="111"/>
      <c r="AH269" s="111"/>
      <c r="AI269" s="111"/>
      <c r="AJ269" s="111"/>
      <c r="AK269" s="111"/>
      <c r="AL269" s="111"/>
      <c r="AM269" s="111" t="s">
        <v>4167</v>
      </c>
      <c r="AN269" s="111" t="s">
        <v>3996</v>
      </c>
      <c r="AO269" s="111" t="s">
        <v>464</v>
      </c>
      <c r="AP269" s="111" t="s">
        <v>97</v>
      </c>
      <c r="AQ269" s="111"/>
      <c r="AR269" s="128">
        <v>43152</v>
      </c>
      <c r="AS269" s="102" t="s">
        <v>536</v>
      </c>
      <c r="AT269" s="112">
        <v>474974052</v>
      </c>
      <c r="AU269" s="111" t="s">
        <v>111</v>
      </c>
      <c r="AV269" s="111">
        <v>1990</v>
      </c>
      <c r="AW269" s="111" t="s">
        <v>100</v>
      </c>
      <c r="AX269" s="111" t="s">
        <v>112</v>
      </c>
      <c r="AY269" s="111" t="s">
        <v>345</v>
      </c>
      <c r="AZ269" s="111"/>
      <c r="BA269" s="111"/>
      <c r="BB269" s="111"/>
      <c r="BC269" s="111"/>
      <c r="BD269" s="111"/>
      <c r="BE269" s="111"/>
      <c r="BF269" s="111"/>
      <c r="BG269" s="111"/>
      <c r="BH269" s="111"/>
      <c r="BI269" s="111"/>
      <c r="BJ269" s="111"/>
      <c r="BK269" s="111"/>
      <c r="BL269" s="75">
        <f t="shared" si="12"/>
        <v>0</v>
      </c>
      <c r="BM269" s="103">
        <f t="shared" si="13"/>
        <v>0</v>
      </c>
      <c r="BN269" s="103">
        <f t="shared" si="14"/>
        <v>0</v>
      </c>
      <c r="BO269" s="113"/>
      <c r="BP269" s="111" t="s">
        <v>104</v>
      </c>
      <c r="BQ269" s="135"/>
      <c r="BR269" s="111"/>
      <c r="BS269" s="157">
        <v>2018</v>
      </c>
      <c r="BU269" t="s">
        <v>4180</v>
      </c>
    </row>
    <row r="270" spans="1:73" ht="43.15" customHeight="1" x14ac:dyDescent="0.25">
      <c r="A270" s="242" t="s">
        <v>90</v>
      </c>
      <c r="B270" s="242" t="s">
        <v>967</v>
      </c>
      <c r="C270" s="159">
        <v>800</v>
      </c>
      <c r="D270" s="114">
        <v>43021</v>
      </c>
      <c r="E270" s="114"/>
      <c r="F270" s="114"/>
      <c r="G270" s="114"/>
      <c r="H270" s="114">
        <v>43032</v>
      </c>
      <c r="I270" s="114">
        <v>43032</v>
      </c>
      <c r="J270" s="114">
        <v>43049</v>
      </c>
      <c r="K270" s="114"/>
      <c r="L270" s="114">
        <v>43365</v>
      </c>
      <c r="M270" s="114">
        <v>43110</v>
      </c>
      <c r="N270" s="114" t="s">
        <v>966</v>
      </c>
      <c r="O270" s="114">
        <v>43365</v>
      </c>
      <c r="P270" s="114">
        <v>43365</v>
      </c>
      <c r="Q270" s="114">
        <v>43371</v>
      </c>
      <c r="R270" s="100"/>
      <c r="S270" s="114"/>
      <c r="T270" s="75"/>
      <c r="U270" s="75"/>
      <c r="V270" s="75"/>
      <c r="W270" s="75">
        <v>1</v>
      </c>
      <c r="X270" s="75">
        <v>10534</v>
      </c>
      <c r="Y270" s="75" t="str">
        <f ca="1">IF(I270="",IF(D270="","",IF(W270+X270&lt;15,"Données Nb pers ou RFR manquantes",IF(COUNTA(INDIRECT("TabRFR["&amp;YEAR(D270)&amp;"]"))&lt;&gt;COUNTA(TabRFR[Recherche RFR]),"Data RFR manquantes", IF(X270&lt;=INDEX(TabRFR[[2021]:[2025]],MATCH(BD!W270&amp;"-Très modestes",TabRFR[Recherche RFR],0),MATCH(TEXT(YEAR(BD!D270),"Standard"),TabRFR[[#Headers],[2021]:[2025]],0)),"Très Modeste",IF(X270&lt;=INDEX(TabRFR[[2021]:[2025]],MATCH(BD!W270&amp;"-modestes",TabRFR[Recherche RFR],0),MATCH(TEXT(YEAR(BD!D270),"Standard"),TabRFR[[#Headers],[2021]:[2025]],0)),"Modeste",IF(X270&lt;=INDEX(TabRFR[[2021]:[2025]],MATCH(BD!W270&amp;"-Intermédiaire",TabRFR[Recherche RFR],0),MATCH(TEXT(YEAR(BD!D270),"Standard"),TabRFR[[#Headers],[2021]:[2025]],0)),"Intermédiaire","Supérieur")))))),IF(D270="","",IF(W270+X270&lt;15,"Données Nb pers ou RFR manquantes",IF(COUNTA(INDIRECT("TabRFR["&amp;YEAR(I270)&amp;"]"))&lt;&gt;COUNTA(TabRFR[Recherche RFR]),"Data RFR manquantes", IF(X270&lt;=INDEX(TabRFR[[2021]:[2025]],MATCH(BD!W270&amp;"-Très modestes",TabRFR[Recherche RFR],0),MATCH(TEXT(YEAR(BD!I270),"Standard"),TabRFR[[#Headers],[2021]:[2025]],0)),"Très Modeste",IF(X270&lt;=INDEX(TabRFR[[2021]:[2025]],MATCH(BD!W270&amp;"-modestes",TabRFR[Recherche RFR],0),MATCH(TEXT(YEAR(BD!I270),"Standard"),TabRFR[[#Headers],[2021]:[2025]],0)),"Modeste",IF(X270&lt;=INDEX(TabRFR[[2021]:[2025]],MATCH(BD!W270&amp;"-Intermédiaire",TabRFR[Recherche RFR],0),MATCH(TEXT(YEAR(BD!I270),"Standard"),TabRFR[[#Headers],[2021]:[2025]],0)),"Intermédiaire","Supérieur")))))))</f>
        <v>Data RFR manquantes</v>
      </c>
      <c r="Z270" s="75"/>
      <c r="AA270" s="75" t="s">
        <v>964</v>
      </c>
      <c r="AB270" s="75">
        <v>38430</v>
      </c>
      <c r="AC270" s="75" t="s">
        <v>217</v>
      </c>
      <c r="AD270" s="73"/>
      <c r="AE270" s="102"/>
      <c r="AF270" s="75" t="s">
        <v>95</v>
      </c>
      <c r="AG270" s="75"/>
      <c r="AH270" s="75"/>
      <c r="AI270" s="75"/>
      <c r="AJ270" s="75"/>
      <c r="AK270" s="75"/>
      <c r="AL270" s="75"/>
      <c r="AM270" s="75" t="s">
        <v>4350</v>
      </c>
      <c r="AN270" s="75" t="s">
        <v>3333</v>
      </c>
      <c r="AO270" s="75" t="s">
        <v>464</v>
      </c>
      <c r="AP270" s="75" t="s">
        <v>97</v>
      </c>
      <c r="AQ270" s="75"/>
      <c r="AR270" s="75">
        <v>43075</v>
      </c>
      <c r="AS270" s="102" t="s">
        <v>962</v>
      </c>
      <c r="AT270" s="101">
        <v>476251477</v>
      </c>
      <c r="AU270" s="75" t="s">
        <v>99</v>
      </c>
      <c r="AV270" s="75">
        <v>1972</v>
      </c>
      <c r="AW270" s="75" t="s">
        <v>111</v>
      </c>
      <c r="AX270" s="75" t="s">
        <v>112</v>
      </c>
      <c r="AY270" s="75" t="s">
        <v>961</v>
      </c>
      <c r="AZ270" s="75" t="s">
        <v>960</v>
      </c>
      <c r="BA270" s="75">
        <v>32</v>
      </c>
      <c r="BB270" s="75">
        <v>11</v>
      </c>
      <c r="BC270" s="75">
        <v>77</v>
      </c>
      <c r="BD270" s="75">
        <v>0.06</v>
      </c>
      <c r="BE270" s="75" t="s">
        <v>97</v>
      </c>
      <c r="BF270" s="75"/>
      <c r="BG270" s="75">
        <v>6314.26</v>
      </c>
      <c r="BH270" s="75"/>
      <c r="BI270" s="75"/>
      <c r="BJ270" s="75"/>
      <c r="BK270" s="75">
        <v>1945</v>
      </c>
      <c r="BL270" s="75">
        <f t="shared" si="12"/>
        <v>8259.26</v>
      </c>
      <c r="BM270" s="103">
        <f t="shared" si="13"/>
        <v>454.2593</v>
      </c>
      <c r="BN270" s="103">
        <f t="shared" si="14"/>
        <v>8713.5192999999999</v>
      </c>
      <c r="BO270" s="103"/>
      <c r="BP270" s="75" t="s">
        <v>97</v>
      </c>
      <c r="BQ270" s="74">
        <v>43420</v>
      </c>
      <c r="BR270" s="75"/>
      <c r="BS270" s="157">
        <v>2018</v>
      </c>
      <c r="BT270">
        <v>2020</v>
      </c>
      <c r="BU270">
        <v>2017</v>
      </c>
    </row>
    <row r="271" spans="1:73" ht="43.15" customHeight="1" x14ac:dyDescent="0.25">
      <c r="A271" s="242" t="s">
        <v>90</v>
      </c>
      <c r="B271" s="242" t="s">
        <v>959</v>
      </c>
      <c r="C271" s="159">
        <v>400</v>
      </c>
      <c r="D271" s="114">
        <v>43024</v>
      </c>
      <c r="E271" s="114"/>
      <c r="F271" s="114"/>
      <c r="G271" s="114" t="s">
        <v>958</v>
      </c>
      <c r="H271" s="114">
        <v>43032</v>
      </c>
      <c r="I271" s="114">
        <v>43032</v>
      </c>
      <c r="J271" s="114">
        <v>43049</v>
      </c>
      <c r="K271" s="114"/>
      <c r="L271" s="114">
        <v>43070</v>
      </c>
      <c r="M271" s="114">
        <v>43054</v>
      </c>
      <c r="N271" s="114"/>
      <c r="O271" s="114">
        <v>43074</v>
      </c>
      <c r="P271" s="114">
        <v>43074</v>
      </c>
      <c r="Q271" s="114">
        <v>43077</v>
      </c>
      <c r="R271" s="80"/>
      <c r="S271" s="114"/>
      <c r="T271" s="75"/>
      <c r="U271" s="75"/>
      <c r="V271" s="75"/>
      <c r="W271" s="75">
        <v>2</v>
      </c>
      <c r="X271" s="75">
        <v>70470</v>
      </c>
      <c r="Y271" s="75" t="str">
        <f ca="1">IF(I271="",IF(D271="","",IF(W271+X271&lt;15,"Données Nb pers ou RFR manquantes",IF(COUNTA(INDIRECT("TabRFR["&amp;YEAR(D271)&amp;"]"))&lt;&gt;COUNTA(TabRFR[Recherche RFR]),"Data RFR manquantes", IF(X271&lt;=INDEX(TabRFR[[2021]:[2025]],MATCH(BD!W271&amp;"-Très modestes",TabRFR[Recherche RFR],0),MATCH(TEXT(YEAR(BD!D271),"Standard"),TabRFR[[#Headers],[2021]:[2025]],0)),"Très Modeste",IF(X271&lt;=INDEX(TabRFR[[2021]:[2025]],MATCH(BD!W271&amp;"-modestes",TabRFR[Recherche RFR],0),MATCH(TEXT(YEAR(BD!D271),"Standard"),TabRFR[[#Headers],[2021]:[2025]],0)),"Modeste",IF(X271&lt;=INDEX(TabRFR[[2021]:[2025]],MATCH(BD!W271&amp;"-Intermédiaire",TabRFR[Recherche RFR],0),MATCH(TEXT(YEAR(BD!D271),"Standard"),TabRFR[[#Headers],[2021]:[2025]],0)),"Intermédiaire","Supérieur")))))),IF(D271="","",IF(W271+X271&lt;15,"Données Nb pers ou RFR manquantes",IF(COUNTA(INDIRECT("TabRFR["&amp;YEAR(I271)&amp;"]"))&lt;&gt;COUNTA(TabRFR[Recherche RFR]),"Data RFR manquantes", IF(X271&lt;=INDEX(TabRFR[[2021]:[2025]],MATCH(BD!W271&amp;"-Très modestes",TabRFR[Recherche RFR],0),MATCH(TEXT(YEAR(BD!I271),"Standard"),TabRFR[[#Headers],[2021]:[2025]],0)),"Très Modeste",IF(X271&lt;=INDEX(TabRFR[[2021]:[2025]],MATCH(BD!W271&amp;"-modestes",TabRFR[Recherche RFR],0),MATCH(TEXT(YEAR(BD!I271),"Standard"),TabRFR[[#Headers],[2021]:[2025]],0)),"Modeste",IF(X271&lt;=INDEX(TabRFR[[2021]:[2025]],MATCH(BD!W271&amp;"-Intermédiaire",TabRFR[Recherche RFR],0),MATCH(TEXT(YEAR(BD!I271),"Standard"),TabRFR[[#Headers],[2021]:[2025]],0)),"Intermédiaire","Supérieur")))))))</f>
        <v>Data RFR manquantes</v>
      </c>
      <c r="Z271" s="75"/>
      <c r="AA271" s="75" t="s">
        <v>320</v>
      </c>
      <c r="AB271" s="75">
        <v>38140</v>
      </c>
      <c r="AC271" s="75" t="s">
        <v>321</v>
      </c>
      <c r="AD271" s="73"/>
      <c r="AE271" s="102"/>
      <c r="AF271" s="75" t="s">
        <v>95</v>
      </c>
      <c r="AG271" s="75"/>
      <c r="AH271" s="75"/>
      <c r="AI271" s="75"/>
      <c r="AJ271" s="75"/>
      <c r="AK271" s="75"/>
      <c r="AL271" s="75"/>
      <c r="AM271" s="75" t="s">
        <v>4354</v>
      </c>
      <c r="AN271" s="75" t="s">
        <v>1056</v>
      </c>
      <c r="AO271" s="75" t="s">
        <v>954</v>
      </c>
      <c r="AP271" s="75" t="s">
        <v>97</v>
      </c>
      <c r="AQ271" s="75"/>
      <c r="AR271" s="75">
        <v>43302</v>
      </c>
      <c r="AS271" s="102" t="s">
        <v>953</v>
      </c>
      <c r="AT271" s="101">
        <v>476441060</v>
      </c>
      <c r="AU271" s="75" t="s">
        <v>111</v>
      </c>
      <c r="AV271" s="75" t="s">
        <v>231</v>
      </c>
      <c r="AW271" s="75" t="s">
        <v>111</v>
      </c>
      <c r="AX271" s="75" t="s">
        <v>112</v>
      </c>
      <c r="AY271" s="75" t="s">
        <v>251</v>
      </c>
      <c r="AZ271" s="75" t="s">
        <v>952</v>
      </c>
      <c r="BA271" s="75">
        <v>17</v>
      </c>
      <c r="BB271" s="75">
        <v>14</v>
      </c>
      <c r="BC271" s="75">
        <v>77</v>
      </c>
      <c r="BD271" s="75">
        <v>0.12</v>
      </c>
      <c r="BE271" s="75" t="s">
        <v>97</v>
      </c>
      <c r="BF271" s="75"/>
      <c r="BG271" s="75">
        <v>2300</v>
      </c>
      <c r="BH271" s="75"/>
      <c r="BI271" s="75"/>
      <c r="BJ271" s="75"/>
      <c r="BK271" s="75">
        <v>1600</v>
      </c>
      <c r="BL271" s="75">
        <f t="shared" si="12"/>
        <v>3900</v>
      </c>
      <c r="BM271" s="103">
        <f t="shared" si="13"/>
        <v>214.5</v>
      </c>
      <c r="BN271" s="103">
        <f t="shared" si="14"/>
        <v>4114.5</v>
      </c>
      <c r="BO271" s="103"/>
      <c r="BP271" s="75" t="s">
        <v>104</v>
      </c>
      <c r="BQ271" s="74">
        <v>43420</v>
      </c>
      <c r="BR271" s="75"/>
      <c r="BS271" s="157">
        <v>2018</v>
      </c>
      <c r="BT271">
        <v>2020</v>
      </c>
      <c r="BU271">
        <v>2017</v>
      </c>
    </row>
    <row r="272" spans="1:73" ht="43.15" customHeight="1" x14ac:dyDescent="0.25">
      <c r="A272" s="242" t="s">
        <v>90</v>
      </c>
      <c r="B272" s="242" t="s">
        <v>951</v>
      </c>
      <c r="C272" s="159">
        <v>400</v>
      </c>
      <c r="D272" s="114">
        <v>43025</v>
      </c>
      <c r="E272" s="114"/>
      <c r="F272" s="114"/>
      <c r="G272" s="114"/>
      <c r="H272" s="114">
        <v>43042</v>
      </c>
      <c r="I272" s="114">
        <v>43046</v>
      </c>
      <c r="J272" s="114">
        <v>43049</v>
      </c>
      <c r="K272" s="114"/>
      <c r="L272" s="114">
        <v>43096</v>
      </c>
      <c r="M272" s="114">
        <v>43087</v>
      </c>
      <c r="N272" s="114"/>
      <c r="O272" s="114">
        <v>43102</v>
      </c>
      <c r="P272" s="114">
        <v>42737</v>
      </c>
      <c r="Q272" s="114">
        <v>43130</v>
      </c>
      <c r="R272" s="80"/>
      <c r="S272" s="114"/>
      <c r="T272" s="75"/>
      <c r="U272" s="75"/>
      <c r="V272" s="75"/>
      <c r="W272" s="75">
        <v>4</v>
      </c>
      <c r="X272" s="75">
        <v>122239</v>
      </c>
      <c r="Y272" s="75" t="str">
        <f ca="1">IF(I272="",IF(D272="","",IF(W272+X272&lt;15,"Données Nb pers ou RFR manquantes",IF(COUNTA(INDIRECT("TabRFR["&amp;YEAR(D272)&amp;"]"))&lt;&gt;COUNTA(TabRFR[Recherche RFR]),"Data RFR manquantes", IF(X272&lt;=INDEX(TabRFR[[2021]:[2025]],MATCH(BD!W272&amp;"-Très modestes",TabRFR[Recherche RFR],0),MATCH(TEXT(YEAR(BD!D272),"Standard"),TabRFR[[#Headers],[2021]:[2025]],0)),"Très Modeste",IF(X272&lt;=INDEX(TabRFR[[2021]:[2025]],MATCH(BD!W272&amp;"-modestes",TabRFR[Recherche RFR],0),MATCH(TEXT(YEAR(BD!D272),"Standard"),TabRFR[[#Headers],[2021]:[2025]],0)),"Modeste",IF(X272&lt;=INDEX(TabRFR[[2021]:[2025]],MATCH(BD!W272&amp;"-Intermédiaire",TabRFR[Recherche RFR],0),MATCH(TEXT(YEAR(BD!D272),"Standard"),TabRFR[[#Headers],[2021]:[2025]],0)),"Intermédiaire","Supérieur")))))),IF(D272="","",IF(W272+X272&lt;15,"Données Nb pers ou RFR manquantes",IF(COUNTA(INDIRECT("TabRFR["&amp;YEAR(I272)&amp;"]"))&lt;&gt;COUNTA(TabRFR[Recherche RFR]),"Data RFR manquantes", IF(X272&lt;=INDEX(TabRFR[[2021]:[2025]],MATCH(BD!W272&amp;"-Très modestes",TabRFR[Recherche RFR],0),MATCH(TEXT(YEAR(BD!I272),"Standard"),TabRFR[[#Headers],[2021]:[2025]],0)),"Très Modeste",IF(X272&lt;=INDEX(TabRFR[[2021]:[2025]],MATCH(BD!W272&amp;"-modestes",TabRFR[Recherche RFR],0),MATCH(TEXT(YEAR(BD!I272),"Standard"),TabRFR[[#Headers],[2021]:[2025]],0)),"Modeste",IF(X272&lt;=INDEX(TabRFR[[2021]:[2025]],MATCH(BD!W272&amp;"-Intermédiaire",TabRFR[Recherche RFR],0),MATCH(TEXT(YEAR(BD!I272),"Standard"),TabRFR[[#Headers],[2021]:[2025]],0)),"Intermédiaire","Supérieur")))))))</f>
        <v>Data RFR manquantes</v>
      </c>
      <c r="Z272" s="75"/>
      <c r="AA272" s="75" t="s">
        <v>948</v>
      </c>
      <c r="AB272" s="75">
        <v>38340</v>
      </c>
      <c r="AC272" s="75" t="s">
        <v>3796</v>
      </c>
      <c r="AD272" s="73"/>
      <c r="AE272" s="102"/>
      <c r="AF272" s="75" t="s">
        <v>95</v>
      </c>
      <c r="AG272" s="75"/>
      <c r="AH272" s="75"/>
      <c r="AI272" s="75"/>
      <c r="AJ272" s="75"/>
      <c r="AK272" s="75"/>
      <c r="AL272" s="75"/>
      <c r="AM272" s="75" t="s">
        <v>4035</v>
      </c>
      <c r="AN272" s="75" t="s">
        <v>108</v>
      </c>
      <c r="AO272" s="75" t="s">
        <v>946</v>
      </c>
      <c r="AP272" s="75" t="s">
        <v>97</v>
      </c>
      <c r="AQ272" s="75"/>
      <c r="AR272" s="75"/>
      <c r="AS272" s="102" t="s">
        <v>110</v>
      </c>
      <c r="AT272" s="101">
        <v>476500550</v>
      </c>
      <c r="AU272" s="75" t="s">
        <v>100</v>
      </c>
      <c r="AV272" s="75">
        <v>1998</v>
      </c>
      <c r="AW272" s="75" t="s">
        <v>100</v>
      </c>
      <c r="AX272" s="75" t="s">
        <v>112</v>
      </c>
      <c r="AY272" s="75" t="s">
        <v>212</v>
      </c>
      <c r="AZ272" s="75" t="s">
        <v>945</v>
      </c>
      <c r="BA272" s="75">
        <v>15</v>
      </c>
      <c r="BB272" s="75">
        <v>11</v>
      </c>
      <c r="BC272" s="75">
        <v>78</v>
      </c>
      <c r="BD272" s="75">
        <v>0.09</v>
      </c>
      <c r="BE272" s="75" t="s">
        <v>97</v>
      </c>
      <c r="BF272" s="75"/>
      <c r="BG272" s="75">
        <v>1900</v>
      </c>
      <c r="BH272" s="75"/>
      <c r="BI272" s="75"/>
      <c r="BJ272" s="75"/>
      <c r="BK272" s="75">
        <v>250</v>
      </c>
      <c r="BL272" s="75">
        <f t="shared" si="12"/>
        <v>2150</v>
      </c>
      <c r="BM272" s="103">
        <f t="shared" si="13"/>
        <v>118.25</v>
      </c>
      <c r="BN272" s="103">
        <f t="shared" si="14"/>
        <v>2268.25</v>
      </c>
      <c r="BO272" s="103">
        <v>2268.25</v>
      </c>
      <c r="BP272" s="75" t="s">
        <v>104</v>
      </c>
      <c r="BQ272" s="74">
        <v>43420</v>
      </c>
      <c r="BR272" s="75"/>
      <c r="BS272" s="157">
        <v>2018</v>
      </c>
      <c r="BT272">
        <v>2020</v>
      </c>
      <c r="BU272">
        <v>2017</v>
      </c>
    </row>
    <row r="273" spans="1:73" ht="43.15" customHeight="1" x14ac:dyDescent="0.25">
      <c r="A273" s="30" t="s">
        <v>90</v>
      </c>
      <c r="B273" s="29" t="s">
        <v>944</v>
      </c>
      <c r="C273" s="161" t="s">
        <v>9</v>
      </c>
      <c r="D273" s="110">
        <v>43027</v>
      </c>
      <c r="E273" s="110"/>
      <c r="F273" s="110"/>
      <c r="G273" s="110"/>
      <c r="H273" s="110"/>
      <c r="I273" s="110"/>
      <c r="J273" s="110"/>
      <c r="K273" s="110"/>
      <c r="L273" s="110"/>
      <c r="M273" s="110"/>
      <c r="N273" s="110"/>
      <c r="O273" s="110"/>
      <c r="P273" s="110"/>
      <c r="Q273" s="110"/>
      <c r="R273" s="109"/>
      <c r="S273" s="110">
        <v>43046</v>
      </c>
      <c r="T273" s="111" t="s">
        <v>943</v>
      </c>
      <c r="U273" s="111"/>
      <c r="V273" s="111"/>
      <c r="W273" s="111">
        <v>4</v>
      </c>
      <c r="X273" s="111">
        <v>12359</v>
      </c>
      <c r="Y273" s="75" t="str">
        <f ca="1">IF(I273="",IF(D273="","",IF(W273+X273&lt;15,"Données Nb pers ou RFR manquantes",IF(COUNTA(INDIRECT("TabRFR["&amp;YEAR(D273)&amp;"]"))&lt;&gt;COUNTA(TabRFR[Recherche RFR]),"Data RFR manquantes", IF(X273&lt;=INDEX(TabRFR[[2021]:[2025]],MATCH(BD!W273&amp;"-Très modestes",TabRFR[Recherche RFR],0),MATCH(TEXT(YEAR(BD!D273),"Standard"),TabRFR[[#Headers],[2021]:[2025]],0)),"Très Modeste",IF(X273&lt;=INDEX(TabRFR[[2021]:[2025]],MATCH(BD!W273&amp;"-modestes",TabRFR[Recherche RFR],0),MATCH(TEXT(YEAR(BD!D273),"Standard"),TabRFR[[#Headers],[2021]:[2025]],0)),"Modeste",IF(X273&lt;=INDEX(TabRFR[[2021]:[2025]],MATCH(BD!W273&amp;"-Intermédiaire",TabRFR[Recherche RFR],0),MATCH(TEXT(YEAR(BD!D273),"Standard"),TabRFR[[#Headers],[2021]:[2025]],0)),"Intermédiaire","Supérieur")))))),IF(D273="","",IF(W273+X273&lt;15,"Données Nb pers ou RFR manquantes",IF(COUNTA(INDIRECT("TabRFR["&amp;YEAR(I273)&amp;"]"))&lt;&gt;COUNTA(TabRFR[Recherche RFR]),"Data RFR manquantes", IF(X273&lt;=INDEX(TabRFR[[2021]:[2025]],MATCH(BD!W273&amp;"-Très modestes",TabRFR[Recherche RFR],0),MATCH(TEXT(YEAR(BD!I273),"Standard"),TabRFR[[#Headers],[2021]:[2025]],0)),"Très Modeste",IF(X273&lt;=INDEX(TabRFR[[2021]:[2025]],MATCH(BD!W273&amp;"-modestes",TabRFR[Recherche RFR],0),MATCH(TEXT(YEAR(BD!I273),"Standard"),TabRFR[[#Headers],[2021]:[2025]],0)),"Modeste",IF(X273&lt;=INDEX(TabRFR[[2021]:[2025]],MATCH(BD!W273&amp;"-Intermédiaire",TabRFR[Recherche RFR],0),MATCH(TEXT(YEAR(BD!I273),"Standard"),TabRFR[[#Headers],[2021]:[2025]],0)),"Intermédiaire","Supérieur")))))))</f>
        <v>Data RFR manquantes</v>
      </c>
      <c r="Z273" s="111"/>
      <c r="AA273" s="111" t="s">
        <v>942</v>
      </c>
      <c r="AB273" s="111">
        <v>38340</v>
      </c>
      <c r="AC273" s="111" t="s">
        <v>108</v>
      </c>
      <c r="AD273" s="127"/>
      <c r="AE273" s="102"/>
      <c r="AF273" s="111" t="s">
        <v>95</v>
      </c>
      <c r="AG273" s="111"/>
      <c r="AH273" s="111"/>
      <c r="AI273" s="111"/>
      <c r="AJ273" s="111"/>
      <c r="AK273" s="111"/>
      <c r="AL273" s="111"/>
      <c r="AM273" s="111" t="s">
        <v>4233</v>
      </c>
      <c r="AN273" s="111" t="s">
        <v>829</v>
      </c>
      <c r="AO273" s="111" t="s">
        <v>325</v>
      </c>
      <c r="AP273" s="111" t="s">
        <v>97</v>
      </c>
      <c r="AQ273" s="111"/>
      <c r="AR273" s="111"/>
      <c r="AS273" s="102" t="s">
        <v>211</v>
      </c>
      <c r="AT273" s="112">
        <v>438029038</v>
      </c>
      <c r="AU273" s="111" t="s">
        <v>99</v>
      </c>
      <c r="AV273" s="111">
        <v>1992</v>
      </c>
      <c r="AW273" s="111" t="s">
        <v>100</v>
      </c>
      <c r="AX273" s="111" t="s">
        <v>112</v>
      </c>
      <c r="AY273" s="111"/>
      <c r="AZ273" s="111"/>
      <c r="BA273" s="111"/>
      <c r="BB273" s="111"/>
      <c r="BC273" s="111"/>
      <c r="BD273" s="111"/>
      <c r="BE273" s="111"/>
      <c r="BF273" s="111"/>
      <c r="BG273" s="111"/>
      <c r="BH273" s="111"/>
      <c r="BI273" s="111"/>
      <c r="BJ273" s="111"/>
      <c r="BK273" s="111"/>
      <c r="BL273" s="75">
        <f t="shared" si="12"/>
        <v>0</v>
      </c>
      <c r="BM273" s="103">
        <f t="shared" si="13"/>
        <v>0</v>
      </c>
      <c r="BN273" s="103">
        <f t="shared" si="14"/>
        <v>0</v>
      </c>
      <c r="BO273" s="113"/>
      <c r="BP273" s="111"/>
      <c r="BQ273" s="111"/>
      <c r="BR273" s="111"/>
      <c r="BS273" s="157">
        <v>2018</v>
      </c>
      <c r="BU273" t="s">
        <v>4180</v>
      </c>
    </row>
    <row r="274" spans="1:73" ht="43.15" customHeight="1" x14ac:dyDescent="0.25">
      <c r="A274" s="242" t="s">
        <v>90</v>
      </c>
      <c r="B274" s="242" t="s">
        <v>941</v>
      </c>
      <c r="C274" s="159">
        <v>400</v>
      </c>
      <c r="D274" s="114">
        <v>43027</v>
      </c>
      <c r="E274" s="114"/>
      <c r="F274" s="114"/>
      <c r="G274" s="114"/>
      <c r="H274" s="114">
        <v>43042</v>
      </c>
      <c r="I274" s="114">
        <v>43046</v>
      </c>
      <c r="J274" s="114">
        <v>43049</v>
      </c>
      <c r="K274" s="114"/>
      <c r="L274" s="114">
        <v>43061</v>
      </c>
      <c r="M274" s="114">
        <v>43053</v>
      </c>
      <c r="N274" s="114"/>
      <c r="O274" s="114">
        <v>43061</v>
      </c>
      <c r="P274" s="114">
        <v>43061</v>
      </c>
      <c r="Q274" s="114">
        <v>43077</v>
      </c>
      <c r="R274" s="80"/>
      <c r="S274" s="114"/>
      <c r="T274" s="75"/>
      <c r="U274" s="75"/>
      <c r="V274" s="75"/>
      <c r="W274" s="75">
        <v>4</v>
      </c>
      <c r="X274" s="75">
        <v>59348</v>
      </c>
      <c r="Y274" s="75" t="str">
        <f ca="1">IF(I274="",IF(D274="","",IF(W274+X274&lt;15,"Données Nb pers ou RFR manquantes",IF(COUNTA(INDIRECT("TabRFR["&amp;YEAR(D274)&amp;"]"))&lt;&gt;COUNTA(TabRFR[Recherche RFR]),"Data RFR manquantes", IF(X274&lt;=INDEX(TabRFR[[2021]:[2025]],MATCH(BD!W274&amp;"-Très modestes",TabRFR[Recherche RFR],0),MATCH(TEXT(YEAR(BD!D274),"Standard"),TabRFR[[#Headers],[2021]:[2025]],0)),"Très Modeste",IF(X274&lt;=INDEX(TabRFR[[2021]:[2025]],MATCH(BD!W274&amp;"-modestes",TabRFR[Recherche RFR],0),MATCH(TEXT(YEAR(BD!D274),"Standard"),TabRFR[[#Headers],[2021]:[2025]],0)),"Modeste",IF(X274&lt;=INDEX(TabRFR[[2021]:[2025]],MATCH(BD!W274&amp;"-Intermédiaire",TabRFR[Recherche RFR],0),MATCH(TEXT(YEAR(BD!D274),"Standard"),TabRFR[[#Headers],[2021]:[2025]],0)),"Intermédiaire","Supérieur")))))),IF(D274="","",IF(W274+X274&lt;15,"Données Nb pers ou RFR manquantes",IF(COUNTA(INDIRECT("TabRFR["&amp;YEAR(I274)&amp;"]"))&lt;&gt;COUNTA(TabRFR[Recherche RFR]),"Data RFR manquantes", IF(X274&lt;=INDEX(TabRFR[[2021]:[2025]],MATCH(BD!W274&amp;"-Très modestes",TabRFR[Recherche RFR],0),MATCH(TEXT(YEAR(BD!I274),"Standard"),TabRFR[[#Headers],[2021]:[2025]],0)),"Très Modeste",IF(X274&lt;=INDEX(TabRFR[[2021]:[2025]],MATCH(BD!W274&amp;"-modestes",TabRFR[Recherche RFR],0),MATCH(TEXT(YEAR(BD!I274),"Standard"),TabRFR[[#Headers],[2021]:[2025]],0)),"Modeste",IF(X274&lt;=INDEX(TabRFR[[2021]:[2025]],MATCH(BD!W274&amp;"-Intermédiaire",TabRFR[Recherche RFR],0),MATCH(TEXT(YEAR(BD!I274),"Standard"),TabRFR[[#Headers],[2021]:[2025]],0)),"Intermédiaire","Supérieur")))))))</f>
        <v>Data RFR manquantes</v>
      </c>
      <c r="Z274" s="75"/>
      <c r="AA274" s="75" t="s">
        <v>938</v>
      </c>
      <c r="AB274" s="75">
        <v>38140</v>
      </c>
      <c r="AC274" s="75" t="s">
        <v>237</v>
      </c>
      <c r="AD274" s="73"/>
      <c r="AE274" s="102"/>
      <c r="AF274" s="75" t="s">
        <v>95</v>
      </c>
      <c r="AG274" s="75"/>
      <c r="AH274" s="75"/>
      <c r="AI274" s="75"/>
      <c r="AJ274" s="75"/>
      <c r="AK274" s="75"/>
      <c r="AL274" s="75"/>
      <c r="AM274" s="77" t="s">
        <v>4198</v>
      </c>
      <c r="AN274" s="75" t="s">
        <v>521</v>
      </c>
      <c r="AO274" s="75" t="s">
        <v>522</v>
      </c>
      <c r="AP274" s="75" t="s">
        <v>97</v>
      </c>
      <c r="AQ274" s="75"/>
      <c r="AR274" s="74"/>
      <c r="AS274" s="102" t="s">
        <v>523</v>
      </c>
      <c r="AT274" s="101">
        <v>618630529</v>
      </c>
      <c r="AU274" s="75" t="s">
        <v>100</v>
      </c>
      <c r="AV274" s="75">
        <v>1996</v>
      </c>
      <c r="AW274" s="75" t="s">
        <v>100</v>
      </c>
      <c r="AX274" s="75" t="s">
        <v>2071</v>
      </c>
      <c r="AY274" s="75" t="s">
        <v>133</v>
      </c>
      <c r="AZ274" s="75" t="s">
        <v>935</v>
      </c>
      <c r="BA274" s="75">
        <v>20</v>
      </c>
      <c r="BB274" s="75">
        <v>8.3000000000000007</v>
      </c>
      <c r="BC274" s="75">
        <v>87</v>
      </c>
      <c r="BD274" s="75">
        <v>1.7999999999999999E-2</v>
      </c>
      <c r="BE274" s="75" t="s">
        <v>97</v>
      </c>
      <c r="BF274" s="75"/>
      <c r="BG274" s="75">
        <f>4090+150</f>
        <v>4240</v>
      </c>
      <c r="BH274" s="75"/>
      <c r="BI274" s="75"/>
      <c r="BJ274" s="75"/>
      <c r="BK274" s="75">
        <v>200</v>
      </c>
      <c r="BL274" s="75">
        <f t="shared" si="12"/>
        <v>4440</v>
      </c>
      <c r="BM274" s="103">
        <f t="shared" si="13"/>
        <v>244.2</v>
      </c>
      <c r="BN274" s="103">
        <f t="shared" si="14"/>
        <v>4684.2</v>
      </c>
      <c r="BO274" s="103"/>
      <c r="BP274" s="75" t="s">
        <v>97</v>
      </c>
      <c r="BQ274" s="75"/>
      <c r="BR274" s="75"/>
      <c r="BS274" s="157">
        <v>2018</v>
      </c>
      <c r="BU274">
        <v>2017</v>
      </c>
    </row>
    <row r="275" spans="1:73" ht="43.15" customHeight="1" x14ac:dyDescent="0.25">
      <c r="A275" s="242" t="s">
        <v>90</v>
      </c>
      <c r="B275" s="242" t="s">
        <v>934</v>
      </c>
      <c r="C275" s="159">
        <v>400</v>
      </c>
      <c r="D275" s="114">
        <v>43027</v>
      </c>
      <c r="E275" s="114"/>
      <c r="F275" s="114"/>
      <c r="G275" s="114"/>
      <c r="H275" s="114">
        <v>43042</v>
      </c>
      <c r="I275" s="114">
        <v>43046</v>
      </c>
      <c r="J275" s="114">
        <v>43049</v>
      </c>
      <c r="K275" s="114"/>
      <c r="L275" s="114">
        <v>43084</v>
      </c>
      <c r="M275" s="114">
        <v>43056</v>
      </c>
      <c r="N275" s="114"/>
      <c r="O275" s="114">
        <v>43088</v>
      </c>
      <c r="P275" s="114">
        <v>43088</v>
      </c>
      <c r="Q275" s="114">
        <v>43178</v>
      </c>
      <c r="R275" s="80"/>
      <c r="S275" s="114"/>
      <c r="T275" s="75"/>
      <c r="U275" s="75"/>
      <c r="V275" s="75"/>
      <c r="W275" s="75">
        <v>3</v>
      </c>
      <c r="X275" s="75">
        <v>44447</v>
      </c>
      <c r="Y275" s="75" t="str">
        <f ca="1">IF(I275="",IF(D275="","",IF(W275+X275&lt;15,"Données Nb pers ou RFR manquantes",IF(COUNTA(INDIRECT("TabRFR["&amp;YEAR(D275)&amp;"]"))&lt;&gt;COUNTA(TabRFR[Recherche RFR]),"Data RFR manquantes", IF(X275&lt;=INDEX(TabRFR[[2021]:[2025]],MATCH(BD!W275&amp;"-Très modestes",TabRFR[Recherche RFR],0),MATCH(TEXT(YEAR(BD!D275),"Standard"),TabRFR[[#Headers],[2021]:[2025]],0)),"Très Modeste",IF(X275&lt;=INDEX(TabRFR[[2021]:[2025]],MATCH(BD!W275&amp;"-modestes",TabRFR[Recherche RFR],0),MATCH(TEXT(YEAR(BD!D275),"Standard"),TabRFR[[#Headers],[2021]:[2025]],0)),"Modeste",IF(X275&lt;=INDEX(TabRFR[[2021]:[2025]],MATCH(BD!W275&amp;"-Intermédiaire",TabRFR[Recherche RFR],0),MATCH(TEXT(YEAR(BD!D275),"Standard"),TabRFR[[#Headers],[2021]:[2025]],0)),"Intermédiaire","Supérieur")))))),IF(D275="","",IF(W275+X275&lt;15,"Données Nb pers ou RFR manquantes",IF(COUNTA(INDIRECT("TabRFR["&amp;YEAR(I275)&amp;"]"))&lt;&gt;COUNTA(TabRFR[Recherche RFR]),"Data RFR manquantes", IF(X275&lt;=INDEX(TabRFR[[2021]:[2025]],MATCH(BD!W275&amp;"-Très modestes",TabRFR[Recherche RFR],0),MATCH(TEXT(YEAR(BD!I275),"Standard"),TabRFR[[#Headers],[2021]:[2025]],0)),"Très Modeste",IF(X275&lt;=INDEX(TabRFR[[2021]:[2025]],MATCH(BD!W275&amp;"-modestes",TabRFR[Recherche RFR],0),MATCH(TEXT(YEAR(BD!I275),"Standard"),TabRFR[[#Headers],[2021]:[2025]],0)),"Modeste",IF(X275&lt;=INDEX(TabRFR[[2021]:[2025]],MATCH(BD!W275&amp;"-Intermédiaire",TabRFR[Recherche RFR],0),MATCH(TEXT(YEAR(BD!I275),"Standard"),TabRFR[[#Headers],[2021]:[2025]],0)),"Intermédiaire","Supérieur")))))))</f>
        <v>Data RFR manquantes</v>
      </c>
      <c r="Z275" s="75"/>
      <c r="AA275" s="75" t="s">
        <v>931</v>
      </c>
      <c r="AB275" s="75">
        <v>38340</v>
      </c>
      <c r="AC275" s="75" t="s">
        <v>108</v>
      </c>
      <c r="AD275" s="73"/>
      <c r="AE275" s="102"/>
      <c r="AF275" s="75" t="s">
        <v>95</v>
      </c>
      <c r="AG275" s="75"/>
      <c r="AH275" s="75"/>
      <c r="AI275" s="75"/>
      <c r="AJ275" s="75"/>
      <c r="AK275" s="75"/>
      <c r="AL275" s="75"/>
      <c r="AM275" s="75" t="s">
        <v>4130</v>
      </c>
      <c r="AN275" s="75" t="s">
        <v>4349</v>
      </c>
      <c r="AO275" s="75" t="s">
        <v>336</v>
      </c>
      <c r="AP275" s="75" t="s">
        <v>97</v>
      </c>
      <c r="AQ275" s="75"/>
      <c r="AR275" s="75"/>
      <c r="AS275" s="102" t="s">
        <v>337</v>
      </c>
      <c r="AT275" s="101">
        <v>438021901</v>
      </c>
      <c r="AU275" s="75" t="s">
        <v>99</v>
      </c>
      <c r="AV275" s="75">
        <v>1983</v>
      </c>
      <c r="AW275" s="75" t="s">
        <v>111</v>
      </c>
      <c r="AX275" s="75" t="s">
        <v>2071</v>
      </c>
      <c r="AY275" s="75" t="s">
        <v>338</v>
      </c>
      <c r="AZ275" s="75" t="s">
        <v>929</v>
      </c>
      <c r="BA275" s="75">
        <v>25</v>
      </c>
      <c r="BB275" s="75">
        <v>6.2</v>
      </c>
      <c r="BC275" s="75">
        <v>89.5</v>
      </c>
      <c r="BD275" s="75">
        <v>0.02</v>
      </c>
      <c r="BE275" s="75" t="s">
        <v>97</v>
      </c>
      <c r="BF275" s="75"/>
      <c r="BG275" s="75">
        <f>7364-1183</f>
        <v>6181</v>
      </c>
      <c r="BH275" s="75"/>
      <c r="BI275" s="75"/>
      <c r="BJ275" s="75"/>
      <c r="BK275" s="75">
        <v>1183</v>
      </c>
      <c r="BL275" s="75">
        <f t="shared" si="12"/>
        <v>7364</v>
      </c>
      <c r="BM275" s="103">
        <f t="shared" si="13"/>
        <v>405.02</v>
      </c>
      <c r="BN275" s="103">
        <f t="shared" si="14"/>
        <v>7769.02</v>
      </c>
      <c r="BO275" s="103"/>
      <c r="BP275" s="75" t="s">
        <v>97</v>
      </c>
      <c r="BQ275" s="75"/>
      <c r="BR275" s="75"/>
      <c r="BS275" s="157">
        <v>2018</v>
      </c>
      <c r="BU275">
        <v>2017</v>
      </c>
    </row>
    <row r="276" spans="1:73" ht="43.15" customHeight="1" x14ac:dyDescent="0.25">
      <c r="A276" s="242" t="s">
        <v>90</v>
      </c>
      <c r="B276" s="242" t="s">
        <v>91</v>
      </c>
      <c r="C276" s="159">
        <v>400</v>
      </c>
      <c r="D276" s="114">
        <v>43027</v>
      </c>
      <c r="E276" s="114"/>
      <c r="F276" s="114"/>
      <c r="G276" s="114"/>
      <c r="H276" s="114">
        <v>43042</v>
      </c>
      <c r="I276" s="114">
        <v>43046</v>
      </c>
      <c r="J276" s="114">
        <v>43056</v>
      </c>
      <c r="K276" s="114"/>
      <c r="L276" s="114">
        <v>43089</v>
      </c>
      <c r="M276" s="114">
        <v>43066</v>
      </c>
      <c r="N276" s="114"/>
      <c r="O276" s="114">
        <v>43091</v>
      </c>
      <c r="P276" s="114">
        <v>43091</v>
      </c>
      <c r="Q276" s="114">
        <v>43130</v>
      </c>
      <c r="R276" s="80"/>
      <c r="S276" s="114"/>
      <c r="T276" s="75"/>
      <c r="U276" s="75"/>
      <c r="V276" s="75"/>
      <c r="W276" s="75">
        <v>2</v>
      </c>
      <c r="X276" s="75">
        <v>48551</v>
      </c>
      <c r="Y276" s="75" t="str">
        <f ca="1">IF(I276="",IF(D276="","",IF(W276+X276&lt;15,"Données Nb pers ou RFR manquantes",IF(COUNTA(INDIRECT("TabRFR["&amp;YEAR(D276)&amp;"]"))&lt;&gt;COUNTA(TabRFR[Recherche RFR]),"Data RFR manquantes", IF(X276&lt;=INDEX(TabRFR[[2021]:[2025]],MATCH(BD!W276&amp;"-Très modestes",TabRFR[Recherche RFR],0),MATCH(TEXT(YEAR(BD!D276),"Standard"),TabRFR[[#Headers],[2021]:[2025]],0)),"Très Modeste",IF(X276&lt;=INDEX(TabRFR[[2021]:[2025]],MATCH(BD!W276&amp;"-modestes",TabRFR[Recherche RFR],0),MATCH(TEXT(YEAR(BD!D276),"Standard"),TabRFR[[#Headers],[2021]:[2025]],0)),"Modeste",IF(X276&lt;=INDEX(TabRFR[[2021]:[2025]],MATCH(BD!W276&amp;"-Intermédiaire",TabRFR[Recherche RFR],0),MATCH(TEXT(YEAR(BD!D276),"Standard"),TabRFR[[#Headers],[2021]:[2025]],0)),"Intermédiaire","Supérieur")))))),IF(D276="","",IF(W276+X276&lt;15,"Données Nb pers ou RFR manquantes",IF(COUNTA(INDIRECT("TabRFR["&amp;YEAR(I276)&amp;"]"))&lt;&gt;COUNTA(TabRFR[Recherche RFR]),"Data RFR manquantes", IF(X276&lt;=INDEX(TabRFR[[2021]:[2025]],MATCH(BD!W276&amp;"-Très modestes",TabRFR[Recherche RFR],0),MATCH(TEXT(YEAR(BD!I276),"Standard"),TabRFR[[#Headers],[2021]:[2025]],0)),"Très Modeste",IF(X276&lt;=INDEX(TabRFR[[2021]:[2025]],MATCH(BD!W276&amp;"-modestes",TabRFR[Recherche RFR],0),MATCH(TEXT(YEAR(BD!I276),"Standard"),TabRFR[[#Headers],[2021]:[2025]],0)),"Modeste",IF(X276&lt;=INDEX(TabRFR[[2021]:[2025]],MATCH(BD!W276&amp;"-Intermédiaire",TabRFR[Recherche RFR],0),MATCH(TEXT(YEAR(BD!I276),"Standard"),TabRFR[[#Headers],[2021]:[2025]],0)),"Intermédiaire","Supérieur")))))))</f>
        <v>Data RFR manquantes</v>
      </c>
      <c r="Z276" s="75"/>
      <c r="AA276" s="75" t="s">
        <v>93</v>
      </c>
      <c r="AB276" s="75">
        <v>38500</v>
      </c>
      <c r="AC276" s="75" t="s">
        <v>94</v>
      </c>
      <c r="AD276" s="73"/>
      <c r="AE276" s="102"/>
      <c r="AF276" s="75" t="s">
        <v>95</v>
      </c>
      <c r="AG276" s="75"/>
      <c r="AH276" s="75"/>
      <c r="AI276" s="75"/>
      <c r="AJ276" s="75"/>
      <c r="AK276" s="75"/>
      <c r="AL276" s="75"/>
      <c r="AM276" s="75" t="s">
        <v>4348</v>
      </c>
      <c r="AN276" s="75" t="s">
        <v>96</v>
      </c>
      <c r="AO276" s="75"/>
      <c r="AP276" s="75" t="s">
        <v>97</v>
      </c>
      <c r="AQ276" s="75"/>
      <c r="AR276" s="74"/>
      <c r="AS276" s="102" t="s">
        <v>98</v>
      </c>
      <c r="AT276" s="73">
        <v>476323235</v>
      </c>
      <c r="AU276" s="75" t="s">
        <v>99</v>
      </c>
      <c r="AV276" s="75">
        <v>1991</v>
      </c>
      <c r="AW276" s="75" t="s">
        <v>100</v>
      </c>
      <c r="AX276" s="75" t="s">
        <v>2071</v>
      </c>
      <c r="AY276" s="75" t="s">
        <v>102</v>
      </c>
      <c r="AZ276" s="75" t="s">
        <v>103</v>
      </c>
      <c r="BA276" s="75">
        <v>18</v>
      </c>
      <c r="BB276" s="75">
        <v>10</v>
      </c>
      <c r="BC276" s="75">
        <v>90.4</v>
      </c>
      <c r="BD276" s="75">
        <v>0</v>
      </c>
      <c r="BE276" s="75" t="s">
        <v>97</v>
      </c>
      <c r="BF276" s="75"/>
      <c r="BG276" s="75">
        <v>2980</v>
      </c>
      <c r="BH276" s="75"/>
      <c r="BI276" s="75"/>
      <c r="BJ276" s="75"/>
      <c r="BK276" s="75">
        <f>4416-2980</f>
        <v>1436</v>
      </c>
      <c r="BL276" s="75">
        <f t="shared" si="12"/>
        <v>4416</v>
      </c>
      <c r="BM276" s="103">
        <f t="shared" si="13"/>
        <v>242.88</v>
      </c>
      <c r="BN276" s="103">
        <f t="shared" si="14"/>
        <v>4658.88</v>
      </c>
      <c r="BO276" s="103"/>
      <c r="BP276" s="75" t="s">
        <v>104</v>
      </c>
      <c r="BQ276" s="75"/>
      <c r="BR276" s="75"/>
      <c r="BS276" s="157">
        <v>2018</v>
      </c>
      <c r="BU276">
        <v>2017</v>
      </c>
    </row>
    <row r="277" spans="1:73" ht="43.15" customHeight="1" x14ac:dyDescent="0.25">
      <c r="A277" s="242" t="s">
        <v>90</v>
      </c>
      <c r="B277" s="242" t="s">
        <v>105</v>
      </c>
      <c r="C277" s="159">
        <v>400</v>
      </c>
      <c r="D277" s="114">
        <v>43032</v>
      </c>
      <c r="E277" s="114"/>
      <c r="F277" s="114"/>
      <c r="G277" s="114"/>
      <c r="H277" s="114">
        <v>43042</v>
      </c>
      <c r="I277" s="114">
        <v>43046</v>
      </c>
      <c r="J277" s="114">
        <v>43056</v>
      </c>
      <c r="K277" s="114"/>
      <c r="L277" s="114">
        <v>42737</v>
      </c>
      <c r="M277" s="114">
        <v>43083</v>
      </c>
      <c r="N277" s="114"/>
      <c r="O277" s="114">
        <v>43102</v>
      </c>
      <c r="P277" s="114">
        <v>43102</v>
      </c>
      <c r="Q277" s="114">
        <v>43130</v>
      </c>
      <c r="R277" s="80"/>
      <c r="S277" s="114"/>
      <c r="T277" s="75"/>
      <c r="U277" s="75"/>
      <c r="V277" s="75"/>
      <c r="W277" s="75">
        <v>2</v>
      </c>
      <c r="X277" s="75">
        <v>55909</v>
      </c>
      <c r="Y277" s="75" t="str">
        <f ca="1">IF(I277="",IF(D277="","",IF(W277+X277&lt;15,"Données Nb pers ou RFR manquantes",IF(COUNTA(INDIRECT("TabRFR["&amp;YEAR(D277)&amp;"]"))&lt;&gt;COUNTA(TabRFR[Recherche RFR]),"Data RFR manquantes", IF(X277&lt;=INDEX(TabRFR[[2021]:[2025]],MATCH(BD!W277&amp;"-Très modestes",TabRFR[Recherche RFR],0),MATCH(TEXT(YEAR(BD!D277),"Standard"),TabRFR[[#Headers],[2021]:[2025]],0)),"Très Modeste",IF(X277&lt;=INDEX(TabRFR[[2021]:[2025]],MATCH(BD!W277&amp;"-modestes",TabRFR[Recherche RFR],0),MATCH(TEXT(YEAR(BD!D277),"Standard"),TabRFR[[#Headers],[2021]:[2025]],0)),"Modeste",IF(X277&lt;=INDEX(TabRFR[[2021]:[2025]],MATCH(BD!W277&amp;"-Intermédiaire",TabRFR[Recherche RFR],0),MATCH(TEXT(YEAR(BD!D277),"Standard"),TabRFR[[#Headers],[2021]:[2025]],0)),"Intermédiaire","Supérieur")))))),IF(D277="","",IF(W277+X277&lt;15,"Données Nb pers ou RFR manquantes",IF(COUNTA(INDIRECT("TabRFR["&amp;YEAR(I277)&amp;"]"))&lt;&gt;COUNTA(TabRFR[Recherche RFR]),"Data RFR manquantes", IF(X277&lt;=INDEX(TabRFR[[2021]:[2025]],MATCH(BD!W277&amp;"-Très modestes",TabRFR[Recherche RFR],0),MATCH(TEXT(YEAR(BD!I277),"Standard"),TabRFR[[#Headers],[2021]:[2025]],0)),"Très Modeste",IF(X277&lt;=INDEX(TabRFR[[2021]:[2025]],MATCH(BD!W277&amp;"-modestes",TabRFR[Recherche RFR],0),MATCH(TEXT(YEAR(BD!I277),"Standard"),TabRFR[[#Headers],[2021]:[2025]],0)),"Modeste",IF(X277&lt;=INDEX(TabRFR[[2021]:[2025]],MATCH(BD!W277&amp;"-Intermédiaire",TabRFR[Recherche RFR],0),MATCH(TEXT(YEAR(BD!I277),"Standard"),TabRFR[[#Headers],[2021]:[2025]],0)),"Intermédiaire","Supérieur")))))))</f>
        <v>Data RFR manquantes</v>
      </c>
      <c r="Z277" s="75"/>
      <c r="AA277" s="75" t="s">
        <v>107</v>
      </c>
      <c r="AB277" s="75">
        <v>38500</v>
      </c>
      <c r="AC277" s="75" t="s">
        <v>96</v>
      </c>
      <c r="AD277" s="73"/>
      <c r="AE277" s="102"/>
      <c r="AF277" s="75" t="s">
        <v>95</v>
      </c>
      <c r="AG277" s="75"/>
      <c r="AH277" s="75"/>
      <c r="AI277" s="75"/>
      <c r="AJ277" s="75"/>
      <c r="AK277" s="75"/>
      <c r="AL277" s="75"/>
      <c r="AM277" s="75" t="s">
        <v>4035</v>
      </c>
      <c r="AN277" s="75" t="s">
        <v>108</v>
      </c>
      <c r="AO277" s="75" t="s">
        <v>109</v>
      </c>
      <c r="AP277" s="75" t="s">
        <v>97</v>
      </c>
      <c r="AQ277" s="75"/>
      <c r="AR277" s="74"/>
      <c r="AS277" s="102" t="s">
        <v>110</v>
      </c>
      <c r="AT277" s="73">
        <v>476500550</v>
      </c>
      <c r="AU277" s="75" t="s">
        <v>111</v>
      </c>
      <c r="AV277" s="75">
        <v>1991</v>
      </c>
      <c r="AW277" s="75" t="s">
        <v>111</v>
      </c>
      <c r="AX277" s="75" t="s">
        <v>112</v>
      </c>
      <c r="AY277" s="75" t="s">
        <v>113</v>
      </c>
      <c r="AZ277" s="75" t="s">
        <v>114</v>
      </c>
      <c r="BA277" s="75">
        <v>30</v>
      </c>
      <c r="BB277" s="75">
        <v>13</v>
      </c>
      <c r="BC277" s="75">
        <v>84</v>
      </c>
      <c r="BD277" s="75">
        <v>0.04</v>
      </c>
      <c r="BE277" s="75" t="s">
        <v>97</v>
      </c>
      <c r="BF277" s="75"/>
      <c r="BG277" s="75">
        <f>5260.53-1710</f>
        <v>3550.5299999999997</v>
      </c>
      <c r="BH277" s="75"/>
      <c r="BI277" s="75"/>
      <c r="BJ277" s="75"/>
      <c r="BK277" s="75">
        <v>1710</v>
      </c>
      <c r="BL277" s="75">
        <f t="shared" si="12"/>
        <v>5260.53</v>
      </c>
      <c r="BM277" s="103">
        <f t="shared" si="13"/>
        <v>289.32914999999997</v>
      </c>
      <c r="BN277" s="103">
        <f t="shared" si="14"/>
        <v>5549.8591499999993</v>
      </c>
      <c r="BO277" s="103">
        <v>5424.41</v>
      </c>
      <c r="BP277" s="75" t="s">
        <v>104</v>
      </c>
      <c r="BQ277" s="75"/>
      <c r="BR277" s="74">
        <v>43416</v>
      </c>
      <c r="BS277" s="157">
        <v>2018</v>
      </c>
      <c r="BT277">
        <v>2020</v>
      </c>
      <c r="BU277">
        <v>2018</v>
      </c>
    </row>
    <row r="278" spans="1:73" ht="43.15" customHeight="1" x14ac:dyDescent="0.25">
      <c r="A278" s="242" t="s">
        <v>90</v>
      </c>
      <c r="B278" s="242" t="s">
        <v>115</v>
      </c>
      <c r="C278" s="159">
        <v>400</v>
      </c>
      <c r="D278" s="114">
        <v>43034</v>
      </c>
      <c r="E278" s="114"/>
      <c r="F278" s="114"/>
      <c r="G278" s="114"/>
      <c r="H278" s="114">
        <v>43042</v>
      </c>
      <c r="I278" s="114">
        <v>43046</v>
      </c>
      <c r="J278" s="114">
        <v>43056</v>
      </c>
      <c r="K278" s="114"/>
      <c r="L278" s="114">
        <v>43196</v>
      </c>
      <c r="M278" s="114">
        <v>43059</v>
      </c>
      <c r="N278" s="114"/>
      <c r="O278" s="114">
        <v>43201</v>
      </c>
      <c r="P278" s="114">
        <v>43201</v>
      </c>
      <c r="Q278" s="114">
        <v>43258</v>
      </c>
      <c r="R278" s="80"/>
      <c r="S278" s="114"/>
      <c r="T278" s="75"/>
      <c r="U278" s="75"/>
      <c r="V278" s="75"/>
      <c r="W278" s="75">
        <v>2</v>
      </c>
      <c r="X278" s="75">
        <v>54065</v>
      </c>
      <c r="Y278" s="75" t="str">
        <f ca="1">IF(I278="",IF(D278="","",IF(W278+X278&lt;15,"Données Nb pers ou RFR manquantes",IF(COUNTA(INDIRECT("TabRFR["&amp;YEAR(D278)&amp;"]"))&lt;&gt;COUNTA(TabRFR[Recherche RFR]),"Data RFR manquantes", IF(X278&lt;=INDEX(TabRFR[[2021]:[2025]],MATCH(BD!W278&amp;"-Très modestes",TabRFR[Recherche RFR],0),MATCH(TEXT(YEAR(BD!D278),"Standard"),TabRFR[[#Headers],[2021]:[2025]],0)),"Très Modeste",IF(X278&lt;=INDEX(TabRFR[[2021]:[2025]],MATCH(BD!W278&amp;"-modestes",TabRFR[Recherche RFR],0),MATCH(TEXT(YEAR(BD!D278),"Standard"),TabRFR[[#Headers],[2021]:[2025]],0)),"Modeste",IF(X278&lt;=INDEX(TabRFR[[2021]:[2025]],MATCH(BD!W278&amp;"-Intermédiaire",TabRFR[Recherche RFR],0),MATCH(TEXT(YEAR(BD!D278),"Standard"),TabRFR[[#Headers],[2021]:[2025]],0)),"Intermédiaire","Supérieur")))))),IF(D278="","",IF(W278+X278&lt;15,"Données Nb pers ou RFR manquantes",IF(COUNTA(INDIRECT("TabRFR["&amp;YEAR(I278)&amp;"]"))&lt;&gt;COUNTA(TabRFR[Recherche RFR]),"Data RFR manquantes", IF(X278&lt;=INDEX(TabRFR[[2021]:[2025]],MATCH(BD!W278&amp;"-Très modestes",TabRFR[Recherche RFR],0),MATCH(TEXT(YEAR(BD!I278),"Standard"),TabRFR[[#Headers],[2021]:[2025]],0)),"Très Modeste",IF(X278&lt;=INDEX(TabRFR[[2021]:[2025]],MATCH(BD!W278&amp;"-modestes",TabRFR[Recherche RFR],0),MATCH(TEXT(YEAR(BD!I278),"Standard"),TabRFR[[#Headers],[2021]:[2025]],0)),"Modeste",IF(X278&lt;=INDEX(TabRFR[[2021]:[2025]],MATCH(BD!W278&amp;"-Intermédiaire",TabRFR[Recherche RFR],0),MATCH(TEXT(YEAR(BD!I278),"Standard"),TabRFR[[#Headers],[2021]:[2025]],0)),"Intermédiaire","Supérieur")))))))</f>
        <v>Data RFR manquantes</v>
      </c>
      <c r="Z278" s="75"/>
      <c r="AA278" s="75" t="s">
        <v>117</v>
      </c>
      <c r="AB278" s="75">
        <v>38500</v>
      </c>
      <c r="AC278" s="75" t="s">
        <v>118</v>
      </c>
      <c r="AD278" s="73"/>
      <c r="AE278" s="102"/>
      <c r="AF278" s="75" t="s">
        <v>95</v>
      </c>
      <c r="AG278" s="75"/>
      <c r="AH278" s="75"/>
      <c r="AI278" s="75"/>
      <c r="AJ278" s="75"/>
      <c r="AK278" s="75"/>
      <c r="AL278" s="75"/>
      <c r="AM278" s="75" t="s">
        <v>4356</v>
      </c>
      <c r="AN278" s="75" t="s">
        <v>96</v>
      </c>
      <c r="AO278" s="75" t="s">
        <v>119</v>
      </c>
      <c r="AP278" s="75" t="s">
        <v>97</v>
      </c>
      <c r="AQ278" s="75"/>
      <c r="AR278" s="74"/>
      <c r="AS278" s="102" t="s">
        <v>120</v>
      </c>
      <c r="AT278" s="73">
        <v>476071461</v>
      </c>
      <c r="AU278" s="75" t="s">
        <v>111</v>
      </c>
      <c r="AV278" s="75">
        <v>1985</v>
      </c>
      <c r="AW278" s="75" t="s">
        <v>100</v>
      </c>
      <c r="AX278" s="75" t="s">
        <v>112</v>
      </c>
      <c r="AY278" s="75" t="s">
        <v>121</v>
      </c>
      <c r="AZ278" s="75" t="s">
        <v>122</v>
      </c>
      <c r="BA278" s="75">
        <v>31</v>
      </c>
      <c r="BB278" s="75">
        <v>6</v>
      </c>
      <c r="BC278" s="75">
        <v>80</v>
      </c>
      <c r="BD278" s="75">
        <v>0.08</v>
      </c>
      <c r="BE278" s="75" t="s">
        <v>97</v>
      </c>
      <c r="BF278" s="75"/>
      <c r="BG278" s="75">
        <f>3006-420</f>
        <v>2586</v>
      </c>
      <c r="BH278" s="75"/>
      <c r="BI278" s="75"/>
      <c r="BJ278" s="75"/>
      <c r="BK278" s="75">
        <v>420</v>
      </c>
      <c r="BL278" s="75">
        <f t="shared" si="12"/>
        <v>3006</v>
      </c>
      <c r="BM278" s="103">
        <f t="shared" si="13"/>
        <v>165.33</v>
      </c>
      <c r="BN278" s="103">
        <f t="shared" si="14"/>
        <v>3171.33</v>
      </c>
      <c r="BO278" s="103">
        <f>2400+731</f>
        <v>3131</v>
      </c>
      <c r="BP278" s="75" t="s">
        <v>97</v>
      </c>
      <c r="BQ278" s="75"/>
      <c r="BR278" s="74">
        <v>43416</v>
      </c>
      <c r="BS278" s="157">
        <v>2018</v>
      </c>
      <c r="BT278">
        <v>2020</v>
      </c>
      <c r="BU278">
        <v>2018</v>
      </c>
    </row>
    <row r="279" spans="1:73" ht="43.15" customHeight="1" x14ac:dyDescent="0.25">
      <c r="A279" s="242" t="s">
        <v>90</v>
      </c>
      <c r="B279" s="242" t="s">
        <v>123</v>
      </c>
      <c r="C279" s="159">
        <v>800</v>
      </c>
      <c r="D279" s="114">
        <v>43034</v>
      </c>
      <c r="E279" s="114"/>
      <c r="F279" s="114"/>
      <c r="G279" s="114"/>
      <c r="H279" s="114">
        <v>43074</v>
      </c>
      <c r="I279" s="114">
        <v>43074</v>
      </c>
      <c r="J279" s="114">
        <v>43178</v>
      </c>
      <c r="K279" s="114"/>
      <c r="L279" s="114">
        <v>43222</v>
      </c>
      <c r="M279" s="114">
        <v>43091</v>
      </c>
      <c r="N279" s="114"/>
      <c r="O279" s="114">
        <v>43236</v>
      </c>
      <c r="P279" s="114">
        <v>43236</v>
      </c>
      <c r="Q279" s="114">
        <v>43258</v>
      </c>
      <c r="R279" s="100"/>
      <c r="S279" s="114"/>
      <c r="T279" s="75"/>
      <c r="U279" s="75"/>
      <c r="V279" s="75"/>
      <c r="W279" s="75">
        <v>4</v>
      </c>
      <c r="X279" s="75">
        <f>20212+13917</f>
        <v>34129</v>
      </c>
      <c r="Y279" s="75" t="str">
        <f ca="1">IF(I279="",IF(D279="","",IF(W279+X279&lt;15,"Données Nb pers ou RFR manquantes",IF(COUNTA(INDIRECT("TabRFR["&amp;YEAR(D279)&amp;"]"))&lt;&gt;COUNTA(TabRFR[Recherche RFR]),"Data RFR manquantes", IF(X279&lt;=INDEX(TabRFR[[2021]:[2025]],MATCH(BD!W279&amp;"-Très modestes",TabRFR[Recherche RFR],0),MATCH(TEXT(YEAR(BD!D279),"Standard"),TabRFR[[#Headers],[2021]:[2025]],0)),"Très Modeste",IF(X279&lt;=INDEX(TabRFR[[2021]:[2025]],MATCH(BD!W279&amp;"-modestes",TabRFR[Recherche RFR],0),MATCH(TEXT(YEAR(BD!D279),"Standard"),TabRFR[[#Headers],[2021]:[2025]],0)),"Modeste",IF(X279&lt;=INDEX(TabRFR[[2021]:[2025]],MATCH(BD!W279&amp;"-Intermédiaire",TabRFR[Recherche RFR],0),MATCH(TEXT(YEAR(BD!D279),"Standard"),TabRFR[[#Headers],[2021]:[2025]],0)),"Intermédiaire","Supérieur")))))),IF(D279="","",IF(W279+X279&lt;15,"Données Nb pers ou RFR manquantes",IF(COUNTA(INDIRECT("TabRFR["&amp;YEAR(I279)&amp;"]"))&lt;&gt;COUNTA(TabRFR[Recherche RFR]),"Data RFR manquantes", IF(X279&lt;=INDEX(TabRFR[[2021]:[2025]],MATCH(BD!W279&amp;"-Très modestes",TabRFR[Recherche RFR],0),MATCH(TEXT(YEAR(BD!I279),"Standard"),TabRFR[[#Headers],[2021]:[2025]],0)),"Très Modeste",IF(X279&lt;=INDEX(TabRFR[[2021]:[2025]],MATCH(BD!W279&amp;"-modestes",TabRFR[Recherche RFR],0),MATCH(TEXT(YEAR(BD!I279),"Standard"),TabRFR[[#Headers],[2021]:[2025]],0)),"Modeste",IF(X279&lt;=INDEX(TabRFR[[2021]:[2025]],MATCH(BD!W279&amp;"-Intermédiaire",TabRFR[Recherche RFR],0),MATCH(TEXT(YEAR(BD!I279),"Standard"),TabRFR[[#Headers],[2021]:[2025]],0)),"Intermédiaire","Supérieur")))))))</f>
        <v>Data RFR manquantes</v>
      </c>
      <c r="Z279" s="75"/>
      <c r="AA279" s="75" t="s">
        <v>124</v>
      </c>
      <c r="AB279" s="75">
        <v>38400</v>
      </c>
      <c r="AC279" s="75" t="s">
        <v>3333</v>
      </c>
      <c r="AD279" s="73"/>
      <c r="AE279" s="102"/>
      <c r="AF279" s="75" t="s">
        <v>125</v>
      </c>
      <c r="AG279" s="75"/>
      <c r="AH279" s="75">
        <v>2017</v>
      </c>
      <c r="AI279" s="75">
        <v>288</v>
      </c>
      <c r="AJ279" s="75" t="s">
        <v>126</v>
      </c>
      <c r="AK279" s="75">
        <v>38500</v>
      </c>
      <c r="AL279" s="75" t="s">
        <v>96</v>
      </c>
      <c r="AM279" s="75" t="s">
        <v>4356</v>
      </c>
      <c r="AN279" s="75" t="s">
        <v>96</v>
      </c>
      <c r="AO279" s="75" t="s">
        <v>119</v>
      </c>
      <c r="AP279" s="75" t="s">
        <v>97</v>
      </c>
      <c r="AQ279" s="75"/>
      <c r="AR279" s="74">
        <v>43407</v>
      </c>
      <c r="AS279" s="102" t="s">
        <v>120</v>
      </c>
      <c r="AT279" s="73">
        <v>476071461</v>
      </c>
      <c r="AU279" s="75" t="s">
        <v>100</v>
      </c>
      <c r="AV279" s="75">
        <v>1999</v>
      </c>
      <c r="AW279" s="75" t="s">
        <v>100</v>
      </c>
      <c r="AX279" s="75" t="s">
        <v>2071</v>
      </c>
      <c r="AY279" s="75" t="s">
        <v>102</v>
      </c>
      <c r="AZ279" s="75" t="s">
        <v>127</v>
      </c>
      <c r="BA279" s="75">
        <v>22</v>
      </c>
      <c r="BB279" s="75">
        <v>8</v>
      </c>
      <c r="BC279" s="75">
        <v>92</v>
      </c>
      <c r="BD279" s="75">
        <v>0.01</v>
      </c>
      <c r="BE279" s="75" t="s">
        <v>97</v>
      </c>
      <c r="BF279" s="75">
        <v>2930</v>
      </c>
      <c r="BG279" s="75">
        <f>4273.73-420</f>
        <v>3853.7299999999996</v>
      </c>
      <c r="BH279" s="75"/>
      <c r="BI279" s="75"/>
      <c r="BJ279" s="75"/>
      <c r="BK279" s="75">
        <v>420</v>
      </c>
      <c r="BL279" s="75">
        <f t="shared" si="12"/>
        <v>4273.7299999999996</v>
      </c>
      <c r="BM279" s="103">
        <f t="shared" si="13"/>
        <v>235.05514999999997</v>
      </c>
      <c r="BN279" s="103">
        <f t="shared" si="14"/>
        <v>4508.7851499999997</v>
      </c>
      <c r="BO279" s="103">
        <v>4482</v>
      </c>
      <c r="BP279" s="75" t="s">
        <v>97</v>
      </c>
      <c r="BQ279" s="75"/>
      <c r="BR279" s="75"/>
      <c r="BS279" s="157">
        <v>2018</v>
      </c>
      <c r="BU279">
        <v>2018</v>
      </c>
    </row>
    <row r="280" spans="1:73" ht="43.15" customHeight="1" x14ac:dyDescent="0.25">
      <c r="A280" s="242" t="s">
        <v>90</v>
      </c>
      <c r="B280" s="242" t="s">
        <v>128</v>
      </c>
      <c r="C280" s="159">
        <v>800</v>
      </c>
      <c r="D280" s="114">
        <v>43035</v>
      </c>
      <c r="E280" s="114"/>
      <c r="F280" s="114">
        <v>43050</v>
      </c>
      <c r="G280" s="114"/>
      <c r="H280" s="114">
        <v>43054</v>
      </c>
      <c r="I280" s="114">
        <v>43054</v>
      </c>
      <c r="J280" s="114">
        <v>43056</v>
      </c>
      <c r="K280" s="114"/>
      <c r="L280" s="114">
        <v>43180</v>
      </c>
      <c r="M280" s="114">
        <v>43069</v>
      </c>
      <c r="N280" s="114"/>
      <c r="O280" s="114">
        <v>43217</v>
      </c>
      <c r="P280" s="114">
        <v>43217</v>
      </c>
      <c r="Q280" s="114">
        <v>43258</v>
      </c>
      <c r="R280" s="100"/>
      <c r="S280" s="114"/>
      <c r="T280" s="75"/>
      <c r="U280" s="75"/>
      <c r="V280" s="75"/>
      <c r="W280" s="75">
        <v>4</v>
      </c>
      <c r="X280" s="75">
        <v>33618</v>
      </c>
      <c r="Y280" s="75" t="str">
        <f ca="1">IF(I280="",IF(D280="","",IF(W280+X280&lt;15,"Données Nb pers ou RFR manquantes",IF(COUNTA(INDIRECT("TabRFR["&amp;YEAR(D280)&amp;"]"))&lt;&gt;COUNTA(TabRFR[Recherche RFR]),"Data RFR manquantes", IF(X280&lt;=INDEX(TabRFR[[2021]:[2025]],MATCH(BD!W280&amp;"-Très modestes",TabRFR[Recherche RFR],0),MATCH(TEXT(YEAR(BD!D280),"Standard"),TabRFR[[#Headers],[2021]:[2025]],0)),"Très Modeste",IF(X280&lt;=INDEX(TabRFR[[2021]:[2025]],MATCH(BD!W280&amp;"-modestes",TabRFR[Recherche RFR],0),MATCH(TEXT(YEAR(BD!D280),"Standard"),TabRFR[[#Headers],[2021]:[2025]],0)),"Modeste",IF(X280&lt;=INDEX(TabRFR[[2021]:[2025]],MATCH(BD!W280&amp;"-Intermédiaire",TabRFR[Recherche RFR],0),MATCH(TEXT(YEAR(BD!D280),"Standard"),TabRFR[[#Headers],[2021]:[2025]],0)),"Intermédiaire","Supérieur")))))),IF(D280="","",IF(W280+X280&lt;15,"Données Nb pers ou RFR manquantes",IF(COUNTA(INDIRECT("TabRFR["&amp;YEAR(I280)&amp;"]"))&lt;&gt;COUNTA(TabRFR[Recherche RFR]),"Data RFR manquantes", IF(X280&lt;=INDEX(TabRFR[[2021]:[2025]],MATCH(BD!W280&amp;"-Très modestes",TabRFR[Recherche RFR],0),MATCH(TEXT(YEAR(BD!I280),"Standard"),TabRFR[[#Headers],[2021]:[2025]],0)),"Très Modeste",IF(X280&lt;=INDEX(TabRFR[[2021]:[2025]],MATCH(BD!W280&amp;"-modestes",TabRFR[Recherche RFR],0),MATCH(TEXT(YEAR(BD!I280),"Standard"),TabRFR[[#Headers],[2021]:[2025]],0)),"Modeste",IF(X280&lt;=INDEX(TabRFR[[2021]:[2025]],MATCH(BD!W280&amp;"-Intermédiaire",TabRFR[Recherche RFR],0),MATCH(TEXT(YEAR(BD!I280),"Standard"),TabRFR[[#Headers],[2021]:[2025]],0)),"Intermédiaire","Supérieur")))))))</f>
        <v>Data RFR manquantes</v>
      </c>
      <c r="Z280" s="75"/>
      <c r="AA280" s="75" t="s">
        <v>130</v>
      </c>
      <c r="AB280" s="75">
        <v>38340</v>
      </c>
      <c r="AC280" s="75" t="s">
        <v>108</v>
      </c>
      <c r="AD280" s="73"/>
      <c r="AE280" s="102"/>
      <c r="AF280" s="75" t="s">
        <v>95</v>
      </c>
      <c r="AG280" s="75"/>
      <c r="AH280" s="75"/>
      <c r="AI280" s="75"/>
      <c r="AJ280" s="75"/>
      <c r="AK280" s="75"/>
      <c r="AL280" s="75"/>
      <c r="AM280" s="75" t="s">
        <v>3969</v>
      </c>
      <c r="AN280" s="75" t="s">
        <v>96</v>
      </c>
      <c r="AO280" s="75" t="s">
        <v>131</v>
      </c>
      <c r="AP280" s="75" t="s">
        <v>97</v>
      </c>
      <c r="AQ280" s="75"/>
      <c r="AR280" s="74"/>
      <c r="AS280" s="102" t="s">
        <v>132</v>
      </c>
      <c r="AT280" s="73">
        <v>951096343</v>
      </c>
      <c r="AU280" s="75" t="s">
        <v>99</v>
      </c>
      <c r="AV280" s="75">
        <v>1990</v>
      </c>
      <c r="AW280" s="75" t="s">
        <v>100</v>
      </c>
      <c r="AX280" s="75" t="s">
        <v>2071</v>
      </c>
      <c r="AY280" s="75" t="s">
        <v>133</v>
      </c>
      <c r="AZ280" s="75" t="s">
        <v>134</v>
      </c>
      <c r="BA280" s="75">
        <v>20</v>
      </c>
      <c r="BB280" s="75">
        <v>7.9</v>
      </c>
      <c r="BC280" s="75">
        <v>89</v>
      </c>
      <c r="BD280" s="75">
        <v>1.7999999999999999E-2</v>
      </c>
      <c r="BE280" s="75" t="s">
        <v>97</v>
      </c>
      <c r="BF280" s="75"/>
      <c r="BG280" s="75">
        <f>6890.82-630</f>
        <v>6260.82</v>
      </c>
      <c r="BH280" s="75"/>
      <c r="BI280" s="75"/>
      <c r="BJ280" s="75"/>
      <c r="BK280" s="75">
        <v>630</v>
      </c>
      <c r="BL280" s="75">
        <f t="shared" si="12"/>
        <v>6890.82</v>
      </c>
      <c r="BM280" s="103">
        <f t="shared" si="13"/>
        <v>378.99509999999998</v>
      </c>
      <c r="BN280" s="103">
        <f t="shared" si="14"/>
        <v>7269.8150999999998</v>
      </c>
      <c r="BO280" s="103"/>
      <c r="BP280" s="75" t="s">
        <v>104</v>
      </c>
      <c r="BQ280" s="75"/>
      <c r="BR280" s="75"/>
      <c r="BS280" s="157">
        <v>2018</v>
      </c>
      <c r="BU280">
        <v>2018</v>
      </c>
    </row>
    <row r="281" spans="1:73" ht="43.15" customHeight="1" x14ac:dyDescent="0.25">
      <c r="A281" s="242" t="s">
        <v>90</v>
      </c>
      <c r="B281" s="242" t="s">
        <v>135</v>
      </c>
      <c r="C281" s="159">
        <v>800</v>
      </c>
      <c r="D281" s="114">
        <v>43035</v>
      </c>
      <c r="E281" s="114"/>
      <c r="F281" s="114"/>
      <c r="G281" s="114"/>
      <c r="H281" s="114">
        <v>43053</v>
      </c>
      <c r="I281" s="114">
        <v>43054</v>
      </c>
      <c r="J281" s="114">
        <v>43077</v>
      </c>
      <c r="K281" s="114"/>
      <c r="L281" s="114">
        <v>43130</v>
      </c>
      <c r="M281" s="114">
        <v>43449</v>
      </c>
      <c r="N281" s="114" t="s">
        <v>136</v>
      </c>
      <c r="O281" s="114">
        <v>43172</v>
      </c>
      <c r="P281" s="114">
        <v>43172</v>
      </c>
      <c r="Q281" s="114">
        <v>43200</v>
      </c>
      <c r="R281" s="100"/>
      <c r="S281" s="114"/>
      <c r="T281" s="75"/>
      <c r="U281" s="75"/>
      <c r="V281" s="75"/>
      <c r="W281" s="75">
        <v>4</v>
      </c>
      <c r="X281" s="75">
        <v>36446</v>
      </c>
      <c r="Y281" s="75" t="str">
        <f ca="1">IF(I281="",IF(D281="","",IF(W281+X281&lt;15,"Données Nb pers ou RFR manquantes",IF(COUNTA(INDIRECT("TabRFR["&amp;YEAR(D281)&amp;"]"))&lt;&gt;COUNTA(TabRFR[Recherche RFR]),"Data RFR manquantes", IF(X281&lt;=INDEX(TabRFR[[2021]:[2025]],MATCH(BD!W281&amp;"-Très modestes",TabRFR[Recherche RFR],0),MATCH(TEXT(YEAR(BD!D281),"Standard"),TabRFR[[#Headers],[2021]:[2025]],0)),"Très Modeste",IF(X281&lt;=INDEX(TabRFR[[2021]:[2025]],MATCH(BD!W281&amp;"-modestes",TabRFR[Recherche RFR],0),MATCH(TEXT(YEAR(BD!D281),"Standard"),TabRFR[[#Headers],[2021]:[2025]],0)),"Modeste",IF(X281&lt;=INDEX(TabRFR[[2021]:[2025]],MATCH(BD!W281&amp;"-Intermédiaire",TabRFR[Recherche RFR],0),MATCH(TEXT(YEAR(BD!D281),"Standard"),TabRFR[[#Headers],[2021]:[2025]],0)),"Intermédiaire","Supérieur")))))),IF(D281="","",IF(W281+X281&lt;15,"Données Nb pers ou RFR manquantes",IF(COUNTA(INDIRECT("TabRFR["&amp;YEAR(I281)&amp;"]"))&lt;&gt;COUNTA(TabRFR[Recherche RFR]),"Data RFR manquantes", IF(X281&lt;=INDEX(TabRFR[[2021]:[2025]],MATCH(BD!W281&amp;"-Très modestes",TabRFR[Recherche RFR],0),MATCH(TEXT(YEAR(BD!I281),"Standard"),TabRFR[[#Headers],[2021]:[2025]],0)),"Très Modeste",IF(X281&lt;=INDEX(TabRFR[[2021]:[2025]],MATCH(BD!W281&amp;"-modestes",TabRFR[Recherche RFR],0),MATCH(TEXT(YEAR(BD!I281),"Standard"),TabRFR[[#Headers],[2021]:[2025]],0)),"Modeste",IF(X281&lt;=INDEX(TabRFR[[2021]:[2025]],MATCH(BD!W281&amp;"-Intermédiaire",TabRFR[Recherche RFR],0),MATCH(TEXT(YEAR(BD!I281),"Standard"),TabRFR[[#Headers],[2021]:[2025]],0)),"Intermédiaire","Supérieur")))))))</f>
        <v>Data RFR manquantes</v>
      </c>
      <c r="Z281" s="75"/>
      <c r="AA281" s="75" t="s">
        <v>138</v>
      </c>
      <c r="AB281" s="75">
        <v>38960</v>
      </c>
      <c r="AC281" s="75" t="s">
        <v>2378</v>
      </c>
      <c r="AD281" s="73"/>
      <c r="AE281" s="102"/>
      <c r="AF281" s="75" t="s">
        <v>95</v>
      </c>
      <c r="AG281" s="75"/>
      <c r="AH281" s="75"/>
      <c r="AI281" s="75"/>
      <c r="AJ281" s="75"/>
      <c r="AK281" s="75"/>
      <c r="AL281" s="75"/>
      <c r="AM281" s="77" t="s">
        <v>3973</v>
      </c>
      <c r="AN281" s="75" t="s">
        <v>96</v>
      </c>
      <c r="AO281" s="75" t="s">
        <v>140</v>
      </c>
      <c r="AP281" s="75" t="s">
        <v>97</v>
      </c>
      <c r="AQ281" s="75"/>
      <c r="AR281" s="74"/>
      <c r="AS281" s="102" t="s">
        <v>141</v>
      </c>
      <c r="AT281" s="73">
        <v>476069938</v>
      </c>
      <c r="AU281" s="75" t="s">
        <v>111</v>
      </c>
      <c r="AV281" s="75" t="s">
        <v>142</v>
      </c>
      <c r="AW281" s="75" t="s">
        <v>143</v>
      </c>
      <c r="AX281" s="75" t="s">
        <v>112</v>
      </c>
      <c r="AY281" s="75" t="s">
        <v>144</v>
      </c>
      <c r="AZ281" s="75" t="s">
        <v>145</v>
      </c>
      <c r="BA281" s="75">
        <v>17</v>
      </c>
      <c r="BB281" s="75">
        <v>9</v>
      </c>
      <c r="BC281" s="75">
        <v>85</v>
      </c>
      <c r="BD281" s="75">
        <v>7.0000000000000007E-2</v>
      </c>
      <c r="BE281" s="75" t="s">
        <v>97</v>
      </c>
      <c r="BF281" s="75"/>
      <c r="BG281" s="75">
        <v>4930</v>
      </c>
      <c r="BH281" s="75"/>
      <c r="BI281" s="75"/>
      <c r="BJ281" s="75"/>
      <c r="BK281" s="75">
        <v>940</v>
      </c>
      <c r="BL281" s="75">
        <f t="shared" si="12"/>
        <v>5870</v>
      </c>
      <c r="BM281" s="103">
        <f t="shared" si="13"/>
        <v>322.85000000000002</v>
      </c>
      <c r="BN281" s="103">
        <f t="shared" si="14"/>
        <v>6192.85</v>
      </c>
      <c r="BO281" s="103">
        <v>5000</v>
      </c>
      <c r="BP281" s="75" t="s">
        <v>97</v>
      </c>
      <c r="BQ281" s="75"/>
      <c r="BR281" s="74">
        <v>43416</v>
      </c>
      <c r="BS281" s="157">
        <v>2018</v>
      </c>
      <c r="BT281">
        <v>2020</v>
      </c>
      <c r="BU281">
        <v>2018</v>
      </c>
    </row>
    <row r="282" spans="1:73" ht="43.15" customHeight="1" x14ac:dyDescent="0.25">
      <c r="A282" s="242" t="s">
        <v>90</v>
      </c>
      <c r="B282" s="242" t="s">
        <v>146</v>
      </c>
      <c r="C282" s="159">
        <v>400</v>
      </c>
      <c r="D282" s="114">
        <v>43035</v>
      </c>
      <c r="E282" s="114"/>
      <c r="F282" s="114">
        <v>43054</v>
      </c>
      <c r="G282" s="114"/>
      <c r="H282" s="114">
        <v>43056</v>
      </c>
      <c r="I282" s="114">
        <v>43056</v>
      </c>
      <c r="J282" s="114">
        <v>43077</v>
      </c>
      <c r="K282" s="114"/>
      <c r="L282" s="114">
        <v>43244</v>
      </c>
      <c r="M282" s="114">
        <v>43238</v>
      </c>
      <c r="N282" s="114"/>
      <c r="O282" s="114">
        <v>43262</v>
      </c>
      <c r="P282" s="114">
        <v>43262</v>
      </c>
      <c r="Q282" s="114">
        <v>43293</v>
      </c>
      <c r="R282" s="80"/>
      <c r="S282" s="114"/>
      <c r="T282" s="75"/>
      <c r="U282" s="75"/>
      <c r="V282" s="75"/>
      <c r="W282" s="75">
        <v>2</v>
      </c>
      <c r="X282" s="75">
        <f>15912+20402</f>
        <v>36314</v>
      </c>
      <c r="Y282" s="75" t="str">
        <f ca="1">IF(I282="",IF(D282="","",IF(W282+X282&lt;15,"Données Nb pers ou RFR manquantes",IF(COUNTA(INDIRECT("TabRFR["&amp;YEAR(D282)&amp;"]"))&lt;&gt;COUNTA(TabRFR[Recherche RFR]),"Data RFR manquantes", IF(X282&lt;=INDEX(TabRFR[[2021]:[2025]],MATCH(BD!W282&amp;"-Très modestes",TabRFR[Recherche RFR],0),MATCH(TEXT(YEAR(BD!D282),"Standard"),TabRFR[[#Headers],[2021]:[2025]],0)),"Très Modeste",IF(X282&lt;=INDEX(TabRFR[[2021]:[2025]],MATCH(BD!W282&amp;"-modestes",TabRFR[Recherche RFR],0),MATCH(TEXT(YEAR(BD!D282),"Standard"),TabRFR[[#Headers],[2021]:[2025]],0)),"Modeste",IF(X282&lt;=INDEX(TabRFR[[2021]:[2025]],MATCH(BD!W282&amp;"-Intermédiaire",TabRFR[Recherche RFR],0),MATCH(TEXT(YEAR(BD!D282),"Standard"),TabRFR[[#Headers],[2021]:[2025]],0)),"Intermédiaire","Supérieur")))))),IF(D282="","",IF(W282+X282&lt;15,"Données Nb pers ou RFR manquantes",IF(COUNTA(INDIRECT("TabRFR["&amp;YEAR(I282)&amp;"]"))&lt;&gt;COUNTA(TabRFR[Recherche RFR]),"Data RFR manquantes", IF(X282&lt;=INDEX(TabRFR[[2021]:[2025]],MATCH(BD!W282&amp;"-Très modestes",TabRFR[Recherche RFR],0),MATCH(TEXT(YEAR(BD!I282),"Standard"),TabRFR[[#Headers],[2021]:[2025]],0)),"Très Modeste",IF(X282&lt;=INDEX(TabRFR[[2021]:[2025]],MATCH(BD!W282&amp;"-modestes",TabRFR[Recherche RFR],0),MATCH(TEXT(YEAR(BD!I282),"Standard"),TabRFR[[#Headers],[2021]:[2025]],0)),"Modeste",IF(X282&lt;=INDEX(TabRFR[[2021]:[2025]],MATCH(BD!W282&amp;"-Intermédiaire",TabRFR[Recherche RFR],0),MATCH(TEXT(YEAR(BD!I282),"Standard"),TabRFR[[#Headers],[2021]:[2025]],0)),"Intermédiaire","Supérieur")))))))</f>
        <v>Data RFR manquantes</v>
      </c>
      <c r="Z282" s="75"/>
      <c r="AA282" s="75" t="s">
        <v>147</v>
      </c>
      <c r="AB282" s="75">
        <v>38850</v>
      </c>
      <c r="AC282" s="75" t="s">
        <v>148</v>
      </c>
      <c r="AD282" s="73"/>
      <c r="AE282" s="102"/>
      <c r="AF282" s="75" t="s">
        <v>95</v>
      </c>
      <c r="AG282" s="75"/>
      <c r="AH282" s="75"/>
      <c r="AI282" s="75"/>
      <c r="AJ282" s="75"/>
      <c r="AK282" s="75"/>
      <c r="AL282" s="75"/>
      <c r="AM282" s="75" t="s">
        <v>4356</v>
      </c>
      <c r="AN282" s="75" t="s">
        <v>96</v>
      </c>
      <c r="AO282" s="75" t="s">
        <v>119</v>
      </c>
      <c r="AP282" s="75" t="s">
        <v>97</v>
      </c>
      <c r="AQ282" s="75"/>
      <c r="AR282" s="74"/>
      <c r="AS282" s="102" t="s">
        <v>120</v>
      </c>
      <c r="AT282" s="73">
        <v>476071461</v>
      </c>
      <c r="AU282" s="75" t="s">
        <v>100</v>
      </c>
      <c r="AV282" s="75">
        <v>1999</v>
      </c>
      <c r="AW282" s="75" t="s">
        <v>100</v>
      </c>
      <c r="AX282" s="75" t="s">
        <v>2071</v>
      </c>
      <c r="AY282" s="75" t="s">
        <v>102</v>
      </c>
      <c r="AZ282" s="75" t="s">
        <v>149</v>
      </c>
      <c r="BA282" s="75">
        <v>17</v>
      </c>
      <c r="BB282" s="75">
        <v>8.1</v>
      </c>
      <c r="BC282" s="75">
        <v>90.9</v>
      </c>
      <c r="BD282" s="75">
        <v>2E-3</v>
      </c>
      <c r="BE282" s="75" t="s">
        <v>97</v>
      </c>
      <c r="BF282" s="75"/>
      <c r="BG282" s="75">
        <v>4101.5</v>
      </c>
      <c r="BH282" s="75"/>
      <c r="BI282" s="75"/>
      <c r="BJ282" s="75"/>
      <c r="BK282" s="75">
        <v>250</v>
      </c>
      <c r="BL282" s="75">
        <f t="shared" si="12"/>
        <v>4351.5</v>
      </c>
      <c r="BM282" s="103">
        <f t="shared" si="13"/>
        <v>239.33250000000001</v>
      </c>
      <c r="BN282" s="103">
        <f t="shared" si="14"/>
        <v>4590.8325000000004</v>
      </c>
      <c r="BO282" s="103">
        <v>4630.92</v>
      </c>
      <c r="BP282" s="75" t="s">
        <v>104</v>
      </c>
      <c r="BQ282" s="75"/>
      <c r="BR282" s="75"/>
      <c r="BS282" s="157">
        <v>2018</v>
      </c>
      <c r="BU282">
        <v>2018</v>
      </c>
    </row>
    <row r="283" spans="1:73" ht="43.15" customHeight="1" x14ac:dyDescent="0.25">
      <c r="A283" s="242" t="s">
        <v>90</v>
      </c>
      <c r="B283" s="242" t="s">
        <v>150</v>
      </c>
      <c r="C283" s="159">
        <v>400</v>
      </c>
      <c r="D283" s="114">
        <v>43039</v>
      </c>
      <c r="E283" s="114"/>
      <c r="F283" s="114"/>
      <c r="G283" s="114"/>
      <c r="H283" s="114">
        <v>43054</v>
      </c>
      <c r="I283" s="114">
        <v>43054</v>
      </c>
      <c r="J283" s="114">
        <v>43056</v>
      </c>
      <c r="K283" s="114"/>
      <c r="L283" s="114">
        <v>43122</v>
      </c>
      <c r="M283" s="114">
        <v>43443</v>
      </c>
      <c r="N283" s="114" t="s">
        <v>151</v>
      </c>
      <c r="O283" s="114">
        <v>43123</v>
      </c>
      <c r="P283" s="114">
        <v>43123</v>
      </c>
      <c r="Q283" s="114">
        <v>43130</v>
      </c>
      <c r="R283" s="80"/>
      <c r="S283" s="114"/>
      <c r="T283" s="75"/>
      <c r="U283" s="75"/>
      <c r="V283" s="75"/>
      <c r="W283" s="75">
        <v>4</v>
      </c>
      <c r="X283" s="75">
        <v>46364</v>
      </c>
      <c r="Y283" s="75" t="str">
        <f ca="1">IF(I283="",IF(D283="","",IF(W283+X283&lt;15,"Données Nb pers ou RFR manquantes",IF(COUNTA(INDIRECT("TabRFR["&amp;YEAR(D283)&amp;"]"))&lt;&gt;COUNTA(TabRFR[Recherche RFR]),"Data RFR manquantes", IF(X283&lt;=INDEX(TabRFR[[2021]:[2025]],MATCH(BD!W283&amp;"-Très modestes",TabRFR[Recherche RFR],0),MATCH(TEXT(YEAR(BD!D283),"Standard"),TabRFR[[#Headers],[2021]:[2025]],0)),"Très Modeste",IF(X283&lt;=INDEX(TabRFR[[2021]:[2025]],MATCH(BD!W283&amp;"-modestes",TabRFR[Recherche RFR],0),MATCH(TEXT(YEAR(BD!D283),"Standard"),TabRFR[[#Headers],[2021]:[2025]],0)),"Modeste",IF(X283&lt;=INDEX(TabRFR[[2021]:[2025]],MATCH(BD!W283&amp;"-Intermédiaire",TabRFR[Recherche RFR],0),MATCH(TEXT(YEAR(BD!D283),"Standard"),TabRFR[[#Headers],[2021]:[2025]],0)),"Intermédiaire","Supérieur")))))),IF(D283="","",IF(W283+X283&lt;15,"Données Nb pers ou RFR manquantes",IF(COUNTA(INDIRECT("TabRFR["&amp;YEAR(I283)&amp;"]"))&lt;&gt;COUNTA(TabRFR[Recherche RFR]),"Data RFR manquantes", IF(X283&lt;=INDEX(TabRFR[[2021]:[2025]],MATCH(BD!W283&amp;"-Très modestes",TabRFR[Recherche RFR],0),MATCH(TEXT(YEAR(BD!I283),"Standard"),TabRFR[[#Headers],[2021]:[2025]],0)),"Très Modeste",IF(X283&lt;=INDEX(TabRFR[[2021]:[2025]],MATCH(BD!W283&amp;"-modestes",TabRFR[Recherche RFR],0),MATCH(TEXT(YEAR(BD!I283),"Standard"),TabRFR[[#Headers],[2021]:[2025]],0)),"Modeste",IF(X283&lt;=INDEX(TabRFR[[2021]:[2025]],MATCH(BD!W283&amp;"-Intermédiaire",TabRFR[Recherche RFR],0),MATCH(TEXT(YEAR(BD!I283),"Standard"),TabRFR[[#Headers],[2021]:[2025]],0)),"Intermédiaire","Supérieur")))))))</f>
        <v>Data RFR manquantes</v>
      </c>
      <c r="Z283" s="75"/>
      <c r="AA283" s="75" t="s">
        <v>152</v>
      </c>
      <c r="AB283" s="75">
        <v>38500</v>
      </c>
      <c r="AC283" s="75" t="s">
        <v>94</v>
      </c>
      <c r="AD283" s="73"/>
      <c r="AE283" s="102"/>
      <c r="AF283" s="75" t="s">
        <v>95</v>
      </c>
      <c r="AG283" s="75"/>
      <c r="AH283" s="75"/>
      <c r="AI283" s="75"/>
      <c r="AJ283" s="75"/>
      <c r="AK283" s="75"/>
      <c r="AL283" s="75"/>
      <c r="AM283" s="75" t="s">
        <v>4031</v>
      </c>
      <c r="AN283" s="75" t="s">
        <v>4109</v>
      </c>
      <c r="AO283" s="75" t="s">
        <v>155</v>
      </c>
      <c r="AP283" s="75" t="s">
        <v>97</v>
      </c>
      <c r="AQ283" s="75"/>
      <c r="AR283" s="74"/>
      <c r="AS283" s="102" t="s">
        <v>156</v>
      </c>
      <c r="AT283" s="73">
        <v>698193037</v>
      </c>
      <c r="AU283" s="75" t="s">
        <v>100</v>
      </c>
      <c r="AV283" s="75">
        <v>2001</v>
      </c>
      <c r="AW283" s="75" t="s">
        <v>100</v>
      </c>
      <c r="AX283" s="75" t="s">
        <v>2071</v>
      </c>
      <c r="AY283" s="75" t="s">
        <v>157</v>
      </c>
      <c r="AZ283" s="75" t="s">
        <v>158</v>
      </c>
      <c r="BA283" s="75">
        <v>12</v>
      </c>
      <c r="BB283" s="75">
        <v>10.5</v>
      </c>
      <c r="BC283" s="75">
        <v>87</v>
      </c>
      <c r="BD283" s="75">
        <v>0.01</v>
      </c>
      <c r="BE283" s="75" t="s">
        <v>97</v>
      </c>
      <c r="BF283" s="75"/>
      <c r="BG283" s="75">
        <f>3498.71-776.48</f>
        <v>2722.23</v>
      </c>
      <c r="BH283" s="75"/>
      <c r="BI283" s="75"/>
      <c r="BJ283" s="75"/>
      <c r="BK283" s="75">
        <v>776.48</v>
      </c>
      <c r="BL283" s="75">
        <f t="shared" si="12"/>
        <v>3498.71</v>
      </c>
      <c r="BM283" s="103">
        <f t="shared" si="13"/>
        <v>192.42904999999999</v>
      </c>
      <c r="BN283" s="103">
        <f t="shared" si="14"/>
        <v>3691.1390500000002</v>
      </c>
      <c r="BO283" s="103">
        <v>3873.67</v>
      </c>
      <c r="BP283" s="75" t="s">
        <v>97</v>
      </c>
      <c r="BQ283" s="75"/>
      <c r="BR283" s="75"/>
      <c r="BS283" s="157">
        <v>2018</v>
      </c>
      <c r="BU283">
        <v>2017</v>
      </c>
    </row>
    <row r="284" spans="1:73" ht="43.15" customHeight="1" x14ac:dyDescent="0.25">
      <c r="A284" s="242" t="s">
        <v>90</v>
      </c>
      <c r="B284" s="242" t="s">
        <v>159</v>
      </c>
      <c r="C284" s="159">
        <v>800</v>
      </c>
      <c r="D284" s="114">
        <v>43045</v>
      </c>
      <c r="E284" s="114"/>
      <c r="F284" s="114"/>
      <c r="G284" s="114"/>
      <c r="H284" s="114">
        <v>43056</v>
      </c>
      <c r="I284" s="114">
        <v>43056</v>
      </c>
      <c r="J284" s="114">
        <v>43077</v>
      </c>
      <c r="K284" s="114"/>
      <c r="L284" s="114">
        <v>43104</v>
      </c>
      <c r="M284" s="114">
        <v>43090</v>
      </c>
      <c r="N284" s="114"/>
      <c r="O284" s="114">
        <v>43109</v>
      </c>
      <c r="P284" s="114">
        <v>43109</v>
      </c>
      <c r="Q284" s="114">
        <v>43130</v>
      </c>
      <c r="R284" s="100"/>
      <c r="S284" s="114"/>
      <c r="T284" s="75"/>
      <c r="U284" s="75"/>
      <c r="V284" s="75"/>
      <c r="W284" s="75">
        <v>5</v>
      </c>
      <c r="X284" s="75">
        <v>30855</v>
      </c>
      <c r="Y284" s="75" t="str">
        <f ca="1">IF(I284="",IF(D284="","",IF(W284+X284&lt;15,"Données Nb pers ou RFR manquantes",IF(COUNTA(INDIRECT("TabRFR["&amp;YEAR(D284)&amp;"]"))&lt;&gt;COUNTA(TabRFR[Recherche RFR]),"Data RFR manquantes", IF(X284&lt;=INDEX(TabRFR[[2021]:[2025]],MATCH(BD!W284&amp;"-Très modestes",TabRFR[Recherche RFR],0),MATCH(TEXT(YEAR(BD!D284),"Standard"),TabRFR[[#Headers],[2021]:[2025]],0)),"Très Modeste",IF(X284&lt;=INDEX(TabRFR[[2021]:[2025]],MATCH(BD!W284&amp;"-modestes",TabRFR[Recherche RFR],0),MATCH(TEXT(YEAR(BD!D284),"Standard"),TabRFR[[#Headers],[2021]:[2025]],0)),"Modeste",IF(X284&lt;=INDEX(TabRFR[[2021]:[2025]],MATCH(BD!W284&amp;"-Intermédiaire",TabRFR[Recherche RFR],0),MATCH(TEXT(YEAR(BD!D284),"Standard"),TabRFR[[#Headers],[2021]:[2025]],0)),"Intermédiaire","Supérieur")))))),IF(D284="","",IF(W284+X284&lt;15,"Données Nb pers ou RFR manquantes",IF(COUNTA(INDIRECT("TabRFR["&amp;YEAR(I284)&amp;"]"))&lt;&gt;COUNTA(TabRFR[Recherche RFR]),"Data RFR manquantes", IF(X284&lt;=INDEX(TabRFR[[2021]:[2025]],MATCH(BD!W284&amp;"-Très modestes",TabRFR[Recherche RFR],0),MATCH(TEXT(YEAR(BD!I284),"Standard"),TabRFR[[#Headers],[2021]:[2025]],0)),"Très Modeste",IF(X284&lt;=INDEX(TabRFR[[2021]:[2025]],MATCH(BD!W284&amp;"-modestes",TabRFR[Recherche RFR],0),MATCH(TEXT(YEAR(BD!I284),"Standard"),TabRFR[[#Headers],[2021]:[2025]],0)),"Modeste",IF(X284&lt;=INDEX(TabRFR[[2021]:[2025]],MATCH(BD!W284&amp;"-Intermédiaire",TabRFR[Recherche RFR],0),MATCH(TEXT(YEAR(BD!I284),"Standard"),TabRFR[[#Headers],[2021]:[2025]],0)),"Intermédiaire","Supérieur")))))))</f>
        <v>Data RFR manquantes</v>
      </c>
      <c r="Z284" s="75"/>
      <c r="AA284" s="75" t="s">
        <v>161</v>
      </c>
      <c r="AB284" s="75">
        <v>38620</v>
      </c>
      <c r="AC284" s="75" t="s">
        <v>3833</v>
      </c>
      <c r="AD284" s="73"/>
      <c r="AE284" s="102"/>
      <c r="AF284" s="75" t="s">
        <v>95</v>
      </c>
      <c r="AG284" s="75"/>
      <c r="AH284" s="75"/>
      <c r="AI284" s="75"/>
      <c r="AJ284" s="75"/>
      <c r="AK284" s="75"/>
      <c r="AL284" s="75"/>
      <c r="AM284" s="75" t="s">
        <v>4236</v>
      </c>
      <c r="AN284" s="75" t="s">
        <v>4091</v>
      </c>
      <c r="AO284" s="75" t="s">
        <v>163</v>
      </c>
      <c r="AP284" s="75" t="s">
        <v>97</v>
      </c>
      <c r="AQ284" s="75"/>
      <c r="AR284" s="74"/>
      <c r="AS284" s="102" t="s">
        <v>164</v>
      </c>
      <c r="AT284" s="73">
        <v>476370350</v>
      </c>
      <c r="AU284" s="75" t="s">
        <v>100</v>
      </c>
      <c r="AV284" s="75">
        <v>2000</v>
      </c>
      <c r="AW284" s="75" t="s">
        <v>100</v>
      </c>
      <c r="AX284" s="75" t="s">
        <v>2071</v>
      </c>
      <c r="AY284" s="75" t="s">
        <v>165</v>
      </c>
      <c r="AZ284" s="75" t="s">
        <v>166</v>
      </c>
      <c r="BA284" s="75">
        <v>2</v>
      </c>
      <c r="BB284" s="75">
        <v>9</v>
      </c>
      <c r="BC284" s="75">
        <v>90</v>
      </c>
      <c r="BD284" s="75">
        <v>0.02</v>
      </c>
      <c r="BE284" s="75" t="s">
        <v>97</v>
      </c>
      <c r="BF284" s="75"/>
      <c r="BG284" s="75">
        <v>3622.7</v>
      </c>
      <c r="BH284" s="75"/>
      <c r="BI284" s="75"/>
      <c r="BJ284" s="75"/>
      <c r="BK284" s="75">
        <v>590</v>
      </c>
      <c r="BL284" s="75">
        <f t="shared" si="12"/>
        <v>4212.7</v>
      </c>
      <c r="BM284" s="103">
        <f t="shared" si="13"/>
        <v>231.6985</v>
      </c>
      <c r="BN284" s="103">
        <f t="shared" si="14"/>
        <v>4444.3985000000002</v>
      </c>
      <c r="BO284" s="103"/>
      <c r="BP284" s="75" t="s">
        <v>97</v>
      </c>
      <c r="BQ284" s="75"/>
      <c r="BR284" s="75"/>
      <c r="BS284" s="157">
        <v>2018</v>
      </c>
      <c r="BU284">
        <v>2018</v>
      </c>
    </row>
    <row r="285" spans="1:73" ht="43.15" customHeight="1" x14ac:dyDescent="0.25">
      <c r="A285" s="242" t="s">
        <v>90</v>
      </c>
      <c r="B285" s="242" t="s">
        <v>167</v>
      </c>
      <c r="C285" s="159">
        <v>800</v>
      </c>
      <c r="D285" s="114">
        <v>43046</v>
      </c>
      <c r="E285" s="114"/>
      <c r="F285" s="114"/>
      <c r="G285" s="114"/>
      <c r="H285" s="114">
        <v>43056</v>
      </c>
      <c r="I285" s="114">
        <v>43056</v>
      </c>
      <c r="J285" s="114">
        <v>43077</v>
      </c>
      <c r="K285" s="114"/>
      <c r="L285" s="114">
        <v>43159</v>
      </c>
      <c r="M285" s="114">
        <v>43089</v>
      </c>
      <c r="N285" s="114"/>
      <c r="O285" s="114">
        <v>43172</v>
      </c>
      <c r="P285" s="114">
        <v>43172</v>
      </c>
      <c r="Q285" s="114">
        <v>43200</v>
      </c>
      <c r="R285" s="100"/>
      <c r="S285" s="114"/>
      <c r="T285" s="75"/>
      <c r="U285" s="75"/>
      <c r="V285" s="75"/>
      <c r="W285" s="75">
        <v>2</v>
      </c>
      <c r="X285" s="75">
        <v>25810</v>
      </c>
      <c r="Y285" s="75" t="str">
        <f ca="1">IF(I285="",IF(D285="","",IF(W285+X285&lt;15,"Données Nb pers ou RFR manquantes",IF(COUNTA(INDIRECT("TabRFR["&amp;YEAR(D285)&amp;"]"))&lt;&gt;COUNTA(TabRFR[Recherche RFR]),"Data RFR manquantes", IF(X285&lt;=INDEX(TabRFR[[2021]:[2025]],MATCH(BD!W285&amp;"-Très modestes",TabRFR[Recherche RFR],0),MATCH(TEXT(YEAR(BD!D285),"Standard"),TabRFR[[#Headers],[2021]:[2025]],0)),"Très Modeste",IF(X285&lt;=INDEX(TabRFR[[2021]:[2025]],MATCH(BD!W285&amp;"-modestes",TabRFR[Recherche RFR],0),MATCH(TEXT(YEAR(BD!D285),"Standard"),TabRFR[[#Headers],[2021]:[2025]],0)),"Modeste",IF(X285&lt;=INDEX(TabRFR[[2021]:[2025]],MATCH(BD!W285&amp;"-Intermédiaire",TabRFR[Recherche RFR],0),MATCH(TEXT(YEAR(BD!D285),"Standard"),TabRFR[[#Headers],[2021]:[2025]],0)),"Intermédiaire","Supérieur")))))),IF(D285="","",IF(W285+X285&lt;15,"Données Nb pers ou RFR manquantes",IF(COUNTA(INDIRECT("TabRFR["&amp;YEAR(I285)&amp;"]"))&lt;&gt;COUNTA(TabRFR[Recherche RFR]),"Data RFR manquantes", IF(X285&lt;=INDEX(TabRFR[[2021]:[2025]],MATCH(BD!W285&amp;"-Très modestes",TabRFR[Recherche RFR],0),MATCH(TEXT(YEAR(BD!I285),"Standard"),TabRFR[[#Headers],[2021]:[2025]],0)),"Très Modeste",IF(X285&lt;=INDEX(TabRFR[[2021]:[2025]],MATCH(BD!W285&amp;"-modestes",TabRFR[Recherche RFR],0),MATCH(TEXT(YEAR(BD!I285),"Standard"),TabRFR[[#Headers],[2021]:[2025]],0)),"Modeste",IF(X285&lt;=INDEX(TabRFR[[2021]:[2025]],MATCH(BD!W285&amp;"-Intermédiaire",TabRFR[Recherche RFR],0),MATCH(TEXT(YEAR(BD!I285),"Standard"),TabRFR[[#Headers],[2021]:[2025]],0)),"Intermédiaire","Supérieur")))))))</f>
        <v>Data RFR manquantes</v>
      </c>
      <c r="Z285" s="75"/>
      <c r="AA285" s="75" t="s">
        <v>169</v>
      </c>
      <c r="AB285" s="75">
        <v>38500</v>
      </c>
      <c r="AC285" s="75" t="s">
        <v>96</v>
      </c>
      <c r="AD285" s="73"/>
      <c r="AE285" s="102"/>
      <c r="AF285" s="75" t="s">
        <v>95</v>
      </c>
      <c r="AG285" s="75"/>
      <c r="AH285" s="75"/>
      <c r="AI285" s="75"/>
      <c r="AJ285" s="75"/>
      <c r="AK285" s="75"/>
      <c r="AL285" s="75"/>
      <c r="AM285" s="75" t="s">
        <v>4385</v>
      </c>
      <c r="AN285" s="75" t="s">
        <v>170</v>
      </c>
      <c r="AO285" s="75"/>
      <c r="AP285" s="75" t="s">
        <v>97</v>
      </c>
      <c r="AQ285" s="75"/>
      <c r="AR285" s="74"/>
      <c r="AS285" s="102" t="s">
        <v>171</v>
      </c>
      <c r="AT285" s="73">
        <v>983486751</v>
      </c>
      <c r="AU285" s="75" t="s">
        <v>172</v>
      </c>
      <c r="AV285" s="75" t="s">
        <v>173</v>
      </c>
      <c r="AW285" s="75" t="s">
        <v>100</v>
      </c>
      <c r="AX285" s="75" t="s">
        <v>112</v>
      </c>
      <c r="AY285" s="75" t="s">
        <v>174</v>
      </c>
      <c r="AZ285" s="75" t="s">
        <v>175</v>
      </c>
      <c r="BA285" s="75">
        <v>40</v>
      </c>
      <c r="BB285" s="75">
        <v>6</v>
      </c>
      <c r="BC285" s="75">
        <v>85</v>
      </c>
      <c r="BD285" s="75">
        <v>0.1</v>
      </c>
      <c r="BE285" s="75" t="s">
        <v>97</v>
      </c>
      <c r="BF285" s="75"/>
      <c r="BG285" s="75">
        <v>3244.38</v>
      </c>
      <c r="BH285" s="75"/>
      <c r="BI285" s="75"/>
      <c r="BJ285" s="75"/>
      <c r="BK285" s="75">
        <v>390</v>
      </c>
      <c r="BL285" s="75">
        <f t="shared" si="12"/>
        <v>3634.38</v>
      </c>
      <c r="BM285" s="103">
        <f t="shared" si="13"/>
        <v>199.89090000000002</v>
      </c>
      <c r="BN285" s="103">
        <f t="shared" si="14"/>
        <v>3834.2709</v>
      </c>
      <c r="BO285" s="103">
        <v>3834.27</v>
      </c>
      <c r="BP285" s="75" t="s">
        <v>97</v>
      </c>
      <c r="BQ285" s="75"/>
      <c r="BR285" s="74">
        <v>43416</v>
      </c>
      <c r="BS285" s="157">
        <v>2018</v>
      </c>
      <c r="BT285">
        <v>2020</v>
      </c>
      <c r="BU285">
        <v>2018</v>
      </c>
    </row>
    <row r="286" spans="1:73" ht="43.15" customHeight="1" x14ac:dyDescent="0.25">
      <c r="A286" s="242" t="s">
        <v>90</v>
      </c>
      <c r="B286" s="242" t="s">
        <v>176</v>
      </c>
      <c r="C286" s="159">
        <v>400</v>
      </c>
      <c r="D286" s="114">
        <v>43047</v>
      </c>
      <c r="E286" s="114"/>
      <c r="F286" s="114"/>
      <c r="G286" s="114"/>
      <c r="H286" s="114">
        <v>43056</v>
      </c>
      <c r="I286" s="114">
        <v>43056</v>
      </c>
      <c r="J286" s="114">
        <v>43080</v>
      </c>
      <c r="K286" s="114"/>
      <c r="L286" s="114">
        <v>43111</v>
      </c>
      <c r="M286" s="114">
        <v>43456</v>
      </c>
      <c r="N286" s="114"/>
      <c r="O286" s="114">
        <v>43123</v>
      </c>
      <c r="P286" s="114">
        <v>43123</v>
      </c>
      <c r="Q286" s="114">
        <v>43130</v>
      </c>
      <c r="R286" s="80"/>
      <c r="S286" s="114"/>
      <c r="T286" s="75"/>
      <c r="U286" s="75"/>
      <c r="V286" s="75"/>
      <c r="W286" s="75">
        <v>2</v>
      </c>
      <c r="X286" s="75">
        <v>39591</v>
      </c>
      <c r="Y286" s="75" t="str">
        <f ca="1">IF(I286="",IF(D286="","",IF(W286+X286&lt;15,"Données Nb pers ou RFR manquantes",IF(COUNTA(INDIRECT("TabRFR["&amp;YEAR(D286)&amp;"]"))&lt;&gt;COUNTA(TabRFR[Recherche RFR]),"Data RFR manquantes", IF(X286&lt;=INDEX(TabRFR[[2021]:[2025]],MATCH(BD!W286&amp;"-Très modestes",TabRFR[Recherche RFR],0),MATCH(TEXT(YEAR(BD!D286),"Standard"),TabRFR[[#Headers],[2021]:[2025]],0)),"Très Modeste",IF(X286&lt;=INDEX(TabRFR[[2021]:[2025]],MATCH(BD!W286&amp;"-modestes",TabRFR[Recherche RFR],0),MATCH(TEXT(YEAR(BD!D286),"Standard"),TabRFR[[#Headers],[2021]:[2025]],0)),"Modeste",IF(X286&lt;=INDEX(TabRFR[[2021]:[2025]],MATCH(BD!W286&amp;"-Intermédiaire",TabRFR[Recherche RFR],0),MATCH(TEXT(YEAR(BD!D286),"Standard"),TabRFR[[#Headers],[2021]:[2025]],0)),"Intermédiaire","Supérieur")))))),IF(D286="","",IF(W286+X286&lt;15,"Données Nb pers ou RFR manquantes",IF(COUNTA(INDIRECT("TabRFR["&amp;YEAR(I286)&amp;"]"))&lt;&gt;COUNTA(TabRFR[Recherche RFR]),"Data RFR manquantes", IF(X286&lt;=INDEX(TabRFR[[2021]:[2025]],MATCH(BD!W286&amp;"-Très modestes",TabRFR[Recherche RFR],0),MATCH(TEXT(YEAR(BD!I286),"Standard"),TabRFR[[#Headers],[2021]:[2025]],0)),"Très Modeste",IF(X286&lt;=INDEX(TabRFR[[2021]:[2025]],MATCH(BD!W286&amp;"-modestes",TabRFR[Recherche RFR],0),MATCH(TEXT(YEAR(BD!I286),"Standard"),TabRFR[[#Headers],[2021]:[2025]],0)),"Modeste",IF(X286&lt;=INDEX(TabRFR[[2021]:[2025]],MATCH(BD!W286&amp;"-Intermédiaire",TabRFR[Recherche RFR],0),MATCH(TEXT(YEAR(BD!I286),"Standard"),TabRFR[[#Headers],[2021]:[2025]],0)),"Intermédiaire","Supérieur")))))))</f>
        <v>Data RFR manquantes</v>
      </c>
      <c r="Z286" s="75"/>
      <c r="AA286" s="75" t="s">
        <v>178</v>
      </c>
      <c r="AB286" s="75">
        <v>38500</v>
      </c>
      <c r="AC286" s="75" t="s">
        <v>94</v>
      </c>
      <c r="AD286" s="73"/>
      <c r="AE286" s="102"/>
      <c r="AF286" s="75" t="s">
        <v>95</v>
      </c>
      <c r="AG286" s="75"/>
      <c r="AH286" s="75"/>
      <c r="AI286" s="75"/>
      <c r="AJ286" s="75"/>
      <c r="AK286" s="75"/>
      <c r="AL286" s="75"/>
      <c r="AM286" s="75" t="s">
        <v>4348</v>
      </c>
      <c r="AN286" s="75" t="s">
        <v>96</v>
      </c>
      <c r="AO286" s="75"/>
      <c r="AP286" s="75" t="s">
        <v>97</v>
      </c>
      <c r="AQ286" s="75"/>
      <c r="AR286" s="74"/>
      <c r="AS286" s="102" t="s">
        <v>98</v>
      </c>
      <c r="AT286" s="73">
        <v>476323235</v>
      </c>
      <c r="AU286" s="75" t="s">
        <v>99</v>
      </c>
      <c r="AV286" s="75">
        <v>1989</v>
      </c>
      <c r="AW286" s="75" t="s">
        <v>100</v>
      </c>
      <c r="AX286" s="75" t="s">
        <v>2071</v>
      </c>
      <c r="AY286" s="75" t="s">
        <v>102</v>
      </c>
      <c r="AZ286" s="75" t="s">
        <v>179</v>
      </c>
      <c r="BA286" s="75">
        <v>18</v>
      </c>
      <c r="BB286" s="75">
        <v>10</v>
      </c>
      <c r="BC286" s="75">
        <v>90.4</v>
      </c>
      <c r="BD286" s="75">
        <v>0.01</v>
      </c>
      <c r="BE286" s="75" t="s">
        <v>97</v>
      </c>
      <c r="BF286" s="75"/>
      <c r="BG286" s="75">
        <v>3460</v>
      </c>
      <c r="BH286" s="75"/>
      <c r="BI286" s="75"/>
      <c r="BJ286" s="75"/>
      <c r="BK286" s="75">
        <v>1000</v>
      </c>
      <c r="BL286" s="75">
        <f t="shared" si="12"/>
        <v>4460</v>
      </c>
      <c r="BM286" s="103">
        <f t="shared" si="13"/>
        <v>245.3</v>
      </c>
      <c r="BN286" s="103">
        <f t="shared" si="14"/>
        <v>4705.3</v>
      </c>
      <c r="BO286" s="103">
        <v>4194.68</v>
      </c>
      <c r="BP286" s="75" t="s">
        <v>97</v>
      </c>
      <c r="BQ286" s="75"/>
      <c r="BR286" s="75"/>
      <c r="BS286" s="157">
        <v>2018</v>
      </c>
      <c r="BU286">
        <v>2018</v>
      </c>
    </row>
    <row r="287" spans="1:73" ht="43.15" customHeight="1" x14ac:dyDescent="0.25">
      <c r="A287" s="242" t="s">
        <v>90</v>
      </c>
      <c r="B287" s="242" t="s">
        <v>180</v>
      </c>
      <c r="C287" s="159">
        <v>400</v>
      </c>
      <c r="D287" s="114">
        <v>43048</v>
      </c>
      <c r="E287" s="114"/>
      <c r="F287" s="114"/>
      <c r="G287" s="114"/>
      <c r="H287" s="114">
        <v>43056</v>
      </c>
      <c r="I287" s="114">
        <v>43056</v>
      </c>
      <c r="J287" s="114">
        <v>43080</v>
      </c>
      <c r="K287" s="114"/>
      <c r="L287" s="114">
        <v>43145</v>
      </c>
      <c r="M287" s="114">
        <v>43091</v>
      </c>
      <c r="N287" s="114"/>
      <c r="O287" s="114">
        <v>43172</v>
      </c>
      <c r="P287" s="114">
        <v>43172</v>
      </c>
      <c r="Q287" s="114">
        <v>43200</v>
      </c>
      <c r="R287" s="80"/>
      <c r="S287" s="114"/>
      <c r="T287" s="75"/>
      <c r="U287" s="75"/>
      <c r="V287" s="75"/>
      <c r="W287" s="75">
        <v>4</v>
      </c>
      <c r="X287" s="75">
        <v>57803</v>
      </c>
      <c r="Y287" s="75" t="str">
        <f ca="1">IF(I287="",IF(D287="","",IF(W287+X287&lt;15,"Données Nb pers ou RFR manquantes",IF(COUNTA(INDIRECT("TabRFR["&amp;YEAR(D287)&amp;"]"))&lt;&gt;COUNTA(TabRFR[Recherche RFR]),"Data RFR manquantes", IF(X287&lt;=INDEX(TabRFR[[2021]:[2025]],MATCH(BD!W287&amp;"-Très modestes",TabRFR[Recherche RFR],0),MATCH(TEXT(YEAR(BD!D287),"Standard"),TabRFR[[#Headers],[2021]:[2025]],0)),"Très Modeste",IF(X287&lt;=INDEX(TabRFR[[2021]:[2025]],MATCH(BD!W287&amp;"-modestes",TabRFR[Recherche RFR],0),MATCH(TEXT(YEAR(BD!D287),"Standard"),TabRFR[[#Headers],[2021]:[2025]],0)),"Modeste",IF(X287&lt;=INDEX(TabRFR[[2021]:[2025]],MATCH(BD!W287&amp;"-Intermédiaire",TabRFR[Recherche RFR],0),MATCH(TEXT(YEAR(BD!D287),"Standard"),TabRFR[[#Headers],[2021]:[2025]],0)),"Intermédiaire","Supérieur")))))),IF(D287="","",IF(W287+X287&lt;15,"Données Nb pers ou RFR manquantes",IF(COUNTA(INDIRECT("TabRFR["&amp;YEAR(I287)&amp;"]"))&lt;&gt;COUNTA(TabRFR[Recherche RFR]),"Data RFR manquantes", IF(X287&lt;=INDEX(TabRFR[[2021]:[2025]],MATCH(BD!W287&amp;"-Très modestes",TabRFR[Recherche RFR],0),MATCH(TEXT(YEAR(BD!I287),"Standard"),TabRFR[[#Headers],[2021]:[2025]],0)),"Très Modeste",IF(X287&lt;=INDEX(TabRFR[[2021]:[2025]],MATCH(BD!W287&amp;"-modestes",TabRFR[Recherche RFR],0),MATCH(TEXT(YEAR(BD!I287),"Standard"),TabRFR[[#Headers],[2021]:[2025]],0)),"Modeste",IF(X287&lt;=INDEX(TabRFR[[2021]:[2025]],MATCH(BD!W287&amp;"-Intermédiaire",TabRFR[Recherche RFR],0),MATCH(TEXT(YEAR(BD!I287),"Standard"),TabRFR[[#Headers],[2021]:[2025]],0)),"Intermédiaire","Supérieur")))))))</f>
        <v>Data RFR manquantes</v>
      </c>
      <c r="Z287" s="75"/>
      <c r="AA287" s="75" t="s">
        <v>181</v>
      </c>
      <c r="AB287" s="75">
        <v>38340</v>
      </c>
      <c r="AC287" s="75" t="s">
        <v>108</v>
      </c>
      <c r="AD287" s="73"/>
      <c r="AE287" s="102"/>
      <c r="AF287" s="75" t="s">
        <v>95</v>
      </c>
      <c r="AG287" s="75"/>
      <c r="AH287" s="75">
        <v>1997</v>
      </c>
      <c r="AI287" s="75"/>
      <c r="AJ287" s="75"/>
      <c r="AK287" s="75"/>
      <c r="AL287" s="75"/>
      <c r="AM287" s="75" t="s">
        <v>4386</v>
      </c>
      <c r="AN287" s="75" t="s">
        <v>182</v>
      </c>
      <c r="AO287" s="75"/>
      <c r="AP287" s="75" t="s">
        <v>97</v>
      </c>
      <c r="AQ287" s="75"/>
      <c r="AR287" s="74"/>
      <c r="AS287" s="102" t="s">
        <v>183</v>
      </c>
      <c r="AT287" s="73">
        <v>479542447</v>
      </c>
      <c r="AU287" s="75" t="s">
        <v>99</v>
      </c>
      <c r="AV287" s="75">
        <v>1998</v>
      </c>
      <c r="AW287" s="75" t="s">
        <v>100</v>
      </c>
      <c r="AX287" s="75" t="s">
        <v>2071</v>
      </c>
      <c r="AY287" s="75" t="s">
        <v>184</v>
      </c>
      <c r="AZ287" s="75" t="s">
        <v>185</v>
      </c>
      <c r="BA287" s="75">
        <v>20</v>
      </c>
      <c r="BB287" s="75">
        <v>10.3</v>
      </c>
      <c r="BC287" s="75">
        <v>94.1</v>
      </c>
      <c r="BD287" s="75">
        <v>0.01</v>
      </c>
      <c r="BE287" s="75" t="s">
        <v>97</v>
      </c>
      <c r="BF287" s="75"/>
      <c r="BG287" s="75">
        <v>5265</v>
      </c>
      <c r="BH287" s="75"/>
      <c r="BI287" s="75"/>
      <c r="BJ287" s="75"/>
      <c r="BK287" s="75">
        <v>450</v>
      </c>
      <c r="BL287" s="75">
        <f t="shared" si="12"/>
        <v>5715</v>
      </c>
      <c r="BM287" s="103">
        <f t="shared" si="13"/>
        <v>314.32499999999999</v>
      </c>
      <c r="BN287" s="103">
        <f t="shared" si="14"/>
        <v>6029.3249999999998</v>
      </c>
      <c r="BO287" s="103">
        <v>4395.1099999999997</v>
      </c>
      <c r="BP287" s="75" t="s">
        <v>97</v>
      </c>
      <c r="BQ287" s="75"/>
      <c r="BR287" s="75"/>
      <c r="BS287" s="157">
        <v>2018</v>
      </c>
      <c r="BU287">
        <v>2018</v>
      </c>
    </row>
    <row r="288" spans="1:73" ht="43.15" customHeight="1" x14ac:dyDescent="0.25">
      <c r="A288" s="242" t="s">
        <v>186</v>
      </c>
      <c r="B288" s="242" t="s">
        <v>187</v>
      </c>
      <c r="C288" s="159">
        <v>400</v>
      </c>
      <c r="D288" s="114">
        <v>43049</v>
      </c>
      <c r="E288" s="114"/>
      <c r="F288" s="114"/>
      <c r="G288" s="114"/>
      <c r="H288" s="114">
        <v>43061</v>
      </c>
      <c r="I288" s="114">
        <v>43061</v>
      </c>
      <c r="J288" s="114">
        <v>43080</v>
      </c>
      <c r="K288" s="114"/>
      <c r="L288" s="114">
        <v>43104</v>
      </c>
      <c r="M288" s="114">
        <v>43076</v>
      </c>
      <c r="N288" s="114"/>
      <c r="O288" s="114">
        <v>43109</v>
      </c>
      <c r="P288" s="114">
        <v>43109</v>
      </c>
      <c r="Q288" s="114">
        <v>43130</v>
      </c>
      <c r="R288" s="80"/>
      <c r="S288" s="114"/>
      <c r="T288" s="75"/>
      <c r="U288" s="75"/>
      <c r="V288" s="75"/>
      <c r="W288" s="75">
        <v>2</v>
      </c>
      <c r="X288" s="75">
        <v>37357</v>
      </c>
      <c r="Y288" s="75" t="str">
        <f ca="1">IF(I288="",IF(D288="","",IF(W288+X288&lt;15,"Données Nb pers ou RFR manquantes",IF(COUNTA(INDIRECT("TabRFR["&amp;YEAR(D288)&amp;"]"))&lt;&gt;COUNTA(TabRFR[Recherche RFR]),"Data RFR manquantes", IF(X288&lt;=INDEX(TabRFR[[2021]:[2025]],MATCH(BD!W288&amp;"-Très modestes",TabRFR[Recherche RFR],0),MATCH(TEXT(YEAR(BD!D288),"Standard"),TabRFR[[#Headers],[2021]:[2025]],0)),"Très Modeste",IF(X288&lt;=INDEX(TabRFR[[2021]:[2025]],MATCH(BD!W288&amp;"-modestes",TabRFR[Recherche RFR],0),MATCH(TEXT(YEAR(BD!D288),"Standard"),TabRFR[[#Headers],[2021]:[2025]],0)),"Modeste",IF(X288&lt;=INDEX(TabRFR[[2021]:[2025]],MATCH(BD!W288&amp;"-Intermédiaire",TabRFR[Recherche RFR],0),MATCH(TEXT(YEAR(BD!D288),"Standard"),TabRFR[[#Headers],[2021]:[2025]],0)),"Intermédiaire","Supérieur")))))),IF(D288="","",IF(W288+X288&lt;15,"Données Nb pers ou RFR manquantes",IF(COUNTA(INDIRECT("TabRFR["&amp;YEAR(I288)&amp;"]"))&lt;&gt;COUNTA(TabRFR[Recherche RFR]),"Data RFR manquantes", IF(X288&lt;=INDEX(TabRFR[[2021]:[2025]],MATCH(BD!W288&amp;"-Très modestes",TabRFR[Recherche RFR],0),MATCH(TEXT(YEAR(BD!I288),"Standard"),TabRFR[[#Headers],[2021]:[2025]],0)),"Très Modeste",IF(X288&lt;=INDEX(TabRFR[[2021]:[2025]],MATCH(BD!W288&amp;"-modestes",TabRFR[Recherche RFR],0),MATCH(TEXT(YEAR(BD!I288),"Standard"),TabRFR[[#Headers],[2021]:[2025]],0)),"Modeste",IF(X288&lt;=INDEX(TabRFR[[2021]:[2025]],MATCH(BD!W288&amp;"-Intermédiaire",TabRFR[Recherche RFR],0),MATCH(TEXT(YEAR(BD!I288),"Standard"),TabRFR[[#Headers],[2021]:[2025]],0)),"Intermédiaire","Supérieur")))))))</f>
        <v>Data RFR manquantes</v>
      </c>
      <c r="Z288" s="75"/>
      <c r="AA288" s="75" t="s">
        <v>189</v>
      </c>
      <c r="AB288" s="75">
        <v>38340</v>
      </c>
      <c r="AC288" s="75" t="s">
        <v>108</v>
      </c>
      <c r="AD288" s="73"/>
      <c r="AE288" s="102"/>
      <c r="AF288" s="75" t="s">
        <v>95</v>
      </c>
      <c r="AG288" s="75"/>
      <c r="AH288" s="75">
        <v>28672</v>
      </c>
      <c r="AI288" s="75"/>
      <c r="AJ288" s="75"/>
      <c r="AK288" s="75"/>
      <c r="AL288" s="75"/>
      <c r="AM288" s="75" t="s">
        <v>4356</v>
      </c>
      <c r="AN288" s="75" t="s">
        <v>96</v>
      </c>
      <c r="AO288" s="75" t="s">
        <v>119</v>
      </c>
      <c r="AP288" s="75" t="s">
        <v>97</v>
      </c>
      <c r="AQ288" s="75"/>
      <c r="AR288" s="74">
        <v>43407</v>
      </c>
      <c r="AS288" s="102" t="s">
        <v>120</v>
      </c>
      <c r="AT288" s="73">
        <v>476071461</v>
      </c>
      <c r="AU288" s="75" t="s">
        <v>111</v>
      </c>
      <c r="AV288" s="75">
        <v>1999</v>
      </c>
      <c r="AW288" s="75" t="s">
        <v>100</v>
      </c>
      <c r="AX288" s="75" t="s">
        <v>112</v>
      </c>
      <c r="AY288" s="75" t="s">
        <v>190</v>
      </c>
      <c r="AZ288" s="75" t="s">
        <v>191</v>
      </c>
      <c r="BA288" s="75">
        <v>36</v>
      </c>
      <c r="BB288" s="75">
        <v>6</v>
      </c>
      <c r="BC288" s="75">
        <v>80</v>
      </c>
      <c r="BD288" s="75">
        <v>0.1</v>
      </c>
      <c r="BE288" s="75" t="s">
        <v>97</v>
      </c>
      <c r="BF288" s="75"/>
      <c r="BG288" s="75">
        <v>2559.2399999999998</v>
      </c>
      <c r="BH288" s="75"/>
      <c r="BI288" s="75"/>
      <c r="BJ288" s="75"/>
      <c r="BK288" s="75">
        <v>420</v>
      </c>
      <c r="BL288" s="75">
        <f t="shared" si="12"/>
        <v>2979.24</v>
      </c>
      <c r="BM288" s="103">
        <f t="shared" si="13"/>
        <v>163.85819999999998</v>
      </c>
      <c r="BN288" s="103">
        <f t="shared" si="14"/>
        <v>3143.0981999999999</v>
      </c>
      <c r="BO288" s="103">
        <v>3500</v>
      </c>
      <c r="BP288" s="75" t="s">
        <v>104</v>
      </c>
      <c r="BQ288" s="75"/>
      <c r="BR288" s="74">
        <v>43416</v>
      </c>
      <c r="BS288" s="157">
        <v>2018</v>
      </c>
      <c r="BT288">
        <v>2020</v>
      </c>
      <c r="BU288">
        <v>2018</v>
      </c>
    </row>
    <row r="289" spans="1:73" ht="43.15" customHeight="1" x14ac:dyDescent="0.25">
      <c r="A289" s="242" t="s">
        <v>186</v>
      </c>
      <c r="B289" s="242" t="s">
        <v>192</v>
      </c>
      <c r="C289" s="159">
        <v>400</v>
      </c>
      <c r="D289" s="114">
        <v>43052</v>
      </c>
      <c r="E289" s="114"/>
      <c r="F289" s="114"/>
      <c r="G289" s="114"/>
      <c r="H289" s="114">
        <v>43061</v>
      </c>
      <c r="I289" s="114">
        <v>43061</v>
      </c>
      <c r="J289" s="114">
        <v>43080</v>
      </c>
      <c r="K289" s="114"/>
      <c r="L289" s="114">
        <v>43143</v>
      </c>
      <c r="M289" s="114">
        <v>43100</v>
      </c>
      <c r="N289" s="114" t="s">
        <v>193</v>
      </c>
      <c r="O289" s="114">
        <v>43173</v>
      </c>
      <c r="P289" s="114">
        <v>43173</v>
      </c>
      <c r="Q289" s="114">
        <v>43200</v>
      </c>
      <c r="R289" s="80"/>
      <c r="S289" s="114"/>
      <c r="T289" s="75"/>
      <c r="U289" s="75"/>
      <c r="V289" s="75"/>
      <c r="W289" s="75">
        <v>4</v>
      </c>
      <c r="X289" s="75">
        <v>64281</v>
      </c>
      <c r="Y289" s="75" t="str">
        <f ca="1">IF(I289="",IF(D289="","",IF(W289+X289&lt;15,"Données Nb pers ou RFR manquantes",IF(COUNTA(INDIRECT("TabRFR["&amp;YEAR(D289)&amp;"]"))&lt;&gt;COUNTA(TabRFR[Recherche RFR]),"Data RFR manquantes", IF(X289&lt;=INDEX(TabRFR[[2021]:[2025]],MATCH(BD!W289&amp;"-Très modestes",TabRFR[Recherche RFR],0),MATCH(TEXT(YEAR(BD!D289),"Standard"),TabRFR[[#Headers],[2021]:[2025]],0)),"Très Modeste",IF(X289&lt;=INDEX(TabRFR[[2021]:[2025]],MATCH(BD!W289&amp;"-modestes",TabRFR[Recherche RFR],0),MATCH(TEXT(YEAR(BD!D289),"Standard"),TabRFR[[#Headers],[2021]:[2025]],0)),"Modeste",IF(X289&lt;=INDEX(TabRFR[[2021]:[2025]],MATCH(BD!W289&amp;"-Intermédiaire",TabRFR[Recherche RFR],0),MATCH(TEXT(YEAR(BD!D289),"Standard"),TabRFR[[#Headers],[2021]:[2025]],0)),"Intermédiaire","Supérieur")))))),IF(D289="","",IF(W289+X289&lt;15,"Données Nb pers ou RFR manquantes",IF(COUNTA(INDIRECT("TabRFR["&amp;YEAR(I289)&amp;"]"))&lt;&gt;COUNTA(TabRFR[Recherche RFR]),"Data RFR manquantes", IF(X289&lt;=INDEX(TabRFR[[2021]:[2025]],MATCH(BD!W289&amp;"-Très modestes",TabRFR[Recherche RFR],0),MATCH(TEXT(YEAR(BD!I289),"Standard"),TabRFR[[#Headers],[2021]:[2025]],0)),"Très Modeste",IF(X289&lt;=INDEX(TabRFR[[2021]:[2025]],MATCH(BD!W289&amp;"-modestes",TabRFR[Recherche RFR],0),MATCH(TEXT(YEAR(BD!I289),"Standard"),TabRFR[[#Headers],[2021]:[2025]],0)),"Modeste",IF(X289&lt;=INDEX(TabRFR[[2021]:[2025]],MATCH(BD!W289&amp;"-Intermédiaire",TabRFR[Recherche RFR],0),MATCH(TEXT(YEAR(BD!I289),"Standard"),TabRFR[[#Headers],[2021]:[2025]],0)),"Intermédiaire","Supérieur")))))))</f>
        <v>Data RFR manquantes</v>
      </c>
      <c r="Z289" s="75"/>
      <c r="AA289" s="75" t="s">
        <v>194</v>
      </c>
      <c r="AB289" s="75">
        <v>38210</v>
      </c>
      <c r="AC289" s="75" t="s">
        <v>195</v>
      </c>
      <c r="AD289" s="73"/>
      <c r="AE289" s="102"/>
      <c r="AF289" s="75" t="s">
        <v>95</v>
      </c>
      <c r="AG289" s="75"/>
      <c r="AH289" s="131">
        <v>43025</v>
      </c>
      <c r="AI289" s="75"/>
      <c r="AJ289" s="75"/>
      <c r="AK289" s="75"/>
      <c r="AL289" s="75"/>
      <c r="AM289" s="75" t="s">
        <v>1886</v>
      </c>
      <c r="AN289" s="75" t="s">
        <v>195</v>
      </c>
      <c r="AO289" s="75" t="s">
        <v>196</v>
      </c>
      <c r="AP289" s="75" t="s">
        <v>97</v>
      </c>
      <c r="AQ289" s="75"/>
      <c r="AR289" s="74">
        <v>43309</v>
      </c>
      <c r="AS289" s="102" t="s">
        <v>197</v>
      </c>
      <c r="AT289" s="73">
        <v>476065876</v>
      </c>
      <c r="AU289" s="75" t="s">
        <v>99</v>
      </c>
      <c r="AV289" s="75">
        <v>1980</v>
      </c>
      <c r="AW289" s="75" t="s">
        <v>100</v>
      </c>
      <c r="AX289" s="75" t="s">
        <v>2071</v>
      </c>
      <c r="AY289" s="75" t="s">
        <v>165</v>
      </c>
      <c r="AZ289" s="75" t="s">
        <v>198</v>
      </c>
      <c r="BA289" s="75">
        <v>16</v>
      </c>
      <c r="BB289" s="75">
        <v>9.1</v>
      </c>
      <c r="BC289" s="75">
        <v>91.8</v>
      </c>
      <c r="BD289" s="75">
        <v>0</v>
      </c>
      <c r="BE289" s="75" t="s">
        <v>97</v>
      </c>
      <c r="BF289" s="75"/>
      <c r="BG289" s="75">
        <v>2564.6999999999998</v>
      </c>
      <c r="BH289" s="75"/>
      <c r="BI289" s="75"/>
      <c r="BJ289" s="75"/>
      <c r="BK289" s="75">
        <v>640</v>
      </c>
      <c r="BL289" s="75">
        <f t="shared" si="12"/>
        <v>3204.7</v>
      </c>
      <c r="BM289" s="103">
        <f t="shared" si="13"/>
        <v>176.2585</v>
      </c>
      <c r="BN289" s="103">
        <f t="shared" si="14"/>
        <v>3380.9584999999997</v>
      </c>
      <c r="BO289" s="103">
        <v>3052.11</v>
      </c>
      <c r="BP289" s="75" t="s">
        <v>97</v>
      </c>
      <c r="BQ289" s="75"/>
      <c r="BR289" s="75"/>
      <c r="BS289" s="157">
        <v>2018</v>
      </c>
      <c r="BU289">
        <v>2018</v>
      </c>
    </row>
    <row r="290" spans="1:73" ht="43.15" customHeight="1" x14ac:dyDescent="0.25">
      <c r="A290" s="29" t="s">
        <v>186</v>
      </c>
      <c r="B290" s="29" t="s">
        <v>199</v>
      </c>
      <c r="C290" s="161" t="s">
        <v>9</v>
      </c>
      <c r="D290" s="110">
        <v>43053</v>
      </c>
      <c r="E290" s="110"/>
      <c r="F290" s="110"/>
      <c r="G290" s="110"/>
      <c r="H290" s="110"/>
      <c r="I290" s="110"/>
      <c r="J290" s="110"/>
      <c r="K290" s="110"/>
      <c r="L290" s="110"/>
      <c r="M290" s="110"/>
      <c r="N290" s="110"/>
      <c r="O290" s="110"/>
      <c r="P290" s="110"/>
      <c r="Q290" s="110"/>
      <c r="R290" s="109"/>
      <c r="S290" s="110">
        <v>43061</v>
      </c>
      <c r="T290" s="111" t="s">
        <v>200</v>
      </c>
      <c r="U290" s="111"/>
      <c r="V290" s="111"/>
      <c r="W290" s="111">
        <v>1</v>
      </c>
      <c r="X290" s="111">
        <v>48791</v>
      </c>
      <c r="Y290" s="75" t="str">
        <f ca="1">IF(I290="",IF(D290="","",IF(W290+X290&lt;15,"Données Nb pers ou RFR manquantes",IF(COUNTA(INDIRECT("TabRFR["&amp;YEAR(D290)&amp;"]"))&lt;&gt;COUNTA(TabRFR[Recherche RFR]),"Data RFR manquantes", IF(X290&lt;=INDEX(TabRFR[[2021]:[2025]],MATCH(BD!W290&amp;"-Très modestes",TabRFR[Recherche RFR],0),MATCH(TEXT(YEAR(BD!D290),"Standard"),TabRFR[[#Headers],[2021]:[2025]],0)),"Très Modeste",IF(X290&lt;=INDEX(TabRFR[[2021]:[2025]],MATCH(BD!W290&amp;"-modestes",TabRFR[Recherche RFR],0),MATCH(TEXT(YEAR(BD!D290),"Standard"),TabRFR[[#Headers],[2021]:[2025]],0)),"Modeste",IF(X290&lt;=INDEX(TabRFR[[2021]:[2025]],MATCH(BD!W290&amp;"-Intermédiaire",TabRFR[Recherche RFR],0),MATCH(TEXT(YEAR(BD!D290),"Standard"),TabRFR[[#Headers],[2021]:[2025]],0)),"Intermédiaire","Supérieur")))))),IF(D290="","",IF(W290+X290&lt;15,"Données Nb pers ou RFR manquantes",IF(COUNTA(INDIRECT("TabRFR["&amp;YEAR(I290)&amp;"]"))&lt;&gt;COUNTA(TabRFR[Recherche RFR]),"Data RFR manquantes", IF(X290&lt;=INDEX(TabRFR[[2021]:[2025]],MATCH(BD!W290&amp;"-Très modestes",TabRFR[Recherche RFR],0),MATCH(TEXT(YEAR(BD!I290),"Standard"),TabRFR[[#Headers],[2021]:[2025]],0)),"Très Modeste",IF(X290&lt;=INDEX(TabRFR[[2021]:[2025]],MATCH(BD!W290&amp;"-modestes",TabRFR[Recherche RFR],0),MATCH(TEXT(YEAR(BD!I290),"Standard"),TabRFR[[#Headers],[2021]:[2025]],0)),"Modeste",IF(X290&lt;=INDEX(TabRFR[[2021]:[2025]],MATCH(BD!W290&amp;"-Intermédiaire",TabRFR[Recherche RFR],0),MATCH(TEXT(YEAR(BD!I290),"Standard"),TabRFR[[#Headers],[2021]:[2025]],0)),"Intermédiaire","Supérieur")))))))</f>
        <v>Data RFR manquantes</v>
      </c>
      <c r="Z290" s="111"/>
      <c r="AA290" s="111" t="s">
        <v>201</v>
      </c>
      <c r="AB290" s="111">
        <v>38134</v>
      </c>
      <c r="AC290" s="111" t="s">
        <v>3796</v>
      </c>
      <c r="AD290" s="127"/>
      <c r="AE290" s="102"/>
      <c r="AF290" s="111" t="s">
        <v>95</v>
      </c>
      <c r="AG290" s="111"/>
      <c r="AH290" s="134">
        <v>39356</v>
      </c>
      <c r="AI290" s="111"/>
      <c r="AJ290" s="111"/>
      <c r="AK290" s="111"/>
      <c r="AL290" s="111"/>
      <c r="AM290" s="111" t="s">
        <v>4387</v>
      </c>
      <c r="AN290" s="111" t="s">
        <v>3708</v>
      </c>
      <c r="AO290" s="111" t="s">
        <v>204</v>
      </c>
      <c r="AP290" s="111" t="s">
        <v>97</v>
      </c>
      <c r="AQ290" s="111"/>
      <c r="AR290" s="135">
        <v>43127</v>
      </c>
      <c r="AS290" s="102" t="s">
        <v>205</v>
      </c>
      <c r="AT290" s="127">
        <v>476552046</v>
      </c>
      <c r="AU290" s="111" t="s">
        <v>99</v>
      </c>
      <c r="AV290" s="111" t="s">
        <v>206</v>
      </c>
      <c r="AW290" s="111" t="s">
        <v>100</v>
      </c>
      <c r="AX290" s="75" t="s">
        <v>2071</v>
      </c>
      <c r="AY290" s="111"/>
      <c r="AZ290" s="111"/>
      <c r="BA290" s="111"/>
      <c r="BB290" s="111"/>
      <c r="BC290" s="111"/>
      <c r="BD290" s="111"/>
      <c r="BE290" s="111"/>
      <c r="BF290" s="111"/>
      <c r="BG290" s="111"/>
      <c r="BH290" s="111"/>
      <c r="BI290" s="111"/>
      <c r="BJ290" s="111"/>
      <c r="BK290" s="111"/>
      <c r="BL290" s="75">
        <f t="shared" si="12"/>
        <v>0</v>
      </c>
      <c r="BM290" s="103">
        <f t="shared" si="13"/>
        <v>0</v>
      </c>
      <c r="BN290" s="103">
        <f t="shared" si="14"/>
        <v>0</v>
      </c>
      <c r="BO290" s="113"/>
      <c r="BP290" s="111"/>
      <c r="BQ290" s="111"/>
      <c r="BR290" s="111"/>
      <c r="BS290" s="157">
        <v>2018</v>
      </c>
      <c r="BU290" t="s">
        <v>4180</v>
      </c>
    </row>
    <row r="291" spans="1:73" ht="43.15" customHeight="1" x14ac:dyDescent="0.25">
      <c r="A291" s="242" t="s">
        <v>186</v>
      </c>
      <c r="B291" s="242" t="s">
        <v>207</v>
      </c>
      <c r="C291" s="159">
        <v>400</v>
      </c>
      <c r="D291" s="114">
        <v>43049</v>
      </c>
      <c r="E291" s="114"/>
      <c r="F291" s="114"/>
      <c r="G291" s="114"/>
      <c r="H291" s="114">
        <v>43061</v>
      </c>
      <c r="I291" s="114">
        <v>43061</v>
      </c>
      <c r="J291" s="114">
        <v>43080</v>
      </c>
      <c r="K291" s="114"/>
      <c r="L291" s="114">
        <v>43102</v>
      </c>
      <c r="M291" s="114">
        <v>43081</v>
      </c>
      <c r="N291" s="114"/>
      <c r="O291" s="114">
        <v>42737</v>
      </c>
      <c r="P291" s="114">
        <v>42737</v>
      </c>
      <c r="Q291" s="114">
        <v>43130</v>
      </c>
      <c r="R291" s="80"/>
      <c r="S291" s="114"/>
      <c r="T291" s="75"/>
      <c r="U291" s="75"/>
      <c r="V291" s="75"/>
      <c r="W291" s="75">
        <v>2</v>
      </c>
      <c r="X291" s="75">
        <v>49162</v>
      </c>
      <c r="Y291" s="75" t="str">
        <f ca="1">IF(I291="",IF(D291="","",IF(W291+X291&lt;15,"Données Nb pers ou RFR manquantes",IF(COUNTA(INDIRECT("TabRFR["&amp;YEAR(D291)&amp;"]"))&lt;&gt;COUNTA(TabRFR[Recherche RFR]),"Data RFR manquantes", IF(X291&lt;=INDEX(TabRFR[[2021]:[2025]],MATCH(BD!W291&amp;"-Très modestes",TabRFR[Recherche RFR],0),MATCH(TEXT(YEAR(BD!D291),"Standard"),TabRFR[[#Headers],[2021]:[2025]],0)),"Très Modeste",IF(X291&lt;=INDEX(TabRFR[[2021]:[2025]],MATCH(BD!W291&amp;"-modestes",TabRFR[Recherche RFR],0),MATCH(TEXT(YEAR(BD!D291),"Standard"),TabRFR[[#Headers],[2021]:[2025]],0)),"Modeste",IF(X291&lt;=INDEX(TabRFR[[2021]:[2025]],MATCH(BD!W291&amp;"-Intermédiaire",TabRFR[Recherche RFR],0),MATCH(TEXT(YEAR(BD!D291),"Standard"),TabRFR[[#Headers],[2021]:[2025]],0)),"Intermédiaire","Supérieur")))))),IF(D291="","",IF(W291+X291&lt;15,"Données Nb pers ou RFR manquantes",IF(COUNTA(INDIRECT("TabRFR["&amp;YEAR(I291)&amp;"]"))&lt;&gt;COUNTA(TabRFR[Recherche RFR]),"Data RFR manquantes", IF(X291&lt;=INDEX(TabRFR[[2021]:[2025]],MATCH(BD!W291&amp;"-Très modestes",TabRFR[Recherche RFR],0),MATCH(TEXT(YEAR(BD!I291),"Standard"),TabRFR[[#Headers],[2021]:[2025]],0)),"Très Modeste",IF(X291&lt;=INDEX(TabRFR[[2021]:[2025]],MATCH(BD!W291&amp;"-modestes",TabRFR[Recherche RFR],0),MATCH(TEXT(YEAR(BD!I291),"Standard"),TabRFR[[#Headers],[2021]:[2025]],0)),"Modeste",IF(X291&lt;=INDEX(TabRFR[[2021]:[2025]],MATCH(BD!W291&amp;"-Intermédiaire",TabRFR[Recherche RFR],0),MATCH(TEXT(YEAR(BD!I291),"Standard"),TabRFR[[#Headers],[2021]:[2025]],0)),"Intermédiaire","Supérieur")))))))</f>
        <v>Data RFR manquantes</v>
      </c>
      <c r="Z291" s="75"/>
      <c r="AA291" s="75" t="s">
        <v>209</v>
      </c>
      <c r="AB291" s="75">
        <v>38850</v>
      </c>
      <c r="AC291" s="75" t="s">
        <v>4304</v>
      </c>
      <c r="AD291" s="73"/>
      <c r="AE291" s="102"/>
      <c r="AF291" s="75" t="s">
        <v>95</v>
      </c>
      <c r="AG291" s="75"/>
      <c r="AH291" s="75">
        <v>1984</v>
      </c>
      <c r="AI291" s="75"/>
      <c r="AJ291" s="75"/>
      <c r="AK291" s="75"/>
      <c r="AL291" s="75"/>
      <c r="AM291" s="75" t="s">
        <v>4233</v>
      </c>
      <c r="AN291" s="75" t="s">
        <v>829</v>
      </c>
      <c r="AO291" s="75" t="s">
        <v>210</v>
      </c>
      <c r="AP291" s="75" t="s">
        <v>97</v>
      </c>
      <c r="AQ291" s="75"/>
      <c r="AR291" s="74">
        <v>43321</v>
      </c>
      <c r="AS291" s="102" t="s">
        <v>211</v>
      </c>
      <c r="AT291" s="73">
        <v>438029038</v>
      </c>
      <c r="AU291" s="75" t="s">
        <v>99</v>
      </c>
      <c r="AV291" s="75"/>
      <c r="AW291" s="75" t="s">
        <v>111</v>
      </c>
      <c r="AX291" s="75" t="s">
        <v>112</v>
      </c>
      <c r="AY291" s="75" t="s">
        <v>212</v>
      </c>
      <c r="AZ291" s="75" t="s">
        <v>213</v>
      </c>
      <c r="BA291" s="75">
        <v>26</v>
      </c>
      <c r="BB291" s="75">
        <v>10</v>
      </c>
      <c r="BC291" s="75">
        <v>80</v>
      </c>
      <c r="BD291" s="75">
        <v>0.1</v>
      </c>
      <c r="BE291" s="75" t="s">
        <v>97</v>
      </c>
      <c r="BF291" s="75"/>
      <c r="BG291" s="75">
        <v>3139</v>
      </c>
      <c r="BH291" s="75"/>
      <c r="BI291" s="75"/>
      <c r="BJ291" s="75"/>
      <c r="BK291" s="75">
        <v>652</v>
      </c>
      <c r="BL291" s="75">
        <f t="shared" si="12"/>
        <v>3791</v>
      </c>
      <c r="BM291" s="103">
        <f t="shared" si="13"/>
        <v>208.505</v>
      </c>
      <c r="BN291" s="103">
        <f t="shared" si="14"/>
        <v>3999.5050000000001</v>
      </c>
      <c r="BO291" s="103">
        <v>4000</v>
      </c>
      <c r="BP291" s="75" t="s">
        <v>97</v>
      </c>
      <c r="BQ291" s="75"/>
      <c r="BR291" s="74">
        <v>43416</v>
      </c>
      <c r="BS291" s="157">
        <v>2018</v>
      </c>
      <c r="BT291">
        <v>2020</v>
      </c>
      <c r="BU291">
        <v>2018</v>
      </c>
    </row>
    <row r="292" spans="1:73" ht="43.15" customHeight="1" x14ac:dyDescent="0.25">
      <c r="A292" s="242" t="s">
        <v>186</v>
      </c>
      <c r="B292" s="242" t="s">
        <v>214</v>
      </c>
      <c r="C292" s="159">
        <v>400</v>
      </c>
      <c r="D292" s="114">
        <v>43054</v>
      </c>
      <c r="E292" s="114"/>
      <c r="F292" s="114"/>
      <c r="G292" s="114"/>
      <c r="H292" s="114">
        <v>43061</v>
      </c>
      <c r="I292" s="114">
        <v>43061</v>
      </c>
      <c r="J292" s="114">
        <v>43080</v>
      </c>
      <c r="K292" s="114"/>
      <c r="L292" s="114">
        <v>43143</v>
      </c>
      <c r="M292" s="114">
        <v>43087</v>
      </c>
      <c r="N292" s="114"/>
      <c r="O292" s="114">
        <v>43172</v>
      </c>
      <c r="P292" s="114">
        <v>43172</v>
      </c>
      <c r="Q292" s="114">
        <v>43200</v>
      </c>
      <c r="R292" s="80"/>
      <c r="S292" s="114"/>
      <c r="T292" s="75"/>
      <c r="U292" s="75"/>
      <c r="V292" s="75"/>
      <c r="W292" s="75">
        <v>2</v>
      </c>
      <c r="X292" s="75">
        <v>69301</v>
      </c>
      <c r="Y292" s="75" t="str">
        <f ca="1">IF(I292="",IF(D292="","",IF(W292+X292&lt;15,"Données Nb pers ou RFR manquantes",IF(COUNTA(INDIRECT("TabRFR["&amp;YEAR(D292)&amp;"]"))&lt;&gt;COUNTA(TabRFR[Recherche RFR]),"Data RFR manquantes", IF(X292&lt;=INDEX(TabRFR[[2021]:[2025]],MATCH(BD!W292&amp;"-Très modestes",TabRFR[Recherche RFR],0),MATCH(TEXT(YEAR(BD!D292),"Standard"),TabRFR[[#Headers],[2021]:[2025]],0)),"Très Modeste",IF(X292&lt;=INDEX(TabRFR[[2021]:[2025]],MATCH(BD!W292&amp;"-modestes",TabRFR[Recherche RFR],0),MATCH(TEXT(YEAR(BD!D292),"Standard"),TabRFR[[#Headers],[2021]:[2025]],0)),"Modeste",IF(X292&lt;=INDEX(TabRFR[[2021]:[2025]],MATCH(BD!W292&amp;"-Intermédiaire",TabRFR[Recherche RFR],0),MATCH(TEXT(YEAR(BD!D292),"Standard"),TabRFR[[#Headers],[2021]:[2025]],0)),"Intermédiaire","Supérieur")))))),IF(D292="","",IF(W292+X292&lt;15,"Données Nb pers ou RFR manquantes",IF(COUNTA(INDIRECT("TabRFR["&amp;YEAR(I292)&amp;"]"))&lt;&gt;COUNTA(TabRFR[Recherche RFR]),"Data RFR manquantes", IF(X292&lt;=INDEX(TabRFR[[2021]:[2025]],MATCH(BD!W292&amp;"-Très modestes",TabRFR[Recherche RFR],0),MATCH(TEXT(YEAR(BD!I292),"Standard"),TabRFR[[#Headers],[2021]:[2025]],0)),"Très Modeste",IF(X292&lt;=INDEX(TabRFR[[2021]:[2025]],MATCH(BD!W292&amp;"-modestes",TabRFR[Recherche RFR],0),MATCH(TEXT(YEAR(BD!I292),"Standard"),TabRFR[[#Headers],[2021]:[2025]],0)),"Modeste",IF(X292&lt;=INDEX(TabRFR[[2021]:[2025]],MATCH(BD!W292&amp;"-Intermédiaire",TabRFR[Recherche RFR],0),MATCH(TEXT(YEAR(BD!I292),"Standard"),TabRFR[[#Headers],[2021]:[2025]],0)),"Intermédiaire","Supérieur")))))))</f>
        <v>Data RFR manquantes</v>
      </c>
      <c r="Z292" s="75"/>
      <c r="AA292" s="75" t="s">
        <v>216</v>
      </c>
      <c r="AB292" s="75">
        <v>38430</v>
      </c>
      <c r="AC292" s="75" t="s">
        <v>217</v>
      </c>
      <c r="AD292" s="73"/>
      <c r="AE292" s="102"/>
      <c r="AF292" s="75" t="s">
        <v>95</v>
      </c>
      <c r="AG292" s="75"/>
      <c r="AH292" s="75"/>
      <c r="AI292" s="75"/>
      <c r="AJ292" s="75"/>
      <c r="AK292" s="75"/>
      <c r="AL292" s="75"/>
      <c r="AM292" s="75" t="s">
        <v>218</v>
      </c>
      <c r="AN292" s="75" t="s">
        <v>217</v>
      </c>
      <c r="AO292" s="75" t="s">
        <v>219</v>
      </c>
      <c r="AP292" s="75" t="s">
        <v>97</v>
      </c>
      <c r="AQ292" s="75"/>
      <c r="AR292" s="74">
        <v>43399</v>
      </c>
      <c r="AS292" s="102" t="s">
        <v>220</v>
      </c>
      <c r="AT292" s="73">
        <v>476355605</v>
      </c>
      <c r="AU292" s="75" t="s">
        <v>99</v>
      </c>
      <c r="AV292" s="75">
        <v>1974</v>
      </c>
      <c r="AW292" s="75" t="s">
        <v>111</v>
      </c>
      <c r="AX292" s="75" t="s">
        <v>112</v>
      </c>
      <c r="AY292" s="75" t="s">
        <v>121</v>
      </c>
      <c r="AZ292" s="75" t="s">
        <v>1242</v>
      </c>
      <c r="BA292" s="75">
        <v>26</v>
      </c>
      <c r="BB292" s="75">
        <v>8</v>
      </c>
      <c r="BC292" s="75">
        <v>81</v>
      </c>
      <c r="BD292" s="75">
        <v>7.0000000000000007E-2</v>
      </c>
      <c r="BE292" s="75" t="s">
        <v>97</v>
      </c>
      <c r="BF292" s="75"/>
      <c r="BG292" s="75">
        <v>2907</v>
      </c>
      <c r="BH292" s="75"/>
      <c r="BI292" s="75"/>
      <c r="BJ292" s="75"/>
      <c r="BK292" s="75">
        <v>1339</v>
      </c>
      <c r="BL292" s="75">
        <f t="shared" si="12"/>
        <v>4246</v>
      </c>
      <c r="BM292" s="103">
        <f t="shared" si="13"/>
        <v>233.53</v>
      </c>
      <c r="BN292" s="103">
        <f t="shared" si="14"/>
        <v>4479.53</v>
      </c>
      <c r="BO292" s="103">
        <v>4472.6000000000004</v>
      </c>
      <c r="BP292" s="75" t="s">
        <v>97</v>
      </c>
      <c r="BQ292" s="75"/>
      <c r="BR292" s="74">
        <v>43416</v>
      </c>
      <c r="BS292" s="157">
        <v>2018</v>
      </c>
      <c r="BT292">
        <v>2020</v>
      </c>
      <c r="BU292">
        <v>2018</v>
      </c>
    </row>
    <row r="293" spans="1:73" ht="43.15" customHeight="1" x14ac:dyDescent="0.25">
      <c r="A293" s="242" t="s">
        <v>186</v>
      </c>
      <c r="B293" s="242" t="s">
        <v>221</v>
      </c>
      <c r="C293" s="159">
        <v>800</v>
      </c>
      <c r="D293" s="114">
        <v>43055</v>
      </c>
      <c r="E293" s="114"/>
      <c r="F293" s="114"/>
      <c r="G293" s="114" t="s">
        <v>222</v>
      </c>
      <c r="H293" s="114">
        <v>43077</v>
      </c>
      <c r="I293" s="114">
        <v>43077</v>
      </c>
      <c r="J293" s="114">
        <v>43178</v>
      </c>
      <c r="K293" s="114"/>
      <c r="L293" s="114">
        <v>43194</v>
      </c>
      <c r="M293" s="114">
        <v>43088</v>
      </c>
      <c r="N293" s="114"/>
      <c r="O293" s="114">
        <v>43217</v>
      </c>
      <c r="P293" s="114">
        <v>43217</v>
      </c>
      <c r="Q293" s="114">
        <v>43258</v>
      </c>
      <c r="R293" s="100"/>
      <c r="S293" s="114"/>
      <c r="T293" s="75"/>
      <c r="U293" s="75"/>
      <c r="V293" s="75"/>
      <c r="W293" s="75">
        <v>1</v>
      </c>
      <c r="X293" s="75">
        <v>18291</v>
      </c>
      <c r="Y293" s="75" t="str">
        <f ca="1">IF(I293="",IF(D293="","",IF(W293+X293&lt;15,"Données Nb pers ou RFR manquantes",IF(COUNTA(INDIRECT("TabRFR["&amp;YEAR(D293)&amp;"]"))&lt;&gt;COUNTA(TabRFR[Recherche RFR]),"Data RFR manquantes", IF(X293&lt;=INDEX(TabRFR[[2021]:[2025]],MATCH(BD!W293&amp;"-Très modestes",TabRFR[Recherche RFR],0),MATCH(TEXT(YEAR(BD!D293),"Standard"),TabRFR[[#Headers],[2021]:[2025]],0)),"Très Modeste",IF(X293&lt;=INDEX(TabRFR[[2021]:[2025]],MATCH(BD!W293&amp;"-modestes",TabRFR[Recherche RFR],0),MATCH(TEXT(YEAR(BD!D293),"Standard"),TabRFR[[#Headers],[2021]:[2025]],0)),"Modeste",IF(X293&lt;=INDEX(TabRFR[[2021]:[2025]],MATCH(BD!W293&amp;"-Intermédiaire",TabRFR[Recherche RFR],0),MATCH(TEXT(YEAR(BD!D293),"Standard"),TabRFR[[#Headers],[2021]:[2025]],0)),"Intermédiaire","Supérieur")))))),IF(D293="","",IF(W293+X293&lt;15,"Données Nb pers ou RFR manquantes",IF(COUNTA(INDIRECT("TabRFR["&amp;YEAR(I293)&amp;"]"))&lt;&gt;COUNTA(TabRFR[Recherche RFR]),"Data RFR manquantes", IF(X293&lt;=INDEX(TabRFR[[2021]:[2025]],MATCH(BD!W293&amp;"-Très modestes",TabRFR[Recherche RFR],0),MATCH(TEXT(YEAR(BD!I293),"Standard"),TabRFR[[#Headers],[2021]:[2025]],0)),"Très Modeste",IF(X293&lt;=INDEX(TabRFR[[2021]:[2025]],MATCH(BD!W293&amp;"-modestes",TabRFR[Recherche RFR],0),MATCH(TEXT(YEAR(BD!I293),"Standard"),TabRFR[[#Headers],[2021]:[2025]],0)),"Modeste",IF(X293&lt;=INDEX(TabRFR[[2021]:[2025]],MATCH(BD!W293&amp;"-Intermédiaire",TabRFR[Recherche RFR],0),MATCH(TEXT(YEAR(BD!I293),"Standard"),TabRFR[[#Headers],[2021]:[2025]],0)),"Intermédiaire","Supérieur")))))))</f>
        <v>Data RFR manquantes</v>
      </c>
      <c r="Z293" s="75"/>
      <c r="AA293" s="75" t="s">
        <v>223</v>
      </c>
      <c r="AB293" s="75">
        <v>38430</v>
      </c>
      <c r="AC293" s="75" t="s">
        <v>217</v>
      </c>
      <c r="AD293" s="73"/>
      <c r="AE293" s="102"/>
      <c r="AF293" s="75" t="s">
        <v>95</v>
      </c>
      <c r="AG293" s="75"/>
      <c r="AH293" s="75" t="s">
        <v>224</v>
      </c>
      <c r="AI293" s="75"/>
      <c r="AJ293" s="75"/>
      <c r="AK293" s="75"/>
      <c r="AL293" s="75"/>
      <c r="AM293" s="75" t="s">
        <v>218</v>
      </c>
      <c r="AN293" s="75" t="s">
        <v>217</v>
      </c>
      <c r="AO293" s="75" t="s">
        <v>219</v>
      </c>
      <c r="AP293" s="75" t="s">
        <v>97</v>
      </c>
      <c r="AQ293" s="75"/>
      <c r="AR293" s="74">
        <v>43399</v>
      </c>
      <c r="AS293" s="102" t="s">
        <v>220</v>
      </c>
      <c r="AT293" s="73">
        <v>476355605</v>
      </c>
      <c r="AU293" s="75" t="s">
        <v>172</v>
      </c>
      <c r="AV293" s="75">
        <v>1989</v>
      </c>
      <c r="AW293" s="75" t="s">
        <v>100</v>
      </c>
      <c r="AX293" s="75" t="s">
        <v>112</v>
      </c>
      <c r="AY293" s="75" t="s">
        <v>225</v>
      </c>
      <c r="AZ293" s="75" t="s">
        <v>226</v>
      </c>
      <c r="BA293" s="75">
        <v>30</v>
      </c>
      <c r="BB293" s="75">
        <v>8.6</v>
      </c>
      <c r="BC293" s="75">
        <v>79.8</v>
      </c>
      <c r="BD293" s="75">
        <v>0.05</v>
      </c>
      <c r="BE293" s="75" t="s">
        <v>97</v>
      </c>
      <c r="BF293" s="75"/>
      <c r="BG293" s="75">
        <v>4422.79</v>
      </c>
      <c r="BH293" s="75"/>
      <c r="BI293" s="75"/>
      <c r="BJ293" s="75"/>
      <c r="BK293" s="75">
        <v>875</v>
      </c>
      <c r="BL293" s="75">
        <f t="shared" si="12"/>
        <v>5297.79</v>
      </c>
      <c r="BM293" s="103">
        <f t="shared" si="13"/>
        <v>291.37844999999999</v>
      </c>
      <c r="BN293" s="103">
        <f t="shared" si="14"/>
        <v>5589.1684500000001</v>
      </c>
      <c r="BO293" s="103"/>
      <c r="BP293" s="75" t="s">
        <v>97</v>
      </c>
      <c r="BQ293" s="75"/>
      <c r="BR293" s="74">
        <v>43416</v>
      </c>
      <c r="BS293" s="157">
        <v>2018</v>
      </c>
      <c r="BT293">
        <v>2020</v>
      </c>
      <c r="BU293">
        <v>2018</v>
      </c>
    </row>
    <row r="294" spans="1:73" ht="43.15" customHeight="1" x14ac:dyDescent="0.25">
      <c r="A294" s="242" t="s">
        <v>186</v>
      </c>
      <c r="B294" s="242" t="s">
        <v>227</v>
      </c>
      <c r="C294" s="159">
        <v>400</v>
      </c>
      <c r="D294" s="114">
        <v>43055</v>
      </c>
      <c r="E294" s="114"/>
      <c r="F294" s="114"/>
      <c r="G294" s="114"/>
      <c r="H294" s="114">
        <v>43061</v>
      </c>
      <c r="I294" s="114">
        <v>43061</v>
      </c>
      <c r="J294" s="114">
        <v>43088</v>
      </c>
      <c r="K294" s="114"/>
      <c r="L294" s="114">
        <v>43339</v>
      </c>
      <c r="M294" s="114">
        <v>43445</v>
      </c>
      <c r="N294" s="114"/>
      <c r="O294" s="114">
        <v>43317</v>
      </c>
      <c r="P294" s="114">
        <v>43317</v>
      </c>
      <c r="Q294" s="114">
        <v>43371</v>
      </c>
      <c r="R294" s="80"/>
      <c r="S294" s="114"/>
      <c r="T294" s="75"/>
      <c r="U294" s="75"/>
      <c r="V294" s="75"/>
      <c r="W294" s="75">
        <v>3</v>
      </c>
      <c r="X294" s="75">
        <v>65021</v>
      </c>
      <c r="Y294" s="75" t="str">
        <f ca="1">IF(I294="",IF(D294="","",IF(W294+X294&lt;15,"Données Nb pers ou RFR manquantes",IF(COUNTA(INDIRECT("TabRFR["&amp;YEAR(D294)&amp;"]"))&lt;&gt;COUNTA(TabRFR[Recherche RFR]),"Data RFR manquantes", IF(X294&lt;=INDEX(TabRFR[[2021]:[2025]],MATCH(BD!W294&amp;"-Très modestes",TabRFR[Recherche RFR],0),MATCH(TEXT(YEAR(BD!D294),"Standard"),TabRFR[[#Headers],[2021]:[2025]],0)),"Très Modeste",IF(X294&lt;=INDEX(TabRFR[[2021]:[2025]],MATCH(BD!W294&amp;"-modestes",TabRFR[Recherche RFR],0),MATCH(TEXT(YEAR(BD!D294),"Standard"),TabRFR[[#Headers],[2021]:[2025]],0)),"Modeste",IF(X294&lt;=INDEX(TabRFR[[2021]:[2025]],MATCH(BD!W294&amp;"-Intermédiaire",TabRFR[Recherche RFR],0),MATCH(TEXT(YEAR(BD!D294),"Standard"),TabRFR[[#Headers],[2021]:[2025]],0)),"Intermédiaire","Supérieur")))))),IF(D294="","",IF(W294+X294&lt;15,"Données Nb pers ou RFR manquantes",IF(COUNTA(INDIRECT("TabRFR["&amp;YEAR(I294)&amp;"]"))&lt;&gt;COUNTA(TabRFR[Recherche RFR]),"Data RFR manquantes", IF(X294&lt;=INDEX(TabRFR[[2021]:[2025]],MATCH(BD!W294&amp;"-Très modestes",TabRFR[Recherche RFR],0),MATCH(TEXT(YEAR(BD!I294),"Standard"),TabRFR[[#Headers],[2021]:[2025]],0)),"Très Modeste",IF(X294&lt;=INDEX(TabRFR[[2021]:[2025]],MATCH(BD!W294&amp;"-modestes",TabRFR[Recherche RFR],0),MATCH(TEXT(YEAR(BD!I294),"Standard"),TabRFR[[#Headers],[2021]:[2025]],0)),"Modeste",IF(X294&lt;=INDEX(TabRFR[[2021]:[2025]],MATCH(BD!W294&amp;"-Intermédiaire",TabRFR[Recherche RFR],0),MATCH(TEXT(YEAR(BD!I294),"Standard"),TabRFR[[#Headers],[2021]:[2025]],0)),"Intermédiaire","Supérieur")))))))</f>
        <v>Data RFR manquantes</v>
      </c>
      <c r="Z294" s="75"/>
      <c r="AA294" s="75" t="s">
        <v>228</v>
      </c>
      <c r="AB294" s="75">
        <v>38960</v>
      </c>
      <c r="AC294" s="75" t="s">
        <v>2378</v>
      </c>
      <c r="AD294" s="73"/>
      <c r="AE294" s="102"/>
      <c r="AF294" s="75" t="s">
        <v>95</v>
      </c>
      <c r="AG294" s="75"/>
      <c r="AH294" s="75">
        <v>42543</v>
      </c>
      <c r="AI294" s="75"/>
      <c r="AJ294" s="75"/>
      <c r="AK294" s="75"/>
      <c r="AL294" s="75"/>
      <c r="AM294" s="75" t="s">
        <v>4191</v>
      </c>
      <c r="AN294" s="75" t="s">
        <v>96</v>
      </c>
      <c r="AO294" s="75" t="s">
        <v>229</v>
      </c>
      <c r="AP294" s="75" t="s">
        <v>97</v>
      </c>
      <c r="AQ294" s="75"/>
      <c r="AR294" s="74">
        <v>43213</v>
      </c>
      <c r="AS294" s="102" t="s">
        <v>230</v>
      </c>
      <c r="AT294" s="73">
        <v>476059938</v>
      </c>
      <c r="AU294" s="75" t="s">
        <v>99</v>
      </c>
      <c r="AV294" s="75" t="s">
        <v>231</v>
      </c>
      <c r="AW294" s="75" t="s">
        <v>100</v>
      </c>
      <c r="AX294" s="75" t="s">
        <v>2071</v>
      </c>
      <c r="AY294" s="75" t="s">
        <v>232</v>
      </c>
      <c r="AZ294" s="75" t="s">
        <v>233</v>
      </c>
      <c r="BA294" s="75">
        <v>9</v>
      </c>
      <c r="BB294" s="75">
        <v>9.6</v>
      </c>
      <c r="BC294" s="75">
        <v>91</v>
      </c>
      <c r="BD294" s="75">
        <v>0.01</v>
      </c>
      <c r="BE294" s="75" t="s">
        <v>97</v>
      </c>
      <c r="BF294" s="77"/>
      <c r="BG294" s="75">
        <v>6591</v>
      </c>
      <c r="BH294" s="75"/>
      <c r="BI294" s="75"/>
      <c r="BJ294" s="75"/>
      <c r="BK294" s="75">
        <v>830</v>
      </c>
      <c r="BL294" s="75">
        <f t="shared" si="12"/>
        <v>7421</v>
      </c>
      <c r="BM294" s="103">
        <f t="shared" si="13"/>
        <v>408.15500000000003</v>
      </c>
      <c r="BN294" s="103">
        <f t="shared" si="14"/>
        <v>7829.1549999999997</v>
      </c>
      <c r="BO294" s="103">
        <v>8029.61</v>
      </c>
      <c r="BP294" s="75" t="s">
        <v>97</v>
      </c>
      <c r="BQ294" s="75"/>
      <c r="BR294" s="75"/>
      <c r="BS294" s="157">
        <v>2018</v>
      </c>
      <c r="BU294">
        <v>2018</v>
      </c>
    </row>
    <row r="295" spans="1:73" ht="43.15" customHeight="1" x14ac:dyDescent="0.25">
      <c r="A295" s="242" t="s">
        <v>186</v>
      </c>
      <c r="B295" s="242" t="s">
        <v>234</v>
      </c>
      <c r="C295" s="159">
        <v>400</v>
      </c>
      <c r="D295" s="114">
        <v>43059</v>
      </c>
      <c r="E295" s="114"/>
      <c r="F295" s="114"/>
      <c r="G295" s="114"/>
      <c r="H295" s="114">
        <v>43061</v>
      </c>
      <c r="I295" s="114">
        <v>43061</v>
      </c>
      <c r="J295" s="114">
        <v>43080</v>
      </c>
      <c r="K295" s="114"/>
      <c r="L295" s="114">
        <v>43123</v>
      </c>
      <c r="M295" s="114">
        <v>43091</v>
      </c>
      <c r="N295" s="114"/>
      <c r="O295" s="114">
        <v>43123</v>
      </c>
      <c r="P295" s="114">
        <v>43123</v>
      </c>
      <c r="Q295" s="114">
        <v>43130</v>
      </c>
      <c r="R295" s="80"/>
      <c r="S295" s="114"/>
      <c r="T295" s="75"/>
      <c r="U295" s="75"/>
      <c r="V295" s="75"/>
      <c r="W295" s="75">
        <v>5</v>
      </c>
      <c r="X295" s="75">
        <f>33209+59767</f>
        <v>92976</v>
      </c>
      <c r="Y295" s="75" t="str">
        <f ca="1">IF(I295="",IF(D295="","",IF(W295+X295&lt;15,"Données Nb pers ou RFR manquantes",IF(COUNTA(INDIRECT("TabRFR["&amp;YEAR(D295)&amp;"]"))&lt;&gt;COUNTA(TabRFR[Recherche RFR]),"Data RFR manquantes", IF(X295&lt;=INDEX(TabRFR[[2021]:[2025]],MATCH(BD!W295&amp;"-Très modestes",TabRFR[Recherche RFR],0),MATCH(TEXT(YEAR(BD!D295),"Standard"),TabRFR[[#Headers],[2021]:[2025]],0)),"Très Modeste",IF(X295&lt;=INDEX(TabRFR[[2021]:[2025]],MATCH(BD!W295&amp;"-modestes",TabRFR[Recherche RFR],0),MATCH(TEXT(YEAR(BD!D295),"Standard"),TabRFR[[#Headers],[2021]:[2025]],0)),"Modeste",IF(X295&lt;=INDEX(TabRFR[[2021]:[2025]],MATCH(BD!W295&amp;"-Intermédiaire",TabRFR[Recherche RFR],0),MATCH(TEXT(YEAR(BD!D295),"Standard"),TabRFR[[#Headers],[2021]:[2025]],0)),"Intermédiaire","Supérieur")))))),IF(D295="","",IF(W295+X295&lt;15,"Données Nb pers ou RFR manquantes",IF(COUNTA(INDIRECT("TabRFR["&amp;YEAR(I295)&amp;"]"))&lt;&gt;COUNTA(TabRFR[Recherche RFR]),"Data RFR manquantes", IF(X295&lt;=INDEX(TabRFR[[2021]:[2025]],MATCH(BD!W295&amp;"-Très modestes",TabRFR[Recherche RFR],0),MATCH(TEXT(YEAR(BD!I295),"Standard"),TabRFR[[#Headers],[2021]:[2025]],0)),"Très Modeste",IF(X295&lt;=INDEX(TabRFR[[2021]:[2025]],MATCH(BD!W295&amp;"-modestes",TabRFR[Recherche RFR],0),MATCH(TEXT(YEAR(BD!I295),"Standard"),TabRFR[[#Headers],[2021]:[2025]],0)),"Modeste",IF(X295&lt;=INDEX(TabRFR[[2021]:[2025]],MATCH(BD!W295&amp;"-Intermédiaire",TabRFR[Recherche RFR],0),MATCH(TEXT(YEAR(BD!I295),"Standard"),TabRFR[[#Headers],[2021]:[2025]],0)),"Intermédiaire","Supérieur")))))))</f>
        <v>Data RFR manquantes</v>
      </c>
      <c r="Z295" s="75"/>
      <c r="AA295" s="75" t="s">
        <v>236</v>
      </c>
      <c r="AB295" s="75">
        <v>38140</v>
      </c>
      <c r="AC295" s="75" t="s">
        <v>237</v>
      </c>
      <c r="AD295" s="73"/>
      <c r="AE295" s="102"/>
      <c r="AF295" s="75" t="s">
        <v>95</v>
      </c>
      <c r="AG295" s="75"/>
      <c r="AH295" s="75"/>
      <c r="AI295" s="75"/>
      <c r="AJ295" s="75"/>
      <c r="AK295" s="75"/>
      <c r="AL295" s="75"/>
      <c r="AM295" s="75" t="s">
        <v>4348</v>
      </c>
      <c r="AN295" s="75" t="s">
        <v>96</v>
      </c>
      <c r="AO295" s="75" t="s">
        <v>238</v>
      </c>
      <c r="AP295" s="75" t="s">
        <v>97</v>
      </c>
      <c r="AQ295" s="75"/>
      <c r="AR295" s="74">
        <v>42968</v>
      </c>
      <c r="AS295" s="102" t="s">
        <v>98</v>
      </c>
      <c r="AT295" s="73">
        <v>476323235</v>
      </c>
      <c r="AU295" s="75" t="s">
        <v>100</v>
      </c>
      <c r="AV295" s="75">
        <v>2000</v>
      </c>
      <c r="AW295" s="75" t="s">
        <v>100</v>
      </c>
      <c r="AX295" s="75" t="s">
        <v>2071</v>
      </c>
      <c r="AY295" s="75" t="s">
        <v>102</v>
      </c>
      <c r="AZ295" s="75" t="s">
        <v>149</v>
      </c>
      <c r="BA295" s="75">
        <v>17</v>
      </c>
      <c r="BB295" s="75">
        <v>8.1</v>
      </c>
      <c r="BC295" s="75">
        <v>90.9</v>
      </c>
      <c r="BD295" s="75">
        <v>0</v>
      </c>
      <c r="BE295" s="75" t="s">
        <v>97</v>
      </c>
      <c r="BF295" s="75"/>
      <c r="BG295" s="75">
        <v>3750</v>
      </c>
      <c r="BH295" s="75"/>
      <c r="BI295" s="75"/>
      <c r="BJ295" s="75"/>
      <c r="BK295" s="75">
        <v>418</v>
      </c>
      <c r="BL295" s="75">
        <f t="shared" si="12"/>
        <v>4168</v>
      </c>
      <c r="BM295" s="103">
        <f t="shared" si="13"/>
        <v>229.24</v>
      </c>
      <c r="BN295" s="103">
        <f t="shared" si="14"/>
        <v>4397.24</v>
      </c>
      <c r="BO295" s="103">
        <v>4397.24</v>
      </c>
      <c r="BP295" s="75" t="s">
        <v>97</v>
      </c>
      <c r="BQ295" s="75"/>
      <c r="BR295" s="75"/>
      <c r="BS295" s="157">
        <v>2018</v>
      </c>
      <c r="BU295">
        <v>2018</v>
      </c>
    </row>
    <row r="296" spans="1:73" ht="43.15" customHeight="1" x14ac:dyDescent="0.25">
      <c r="A296" s="242" t="s">
        <v>186</v>
      </c>
      <c r="B296" s="242" t="s">
        <v>239</v>
      </c>
      <c r="C296" s="159">
        <v>400</v>
      </c>
      <c r="D296" s="114">
        <v>43060</v>
      </c>
      <c r="E296" s="114"/>
      <c r="F296" s="114"/>
      <c r="G296" s="114"/>
      <c r="H296" s="114">
        <v>43061</v>
      </c>
      <c r="I296" s="114">
        <v>43061</v>
      </c>
      <c r="J296" s="114">
        <v>43080</v>
      </c>
      <c r="K296" s="114"/>
      <c r="L296" s="114">
        <v>43124</v>
      </c>
      <c r="M296" s="114">
        <v>43089</v>
      </c>
      <c r="N296" s="114"/>
      <c r="O296" s="114">
        <v>43147</v>
      </c>
      <c r="P296" s="114">
        <v>43147</v>
      </c>
      <c r="Q296" s="114">
        <v>43200</v>
      </c>
      <c r="R296" s="80"/>
      <c r="S296" s="114"/>
      <c r="T296" s="75"/>
      <c r="U296" s="75"/>
      <c r="V296" s="75"/>
      <c r="W296" s="75">
        <v>2</v>
      </c>
      <c r="X296" s="75">
        <v>65025</v>
      </c>
      <c r="Y296" s="75" t="str">
        <f ca="1">IF(I296="",IF(D296="","",IF(W296+X296&lt;15,"Données Nb pers ou RFR manquantes",IF(COUNTA(INDIRECT("TabRFR["&amp;YEAR(D296)&amp;"]"))&lt;&gt;COUNTA(TabRFR[Recherche RFR]),"Data RFR manquantes", IF(X296&lt;=INDEX(TabRFR[[2021]:[2025]],MATCH(BD!W296&amp;"-Très modestes",TabRFR[Recherche RFR],0),MATCH(TEXT(YEAR(BD!D296),"Standard"),TabRFR[[#Headers],[2021]:[2025]],0)),"Très Modeste",IF(X296&lt;=INDEX(TabRFR[[2021]:[2025]],MATCH(BD!W296&amp;"-modestes",TabRFR[Recherche RFR],0),MATCH(TEXT(YEAR(BD!D296),"Standard"),TabRFR[[#Headers],[2021]:[2025]],0)),"Modeste",IF(X296&lt;=INDEX(TabRFR[[2021]:[2025]],MATCH(BD!W296&amp;"-Intermédiaire",TabRFR[Recherche RFR],0),MATCH(TEXT(YEAR(BD!D296),"Standard"),TabRFR[[#Headers],[2021]:[2025]],0)),"Intermédiaire","Supérieur")))))),IF(D296="","",IF(W296+X296&lt;15,"Données Nb pers ou RFR manquantes",IF(COUNTA(INDIRECT("TabRFR["&amp;YEAR(I296)&amp;"]"))&lt;&gt;COUNTA(TabRFR[Recherche RFR]),"Data RFR manquantes", IF(X296&lt;=INDEX(TabRFR[[2021]:[2025]],MATCH(BD!W296&amp;"-Très modestes",TabRFR[Recherche RFR],0),MATCH(TEXT(YEAR(BD!I296),"Standard"),TabRFR[[#Headers],[2021]:[2025]],0)),"Très Modeste",IF(X296&lt;=INDEX(TabRFR[[2021]:[2025]],MATCH(BD!W296&amp;"-modestes",TabRFR[Recherche RFR],0),MATCH(TEXT(YEAR(BD!I296),"Standard"),TabRFR[[#Headers],[2021]:[2025]],0)),"Modeste",IF(X296&lt;=INDEX(TabRFR[[2021]:[2025]],MATCH(BD!W296&amp;"-Intermédiaire",TabRFR[Recherche RFR],0),MATCH(TEXT(YEAR(BD!I296),"Standard"),TabRFR[[#Headers],[2021]:[2025]],0)),"Intermédiaire","Supérieur")))))))</f>
        <v>Data RFR manquantes</v>
      </c>
      <c r="Z296" s="75"/>
      <c r="AA296" s="75" t="s">
        <v>241</v>
      </c>
      <c r="AB296" s="75">
        <v>38850</v>
      </c>
      <c r="AC296" s="75" t="s">
        <v>242</v>
      </c>
      <c r="AD296" s="73"/>
      <c r="AE296" s="102"/>
      <c r="AF296" s="75" t="s">
        <v>95</v>
      </c>
      <c r="AG296" s="75"/>
      <c r="AH296" s="75"/>
      <c r="AI296" s="75"/>
      <c r="AJ296" s="75"/>
      <c r="AK296" s="75"/>
      <c r="AL296" s="75"/>
      <c r="AM296" s="75" t="s">
        <v>4369</v>
      </c>
      <c r="AN296" s="75" t="s">
        <v>4370</v>
      </c>
      <c r="AO296" s="75" t="s">
        <v>244</v>
      </c>
      <c r="AP296" s="75" t="s">
        <v>97</v>
      </c>
      <c r="AQ296" s="75"/>
      <c r="AR296" s="74">
        <v>43299</v>
      </c>
      <c r="AS296" s="102" t="s">
        <v>245</v>
      </c>
      <c r="AT296" s="73">
        <v>387079026</v>
      </c>
      <c r="AU296" s="75" t="s">
        <v>100</v>
      </c>
      <c r="AV296" s="75">
        <v>1999</v>
      </c>
      <c r="AW296" s="75" t="s">
        <v>100</v>
      </c>
      <c r="AX296" s="75" t="s">
        <v>112</v>
      </c>
      <c r="AY296" s="75" t="s">
        <v>243</v>
      </c>
      <c r="AZ296" s="75" t="s">
        <v>246</v>
      </c>
      <c r="BA296" s="75">
        <v>30</v>
      </c>
      <c r="BB296" s="75">
        <v>14.5</v>
      </c>
      <c r="BC296" s="75">
        <v>81</v>
      </c>
      <c r="BD296" s="75">
        <v>0.09</v>
      </c>
      <c r="BE296" s="75" t="s">
        <v>97</v>
      </c>
      <c r="BF296" s="75"/>
      <c r="BG296" s="75">
        <v>5426</v>
      </c>
      <c r="BH296" s="75"/>
      <c r="BI296" s="75"/>
      <c r="BJ296" s="75"/>
      <c r="BK296" s="75">
        <v>833.45</v>
      </c>
      <c r="BL296" s="75">
        <f t="shared" si="12"/>
        <v>6259.45</v>
      </c>
      <c r="BM296" s="103">
        <f t="shared" si="13"/>
        <v>344.26974999999999</v>
      </c>
      <c r="BN296" s="103">
        <f t="shared" si="14"/>
        <v>6603.7197500000002</v>
      </c>
      <c r="BO296" s="103">
        <v>6585.24</v>
      </c>
      <c r="BP296" s="75" t="s">
        <v>97</v>
      </c>
      <c r="BQ296" s="75"/>
      <c r="BR296" s="74">
        <v>43416</v>
      </c>
      <c r="BS296" s="157">
        <v>2018</v>
      </c>
      <c r="BT296">
        <v>2020</v>
      </c>
      <c r="BU296">
        <v>2018</v>
      </c>
    </row>
    <row r="297" spans="1:73" ht="43.15" customHeight="1" x14ac:dyDescent="0.25">
      <c r="A297" s="29" t="s">
        <v>186</v>
      </c>
      <c r="B297" s="29" t="s">
        <v>247</v>
      </c>
      <c r="C297" s="161" t="s">
        <v>9</v>
      </c>
      <c r="D297" s="110">
        <v>43061</v>
      </c>
      <c r="E297" s="110"/>
      <c r="F297" s="110"/>
      <c r="G297" s="110"/>
      <c r="H297" s="110"/>
      <c r="I297" s="110"/>
      <c r="J297" s="110"/>
      <c r="K297" s="110"/>
      <c r="L297" s="110"/>
      <c r="M297" s="110"/>
      <c r="N297" s="110"/>
      <c r="O297" s="110"/>
      <c r="P297" s="110"/>
      <c r="Q297" s="110"/>
      <c r="R297" s="109"/>
      <c r="S297" s="110">
        <v>43061</v>
      </c>
      <c r="T297" s="111" t="s">
        <v>248</v>
      </c>
      <c r="U297" s="111"/>
      <c r="V297" s="111"/>
      <c r="W297" s="111">
        <v>2</v>
      </c>
      <c r="X297" s="111">
        <v>32117</v>
      </c>
      <c r="Y297" s="75" t="str">
        <f ca="1">IF(I297="",IF(D297="","",IF(W297+X297&lt;15,"Données Nb pers ou RFR manquantes",IF(COUNTA(INDIRECT("TabRFR["&amp;YEAR(D297)&amp;"]"))&lt;&gt;COUNTA(TabRFR[Recherche RFR]),"Data RFR manquantes", IF(X297&lt;=INDEX(TabRFR[[2021]:[2025]],MATCH(BD!W297&amp;"-Très modestes",TabRFR[Recherche RFR],0),MATCH(TEXT(YEAR(BD!D297),"Standard"),TabRFR[[#Headers],[2021]:[2025]],0)),"Très Modeste",IF(X297&lt;=INDEX(TabRFR[[2021]:[2025]],MATCH(BD!W297&amp;"-modestes",TabRFR[Recherche RFR],0),MATCH(TEXT(YEAR(BD!D297),"Standard"),TabRFR[[#Headers],[2021]:[2025]],0)),"Modeste",IF(X297&lt;=INDEX(TabRFR[[2021]:[2025]],MATCH(BD!W297&amp;"-Intermédiaire",TabRFR[Recherche RFR],0),MATCH(TEXT(YEAR(BD!D297),"Standard"),TabRFR[[#Headers],[2021]:[2025]],0)),"Intermédiaire","Supérieur")))))),IF(D297="","",IF(W297+X297&lt;15,"Données Nb pers ou RFR manquantes",IF(COUNTA(INDIRECT("TabRFR["&amp;YEAR(I297)&amp;"]"))&lt;&gt;COUNTA(TabRFR[Recherche RFR]),"Data RFR manquantes", IF(X297&lt;=INDEX(TabRFR[[2021]:[2025]],MATCH(BD!W297&amp;"-Très modestes",TabRFR[Recherche RFR],0),MATCH(TEXT(YEAR(BD!I297),"Standard"),TabRFR[[#Headers],[2021]:[2025]],0)),"Très Modeste",IF(X297&lt;=INDEX(TabRFR[[2021]:[2025]],MATCH(BD!W297&amp;"-modestes",TabRFR[Recherche RFR],0),MATCH(TEXT(YEAR(BD!I297),"Standard"),TabRFR[[#Headers],[2021]:[2025]],0)),"Modeste",IF(X297&lt;=INDEX(TabRFR[[2021]:[2025]],MATCH(BD!W297&amp;"-Intermédiaire",TabRFR[Recherche RFR],0),MATCH(TEXT(YEAR(BD!I297),"Standard"),TabRFR[[#Headers],[2021]:[2025]],0)),"Intermédiaire","Supérieur")))))))</f>
        <v>Data RFR manquantes</v>
      </c>
      <c r="Z297" s="111"/>
      <c r="AA297" s="111" t="s">
        <v>250</v>
      </c>
      <c r="AB297" s="111">
        <v>38500</v>
      </c>
      <c r="AC297" s="111" t="s">
        <v>96</v>
      </c>
      <c r="AD297" s="127"/>
      <c r="AE297" s="102"/>
      <c r="AF297" s="111" t="s">
        <v>95</v>
      </c>
      <c r="AG297" s="111"/>
      <c r="AH297" s="111"/>
      <c r="AI297" s="111"/>
      <c r="AJ297" s="111"/>
      <c r="AK297" s="111"/>
      <c r="AL297" s="111"/>
      <c r="AM297" s="111" t="s">
        <v>4348</v>
      </c>
      <c r="AN297" s="111" t="s">
        <v>96</v>
      </c>
      <c r="AO297" s="111" t="s">
        <v>238</v>
      </c>
      <c r="AP297" s="111" t="s">
        <v>97</v>
      </c>
      <c r="AQ297" s="111"/>
      <c r="AR297" s="135">
        <v>42968</v>
      </c>
      <c r="AS297" s="102" t="s">
        <v>98</v>
      </c>
      <c r="AT297" s="127">
        <v>476323235</v>
      </c>
      <c r="AU297" s="111"/>
      <c r="AV297" s="111"/>
      <c r="AW297" s="111" t="s">
        <v>100</v>
      </c>
      <c r="AX297" s="111" t="s">
        <v>112</v>
      </c>
      <c r="AY297" s="111" t="s">
        <v>251</v>
      </c>
      <c r="AZ297" s="111" t="s">
        <v>252</v>
      </c>
      <c r="BA297" s="111"/>
      <c r="BB297" s="111"/>
      <c r="BC297" s="111"/>
      <c r="BD297" s="111"/>
      <c r="BE297" s="111"/>
      <c r="BF297" s="111"/>
      <c r="BG297" s="111"/>
      <c r="BH297" s="111"/>
      <c r="BI297" s="111"/>
      <c r="BJ297" s="111"/>
      <c r="BK297" s="111"/>
      <c r="BL297" s="75">
        <f t="shared" si="12"/>
        <v>0</v>
      </c>
      <c r="BM297" s="103">
        <f t="shared" si="13"/>
        <v>0</v>
      </c>
      <c r="BN297" s="103">
        <f t="shared" si="14"/>
        <v>0</v>
      </c>
      <c r="BO297" s="113"/>
      <c r="BP297" s="111"/>
      <c r="BQ297" s="111"/>
      <c r="BR297" s="111"/>
      <c r="BS297" s="157">
        <v>2018</v>
      </c>
      <c r="BU297" t="s">
        <v>4180</v>
      </c>
    </row>
    <row r="298" spans="1:73" ht="43.15" customHeight="1" x14ac:dyDescent="0.25">
      <c r="A298" s="242" t="s">
        <v>90</v>
      </c>
      <c r="B298" s="242" t="s">
        <v>253</v>
      </c>
      <c r="C298" s="159">
        <v>400</v>
      </c>
      <c r="D298" s="114">
        <v>43066</v>
      </c>
      <c r="E298" s="114">
        <v>43066</v>
      </c>
      <c r="F298" s="114">
        <v>43074</v>
      </c>
      <c r="G298" s="114" t="s">
        <v>254</v>
      </c>
      <c r="H298" s="114">
        <v>43082</v>
      </c>
      <c r="I298" s="114">
        <v>43082</v>
      </c>
      <c r="J298" s="114">
        <v>43088</v>
      </c>
      <c r="K298" s="114"/>
      <c r="L298" s="114">
        <v>43124</v>
      </c>
      <c r="M298" s="114">
        <v>43076</v>
      </c>
      <c r="N298" s="114" t="s">
        <v>255</v>
      </c>
      <c r="O298" s="114">
        <v>43201</v>
      </c>
      <c r="P298" s="114">
        <v>43201</v>
      </c>
      <c r="Q298" s="114">
        <v>43258</v>
      </c>
      <c r="R298" s="80"/>
      <c r="S298" s="114"/>
      <c r="T298" s="75"/>
      <c r="U298" s="75"/>
      <c r="V298" s="75"/>
      <c r="W298" s="75">
        <v>4</v>
      </c>
      <c r="X298" s="75">
        <v>54901</v>
      </c>
      <c r="Y298" s="75" t="str">
        <f ca="1">IF(I298="",IF(D298="","",IF(W298+X298&lt;15,"Données Nb pers ou RFR manquantes",IF(COUNTA(INDIRECT("TabRFR["&amp;YEAR(D298)&amp;"]"))&lt;&gt;COUNTA(TabRFR[Recherche RFR]),"Data RFR manquantes", IF(X298&lt;=INDEX(TabRFR[[2021]:[2025]],MATCH(BD!W298&amp;"-Très modestes",TabRFR[Recherche RFR],0),MATCH(TEXT(YEAR(BD!D298),"Standard"),TabRFR[[#Headers],[2021]:[2025]],0)),"Très Modeste",IF(X298&lt;=INDEX(TabRFR[[2021]:[2025]],MATCH(BD!W298&amp;"-modestes",TabRFR[Recherche RFR],0),MATCH(TEXT(YEAR(BD!D298),"Standard"),TabRFR[[#Headers],[2021]:[2025]],0)),"Modeste",IF(X298&lt;=INDEX(TabRFR[[2021]:[2025]],MATCH(BD!W298&amp;"-Intermédiaire",TabRFR[Recherche RFR],0),MATCH(TEXT(YEAR(BD!D298),"Standard"),TabRFR[[#Headers],[2021]:[2025]],0)),"Intermédiaire","Supérieur")))))),IF(D298="","",IF(W298+X298&lt;15,"Données Nb pers ou RFR manquantes",IF(COUNTA(INDIRECT("TabRFR["&amp;YEAR(I298)&amp;"]"))&lt;&gt;COUNTA(TabRFR[Recherche RFR]),"Data RFR manquantes", IF(X298&lt;=INDEX(TabRFR[[2021]:[2025]],MATCH(BD!W298&amp;"-Très modestes",TabRFR[Recherche RFR],0),MATCH(TEXT(YEAR(BD!I298),"Standard"),TabRFR[[#Headers],[2021]:[2025]],0)),"Très Modeste",IF(X298&lt;=INDEX(TabRFR[[2021]:[2025]],MATCH(BD!W298&amp;"-modestes",TabRFR[Recherche RFR],0),MATCH(TEXT(YEAR(BD!I298),"Standard"),TabRFR[[#Headers],[2021]:[2025]],0)),"Modeste",IF(X298&lt;=INDEX(TabRFR[[2021]:[2025]],MATCH(BD!W298&amp;"-Intermédiaire",TabRFR[Recherche RFR],0),MATCH(TEXT(YEAR(BD!I298),"Standard"),TabRFR[[#Headers],[2021]:[2025]],0)),"Intermédiaire","Supérieur")))))))</f>
        <v>Data RFR manquantes</v>
      </c>
      <c r="Z298" s="75"/>
      <c r="AA298" s="75" t="s">
        <v>257</v>
      </c>
      <c r="AB298" s="75">
        <v>38340</v>
      </c>
      <c r="AC298" s="75" t="s">
        <v>108</v>
      </c>
      <c r="AD298" s="73"/>
      <c r="AE298" s="102"/>
      <c r="AF298" s="75" t="s">
        <v>95</v>
      </c>
      <c r="AG298" s="75"/>
      <c r="AH298" s="131">
        <v>36875</v>
      </c>
      <c r="AI298" s="75"/>
      <c r="AJ298" s="75"/>
      <c r="AK298" s="75"/>
      <c r="AL298" s="75"/>
      <c r="AM298" s="75" t="s">
        <v>4031</v>
      </c>
      <c r="AN298" s="75" t="s">
        <v>4109</v>
      </c>
      <c r="AO298" s="75" t="s">
        <v>155</v>
      </c>
      <c r="AP298" s="75" t="s">
        <v>97</v>
      </c>
      <c r="AQ298" s="75"/>
      <c r="AR298" s="74">
        <v>43172</v>
      </c>
      <c r="AS298" s="102" t="s">
        <v>156</v>
      </c>
      <c r="AT298" s="73">
        <v>698193037</v>
      </c>
      <c r="AU298" s="75" t="s">
        <v>100</v>
      </c>
      <c r="AV298" s="75">
        <v>2000</v>
      </c>
      <c r="AW298" s="75" t="s">
        <v>100</v>
      </c>
      <c r="AX298" s="75" t="s">
        <v>112</v>
      </c>
      <c r="AY298" s="75" t="s">
        <v>258</v>
      </c>
      <c r="AZ298" s="136" t="s">
        <v>259</v>
      </c>
      <c r="BA298" s="75">
        <v>28</v>
      </c>
      <c r="BB298" s="75">
        <v>6</v>
      </c>
      <c r="BC298" s="75">
        <v>81.3</v>
      </c>
      <c r="BD298" s="75">
        <v>0.1</v>
      </c>
      <c r="BE298" s="75" t="s">
        <v>97</v>
      </c>
      <c r="BF298" s="75"/>
      <c r="BG298" s="75">
        <f>2542.88-754</f>
        <v>1788.88</v>
      </c>
      <c r="BH298" s="75"/>
      <c r="BI298" s="75"/>
      <c r="BJ298" s="75"/>
      <c r="BK298" s="75">
        <v>754</v>
      </c>
      <c r="BL298" s="75">
        <f t="shared" si="12"/>
        <v>2542.88</v>
      </c>
      <c r="BM298" s="103">
        <f t="shared" si="13"/>
        <v>139.85840000000002</v>
      </c>
      <c r="BN298" s="103">
        <f t="shared" si="14"/>
        <v>2682.7384000000002</v>
      </c>
      <c r="BO298" s="103"/>
      <c r="BP298" s="75" t="s">
        <v>104</v>
      </c>
      <c r="BQ298" s="75"/>
      <c r="BR298" s="74">
        <v>43416</v>
      </c>
      <c r="BS298" s="157">
        <v>2018</v>
      </c>
      <c r="BT298">
        <v>2020</v>
      </c>
      <c r="BU298">
        <v>2018</v>
      </c>
    </row>
    <row r="299" spans="1:73" ht="43.15" customHeight="1" x14ac:dyDescent="0.25">
      <c r="A299" s="242" t="s">
        <v>90</v>
      </c>
      <c r="B299" s="242" t="s">
        <v>260</v>
      </c>
      <c r="C299" s="159">
        <v>400</v>
      </c>
      <c r="D299" s="114">
        <v>43073</v>
      </c>
      <c r="E299" s="114"/>
      <c r="F299" s="114"/>
      <c r="G299" s="114"/>
      <c r="H299" s="114">
        <v>43082</v>
      </c>
      <c r="I299" s="114">
        <v>43082</v>
      </c>
      <c r="J299" s="114">
        <v>43088</v>
      </c>
      <c r="K299" s="114"/>
      <c r="L299" s="114">
        <v>43210</v>
      </c>
      <c r="M299" s="114">
        <v>43150</v>
      </c>
      <c r="N299" s="114"/>
      <c r="O299" s="114">
        <v>43236</v>
      </c>
      <c r="P299" s="114">
        <v>43236</v>
      </c>
      <c r="Q299" s="114">
        <v>43258</v>
      </c>
      <c r="R299" s="80"/>
      <c r="S299" s="114"/>
      <c r="T299" s="75"/>
      <c r="U299" s="75"/>
      <c r="V299" s="75"/>
      <c r="W299" s="75">
        <v>2</v>
      </c>
      <c r="X299" s="75">
        <f>25762+25826</f>
        <v>51588</v>
      </c>
      <c r="Y299" s="75" t="str">
        <f ca="1">IF(I299="",IF(D299="","",IF(W299+X299&lt;15,"Données Nb pers ou RFR manquantes",IF(COUNTA(INDIRECT("TabRFR["&amp;YEAR(D299)&amp;"]"))&lt;&gt;COUNTA(TabRFR[Recherche RFR]),"Data RFR manquantes", IF(X299&lt;=INDEX(TabRFR[[2021]:[2025]],MATCH(BD!W299&amp;"-Très modestes",TabRFR[Recherche RFR],0),MATCH(TEXT(YEAR(BD!D299),"Standard"),TabRFR[[#Headers],[2021]:[2025]],0)),"Très Modeste",IF(X299&lt;=INDEX(TabRFR[[2021]:[2025]],MATCH(BD!W299&amp;"-modestes",TabRFR[Recherche RFR],0),MATCH(TEXT(YEAR(BD!D299),"Standard"),TabRFR[[#Headers],[2021]:[2025]],0)),"Modeste",IF(X299&lt;=INDEX(TabRFR[[2021]:[2025]],MATCH(BD!W299&amp;"-Intermédiaire",TabRFR[Recherche RFR],0),MATCH(TEXT(YEAR(BD!D299),"Standard"),TabRFR[[#Headers],[2021]:[2025]],0)),"Intermédiaire","Supérieur")))))),IF(D299="","",IF(W299+X299&lt;15,"Données Nb pers ou RFR manquantes",IF(COUNTA(INDIRECT("TabRFR["&amp;YEAR(I299)&amp;"]"))&lt;&gt;COUNTA(TabRFR[Recherche RFR]),"Data RFR manquantes", IF(X299&lt;=INDEX(TabRFR[[2021]:[2025]],MATCH(BD!W299&amp;"-Très modestes",TabRFR[Recherche RFR],0),MATCH(TEXT(YEAR(BD!I299),"Standard"),TabRFR[[#Headers],[2021]:[2025]],0)),"Très Modeste",IF(X299&lt;=INDEX(TabRFR[[2021]:[2025]],MATCH(BD!W299&amp;"-modestes",TabRFR[Recherche RFR],0),MATCH(TEXT(YEAR(BD!I299),"Standard"),TabRFR[[#Headers],[2021]:[2025]],0)),"Modeste",IF(X299&lt;=INDEX(TabRFR[[2021]:[2025]],MATCH(BD!W299&amp;"-Intermédiaire",TabRFR[Recherche RFR],0),MATCH(TEXT(YEAR(BD!I299),"Standard"),TabRFR[[#Headers],[2021]:[2025]],0)),"Intermédiaire","Supérieur")))))))</f>
        <v>Data RFR manquantes</v>
      </c>
      <c r="Z299" s="75"/>
      <c r="AA299" s="75" t="s">
        <v>261</v>
      </c>
      <c r="AB299" s="75">
        <v>38500</v>
      </c>
      <c r="AC299" s="75" t="s">
        <v>2873</v>
      </c>
      <c r="AD299" s="73"/>
      <c r="AE299" s="102"/>
      <c r="AF299" s="75" t="s">
        <v>95</v>
      </c>
      <c r="AG299" s="75"/>
      <c r="AH299" s="75"/>
      <c r="AI299" s="75"/>
      <c r="AJ299" s="75"/>
      <c r="AK299" s="75"/>
      <c r="AL299" s="75"/>
      <c r="AM299" s="75" t="s">
        <v>4348</v>
      </c>
      <c r="AN299" s="75" t="s">
        <v>96</v>
      </c>
      <c r="AO299" s="75" t="s">
        <v>238</v>
      </c>
      <c r="AP299" s="75" t="s">
        <v>97</v>
      </c>
      <c r="AQ299" s="75"/>
      <c r="AR299" s="74">
        <v>42968</v>
      </c>
      <c r="AS299" s="102" t="s">
        <v>98</v>
      </c>
      <c r="AT299" s="73">
        <v>476323235</v>
      </c>
      <c r="AU299" s="75" t="s">
        <v>99</v>
      </c>
      <c r="AV299" s="75">
        <v>1987</v>
      </c>
      <c r="AW299" s="75" t="s">
        <v>100</v>
      </c>
      <c r="AX299" s="75" t="s">
        <v>112</v>
      </c>
      <c r="AY299" s="75" t="s">
        <v>251</v>
      </c>
      <c r="AZ299" s="75" t="s">
        <v>263</v>
      </c>
      <c r="BA299" s="75">
        <v>4</v>
      </c>
      <c r="BB299" s="75">
        <v>6.8</v>
      </c>
      <c r="BC299" s="75">
        <v>78</v>
      </c>
      <c r="BD299" s="75">
        <v>0.06</v>
      </c>
      <c r="BE299" s="75" t="s">
        <v>97</v>
      </c>
      <c r="BF299" s="75"/>
      <c r="BG299" s="75">
        <v>2580</v>
      </c>
      <c r="BH299" s="75"/>
      <c r="BI299" s="75"/>
      <c r="BJ299" s="75"/>
      <c r="BK299" s="75">
        <f>4430.82-2580</f>
        <v>1850.8199999999997</v>
      </c>
      <c r="BL299" s="75">
        <f t="shared" si="12"/>
        <v>4430.82</v>
      </c>
      <c r="BM299" s="103">
        <f t="shared" si="13"/>
        <v>243.6951</v>
      </c>
      <c r="BN299" s="103">
        <f t="shared" si="14"/>
        <v>4674.5150999999996</v>
      </c>
      <c r="BO299" s="103">
        <f>3243+1404</f>
        <v>4647</v>
      </c>
      <c r="BP299" s="75" t="s">
        <v>97</v>
      </c>
      <c r="BQ299" s="75"/>
      <c r="BR299" s="74">
        <v>43416</v>
      </c>
      <c r="BS299" s="157">
        <v>2018</v>
      </c>
      <c r="BT299">
        <v>2020</v>
      </c>
      <c r="BU299">
        <v>2018</v>
      </c>
    </row>
    <row r="300" spans="1:73" ht="43.15" customHeight="1" x14ac:dyDescent="0.25">
      <c r="A300" s="29" t="s">
        <v>90</v>
      </c>
      <c r="B300" s="29" t="s">
        <v>264</v>
      </c>
      <c r="C300" s="161" t="s">
        <v>9</v>
      </c>
      <c r="D300" s="110">
        <v>43073</v>
      </c>
      <c r="E300" s="110"/>
      <c r="F300" s="110"/>
      <c r="G300" s="110"/>
      <c r="H300" s="110"/>
      <c r="I300" s="110"/>
      <c r="J300" s="110"/>
      <c r="K300" s="110"/>
      <c r="L300" s="110"/>
      <c r="M300" s="110"/>
      <c r="N300" s="110"/>
      <c r="O300" s="110"/>
      <c r="P300" s="110"/>
      <c r="Q300" s="110"/>
      <c r="R300" s="109"/>
      <c r="S300" s="110">
        <v>43082</v>
      </c>
      <c r="T300" s="111" t="s">
        <v>265</v>
      </c>
      <c r="U300" s="111"/>
      <c r="V300" s="111"/>
      <c r="W300" s="111">
        <v>5</v>
      </c>
      <c r="X300" s="111"/>
      <c r="Y300" s="75" t="str">
        <f ca="1">IF(I300="",IF(D300="","",IF(W300+X300&lt;15,"Données Nb pers ou RFR manquantes",IF(COUNTA(INDIRECT("TabRFR["&amp;YEAR(D300)&amp;"]"))&lt;&gt;COUNTA(TabRFR[Recherche RFR]),"Data RFR manquantes", IF(X300&lt;=INDEX(TabRFR[[2021]:[2025]],MATCH(BD!W300&amp;"-Très modestes",TabRFR[Recherche RFR],0),MATCH(TEXT(YEAR(BD!D300),"Standard"),TabRFR[[#Headers],[2021]:[2025]],0)),"Très Modeste",IF(X300&lt;=INDEX(TabRFR[[2021]:[2025]],MATCH(BD!W300&amp;"-modestes",TabRFR[Recherche RFR],0),MATCH(TEXT(YEAR(BD!D300),"Standard"),TabRFR[[#Headers],[2021]:[2025]],0)),"Modeste",IF(X300&lt;=INDEX(TabRFR[[2021]:[2025]],MATCH(BD!W300&amp;"-Intermédiaire",TabRFR[Recherche RFR],0),MATCH(TEXT(YEAR(BD!D300),"Standard"),TabRFR[[#Headers],[2021]:[2025]],0)),"Intermédiaire","Supérieur")))))),IF(D300="","",IF(W300+X300&lt;15,"Données Nb pers ou RFR manquantes",IF(COUNTA(INDIRECT("TabRFR["&amp;YEAR(I300)&amp;"]"))&lt;&gt;COUNTA(TabRFR[Recherche RFR]),"Data RFR manquantes", IF(X300&lt;=INDEX(TabRFR[[2021]:[2025]],MATCH(BD!W300&amp;"-Très modestes",TabRFR[Recherche RFR],0),MATCH(TEXT(YEAR(BD!I300),"Standard"),TabRFR[[#Headers],[2021]:[2025]],0)),"Très Modeste",IF(X300&lt;=INDEX(TabRFR[[2021]:[2025]],MATCH(BD!W300&amp;"-modestes",TabRFR[Recherche RFR],0),MATCH(TEXT(YEAR(BD!I300),"Standard"),TabRFR[[#Headers],[2021]:[2025]],0)),"Modeste",IF(X300&lt;=INDEX(TabRFR[[2021]:[2025]],MATCH(BD!W300&amp;"-Intermédiaire",TabRFR[Recherche RFR],0),MATCH(TEXT(YEAR(BD!I300),"Standard"),TabRFR[[#Headers],[2021]:[2025]],0)),"Intermédiaire","Supérieur")))))))</f>
        <v>Données Nb pers ou RFR manquantes</v>
      </c>
      <c r="Z300" s="111"/>
      <c r="AA300" s="111" t="s">
        <v>267</v>
      </c>
      <c r="AB300" s="111">
        <v>38960</v>
      </c>
      <c r="AC300" s="111" t="s">
        <v>2378</v>
      </c>
      <c r="AD300" s="127"/>
      <c r="AE300" s="102"/>
      <c r="AF300" s="111"/>
      <c r="AG300" s="111"/>
      <c r="AH300" s="111">
        <v>2008</v>
      </c>
      <c r="AI300" s="111"/>
      <c r="AJ300" s="111"/>
      <c r="AK300" s="111"/>
      <c r="AL300" s="111"/>
      <c r="AM300" s="111" t="s">
        <v>268</v>
      </c>
      <c r="AN300" s="111" t="s">
        <v>269</v>
      </c>
      <c r="AO300" s="111" t="s">
        <v>270</v>
      </c>
      <c r="AP300" s="111" t="s">
        <v>97</v>
      </c>
      <c r="AQ300" s="111"/>
      <c r="AR300" s="135"/>
      <c r="AS300" s="102" t="s">
        <v>271</v>
      </c>
      <c r="AT300" s="127">
        <v>477288443</v>
      </c>
      <c r="AU300" s="111" t="s">
        <v>111</v>
      </c>
      <c r="AV300" s="111"/>
      <c r="AW300" s="111" t="s">
        <v>100</v>
      </c>
      <c r="AX300" s="75" t="s">
        <v>2071</v>
      </c>
      <c r="AY300" s="111" t="s">
        <v>272</v>
      </c>
      <c r="AZ300" s="111" t="s">
        <v>273</v>
      </c>
      <c r="BA300" s="111"/>
      <c r="BB300" s="111"/>
      <c r="BC300" s="111"/>
      <c r="BD300" s="111"/>
      <c r="BE300" s="111" t="s">
        <v>104</v>
      </c>
      <c r="BF300" s="111"/>
      <c r="BG300" s="111"/>
      <c r="BH300" s="111"/>
      <c r="BI300" s="111"/>
      <c r="BJ300" s="111"/>
      <c r="BK300" s="111"/>
      <c r="BL300" s="75">
        <f t="shared" si="12"/>
        <v>0</v>
      </c>
      <c r="BM300" s="103">
        <f t="shared" si="13"/>
        <v>0</v>
      </c>
      <c r="BN300" s="103">
        <f t="shared" si="14"/>
        <v>0</v>
      </c>
      <c r="BO300" s="113"/>
      <c r="BP300" s="111"/>
      <c r="BQ300" s="111"/>
      <c r="BR300" s="111"/>
      <c r="BS300" s="157">
        <v>2018</v>
      </c>
      <c r="BU300" t="s">
        <v>4180</v>
      </c>
    </row>
    <row r="301" spans="1:73" ht="43.15" customHeight="1" x14ac:dyDescent="0.25">
      <c r="A301" s="242" t="s">
        <v>90</v>
      </c>
      <c r="B301" s="242" t="s">
        <v>274</v>
      </c>
      <c r="C301" s="159">
        <v>400</v>
      </c>
      <c r="D301" s="114">
        <v>43074</v>
      </c>
      <c r="E301" s="114"/>
      <c r="F301" s="114"/>
      <c r="G301" s="114"/>
      <c r="H301" s="114">
        <v>43082</v>
      </c>
      <c r="I301" s="114">
        <v>43082</v>
      </c>
      <c r="J301" s="114">
        <v>43088</v>
      </c>
      <c r="K301" s="114"/>
      <c r="L301" s="114">
        <v>43140</v>
      </c>
      <c r="M301" s="114">
        <v>43089</v>
      </c>
      <c r="N301" s="140" t="s">
        <v>275</v>
      </c>
      <c r="O301" s="114">
        <v>43308</v>
      </c>
      <c r="P301" s="114">
        <v>43308</v>
      </c>
      <c r="Q301" s="114">
        <v>43343</v>
      </c>
      <c r="R301" s="80"/>
      <c r="S301" s="114"/>
      <c r="T301" s="75"/>
      <c r="U301" s="75"/>
      <c r="V301" s="75"/>
      <c r="W301" s="75">
        <v>2</v>
      </c>
      <c r="X301" s="75">
        <v>37630</v>
      </c>
      <c r="Y301" s="75" t="str">
        <f ca="1">IF(I301="",IF(D301="","",IF(W301+X301&lt;15,"Données Nb pers ou RFR manquantes",IF(COUNTA(INDIRECT("TabRFR["&amp;YEAR(D301)&amp;"]"))&lt;&gt;COUNTA(TabRFR[Recherche RFR]),"Data RFR manquantes", IF(X301&lt;=INDEX(TabRFR[[2021]:[2025]],MATCH(BD!W301&amp;"-Très modestes",TabRFR[Recherche RFR],0),MATCH(TEXT(YEAR(BD!D301),"Standard"),TabRFR[[#Headers],[2021]:[2025]],0)),"Très Modeste",IF(X301&lt;=INDEX(TabRFR[[2021]:[2025]],MATCH(BD!W301&amp;"-modestes",TabRFR[Recherche RFR],0),MATCH(TEXT(YEAR(BD!D301),"Standard"),TabRFR[[#Headers],[2021]:[2025]],0)),"Modeste",IF(X301&lt;=INDEX(TabRFR[[2021]:[2025]],MATCH(BD!W301&amp;"-Intermédiaire",TabRFR[Recherche RFR],0),MATCH(TEXT(YEAR(BD!D301),"Standard"),TabRFR[[#Headers],[2021]:[2025]],0)),"Intermédiaire","Supérieur")))))),IF(D301="","",IF(W301+X301&lt;15,"Données Nb pers ou RFR manquantes",IF(COUNTA(INDIRECT("TabRFR["&amp;YEAR(I301)&amp;"]"))&lt;&gt;COUNTA(TabRFR[Recherche RFR]),"Data RFR manquantes", IF(X301&lt;=INDEX(TabRFR[[2021]:[2025]],MATCH(BD!W301&amp;"-Très modestes",TabRFR[Recherche RFR],0),MATCH(TEXT(YEAR(BD!I301),"Standard"),TabRFR[[#Headers],[2021]:[2025]],0)),"Très Modeste",IF(X301&lt;=INDEX(TabRFR[[2021]:[2025]],MATCH(BD!W301&amp;"-modestes",TabRFR[Recherche RFR],0),MATCH(TEXT(YEAR(BD!I301),"Standard"),TabRFR[[#Headers],[2021]:[2025]],0)),"Modeste",IF(X301&lt;=INDEX(TabRFR[[2021]:[2025]],MATCH(BD!W301&amp;"-Intermédiaire",TabRFR[Recherche RFR],0),MATCH(TEXT(YEAR(BD!I301),"Standard"),TabRFR[[#Headers],[2021]:[2025]],0)),"Intermédiaire","Supérieur")))))))</f>
        <v>Data RFR manquantes</v>
      </c>
      <c r="Z301" s="75"/>
      <c r="AA301" s="75" t="s">
        <v>276</v>
      </c>
      <c r="AB301" s="75">
        <v>38960</v>
      </c>
      <c r="AC301" s="75" t="s">
        <v>2378</v>
      </c>
      <c r="AD301" s="73"/>
      <c r="AE301" s="102"/>
      <c r="AF301" s="75" t="s">
        <v>95</v>
      </c>
      <c r="AG301" s="75"/>
      <c r="AH301" s="75"/>
      <c r="AI301" s="75"/>
      <c r="AJ301" s="75"/>
      <c r="AK301" s="75"/>
      <c r="AL301" s="75"/>
      <c r="AM301" s="75" t="s">
        <v>4236</v>
      </c>
      <c r="AN301" s="75" t="s">
        <v>4091</v>
      </c>
      <c r="AO301" s="75" t="s">
        <v>163</v>
      </c>
      <c r="AP301" s="75" t="s">
        <v>97</v>
      </c>
      <c r="AQ301" s="75"/>
      <c r="AR301" s="74">
        <v>43360</v>
      </c>
      <c r="AS301" s="102" t="s">
        <v>277</v>
      </c>
      <c r="AT301" s="73">
        <v>476370350</v>
      </c>
      <c r="AU301" s="75" t="s">
        <v>100</v>
      </c>
      <c r="AV301" s="75">
        <v>2000</v>
      </c>
      <c r="AW301" s="75" t="s">
        <v>100</v>
      </c>
      <c r="AX301" s="75" t="s">
        <v>112</v>
      </c>
      <c r="AY301" s="75" t="s">
        <v>278</v>
      </c>
      <c r="AZ301" s="75" t="s">
        <v>279</v>
      </c>
      <c r="BA301" s="75">
        <v>22</v>
      </c>
      <c r="BB301" s="75">
        <v>5</v>
      </c>
      <c r="BC301" s="75">
        <v>80.5</v>
      </c>
      <c r="BD301" s="75">
        <v>0.09</v>
      </c>
      <c r="BE301" s="75" t="s">
        <v>97</v>
      </c>
      <c r="BF301" s="77"/>
      <c r="BG301" s="75">
        <v>1384</v>
      </c>
      <c r="BH301" s="75"/>
      <c r="BI301" s="75"/>
      <c r="BJ301" s="75"/>
      <c r="BK301" s="75">
        <f>2818.58-BG301</f>
        <v>1434.58</v>
      </c>
      <c r="BL301" s="75">
        <f t="shared" si="12"/>
        <v>2818.58</v>
      </c>
      <c r="BM301" s="103">
        <f t="shared" si="13"/>
        <v>155.02189999999999</v>
      </c>
      <c r="BN301" s="103">
        <f t="shared" si="14"/>
        <v>2973.6019000000001</v>
      </c>
      <c r="BO301" s="103">
        <v>2858.6</v>
      </c>
      <c r="BP301" s="75" t="s">
        <v>104</v>
      </c>
      <c r="BQ301" s="75"/>
      <c r="BR301" s="74">
        <v>43416</v>
      </c>
      <c r="BS301" s="157">
        <v>2018</v>
      </c>
      <c r="BT301">
        <v>2020</v>
      </c>
      <c r="BU301">
        <v>2018</v>
      </c>
    </row>
    <row r="302" spans="1:73" ht="43.15" customHeight="1" x14ac:dyDescent="0.25">
      <c r="A302" s="29" t="s">
        <v>90</v>
      </c>
      <c r="B302" s="29" t="s">
        <v>280</v>
      </c>
      <c r="C302" s="161" t="s">
        <v>9</v>
      </c>
      <c r="D302" s="110">
        <v>43074</v>
      </c>
      <c r="E302" s="110"/>
      <c r="F302" s="110"/>
      <c r="G302" s="110"/>
      <c r="H302" s="110">
        <v>43082</v>
      </c>
      <c r="I302" s="110">
        <v>43082</v>
      </c>
      <c r="J302" s="214">
        <v>43088</v>
      </c>
      <c r="K302" s="110"/>
      <c r="L302" s="110">
        <v>43102</v>
      </c>
      <c r="M302" s="214">
        <v>43080</v>
      </c>
      <c r="N302" s="110"/>
      <c r="O302" s="110">
        <v>42737</v>
      </c>
      <c r="P302" s="110"/>
      <c r="Q302" s="110" t="s">
        <v>281</v>
      </c>
      <c r="R302" s="109"/>
      <c r="S302" s="110">
        <v>43130</v>
      </c>
      <c r="T302" s="111" t="s">
        <v>282</v>
      </c>
      <c r="U302" s="111"/>
      <c r="V302" s="111"/>
      <c r="W302" s="111">
        <v>2</v>
      </c>
      <c r="X302" s="111">
        <v>35619</v>
      </c>
      <c r="Y302" s="75" t="str">
        <f ca="1">IF(I302="",IF(D302="","",IF(W302+X302&lt;15,"Données Nb pers ou RFR manquantes",IF(COUNTA(INDIRECT("TabRFR["&amp;YEAR(D302)&amp;"]"))&lt;&gt;COUNTA(TabRFR[Recherche RFR]),"Data RFR manquantes", IF(X302&lt;=INDEX(TabRFR[[2021]:[2025]],MATCH(BD!W302&amp;"-Très modestes",TabRFR[Recherche RFR],0),MATCH(TEXT(YEAR(BD!D302),"Standard"),TabRFR[[#Headers],[2021]:[2025]],0)),"Très Modeste",IF(X302&lt;=INDEX(TabRFR[[2021]:[2025]],MATCH(BD!W302&amp;"-modestes",TabRFR[Recherche RFR],0),MATCH(TEXT(YEAR(BD!D302),"Standard"),TabRFR[[#Headers],[2021]:[2025]],0)),"Modeste",IF(X302&lt;=INDEX(TabRFR[[2021]:[2025]],MATCH(BD!W302&amp;"-Intermédiaire",TabRFR[Recherche RFR],0),MATCH(TEXT(YEAR(BD!D302),"Standard"),TabRFR[[#Headers],[2021]:[2025]],0)),"Intermédiaire","Supérieur")))))),IF(D302="","",IF(W302+X302&lt;15,"Données Nb pers ou RFR manquantes",IF(COUNTA(INDIRECT("TabRFR["&amp;YEAR(I302)&amp;"]"))&lt;&gt;COUNTA(TabRFR[Recherche RFR]),"Data RFR manquantes", IF(X302&lt;=INDEX(TabRFR[[2021]:[2025]],MATCH(BD!W302&amp;"-Très modestes",TabRFR[Recherche RFR],0),MATCH(TEXT(YEAR(BD!I302),"Standard"),TabRFR[[#Headers],[2021]:[2025]],0)),"Très Modeste",IF(X302&lt;=INDEX(TabRFR[[2021]:[2025]],MATCH(BD!W302&amp;"-modestes",TabRFR[Recherche RFR],0),MATCH(TEXT(YEAR(BD!I302),"Standard"),TabRFR[[#Headers],[2021]:[2025]],0)),"Modeste",IF(X302&lt;=INDEX(TabRFR[[2021]:[2025]],MATCH(BD!W302&amp;"-Intermédiaire",TabRFR[Recherche RFR],0),MATCH(TEXT(YEAR(BD!I302),"Standard"),TabRFR[[#Headers],[2021]:[2025]],0)),"Intermédiaire","Supérieur")))))))</f>
        <v>Data RFR manquantes</v>
      </c>
      <c r="Z302" s="111"/>
      <c r="AA302" s="111" t="s">
        <v>284</v>
      </c>
      <c r="AB302" s="111">
        <v>38730</v>
      </c>
      <c r="AC302" s="111" t="s">
        <v>4304</v>
      </c>
      <c r="AD302" s="127"/>
      <c r="AE302" s="102"/>
      <c r="AF302" s="111" t="s">
        <v>95</v>
      </c>
      <c r="AG302" s="111"/>
      <c r="AH302" s="111">
        <v>1988</v>
      </c>
      <c r="AI302" s="111"/>
      <c r="AJ302" s="111"/>
      <c r="AK302" s="111"/>
      <c r="AL302" s="111"/>
      <c r="AM302" s="111" t="s">
        <v>4236</v>
      </c>
      <c r="AN302" s="111" t="s">
        <v>4091</v>
      </c>
      <c r="AO302" s="111" t="s">
        <v>163</v>
      </c>
      <c r="AP302" s="111" t="s">
        <v>97</v>
      </c>
      <c r="AQ302" s="111"/>
      <c r="AR302" s="135">
        <v>43360</v>
      </c>
      <c r="AS302" s="102" t="s">
        <v>285</v>
      </c>
      <c r="AT302" s="127">
        <v>476370350</v>
      </c>
      <c r="AU302" s="111" t="s">
        <v>111</v>
      </c>
      <c r="AV302" s="111">
        <v>1988</v>
      </c>
      <c r="AW302" s="111" t="s">
        <v>100</v>
      </c>
      <c r="AX302" s="75" t="s">
        <v>2071</v>
      </c>
      <c r="AY302" s="111" t="s">
        <v>165</v>
      </c>
      <c r="AZ302" s="111" t="s">
        <v>198</v>
      </c>
      <c r="BA302" s="111">
        <v>16</v>
      </c>
      <c r="BB302" s="111">
        <v>9.1</v>
      </c>
      <c r="BC302" s="111">
        <v>91.8</v>
      </c>
      <c r="BD302" s="111">
        <v>0</v>
      </c>
      <c r="BE302" s="111" t="s">
        <v>97</v>
      </c>
      <c r="BF302" s="111"/>
      <c r="BG302" s="111">
        <v>3090</v>
      </c>
      <c r="BH302" s="111"/>
      <c r="BI302" s="111"/>
      <c r="BJ302" s="111"/>
      <c r="BK302" s="111">
        <f>4806-3090</f>
        <v>1716</v>
      </c>
      <c r="BL302" s="75">
        <f t="shared" si="12"/>
        <v>4806</v>
      </c>
      <c r="BM302" s="103">
        <f t="shared" si="13"/>
        <v>264.33</v>
      </c>
      <c r="BN302" s="103">
        <f t="shared" si="14"/>
        <v>5070.33</v>
      </c>
      <c r="BO302" s="113">
        <v>5070.33</v>
      </c>
      <c r="BP302" s="111" t="s">
        <v>97</v>
      </c>
      <c r="BQ302" s="111"/>
      <c r="BR302" s="111"/>
      <c r="BS302" s="157">
        <v>2018</v>
      </c>
      <c r="BU302" t="s">
        <v>4180</v>
      </c>
    </row>
    <row r="303" spans="1:73" ht="43.15" customHeight="1" x14ac:dyDescent="0.25">
      <c r="A303" s="242" t="s">
        <v>90</v>
      </c>
      <c r="B303" s="242" t="s">
        <v>286</v>
      </c>
      <c r="C303" s="159">
        <v>800</v>
      </c>
      <c r="D303" s="114">
        <v>43076</v>
      </c>
      <c r="E303" s="114"/>
      <c r="F303" s="114">
        <v>43088</v>
      </c>
      <c r="G303" s="114" t="s">
        <v>287</v>
      </c>
      <c r="H303" s="114">
        <v>43102</v>
      </c>
      <c r="I303" s="114">
        <v>43102</v>
      </c>
      <c r="J303" s="114">
        <v>43112</v>
      </c>
      <c r="K303" s="114"/>
      <c r="L303" s="114">
        <v>43357</v>
      </c>
      <c r="M303" s="114">
        <v>43350</v>
      </c>
      <c r="N303" s="114"/>
      <c r="O303" s="114" t="s">
        <v>288</v>
      </c>
      <c r="P303" s="114">
        <v>43363</v>
      </c>
      <c r="Q303" s="114">
        <v>43371</v>
      </c>
      <c r="R303" s="100"/>
      <c r="S303" s="114"/>
      <c r="T303" s="75"/>
      <c r="U303" s="75"/>
      <c r="V303" s="75"/>
      <c r="W303" s="75">
        <v>5</v>
      </c>
      <c r="X303" s="75">
        <v>32889</v>
      </c>
      <c r="Y303" s="75" t="str">
        <f ca="1">IF(I303="",IF(D303="","",IF(W303+X303&lt;15,"Données Nb pers ou RFR manquantes",IF(COUNTA(INDIRECT("TabRFR["&amp;YEAR(D303)&amp;"]"))&lt;&gt;COUNTA(TabRFR[Recherche RFR]),"Data RFR manquantes", IF(X303&lt;=INDEX(TabRFR[[2021]:[2025]],MATCH(BD!W303&amp;"-Très modestes",TabRFR[Recherche RFR],0),MATCH(TEXT(YEAR(BD!D303),"Standard"),TabRFR[[#Headers],[2021]:[2025]],0)),"Très Modeste",IF(X303&lt;=INDEX(TabRFR[[2021]:[2025]],MATCH(BD!W303&amp;"-modestes",TabRFR[Recherche RFR],0),MATCH(TEXT(YEAR(BD!D303),"Standard"),TabRFR[[#Headers],[2021]:[2025]],0)),"Modeste",IF(X303&lt;=INDEX(TabRFR[[2021]:[2025]],MATCH(BD!W303&amp;"-Intermédiaire",TabRFR[Recherche RFR],0),MATCH(TEXT(YEAR(BD!D303),"Standard"),TabRFR[[#Headers],[2021]:[2025]],0)),"Intermédiaire","Supérieur")))))),IF(D303="","",IF(W303+X303&lt;15,"Données Nb pers ou RFR manquantes",IF(COUNTA(INDIRECT("TabRFR["&amp;YEAR(I303)&amp;"]"))&lt;&gt;COUNTA(TabRFR[Recherche RFR]),"Data RFR manquantes", IF(X303&lt;=INDEX(TabRFR[[2021]:[2025]],MATCH(BD!W303&amp;"-Très modestes",TabRFR[Recherche RFR],0),MATCH(TEXT(YEAR(BD!I303),"Standard"),TabRFR[[#Headers],[2021]:[2025]],0)),"Très Modeste",IF(X303&lt;=INDEX(TabRFR[[2021]:[2025]],MATCH(BD!W303&amp;"-modestes",TabRFR[Recherche RFR],0),MATCH(TEXT(YEAR(BD!I303),"Standard"),TabRFR[[#Headers],[2021]:[2025]],0)),"Modeste",IF(X303&lt;=INDEX(TabRFR[[2021]:[2025]],MATCH(BD!W303&amp;"-Intermédiaire",TabRFR[Recherche RFR],0),MATCH(TEXT(YEAR(BD!I303),"Standard"),TabRFR[[#Headers],[2021]:[2025]],0)),"Intermédiaire","Supérieur")))))))</f>
        <v>Data RFR manquantes</v>
      </c>
      <c r="Z303" s="75"/>
      <c r="AA303" s="75" t="s">
        <v>290</v>
      </c>
      <c r="AB303" s="75">
        <v>38730</v>
      </c>
      <c r="AC303" s="75" t="s">
        <v>4304</v>
      </c>
      <c r="AD303" s="73"/>
      <c r="AE303" s="102"/>
      <c r="AF303" s="75"/>
      <c r="AG303" s="75"/>
      <c r="AH303" s="75">
        <v>2004</v>
      </c>
      <c r="AI303" s="75"/>
      <c r="AJ303" s="75"/>
      <c r="AK303" s="75"/>
      <c r="AL303" s="75"/>
      <c r="AM303" s="75" t="s">
        <v>4368</v>
      </c>
      <c r="AN303" s="75" t="s">
        <v>917</v>
      </c>
      <c r="AO303" s="75" t="s">
        <v>292</v>
      </c>
      <c r="AP303" s="75" t="s">
        <v>97</v>
      </c>
      <c r="AQ303" s="75"/>
      <c r="AR303" s="74">
        <v>43281</v>
      </c>
      <c r="AS303" s="102"/>
      <c r="AT303" s="73">
        <v>479524432</v>
      </c>
      <c r="AU303" s="75" t="s">
        <v>99</v>
      </c>
      <c r="AV303" s="75">
        <v>1990</v>
      </c>
      <c r="AW303" s="75" t="s">
        <v>100</v>
      </c>
      <c r="AX303" s="75" t="s">
        <v>112</v>
      </c>
      <c r="AY303" s="75" t="s">
        <v>174</v>
      </c>
      <c r="AZ303" s="75" t="s">
        <v>293</v>
      </c>
      <c r="BA303" s="75">
        <v>17</v>
      </c>
      <c r="BB303" s="75">
        <v>9</v>
      </c>
      <c r="BC303" s="75">
        <v>94</v>
      </c>
      <c r="BD303" s="75">
        <v>0.02</v>
      </c>
      <c r="BE303" s="75" t="s">
        <v>97</v>
      </c>
      <c r="BF303" s="75"/>
      <c r="BG303" s="75"/>
      <c r="BH303" s="75"/>
      <c r="BI303" s="75"/>
      <c r="BJ303" s="75"/>
      <c r="BK303" s="75"/>
      <c r="BL303" s="75">
        <f t="shared" si="12"/>
        <v>0</v>
      </c>
      <c r="BM303" s="103">
        <f t="shared" si="13"/>
        <v>0</v>
      </c>
      <c r="BN303" s="103">
        <f t="shared" si="14"/>
        <v>0</v>
      </c>
      <c r="BO303" s="103">
        <v>4600</v>
      </c>
      <c r="BP303" s="75" t="s">
        <v>97</v>
      </c>
      <c r="BQ303" s="75"/>
      <c r="BR303" s="74">
        <v>43416</v>
      </c>
      <c r="BS303" s="157">
        <v>2018</v>
      </c>
      <c r="BT303">
        <v>2020</v>
      </c>
      <c r="BU303">
        <v>2018</v>
      </c>
    </row>
    <row r="304" spans="1:73" ht="43.15" customHeight="1" x14ac:dyDescent="0.25">
      <c r="A304" s="242" t="s">
        <v>90</v>
      </c>
      <c r="B304" s="242" t="s">
        <v>294</v>
      </c>
      <c r="C304" s="159">
        <v>400</v>
      </c>
      <c r="D304" s="114">
        <v>43077</v>
      </c>
      <c r="E304" s="114"/>
      <c r="F304" s="114">
        <v>43088</v>
      </c>
      <c r="G304" s="114" t="s">
        <v>295</v>
      </c>
      <c r="H304" s="114">
        <v>43147</v>
      </c>
      <c r="I304" s="114">
        <v>43147</v>
      </c>
      <c r="J304" s="114">
        <v>43180</v>
      </c>
      <c r="K304" s="114"/>
      <c r="L304" s="114">
        <v>43217</v>
      </c>
      <c r="M304" s="114">
        <v>43186</v>
      </c>
      <c r="N304" s="114"/>
      <c r="O304" s="114">
        <v>43236</v>
      </c>
      <c r="P304" s="114">
        <v>43236</v>
      </c>
      <c r="Q304" s="114">
        <v>43258</v>
      </c>
      <c r="R304" s="80"/>
      <c r="S304" s="114"/>
      <c r="T304" s="75"/>
      <c r="U304" s="75"/>
      <c r="V304" s="75"/>
      <c r="W304" s="75">
        <v>2</v>
      </c>
      <c r="X304" s="75">
        <v>27492</v>
      </c>
      <c r="Y304" s="75" t="str">
        <f ca="1">IF(I304="",IF(D304="","",IF(W304+X304&lt;15,"Données Nb pers ou RFR manquantes",IF(COUNTA(INDIRECT("TabRFR["&amp;YEAR(D304)&amp;"]"))&lt;&gt;COUNTA(TabRFR[Recherche RFR]),"Data RFR manquantes", IF(X304&lt;=INDEX(TabRFR[[2021]:[2025]],MATCH(BD!W304&amp;"-Très modestes",TabRFR[Recherche RFR],0),MATCH(TEXT(YEAR(BD!D304),"Standard"),TabRFR[[#Headers],[2021]:[2025]],0)),"Très Modeste",IF(X304&lt;=INDEX(TabRFR[[2021]:[2025]],MATCH(BD!W304&amp;"-modestes",TabRFR[Recherche RFR],0),MATCH(TEXT(YEAR(BD!D304),"Standard"),TabRFR[[#Headers],[2021]:[2025]],0)),"Modeste",IF(X304&lt;=INDEX(TabRFR[[2021]:[2025]],MATCH(BD!W304&amp;"-Intermédiaire",TabRFR[Recherche RFR],0),MATCH(TEXT(YEAR(BD!D304),"Standard"),TabRFR[[#Headers],[2021]:[2025]],0)),"Intermédiaire","Supérieur")))))),IF(D304="","",IF(W304+X304&lt;15,"Données Nb pers ou RFR manquantes",IF(COUNTA(INDIRECT("TabRFR["&amp;YEAR(I304)&amp;"]"))&lt;&gt;COUNTA(TabRFR[Recherche RFR]),"Data RFR manquantes", IF(X304&lt;=INDEX(TabRFR[[2021]:[2025]],MATCH(BD!W304&amp;"-Très modestes",TabRFR[Recherche RFR],0),MATCH(TEXT(YEAR(BD!I304),"Standard"),TabRFR[[#Headers],[2021]:[2025]],0)),"Très Modeste",IF(X304&lt;=INDEX(TabRFR[[2021]:[2025]],MATCH(BD!W304&amp;"-modestes",TabRFR[Recherche RFR],0),MATCH(TEXT(YEAR(BD!I304),"Standard"),TabRFR[[#Headers],[2021]:[2025]],0)),"Modeste",IF(X304&lt;=INDEX(TabRFR[[2021]:[2025]],MATCH(BD!W304&amp;"-Intermédiaire",TabRFR[Recherche RFR],0),MATCH(TEXT(YEAR(BD!I304),"Standard"),TabRFR[[#Headers],[2021]:[2025]],0)),"Intermédiaire","Supérieur")))))))</f>
        <v>Data RFR manquantes</v>
      </c>
      <c r="Z304" s="75"/>
      <c r="AA304" s="75" t="s">
        <v>296</v>
      </c>
      <c r="AB304" s="75">
        <v>38500</v>
      </c>
      <c r="AC304" s="75" t="s">
        <v>118</v>
      </c>
      <c r="AD304" s="73"/>
      <c r="AE304" s="102"/>
      <c r="AF304" s="75"/>
      <c r="AG304" s="75"/>
      <c r="AH304" s="75">
        <v>1978</v>
      </c>
      <c r="AI304" s="75"/>
      <c r="AJ304" s="75"/>
      <c r="AK304" s="75"/>
      <c r="AL304" s="75"/>
      <c r="AM304" s="75" t="s">
        <v>4356</v>
      </c>
      <c r="AN304" s="75" t="s">
        <v>96</v>
      </c>
      <c r="AO304" s="75" t="s">
        <v>119</v>
      </c>
      <c r="AP304" s="75" t="s">
        <v>97</v>
      </c>
      <c r="AQ304" s="75"/>
      <c r="AR304" s="74">
        <v>43407</v>
      </c>
      <c r="AS304" s="102" t="s">
        <v>120</v>
      </c>
      <c r="AT304" s="73">
        <v>476071461</v>
      </c>
      <c r="AU304" s="75" t="s">
        <v>111</v>
      </c>
      <c r="AV304" s="75">
        <v>1996</v>
      </c>
      <c r="AW304" s="75" t="s">
        <v>100</v>
      </c>
      <c r="AX304" s="75" t="s">
        <v>112</v>
      </c>
      <c r="AY304" s="75" t="s">
        <v>297</v>
      </c>
      <c r="AZ304" s="75" t="s">
        <v>298</v>
      </c>
      <c r="BA304" s="75">
        <v>34</v>
      </c>
      <c r="BB304" s="75">
        <v>7</v>
      </c>
      <c r="BC304" s="75">
        <v>84</v>
      </c>
      <c r="BD304" s="75">
        <v>0.09</v>
      </c>
      <c r="BE304" s="75" t="s">
        <v>97</v>
      </c>
      <c r="BF304" s="75"/>
      <c r="BG304" s="75">
        <f>4286.63-350</f>
        <v>3936.63</v>
      </c>
      <c r="BH304" s="75"/>
      <c r="BI304" s="75"/>
      <c r="BJ304" s="75"/>
      <c r="BK304" s="75">
        <v>350</v>
      </c>
      <c r="BL304" s="75">
        <f t="shared" si="12"/>
        <v>4286.63</v>
      </c>
      <c r="BM304" s="103">
        <f t="shared" si="13"/>
        <v>235.76465000000002</v>
      </c>
      <c r="BN304" s="103">
        <f t="shared" si="14"/>
        <v>4522.3946500000002</v>
      </c>
      <c r="BO304" s="103">
        <f>3700+779</f>
        <v>4479</v>
      </c>
      <c r="BP304" s="75" t="s">
        <v>104</v>
      </c>
      <c r="BQ304" s="75"/>
      <c r="BR304" s="74">
        <v>43416</v>
      </c>
      <c r="BS304" s="157">
        <v>2018</v>
      </c>
      <c r="BT304">
        <v>2020</v>
      </c>
      <c r="BU304">
        <v>2018</v>
      </c>
    </row>
    <row r="305" spans="1:73" ht="43.15" customHeight="1" x14ac:dyDescent="0.25">
      <c r="A305" s="29" t="s">
        <v>90</v>
      </c>
      <c r="B305" s="29" t="s">
        <v>299</v>
      </c>
      <c r="C305" s="161" t="s">
        <v>9</v>
      </c>
      <c r="D305" s="110">
        <v>43077</v>
      </c>
      <c r="E305" s="110"/>
      <c r="F305" s="110">
        <v>43088</v>
      </c>
      <c r="G305" s="110" t="s">
        <v>300</v>
      </c>
      <c r="H305" s="110"/>
      <c r="I305" s="110"/>
      <c r="J305" s="214"/>
      <c r="K305" s="110"/>
      <c r="L305" s="110"/>
      <c r="M305" s="214"/>
      <c r="N305" s="110"/>
      <c r="O305" s="110"/>
      <c r="P305" s="110"/>
      <c r="Q305" s="110"/>
      <c r="R305" s="109"/>
      <c r="S305" s="110">
        <v>43348</v>
      </c>
      <c r="T305" s="111" t="s">
        <v>301</v>
      </c>
      <c r="U305" s="111"/>
      <c r="V305" s="111"/>
      <c r="W305" s="111">
        <v>2</v>
      </c>
      <c r="X305" s="111">
        <v>54992</v>
      </c>
      <c r="Y305" s="75" t="str">
        <f ca="1">IF(I305="",IF(D305="","",IF(W305+X305&lt;15,"Données Nb pers ou RFR manquantes",IF(COUNTA(INDIRECT("TabRFR["&amp;YEAR(D305)&amp;"]"))&lt;&gt;COUNTA(TabRFR[Recherche RFR]),"Data RFR manquantes", IF(X305&lt;=INDEX(TabRFR[[2021]:[2025]],MATCH(BD!W305&amp;"-Très modestes",TabRFR[Recherche RFR],0),MATCH(TEXT(YEAR(BD!D305),"Standard"),TabRFR[[#Headers],[2021]:[2025]],0)),"Très Modeste",IF(X305&lt;=INDEX(TabRFR[[2021]:[2025]],MATCH(BD!W305&amp;"-modestes",TabRFR[Recherche RFR],0),MATCH(TEXT(YEAR(BD!D305),"Standard"),TabRFR[[#Headers],[2021]:[2025]],0)),"Modeste",IF(X305&lt;=INDEX(TabRFR[[2021]:[2025]],MATCH(BD!W305&amp;"-Intermédiaire",TabRFR[Recherche RFR],0),MATCH(TEXT(YEAR(BD!D305),"Standard"),TabRFR[[#Headers],[2021]:[2025]],0)),"Intermédiaire","Supérieur")))))),IF(D305="","",IF(W305+X305&lt;15,"Données Nb pers ou RFR manquantes",IF(COUNTA(INDIRECT("TabRFR["&amp;YEAR(I305)&amp;"]"))&lt;&gt;COUNTA(TabRFR[Recherche RFR]),"Data RFR manquantes", IF(X305&lt;=INDEX(TabRFR[[2021]:[2025]],MATCH(BD!W305&amp;"-Très modestes",TabRFR[Recherche RFR],0),MATCH(TEXT(YEAR(BD!I305),"Standard"),TabRFR[[#Headers],[2021]:[2025]],0)),"Très Modeste",IF(X305&lt;=INDEX(TabRFR[[2021]:[2025]],MATCH(BD!W305&amp;"-modestes",TabRFR[Recherche RFR],0),MATCH(TEXT(YEAR(BD!I305),"Standard"),TabRFR[[#Headers],[2021]:[2025]],0)),"Modeste",IF(X305&lt;=INDEX(TabRFR[[2021]:[2025]],MATCH(BD!W305&amp;"-Intermédiaire",TabRFR[Recherche RFR],0),MATCH(TEXT(YEAR(BD!I305),"Standard"),TabRFR[[#Headers],[2021]:[2025]],0)),"Intermédiaire","Supérieur")))))))</f>
        <v>Data RFR manquantes</v>
      </c>
      <c r="Z305" s="111"/>
      <c r="AA305" s="111" t="s">
        <v>304</v>
      </c>
      <c r="AB305" s="111">
        <v>38340</v>
      </c>
      <c r="AC305" s="111" t="s">
        <v>108</v>
      </c>
      <c r="AD305" s="127"/>
      <c r="AE305" s="102"/>
      <c r="AF305" s="111" t="s">
        <v>95</v>
      </c>
      <c r="AG305" s="111"/>
      <c r="AH305" s="111"/>
      <c r="AI305" s="111"/>
      <c r="AJ305" s="111"/>
      <c r="AK305" s="111"/>
      <c r="AL305" s="111"/>
      <c r="AM305" s="111" t="s">
        <v>4035</v>
      </c>
      <c r="AN305" s="111" t="s">
        <v>108</v>
      </c>
      <c r="AO305" s="111" t="s">
        <v>109</v>
      </c>
      <c r="AP305" s="111" t="s">
        <v>97</v>
      </c>
      <c r="AQ305" s="111"/>
      <c r="AR305" s="135">
        <v>43279</v>
      </c>
      <c r="AS305" s="102" t="s">
        <v>110</v>
      </c>
      <c r="AT305" s="127">
        <v>476500550</v>
      </c>
      <c r="AU305" s="111" t="s">
        <v>111</v>
      </c>
      <c r="AV305" s="111"/>
      <c r="AW305" s="111" t="s">
        <v>100</v>
      </c>
      <c r="AX305" s="111"/>
      <c r="AY305" s="111" t="s">
        <v>305</v>
      </c>
      <c r="AZ305" s="111" t="s">
        <v>306</v>
      </c>
      <c r="BA305" s="111"/>
      <c r="BB305" s="111"/>
      <c r="BC305" s="111"/>
      <c r="BD305" s="111"/>
      <c r="BE305" s="111"/>
      <c r="BF305" s="111"/>
      <c r="BG305" s="111"/>
      <c r="BH305" s="111"/>
      <c r="BI305" s="111"/>
      <c r="BJ305" s="111"/>
      <c r="BK305" s="111"/>
      <c r="BL305" s="75">
        <f t="shared" si="12"/>
        <v>0</v>
      </c>
      <c r="BM305" s="103">
        <f t="shared" si="13"/>
        <v>0</v>
      </c>
      <c r="BN305" s="103">
        <f t="shared" si="14"/>
        <v>0</v>
      </c>
      <c r="BO305" s="113"/>
      <c r="BP305" s="111"/>
      <c r="BQ305" s="111"/>
      <c r="BR305" s="111"/>
      <c r="BS305" s="157">
        <v>2018</v>
      </c>
      <c r="BU305" t="s">
        <v>4180</v>
      </c>
    </row>
    <row r="306" spans="1:73" ht="43.15" customHeight="1" x14ac:dyDescent="0.25">
      <c r="A306" s="242" t="s">
        <v>90</v>
      </c>
      <c r="B306" s="242" t="s">
        <v>307</v>
      </c>
      <c r="C306" s="159">
        <v>800</v>
      </c>
      <c r="D306" s="114">
        <v>43080</v>
      </c>
      <c r="E306" s="114"/>
      <c r="F306" s="114">
        <v>43089</v>
      </c>
      <c r="G306" s="114">
        <v>43182</v>
      </c>
      <c r="H306" s="114">
        <v>43182</v>
      </c>
      <c r="I306" s="114">
        <v>43182</v>
      </c>
      <c r="J306" s="114">
        <v>43210</v>
      </c>
      <c r="K306" s="114"/>
      <c r="L306" s="114">
        <v>43355</v>
      </c>
      <c r="M306" s="114">
        <v>43210</v>
      </c>
      <c r="N306" s="114"/>
      <c r="O306" s="114">
        <v>43363</v>
      </c>
      <c r="P306" s="114">
        <v>43363</v>
      </c>
      <c r="Q306" s="114">
        <v>43371</v>
      </c>
      <c r="R306" s="100"/>
      <c r="S306" s="114"/>
      <c r="T306" s="75"/>
      <c r="U306" s="75"/>
      <c r="V306" s="75"/>
      <c r="W306" s="75">
        <v>2</v>
      </c>
      <c r="X306" s="75">
        <v>22424</v>
      </c>
      <c r="Y306" s="75" t="str">
        <f ca="1">IF(I306="",IF(D306="","",IF(W306+X306&lt;15,"Données Nb pers ou RFR manquantes",IF(COUNTA(INDIRECT("TabRFR["&amp;YEAR(D306)&amp;"]"))&lt;&gt;COUNTA(TabRFR[Recherche RFR]),"Data RFR manquantes", IF(X306&lt;=INDEX(TabRFR[[2021]:[2025]],MATCH(BD!W306&amp;"-Très modestes",TabRFR[Recherche RFR],0),MATCH(TEXT(YEAR(BD!D306),"Standard"),TabRFR[[#Headers],[2021]:[2025]],0)),"Très Modeste",IF(X306&lt;=INDEX(TabRFR[[2021]:[2025]],MATCH(BD!W306&amp;"-modestes",TabRFR[Recherche RFR],0),MATCH(TEXT(YEAR(BD!D306),"Standard"),TabRFR[[#Headers],[2021]:[2025]],0)),"Modeste",IF(X306&lt;=INDEX(TabRFR[[2021]:[2025]],MATCH(BD!W306&amp;"-Intermédiaire",TabRFR[Recherche RFR],0),MATCH(TEXT(YEAR(BD!D306),"Standard"),TabRFR[[#Headers],[2021]:[2025]],0)),"Intermédiaire","Supérieur")))))),IF(D306="","",IF(W306+X306&lt;15,"Données Nb pers ou RFR manquantes",IF(COUNTA(INDIRECT("TabRFR["&amp;YEAR(I306)&amp;"]"))&lt;&gt;COUNTA(TabRFR[Recherche RFR]),"Data RFR manquantes", IF(X306&lt;=INDEX(TabRFR[[2021]:[2025]],MATCH(BD!W306&amp;"-Très modestes",TabRFR[Recherche RFR],0),MATCH(TEXT(YEAR(BD!I306),"Standard"),TabRFR[[#Headers],[2021]:[2025]],0)),"Très Modeste",IF(X306&lt;=INDEX(TabRFR[[2021]:[2025]],MATCH(BD!W306&amp;"-modestes",TabRFR[Recherche RFR],0),MATCH(TEXT(YEAR(BD!I306),"Standard"),TabRFR[[#Headers],[2021]:[2025]],0)),"Modeste",IF(X306&lt;=INDEX(TabRFR[[2021]:[2025]],MATCH(BD!W306&amp;"-Intermédiaire",TabRFR[Recherche RFR],0),MATCH(TEXT(YEAR(BD!I306),"Standard"),TabRFR[[#Headers],[2021]:[2025]],0)),"Intermédiaire","Supérieur")))))))</f>
        <v>Data RFR manquantes</v>
      </c>
      <c r="Z306" s="75"/>
      <c r="AA306" s="75" t="s">
        <v>309</v>
      </c>
      <c r="AB306" s="75">
        <v>38500</v>
      </c>
      <c r="AC306" s="75" t="s">
        <v>96</v>
      </c>
      <c r="AD306" s="73"/>
      <c r="AE306" s="102"/>
      <c r="AF306" s="75" t="s">
        <v>95</v>
      </c>
      <c r="AG306" s="75"/>
      <c r="AH306" s="75"/>
      <c r="AI306" s="75"/>
      <c r="AJ306" s="75"/>
      <c r="AK306" s="75"/>
      <c r="AL306" s="75"/>
      <c r="AM306" s="75" t="s">
        <v>4356</v>
      </c>
      <c r="AN306" s="75" t="s">
        <v>96</v>
      </c>
      <c r="AO306" s="75" t="s">
        <v>119</v>
      </c>
      <c r="AP306" s="75" t="s">
        <v>97</v>
      </c>
      <c r="AQ306" s="75"/>
      <c r="AR306" s="74">
        <v>43407</v>
      </c>
      <c r="AS306" s="102" t="s">
        <v>120</v>
      </c>
      <c r="AT306" s="73">
        <v>476071461</v>
      </c>
      <c r="AU306" s="75" t="s">
        <v>100</v>
      </c>
      <c r="AV306" s="75">
        <v>1980</v>
      </c>
      <c r="AW306" s="75" t="s">
        <v>100</v>
      </c>
      <c r="AX306" s="75" t="s">
        <v>112</v>
      </c>
      <c r="AY306" s="75" t="s">
        <v>190</v>
      </c>
      <c r="AZ306" s="75" t="s">
        <v>310</v>
      </c>
      <c r="BA306" s="75">
        <v>33</v>
      </c>
      <c r="BB306" s="75">
        <v>5</v>
      </c>
      <c r="BC306" s="75">
        <v>80.2</v>
      </c>
      <c r="BD306" s="75">
        <v>0.08</v>
      </c>
      <c r="BE306" s="75" t="s">
        <v>97</v>
      </c>
      <c r="BF306" s="75"/>
      <c r="BG306" s="75">
        <f>2448.8-300</f>
        <v>2148.8000000000002</v>
      </c>
      <c r="BH306" s="75"/>
      <c r="BI306" s="75"/>
      <c r="BJ306" s="75"/>
      <c r="BK306" s="75">
        <v>300</v>
      </c>
      <c r="BL306" s="75">
        <f t="shared" si="12"/>
        <v>2448.8000000000002</v>
      </c>
      <c r="BM306" s="103">
        <f t="shared" si="13"/>
        <v>134.684</v>
      </c>
      <c r="BN306" s="103">
        <f t="shared" si="14"/>
        <v>2583.4840000000004</v>
      </c>
      <c r="BO306" s="103">
        <v>2583.48</v>
      </c>
      <c r="BP306" s="75" t="s">
        <v>104</v>
      </c>
      <c r="BQ306" s="75"/>
      <c r="BR306" s="74">
        <v>43416</v>
      </c>
      <c r="BS306" s="157">
        <v>2018</v>
      </c>
      <c r="BT306">
        <v>2020</v>
      </c>
      <c r="BU306">
        <v>2018</v>
      </c>
    </row>
    <row r="307" spans="1:73" ht="43.15" customHeight="1" x14ac:dyDescent="0.25">
      <c r="A307" s="242" t="s">
        <v>90</v>
      </c>
      <c r="B307" s="242" t="s">
        <v>311</v>
      </c>
      <c r="C307" s="159">
        <v>400</v>
      </c>
      <c r="D307" s="114">
        <v>43081</v>
      </c>
      <c r="E307" s="114"/>
      <c r="F307" s="114">
        <v>39436</v>
      </c>
      <c r="G307" s="114" t="s">
        <v>312</v>
      </c>
      <c r="H307" s="114">
        <v>43091</v>
      </c>
      <c r="I307" s="114">
        <v>43091</v>
      </c>
      <c r="J307" s="114">
        <v>43112</v>
      </c>
      <c r="K307" s="114"/>
      <c r="L307" s="114">
        <v>43234</v>
      </c>
      <c r="M307" s="114">
        <v>43082</v>
      </c>
      <c r="N307" s="114">
        <v>43284</v>
      </c>
      <c r="O307" s="114">
        <v>43284</v>
      </c>
      <c r="P307" s="114">
        <v>43284</v>
      </c>
      <c r="Q307" s="114">
        <v>43293</v>
      </c>
      <c r="R307" s="80"/>
      <c r="S307" s="114"/>
      <c r="T307" s="75"/>
      <c r="U307" s="75"/>
      <c r="V307" s="75"/>
      <c r="W307" s="75">
        <v>4</v>
      </c>
      <c r="X307" s="75">
        <v>83830</v>
      </c>
      <c r="Y307" s="75" t="str">
        <f ca="1">IF(I307="",IF(D307="","",IF(W307+X307&lt;15,"Données Nb pers ou RFR manquantes",IF(COUNTA(INDIRECT("TabRFR["&amp;YEAR(D307)&amp;"]"))&lt;&gt;COUNTA(TabRFR[Recherche RFR]),"Data RFR manquantes", IF(X307&lt;=INDEX(TabRFR[[2021]:[2025]],MATCH(BD!W307&amp;"-Très modestes",TabRFR[Recherche RFR],0),MATCH(TEXT(YEAR(BD!D307),"Standard"),TabRFR[[#Headers],[2021]:[2025]],0)),"Très Modeste",IF(X307&lt;=INDEX(TabRFR[[2021]:[2025]],MATCH(BD!W307&amp;"-modestes",TabRFR[Recherche RFR],0),MATCH(TEXT(YEAR(BD!D307),"Standard"),TabRFR[[#Headers],[2021]:[2025]],0)),"Modeste",IF(X307&lt;=INDEX(TabRFR[[2021]:[2025]],MATCH(BD!W307&amp;"-Intermédiaire",TabRFR[Recherche RFR],0),MATCH(TEXT(YEAR(BD!D307),"Standard"),TabRFR[[#Headers],[2021]:[2025]],0)),"Intermédiaire","Supérieur")))))),IF(D307="","",IF(W307+X307&lt;15,"Données Nb pers ou RFR manquantes",IF(COUNTA(INDIRECT("TabRFR["&amp;YEAR(I307)&amp;"]"))&lt;&gt;COUNTA(TabRFR[Recherche RFR]),"Data RFR manquantes", IF(X307&lt;=INDEX(TabRFR[[2021]:[2025]],MATCH(BD!W307&amp;"-Très modestes",TabRFR[Recherche RFR],0),MATCH(TEXT(YEAR(BD!I307),"Standard"),TabRFR[[#Headers],[2021]:[2025]],0)),"Très Modeste",IF(X307&lt;=INDEX(TabRFR[[2021]:[2025]],MATCH(BD!W307&amp;"-modestes",TabRFR[Recherche RFR],0),MATCH(TEXT(YEAR(BD!I307),"Standard"),TabRFR[[#Headers],[2021]:[2025]],0)),"Modeste",IF(X307&lt;=INDEX(TabRFR[[2021]:[2025]],MATCH(BD!W307&amp;"-Intermédiaire",TabRFR[Recherche RFR],0),MATCH(TEXT(YEAR(BD!I307),"Standard"),TabRFR[[#Headers],[2021]:[2025]],0)),"Intermédiaire","Supérieur")))))))</f>
        <v>Data RFR manquantes</v>
      </c>
      <c r="Z307" s="75"/>
      <c r="AA307" s="75" t="s">
        <v>313</v>
      </c>
      <c r="AB307" s="75">
        <v>38500</v>
      </c>
      <c r="AC307" s="75" t="s">
        <v>118</v>
      </c>
      <c r="AD307" s="73"/>
      <c r="AE307" s="102"/>
      <c r="AF307" s="75" t="s">
        <v>95</v>
      </c>
      <c r="AG307" s="75"/>
      <c r="AH307" s="75"/>
      <c r="AI307" s="75"/>
      <c r="AJ307" s="75"/>
      <c r="AK307" s="75"/>
      <c r="AL307" s="75"/>
      <c r="AM307" s="75" t="s">
        <v>4388</v>
      </c>
      <c r="AN307" s="75" t="s">
        <v>3333</v>
      </c>
      <c r="AO307" s="75" t="s">
        <v>314</v>
      </c>
      <c r="AP307" s="75" t="s">
        <v>97</v>
      </c>
      <c r="AQ307" s="75"/>
      <c r="AR307" s="74">
        <v>43458</v>
      </c>
      <c r="AS307" s="102" t="s">
        <v>315</v>
      </c>
      <c r="AT307" s="73">
        <v>777763335</v>
      </c>
      <c r="AU307" s="75" t="s">
        <v>99</v>
      </c>
      <c r="AV307" s="75">
        <v>1960</v>
      </c>
      <c r="AW307" s="75" t="s">
        <v>100</v>
      </c>
      <c r="AX307" s="75" t="s">
        <v>112</v>
      </c>
      <c r="AY307" s="75" t="s">
        <v>316</v>
      </c>
      <c r="AZ307" s="75" t="s">
        <v>317</v>
      </c>
      <c r="BA307" s="75">
        <v>25</v>
      </c>
      <c r="BB307" s="75">
        <v>6</v>
      </c>
      <c r="BC307" s="75">
        <v>80.3</v>
      </c>
      <c r="BD307" s="75">
        <v>7.0000000000000007E-2</v>
      </c>
      <c r="BE307" s="75" t="s">
        <v>97</v>
      </c>
      <c r="BF307" s="75"/>
      <c r="BG307" s="75">
        <f>2632.88-940</f>
        <v>1692.88</v>
      </c>
      <c r="BH307" s="75"/>
      <c r="BI307" s="75"/>
      <c r="BJ307" s="75"/>
      <c r="BK307" s="75">
        <v>940</v>
      </c>
      <c r="BL307" s="75">
        <f t="shared" si="12"/>
        <v>2632.88</v>
      </c>
      <c r="BM307" s="103">
        <f t="shared" si="13"/>
        <v>144.80840000000001</v>
      </c>
      <c r="BN307" s="103">
        <f t="shared" si="14"/>
        <v>2777.6884</v>
      </c>
      <c r="BO307" s="103">
        <v>3123</v>
      </c>
      <c r="BP307" s="75" t="s">
        <v>97</v>
      </c>
      <c r="BQ307" s="75"/>
      <c r="BR307" s="74">
        <v>43416</v>
      </c>
      <c r="BS307" s="157">
        <v>2018</v>
      </c>
      <c r="BT307">
        <v>2020</v>
      </c>
      <c r="BU307">
        <v>2018</v>
      </c>
    </row>
    <row r="308" spans="1:73" ht="43.15" customHeight="1" x14ac:dyDescent="0.25">
      <c r="A308" s="242" t="s">
        <v>90</v>
      </c>
      <c r="B308" s="242" t="s">
        <v>318</v>
      </c>
      <c r="C308" s="159">
        <v>400</v>
      </c>
      <c r="D308" s="114">
        <v>43083</v>
      </c>
      <c r="E308" s="114"/>
      <c r="F308" s="114"/>
      <c r="G308" s="114"/>
      <c r="H308" s="114">
        <v>43088</v>
      </c>
      <c r="I308" s="114">
        <v>43088</v>
      </c>
      <c r="J308" s="114">
        <v>43112</v>
      </c>
      <c r="K308" s="114"/>
      <c r="L308" s="114">
        <v>43248</v>
      </c>
      <c r="M308" s="114">
        <v>43150</v>
      </c>
      <c r="N308" s="114"/>
      <c r="O308" s="114">
        <v>43262</v>
      </c>
      <c r="P308" s="114">
        <v>43262</v>
      </c>
      <c r="Q308" s="114">
        <v>43293</v>
      </c>
      <c r="R308" s="80"/>
      <c r="S308" s="114"/>
      <c r="T308" s="75"/>
      <c r="U308" s="75"/>
      <c r="V308" s="75"/>
      <c r="W308" s="75">
        <v>2</v>
      </c>
      <c r="X308" s="75">
        <v>55613</v>
      </c>
      <c r="Y308" s="75" t="str">
        <f ca="1">IF(I308="",IF(D308="","",IF(W308+X308&lt;15,"Données Nb pers ou RFR manquantes",IF(COUNTA(INDIRECT("TabRFR["&amp;YEAR(D308)&amp;"]"))&lt;&gt;COUNTA(TabRFR[Recherche RFR]),"Data RFR manquantes", IF(X308&lt;=INDEX(TabRFR[[2021]:[2025]],MATCH(BD!W308&amp;"-Très modestes",TabRFR[Recherche RFR],0),MATCH(TEXT(YEAR(BD!D308),"Standard"),TabRFR[[#Headers],[2021]:[2025]],0)),"Très Modeste",IF(X308&lt;=INDEX(TabRFR[[2021]:[2025]],MATCH(BD!W308&amp;"-modestes",TabRFR[Recherche RFR],0),MATCH(TEXT(YEAR(BD!D308),"Standard"),TabRFR[[#Headers],[2021]:[2025]],0)),"Modeste",IF(X308&lt;=INDEX(TabRFR[[2021]:[2025]],MATCH(BD!W308&amp;"-Intermédiaire",TabRFR[Recherche RFR],0),MATCH(TEXT(YEAR(BD!D308),"Standard"),TabRFR[[#Headers],[2021]:[2025]],0)),"Intermédiaire","Supérieur")))))),IF(D308="","",IF(W308+X308&lt;15,"Données Nb pers ou RFR manquantes",IF(COUNTA(INDIRECT("TabRFR["&amp;YEAR(I308)&amp;"]"))&lt;&gt;COUNTA(TabRFR[Recherche RFR]),"Data RFR manquantes", IF(X308&lt;=INDEX(TabRFR[[2021]:[2025]],MATCH(BD!W308&amp;"-Très modestes",TabRFR[Recherche RFR],0),MATCH(TEXT(YEAR(BD!I308),"Standard"),TabRFR[[#Headers],[2021]:[2025]],0)),"Très Modeste",IF(X308&lt;=INDEX(TabRFR[[2021]:[2025]],MATCH(BD!W308&amp;"-modestes",TabRFR[Recherche RFR],0),MATCH(TEXT(YEAR(BD!I308),"Standard"),TabRFR[[#Headers],[2021]:[2025]],0)),"Modeste",IF(X308&lt;=INDEX(TabRFR[[2021]:[2025]],MATCH(BD!W308&amp;"-Intermédiaire",TabRFR[Recherche RFR],0),MATCH(TEXT(YEAR(BD!I308),"Standard"),TabRFR[[#Headers],[2021]:[2025]],0)),"Intermédiaire","Supérieur")))))))</f>
        <v>Data RFR manquantes</v>
      </c>
      <c r="Z308" s="75"/>
      <c r="AA308" s="75" t="s">
        <v>320</v>
      </c>
      <c r="AB308" s="75">
        <v>38140</v>
      </c>
      <c r="AC308" s="75" t="s">
        <v>321</v>
      </c>
      <c r="AD308" s="73"/>
      <c r="AE308" s="102"/>
      <c r="AF308" s="75" t="s">
        <v>95</v>
      </c>
      <c r="AG308" s="75"/>
      <c r="AH308" s="75">
        <v>1991</v>
      </c>
      <c r="AI308" s="75"/>
      <c r="AJ308" s="75"/>
      <c r="AK308" s="75"/>
      <c r="AL308" s="75"/>
      <c r="AM308" s="75" t="s">
        <v>4356</v>
      </c>
      <c r="AN308" s="75" t="s">
        <v>96</v>
      </c>
      <c r="AO308" s="75" t="s">
        <v>119</v>
      </c>
      <c r="AP308" s="75" t="s">
        <v>97</v>
      </c>
      <c r="AQ308" s="75"/>
      <c r="AR308" s="74">
        <v>43407</v>
      </c>
      <c r="AS308" s="102" t="s">
        <v>120</v>
      </c>
      <c r="AT308" s="73">
        <v>476071461</v>
      </c>
      <c r="AU308" s="75" t="s">
        <v>99</v>
      </c>
      <c r="AV308" s="75">
        <v>1991</v>
      </c>
      <c r="AW308" s="75" t="s">
        <v>100</v>
      </c>
      <c r="AX308" s="75" t="s">
        <v>112</v>
      </c>
      <c r="AY308" s="75" t="s">
        <v>190</v>
      </c>
      <c r="AZ308" s="75" t="s">
        <v>310</v>
      </c>
      <c r="BA308" s="75">
        <v>30</v>
      </c>
      <c r="BB308" s="75">
        <v>5</v>
      </c>
      <c r="BC308" s="75">
        <v>80.2</v>
      </c>
      <c r="BD308" s="75">
        <v>7.0000000000000007E-2</v>
      </c>
      <c r="BE308" s="75" t="s">
        <v>97</v>
      </c>
      <c r="BF308" s="75"/>
      <c r="BG308" s="75">
        <f>2928-420</f>
        <v>2508</v>
      </c>
      <c r="BH308" s="75"/>
      <c r="BI308" s="75"/>
      <c r="BJ308" s="75"/>
      <c r="BK308" s="75">
        <v>420</v>
      </c>
      <c r="BL308" s="75">
        <f t="shared" si="12"/>
        <v>2928</v>
      </c>
      <c r="BM308" s="103">
        <f t="shared" si="13"/>
        <v>161.04</v>
      </c>
      <c r="BN308" s="103">
        <f t="shared" si="14"/>
        <v>3089.04</v>
      </c>
      <c r="BO308" s="103">
        <f>368+2700</f>
        <v>3068</v>
      </c>
      <c r="BP308" s="75" t="s">
        <v>104</v>
      </c>
      <c r="BQ308" s="75"/>
      <c r="BR308" s="74">
        <v>43416</v>
      </c>
      <c r="BS308" s="157">
        <v>2018</v>
      </c>
      <c r="BT308">
        <v>2020</v>
      </c>
      <c r="BU308">
        <v>2018</v>
      </c>
    </row>
    <row r="309" spans="1:73" ht="43.15" customHeight="1" x14ac:dyDescent="0.25">
      <c r="A309" s="242" t="s">
        <v>186</v>
      </c>
      <c r="B309" s="242" t="s">
        <v>322</v>
      </c>
      <c r="C309" s="159">
        <v>800</v>
      </c>
      <c r="D309" s="114">
        <v>43089</v>
      </c>
      <c r="E309" s="114"/>
      <c r="F309" s="114"/>
      <c r="G309" s="114"/>
      <c r="H309" s="114">
        <v>43091</v>
      </c>
      <c r="I309" s="114">
        <v>43091</v>
      </c>
      <c r="J309" s="114">
        <v>43112</v>
      </c>
      <c r="K309" s="114"/>
      <c r="L309" s="114">
        <v>43150</v>
      </c>
      <c r="M309" s="114">
        <v>43090</v>
      </c>
      <c r="N309" s="114"/>
      <c r="O309" s="114">
        <v>43172</v>
      </c>
      <c r="P309" s="114">
        <v>43172</v>
      </c>
      <c r="Q309" s="114">
        <v>43200</v>
      </c>
      <c r="R309" s="100"/>
      <c r="S309" s="114"/>
      <c r="T309" s="75"/>
      <c r="U309" s="75"/>
      <c r="V309" s="75"/>
      <c r="W309" s="75">
        <v>3</v>
      </c>
      <c r="X309" s="75">
        <v>27287</v>
      </c>
      <c r="Y309" s="75" t="str">
        <f ca="1">IF(I309="",IF(D309="","",IF(W309+X309&lt;15,"Données Nb pers ou RFR manquantes",IF(COUNTA(INDIRECT("TabRFR["&amp;YEAR(D309)&amp;"]"))&lt;&gt;COUNTA(TabRFR[Recherche RFR]),"Data RFR manquantes", IF(X309&lt;=INDEX(TabRFR[[2021]:[2025]],MATCH(BD!W309&amp;"-Très modestes",TabRFR[Recherche RFR],0),MATCH(TEXT(YEAR(BD!D309),"Standard"),TabRFR[[#Headers],[2021]:[2025]],0)),"Très Modeste",IF(X309&lt;=INDEX(TabRFR[[2021]:[2025]],MATCH(BD!W309&amp;"-modestes",TabRFR[Recherche RFR],0),MATCH(TEXT(YEAR(BD!D309),"Standard"),TabRFR[[#Headers],[2021]:[2025]],0)),"Modeste",IF(X309&lt;=INDEX(TabRFR[[2021]:[2025]],MATCH(BD!W309&amp;"-Intermédiaire",TabRFR[Recherche RFR],0),MATCH(TEXT(YEAR(BD!D309),"Standard"),TabRFR[[#Headers],[2021]:[2025]],0)),"Intermédiaire","Supérieur")))))),IF(D309="","",IF(W309+X309&lt;15,"Données Nb pers ou RFR manquantes",IF(COUNTA(INDIRECT("TabRFR["&amp;YEAR(I309)&amp;"]"))&lt;&gt;COUNTA(TabRFR[Recherche RFR]),"Data RFR manquantes", IF(X309&lt;=INDEX(TabRFR[[2021]:[2025]],MATCH(BD!W309&amp;"-Très modestes",TabRFR[Recherche RFR],0),MATCH(TEXT(YEAR(BD!I309),"Standard"),TabRFR[[#Headers],[2021]:[2025]],0)),"Très Modeste",IF(X309&lt;=INDEX(TabRFR[[2021]:[2025]],MATCH(BD!W309&amp;"-modestes",TabRFR[Recherche RFR],0),MATCH(TEXT(YEAR(BD!I309),"Standard"),TabRFR[[#Headers],[2021]:[2025]],0)),"Modeste",IF(X309&lt;=INDEX(TabRFR[[2021]:[2025]],MATCH(BD!W309&amp;"-Intermédiaire",TabRFR[Recherche RFR],0),MATCH(TEXT(YEAR(BD!I309),"Standard"),TabRFR[[#Headers],[2021]:[2025]],0)),"Intermédiaire","Supérieur")))))))</f>
        <v>Data RFR manquantes</v>
      </c>
      <c r="Z309" s="75"/>
      <c r="AA309" s="75" t="s">
        <v>324</v>
      </c>
      <c r="AB309" s="75">
        <v>38500</v>
      </c>
      <c r="AC309" s="75" t="s">
        <v>96</v>
      </c>
      <c r="AD309" s="73"/>
      <c r="AE309" s="102"/>
      <c r="AF309" s="75" t="s">
        <v>95</v>
      </c>
      <c r="AG309" s="75"/>
      <c r="AH309" s="75">
        <v>1994</v>
      </c>
      <c r="AI309" s="75"/>
      <c r="AJ309" s="75"/>
      <c r="AK309" s="75"/>
      <c r="AL309" s="75"/>
      <c r="AM309" s="75" t="s">
        <v>4233</v>
      </c>
      <c r="AN309" s="75" t="s">
        <v>829</v>
      </c>
      <c r="AO309" s="75" t="s">
        <v>325</v>
      </c>
      <c r="AP309" s="75" t="s">
        <v>97</v>
      </c>
      <c r="AQ309" s="75"/>
      <c r="AR309" s="74">
        <v>43321</v>
      </c>
      <c r="AS309" s="102" t="s">
        <v>211</v>
      </c>
      <c r="AT309" s="73">
        <v>438029038</v>
      </c>
      <c r="AU309" s="75" t="s">
        <v>111</v>
      </c>
      <c r="AV309" s="75">
        <v>1994</v>
      </c>
      <c r="AW309" s="75" t="s">
        <v>100</v>
      </c>
      <c r="AX309" s="75" t="s">
        <v>326</v>
      </c>
      <c r="AY309" s="75" t="s">
        <v>327</v>
      </c>
      <c r="AZ309" s="75" t="s">
        <v>328</v>
      </c>
      <c r="BA309" s="75">
        <v>31</v>
      </c>
      <c r="BB309" s="75">
        <v>6.5</v>
      </c>
      <c r="BC309" s="75">
        <v>87</v>
      </c>
      <c r="BD309" s="75">
        <v>8.5999999999999993E-2</v>
      </c>
      <c r="BE309" s="75" t="s">
        <v>97</v>
      </c>
      <c r="BF309" s="75"/>
      <c r="BG309" s="75">
        <v>5882.62</v>
      </c>
      <c r="BH309" s="75"/>
      <c r="BI309" s="75"/>
      <c r="BJ309" s="75"/>
      <c r="BK309" s="75">
        <v>637.87</v>
      </c>
      <c r="BL309" s="75">
        <f t="shared" si="12"/>
        <v>6520.49</v>
      </c>
      <c r="BM309" s="103">
        <f t="shared" si="13"/>
        <v>358.62694999999997</v>
      </c>
      <c r="BN309" s="103">
        <f t="shared" si="14"/>
        <v>6879.1169499999996</v>
      </c>
      <c r="BO309" s="103">
        <v>6700</v>
      </c>
      <c r="BP309" s="75"/>
      <c r="BQ309" s="75"/>
      <c r="BR309" s="74">
        <v>43416</v>
      </c>
      <c r="BS309" s="157">
        <v>2018</v>
      </c>
      <c r="BT309">
        <v>2020</v>
      </c>
      <c r="BU309">
        <v>2018</v>
      </c>
    </row>
    <row r="310" spans="1:73" ht="43.15" customHeight="1" x14ac:dyDescent="0.25">
      <c r="A310" s="242" t="s">
        <v>186</v>
      </c>
      <c r="B310" s="242" t="s">
        <v>329</v>
      </c>
      <c r="C310" s="159">
        <v>400</v>
      </c>
      <c r="D310" s="114">
        <v>43089</v>
      </c>
      <c r="E310" s="114"/>
      <c r="F310" s="114"/>
      <c r="G310" s="114"/>
      <c r="H310" s="114">
        <v>43091</v>
      </c>
      <c r="I310" s="114">
        <v>43091</v>
      </c>
      <c r="J310" s="114">
        <v>43112</v>
      </c>
      <c r="K310" s="114"/>
      <c r="L310" s="114">
        <v>43439</v>
      </c>
      <c r="M310" s="114">
        <v>43291</v>
      </c>
      <c r="N310" s="114" t="s">
        <v>330</v>
      </c>
      <c r="O310" s="114">
        <v>43496</v>
      </c>
      <c r="P310" s="114">
        <v>43496</v>
      </c>
      <c r="Q310" s="114">
        <v>43500</v>
      </c>
      <c r="R310" s="80"/>
      <c r="S310" s="114"/>
      <c r="T310" s="75"/>
      <c r="U310" s="75"/>
      <c r="V310" s="75"/>
      <c r="W310" s="75">
        <v>5</v>
      </c>
      <c r="X310" s="75">
        <v>53672</v>
      </c>
      <c r="Y310" s="75" t="str">
        <f ca="1">IF(I310="",IF(D310="","",IF(W310+X310&lt;15,"Données Nb pers ou RFR manquantes",IF(COUNTA(INDIRECT("TabRFR["&amp;YEAR(D310)&amp;"]"))&lt;&gt;COUNTA(TabRFR[Recherche RFR]),"Data RFR manquantes", IF(X310&lt;=INDEX(TabRFR[[2021]:[2025]],MATCH(BD!W310&amp;"-Très modestes",TabRFR[Recherche RFR],0),MATCH(TEXT(YEAR(BD!D310),"Standard"),TabRFR[[#Headers],[2021]:[2025]],0)),"Très Modeste",IF(X310&lt;=INDEX(TabRFR[[2021]:[2025]],MATCH(BD!W310&amp;"-modestes",TabRFR[Recherche RFR],0),MATCH(TEXT(YEAR(BD!D310),"Standard"),TabRFR[[#Headers],[2021]:[2025]],0)),"Modeste",IF(X310&lt;=INDEX(TabRFR[[2021]:[2025]],MATCH(BD!W310&amp;"-Intermédiaire",TabRFR[Recherche RFR],0),MATCH(TEXT(YEAR(BD!D310),"Standard"),TabRFR[[#Headers],[2021]:[2025]],0)),"Intermédiaire","Supérieur")))))),IF(D310="","",IF(W310+X310&lt;15,"Données Nb pers ou RFR manquantes",IF(COUNTA(INDIRECT("TabRFR["&amp;YEAR(I310)&amp;"]"))&lt;&gt;COUNTA(TabRFR[Recherche RFR]),"Data RFR manquantes", IF(X310&lt;=INDEX(TabRFR[[2021]:[2025]],MATCH(BD!W310&amp;"-Très modestes",TabRFR[Recherche RFR],0),MATCH(TEXT(YEAR(BD!I310),"Standard"),TabRFR[[#Headers],[2021]:[2025]],0)),"Très Modeste",IF(X310&lt;=INDEX(TabRFR[[2021]:[2025]],MATCH(BD!W310&amp;"-modestes",TabRFR[Recherche RFR],0),MATCH(TEXT(YEAR(BD!I310),"Standard"),TabRFR[[#Headers],[2021]:[2025]],0)),"Modeste",IF(X310&lt;=INDEX(TabRFR[[2021]:[2025]],MATCH(BD!W310&amp;"-Intermédiaire",TabRFR[Recherche RFR],0),MATCH(TEXT(YEAR(BD!I310),"Standard"),TabRFR[[#Headers],[2021]:[2025]],0)),"Intermédiaire","Supérieur")))))))</f>
        <v>Data RFR manquantes</v>
      </c>
      <c r="Z310" s="75"/>
      <c r="AA310" s="75" t="s">
        <v>331</v>
      </c>
      <c r="AB310" s="75">
        <v>38500</v>
      </c>
      <c r="AC310" s="75" t="s">
        <v>118</v>
      </c>
      <c r="AD310" s="73"/>
      <c r="AE310" s="102"/>
      <c r="AF310" s="75" t="s">
        <v>95</v>
      </c>
      <c r="AG310" s="75"/>
      <c r="AH310" s="75">
        <v>42948</v>
      </c>
      <c r="AI310" s="75"/>
      <c r="AJ310" s="75"/>
      <c r="AK310" s="75"/>
      <c r="AL310" s="75"/>
      <c r="AM310" s="75" t="s">
        <v>4035</v>
      </c>
      <c r="AN310" s="75" t="s">
        <v>108</v>
      </c>
      <c r="AO310" s="75" t="s">
        <v>109</v>
      </c>
      <c r="AP310" s="75" t="s">
        <v>97</v>
      </c>
      <c r="AQ310" s="75"/>
      <c r="AR310" s="74">
        <v>43279</v>
      </c>
      <c r="AS310" s="102" t="s">
        <v>110</v>
      </c>
      <c r="AT310" s="73">
        <v>476500550</v>
      </c>
      <c r="AU310" s="75" t="s">
        <v>99</v>
      </c>
      <c r="AV310" s="75"/>
      <c r="AW310" s="75" t="s">
        <v>111</v>
      </c>
      <c r="AX310" s="75" t="s">
        <v>112</v>
      </c>
      <c r="AY310" s="75" t="s">
        <v>113</v>
      </c>
      <c r="AZ310" s="75" t="s">
        <v>332</v>
      </c>
      <c r="BA310" s="75">
        <v>17</v>
      </c>
      <c r="BB310" s="75">
        <v>9</v>
      </c>
      <c r="BC310" s="75">
        <v>84</v>
      </c>
      <c r="BD310" s="75">
        <v>0.09</v>
      </c>
      <c r="BE310" s="75" t="s">
        <v>97</v>
      </c>
      <c r="BF310" s="75"/>
      <c r="BG310" s="75">
        <v>3066</v>
      </c>
      <c r="BH310" s="75"/>
      <c r="BI310" s="75"/>
      <c r="BJ310" s="75"/>
      <c r="BK310" s="75">
        <v>900</v>
      </c>
      <c r="BL310" s="75">
        <f t="shared" si="12"/>
        <v>3966</v>
      </c>
      <c r="BM310" s="103">
        <f t="shared" si="13"/>
        <v>218.13</v>
      </c>
      <c r="BN310" s="103">
        <f t="shared" si="14"/>
        <v>4184.13</v>
      </c>
      <c r="BO310" s="103">
        <v>5694</v>
      </c>
      <c r="BP310" s="75" t="s">
        <v>104</v>
      </c>
      <c r="BQ310" s="75"/>
      <c r="BR310" s="74"/>
      <c r="BS310" s="157">
        <v>2018</v>
      </c>
      <c r="BT310">
        <v>2020</v>
      </c>
      <c r="BU310">
        <v>2018</v>
      </c>
    </row>
    <row r="311" spans="1:73" ht="43.15" customHeight="1" x14ac:dyDescent="0.25">
      <c r="A311" s="242" t="s">
        <v>186</v>
      </c>
      <c r="B311" s="242" t="s">
        <v>333</v>
      </c>
      <c r="C311" s="159">
        <v>400</v>
      </c>
      <c r="D311" s="114">
        <v>43089</v>
      </c>
      <c r="E311" s="114"/>
      <c r="F311" s="114"/>
      <c r="G311" s="114" t="s">
        <v>334</v>
      </c>
      <c r="H311" s="114">
        <v>43102</v>
      </c>
      <c r="I311" s="114">
        <v>43102</v>
      </c>
      <c r="J311" s="114">
        <v>43112</v>
      </c>
      <c r="K311" s="114"/>
      <c r="L311" s="114">
        <v>43251</v>
      </c>
      <c r="M311" s="114">
        <v>43204</v>
      </c>
      <c r="N311" s="114"/>
      <c r="O311" s="114">
        <v>43262</v>
      </c>
      <c r="P311" s="114">
        <v>43262</v>
      </c>
      <c r="Q311" s="114">
        <v>43293</v>
      </c>
      <c r="R311" s="80"/>
      <c r="S311" s="114"/>
      <c r="T311" s="75"/>
      <c r="U311" s="75"/>
      <c r="V311" s="75"/>
      <c r="W311" s="75">
        <v>2</v>
      </c>
      <c r="X311" s="75">
        <v>42451</v>
      </c>
      <c r="Y311" s="75" t="str">
        <f ca="1">IF(I311="",IF(D311="","",IF(W311+X311&lt;15,"Données Nb pers ou RFR manquantes",IF(COUNTA(INDIRECT("TabRFR["&amp;YEAR(D311)&amp;"]"))&lt;&gt;COUNTA(TabRFR[Recherche RFR]),"Data RFR manquantes", IF(X311&lt;=INDEX(TabRFR[[2021]:[2025]],MATCH(BD!W311&amp;"-Très modestes",TabRFR[Recherche RFR],0),MATCH(TEXT(YEAR(BD!D311),"Standard"),TabRFR[[#Headers],[2021]:[2025]],0)),"Très Modeste",IF(X311&lt;=INDEX(TabRFR[[2021]:[2025]],MATCH(BD!W311&amp;"-modestes",TabRFR[Recherche RFR],0),MATCH(TEXT(YEAR(BD!D311),"Standard"),TabRFR[[#Headers],[2021]:[2025]],0)),"Modeste",IF(X311&lt;=INDEX(TabRFR[[2021]:[2025]],MATCH(BD!W311&amp;"-Intermédiaire",TabRFR[Recherche RFR],0),MATCH(TEXT(YEAR(BD!D311),"Standard"),TabRFR[[#Headers],[2021]:[2025]],0)),"Intermédiaire","Supérieur")))))),IF(D311="","",IF(W311+X311&lt;15,"Données Nb pers ou RFR manquantes",IF(COUNTA(INDIRECT("TabRFR["&amp;YEAR(I311)&amp;"]"))&lt;&gt;COUNTA(TabRFR[Recherche RFR]),"Data RFR manquantes", IF(X311&lt;=INDEX(TabRFR[[2021]:[2025]],MATCH(BD!W311&amp;"-Très modestes",TabRFR[Recherche RFR],0),MATCH(TEXT(YEAR(BD!I311),"Standard"),TabRFR[[#Headers],[2021]:[2025]],0)),"Très Modeste",IF(X311&lt;=INDEX(TabRFR[[2021]:[2025]],MATCH(BD!W311&amp;"-modestes",TabRFR[Recherche RFR],0),MATCH(TEXT(YEAR(BD!I311),"Standard"),TabRFR[[#Headers],[2021]:[2025]],0)),"Modeste",IF(X311&lt;=INDEX(TabRFR[[2021]:[2025]],MATCH(BD!W311&amp;"-Intermédiaire",TabRFR[Recherche RFR],0),MATCH(TEXT(YEAR(BD!I311),"Standard"),TabRFR[[#Headers],[2021]:[2025]],0)),"Intermédiaire","Supérieur")))))))</f>
        <v>Data RFR manquantes</v>
      </c>
      <c r="Z311" s="75"/>
      <c r="AA311" s="75" t="s">
        <v>335</v>
      </c>
      <c r="AB311" s="75">
        <v>38140</v>
      </c>
      <c r="AC311" s="75" t="s">
        <v>237</v>
      </c>
      <c r="AD311" s="73"/>
      <c r="AE311" s="102"/>
      <c r="AF311" s="75"/>
      <c r="AG311" s="75"/>
      <c r="AH311" s="75"/>
      <c r="AI311" s="75"/>
      <c r="AJ311" s="75"/>
      <c r="AK311" s="75"/>
      <c r="AL311" s="75"/>
      <c r="AM311" s="75" t="s">
        <v>4130</v>
      </c>
      <c r="AN311" s="75" t="s">
        <v>4349</v>
      </c>
      <c r="AO311" s="75" t="s">
        <v>336</v>
      </c>
      <c r="AP311" s="75" t="s">
        <v>97</v>
      </c>
      <c r="AQ311" s="75"/>
      <c r="AR311" s="74">
        <v>43180</v>
      </c>
      <c r="AS311" s="102" t="s">
        <v>337</v>
      </c>
      <c r="AT311" s="73">
        <v>438021901</v>
      </c>
      <c r="AU311" s="75" t="s">
        <v>111</v>
      </c>
      <c r="AV311" s="75">
        <v>1997</v>
      </c>
      <c r="AW311" s="75" t="s">
        <v>111</v>
      </c>
      <c r="AX311" s="75" t="s">
        <v>112</v>
      </c>
      <c r="AY311" s="75" t="s">
        <v>338</v>
      </c>
      <c r="AZ311" s="75" t="s">
        <v>339</v>
      </c>
      <c r="BA311" s="75">
        <v>32</v>
      </c>
      <c r="BB311" s="75">
        <v>13</v>
      </c>
      <c r="BC311" s="75">
        <v>75.400000000000006</v>
      </c>
      <c r="BD311" s="75">
        <v>0.03</v>
      </c>
      <c r="BE311" s="75" t="s">
        <v>97</v>
      </c>
      <c r="BF311" s="75"/>
      <c r="BG311" s="75">
        <v>2640</v>
      </c>
      <c r="BH311" s="75"/>
      <c r="BI311" s="75"/>
      <c r="BJ311" s="75"/>
      <c r="BK311" s="75">
        <v>5056.5</v>
      </c>
      <c r="BL311" s="75">
        <f t="shared" si="12"/>
        <v>7696.5</v>
      </c>
      <c r="BM311" s="103">
        <f t="shared" si="13"/>
        <v>423.3075</v>
      </c>
      <c r="BN311" s="103">
        <f t="shared" si="14"/>
        <v>8119.8074999999999</v>
      </c>
      <c r="BO311" s="103">
        <v>8208</v>
      </c>
      <c r="BP311" s="75" t="s">
        <v>104</v>
      </c>
      <c r="BQ311" s="75"/>
      <c r="BR311" s="74">
        <v>43416</v>
      </c>
      <c r="BS311" s="157">
        <v>2018</v>
      </c>
      <c r="BT311">
        <v>2020</v>
      </c>
      <c r="BU311">
        <v>2018</v>
      </c>
    </row>
    <row r="312" spans="1:73" ht="43.15" customHeight="1" x14ac:dyDescent="0.25">
      <c r="A312" s="29" t="s">
        <v>90</v>
      </c>
      <c r="B312" s="29" t="s">
        <v>340</v>
      </c>
      <c r="C312" s="161" t="s">
        <v>9</v>
      </c>
      <c r="D312" s="110">
        <v>43088</v>
      </c>
      <c r="E312" s="110"/>
      <c r="F312" s="110">
        <v>43109</v>
      </c>
      <c r="G312" s="110" t="s">
        <v>341</v>
      </c>
      <c r="H312" s="110"/>
      <c r="I312" s="110"/>
      <c r="J312" s="110"/>
      <c r="K312" s="110"/>
      <c r="L312" s="110"/>
      <c r="M312" s="110"/>
      <c r="N312" s="110"/>
      <c r="O312" s="110"/>
      <c r="P312" s="110"/>
      <c r="Q312" s="110"/>
      <c r="R312" s="109"/>
      <c r="S312" s="110">
        <v>43201</v>
      </c>
      <c r="T312" s="111" t="s">
        <v>342</v>
      </c>
      <c r="U312" s="111"/>
      <c r="V312" s="111"/>
      <c r="W312" s="111">
        <v>5</v>
      </c>
      <c r="X312" s="111">
        <v>54480</v>
      </c>
      <c r="Y312" s="75" t="str">
        <f ca="1">IF(I312="",IF(D312="","",IF(W312+X312&lt;15,"Données Nb pers ou RFR manquantes",IF(COUNTA(INDIRECT("TabRFR["&amp;YEAR(D312)&amp;"]"))&lt;&gt;COUNTA(TabRFR[Recherche RFR]),"Data RFR manquantes", IF(X312&lt;=INDEX(TabRFR[[2021]:[2025]],MATCH(BD!W312&amp;"-Très modestes",TabRFR[Recherche RFR],0),MATCH(TEXT(YEAR(BD!D312),"Standard"),TabRFR[[#Headers],[2021]:[2025]],0)),"Très Modeste",IF(X312&lt;=INDEX(TabRFR[[2021]:[2025]],MATCH(BD!W312&amp;"-modestes",TabRFR[Recherche RFR],0),MATCH(TEXT(YEAR(BD!D312),"Standard"),TabRFR[[#Headers],[2021]:[2025]],0)),"Modeste",IF(X312&lt;=INDEX(TabRFR[[2021]:[2025]],MATCH(BD!W312&amp;"-Intermédiaire",TabRFR[Recherche RFR],0),MATCH(TEXT(YEAR(BD!D312),"Standard"),TabRFR[[#Headers],[2021]:[2025]],0)),"Intermédiaire","Supérieur")))))),IF(D312="","",IF(W312+X312&lt;15,"Données Nb pers ou RFR manquantes",IF(COUNTA(INDIRECT("TabRFR["&amp;YEAR(I312)&amp;"]"))&lt;&gt;COUNTA(TabRFR[Recherche RFR]),"Data RFR manquantes", IF(X312&lt;=INDEX(TabRFR[[2021]:[2025]],MATCH(BD!W312&amp;"-Très modestes",TabRFR[Recherche RFR],0),MATCH(TEXT(YEAR(BD!I312),"Standard"),TabRFR[[#Headers],[2021]:[2025]],0)),"Très Modeste",IF(X312&lt;=INDEX(TabRFR[[2021]:[2025]],MATCH(BD!W312&amp;"-modestes",TabRFR[Recherche RFR],0),MATCH(TEXT(YEAR(BD!I312),"Standard"),TabRFR[[#Headers],[2021]:[2025]],0)),"Modeste",IF(X312&lt;=INDEX(TabRFR[[2021]:[2025]],MATCH(BD!W312&amp;"-Intermédiaire",TabRFR[Recherche RFR],0),MATCH(TEXT(YEAR(BD!I312),"Standard"),TabRFR[[#Headers],[2021]:[2025]],0)),"Intermédiaire","Supérieur")))))))</f>
        <v>Data RFR manquantes</v>
      </c>
      <c r="Z312" s="111"/>
      <c r="AA312" s="111" t="s">
        <v>343</v>
      </c>
      <c r="AB312" s="111">
        <v>38340</v>
      </c>
      <c r="AC312" s="111" t="s">
        <v>108</v>
      </c>
      <c r="AD312" s="127"/>
      <c r="AE312" s="102"/>
      <c r="AF312" s="111" t="s">
        <v>95</v>
      </c>
      <c r="AG312" s="111"/>
      <c r="AH312" s="128">
        <v>42665</v>
      </c>
      <c r="AI312" s="111"/>
      <c r="AJ312" s="111"/>
      <c r="AK312" s="111"/>
      <c r="AL312" s="111"/>
      <c r="AM312" s="111" t="s">
        <v>4031</v>
      </c>
      <c r="AN312" s="111" t="s">
        <v>4109</v>
      </c>
      <c r="AO312" s="111" t="s">
        <v>9</v>
      </c>
      <c r="AP312" s="111" t="s">
        <v>97</v>
      </c>
      <c r="AQ312" s="111"/>
      <c r="AR312" s="135">
        <v>43172</v>
      </c>
      <c r="AS312" s="102" t="s">
        <v>156</v>
      </c>
      <c r="AT312" s="127">
        <v>474971160</v>
      </c>
      <c r="AU312" s="111" t="s">
        <v>99</v>
      </c>
      <c r="AV312" s="111" t="s">
        <v>9</v>
      </c>
      <c r="AW312" s="111" t="s">
        <v>100</v>
      </c>
      <c r="AX312" s="111" t="s">
        <v>112</v>
      </c>
      <c r="AY312" s="111" t="s">
        <v>344</v>
      </c>
      <c r="AZ312" s="111" t="s">
        <v>345</v>
      </c>
      <c r="BA312" s="111">
        <v>40</v>
      </c>
      <c r="BB312" s="111">
        <v>12</v>
      </c>
      <c r="BC312" s="111">
        <v>75</v>
      </c>
      <c r="BD312" s="111">
        <v>0.11</v>
      </c>
      <c r="BE312" s="111" t="s">
        <v>97</v>
      </c>
      <c r="BF312" s="111"/>
      <c r="BG312" s="111">
        <f>1908.5-859.02</f>
        <v>1049.48</v>
      </c>
      <c r="BH312" s="111"/>
      <c r="BI312" s="111"/>
      <c r="BJ312" s="111"/>
      <c r="BK312" s="111">
        <v>859.02</v>
      </c>
      <c r="BL312" s="75">
        <f t="shared" si="12"/>
        <v>1908.5</v>
      </c>
      <c r="BM312" s="103">
        <f t="shared" si="13"/>
        <v>104.9675</v>
      </c>
      <c r="BN312" s="103">
        <f t="shared" si="14"/>
        <v>2013.4675</v>
      </c>
      <c r="BO312" s="113"/>
      <c r="BP312" s="111" t="s">
        <v>97</v>
      </c>
      <c r="BQ312" s="111"/>
      <c r="BR312" s="111"/>
      <c r="BS312" s="157">
        <v>2018</v>
      </c>
      <c r="BU312" t="s">
        <v>4180</v>
      </c>
    </row>
    <row r="313" spans="1:73" ht="43.15" customHeight="1" x14ac:dyDescent="0.25">
      <c r="A313" s="242" t="s">
        <v>186</v>
      </c>
      <c r="B313" s="242" t="s">
        <v>346</v>
      </c>
      <c r="C313" s="159">
        <v>400</v>
      </c>
      <c r="D313" s="114">
        <v>43105</v>
      </c>
      <c r="E313" s="114">
        <v>43105</v>
      </c>
      <c r="F313" s="114"/>
      <c r="G313" s="114" t="s">
        <v>347</v>
      </c>
      <c r="H313" s="114">
        <v>43130</v>
      </c>
      <c r="I313" s="114">
        <v>43130</v>
      </c>
      <c r="J313" s="114">
        <v>43180</v>
      </c>
      <c r="K313" s="114"/>
      <c r="L313" s="114">
        <v>43217</v>
      </c>
      <c r="M313" s="114">
        <v>43146</v>
      </c>
      <c r="N313" s="114"/>
      <c r="O313" s="114">
        <v>43236</v>
      </c>
      <c r="P313" s="114">
        <v>43236</v>
      </c>
      <c r="Q313" s="114">
        <v>43258</v>
      </c>
      <c r="R313" s="80"/>
      <c r="S313" s="114"/>
      <c r="T313" s="75"/>
      <c r="U313" s="75"/>
      <c r="V313" s="75"/>
      <c r="W313" s="75">
        <v>2</v>
      </c>
      <c r="X313" s="75">
        <v>59642</v>
      </c>
      <c r="Y313" s="75" t="str">
        <f ca="1">IF(I313="",IF(D313="","",IF(W313+X313&lt;15,"Données Nb pers ou RFR manquantes",IF(COUNTA(INDIRECT("TabRFR["&amp;YEAR(D313)&amp;"]"))&lt;&gt;COUNTA(TabRFR[Recherche RFR]),"Data RFR manquantes", IF(X313&lt;=INDEX(TabRFR[[2021]:[2025]],MATCH(BD!W313&amp;"-Très modestes",TabRFR[Recherche RFR],0),MATCH(TEXT(YEAR(BD!D313),"Standard"),TabRFR[[#Headers],[2021]:[2025]],0)),"Très Modeste",IF(X313&lt;=INDEX(TabRFR[[2021]:[2025]],MATCH(BD!W313&amp;"-modestes",TabRFR[Recherche RFR],0),MATCH(TEXT(YEAR(BD!D313),"Standard"),TabRFR[[#Headers],[2021]:[2025]],0)),"Modeste",IF(X313&lt;=INDEX(TabRFR[[2021]:[2025]],MATCH(BD!W313&amp;"-Intermédiaire",TabRFR[Recherche RFR],0),MATCH(TEXT(YEAR(BD!D313),"Standard"),TabRFR[[#Headers],[2021]:[2025]],0)),"Intermédiaire","Supérieur")))))),IF(D313="","",IF(W313+X313&lt;15,"Données Nb pers ou RFR manquantes",IF(COUNTA(INDIRECT("TabRFR["&amp;YEAR(I313)&amp;"]"))&lt;&gt;COUNTA(TabRFR[Recherche RFR]),"Data RFR manquantes", IF(X313&lt;=INDEX(TabRFR[[2021]:[2025]],MATCH(BD!W313&amp;"-Très modestes",TabRFR[Recherche RFR],0),MATCH(TEXT(YEAR(BD!I313),"Standard"),TabRFR[[#Headers],[2021]:[2025]],0)),"Très Modeste",IF(X313&lt;=INDEX(TabRFR[[2021]:[2025]],MATCH(BD!W313&amp;"-modestes",TabRFR[Recherche RFR],0),MATCH(TEXT(YEAR(BD!I313),"Standard"),TabRFR[[#Headers],[2021]:[2025]],0)),"Modeste",IF(X313&lt;=INDEX(TabRFR[[2021]:[2025]],MATCH(BD!W313&amp;"-Intermédiaire",TabRFR[Recherche RFR],0),MATCH(TEXT(YEAR(BD!I313),"Standard"),TabRFR[[#Headers],[2021]:[2025]],0)),"Intermédiaire","Supérieur")))))))</f>
        <v>Data RFR manquantes</v>
      </c>
      <c r="Z313" s="75"/>
      <c r="AA313" s="75" t="s">
        <v>349</v>
      </c>
      <c r="AB313" s="75">
        <v>38620</v>
      </c>
      <c r="AC313" s="75" t="s">
        <v>857</v>
      </c>
      <c r="AD313" s="73"/>
      <c r="AE313" s="102"/>
      <c r="AF313" s="75" t="s">
        <v>95</v>
      </c>
      <c r="AG313" s="75"/>
      <c r="AH313" s="131">
        <v>40787</v>
      </c>
      <c r="AI313" s="75"/>
      <c r="AJ313" s="75"/>
      <c r="AK313" s="75"/>
      <c r="AL313" s="75"/>
      <c r="AM313" s="75" t="s">
        <v>350</v>
      </c>
      <c r="AN313" s="75" t="s">
        <v>451</v>
      </c>
      <c r="AO313" s="75" t="s">
        <v>351</v>
      </c>
      <c r="AP313" s="75" t="s">
        <v>97</v>
      </c>
      <c r="AQ313" s="75"/>
      <c r="AR313" s="74">
        <v>43207</v>
      </c>
      <c r="AS313" s="102" t="s">
        <v>352</v>
      </c>
      <c r="AT313" s="73">
        <v>438920220</v>
      </c>
      <c r="AU313" s="75" t="s">
        <v>99</v>
      </c>
      <c r="AV313" s="75">
        <v>1980</v>
      </c>
      <c r="AW313" s="75" t="s">
        <v>143</v>
      </c>
      <c r="AX313" s="75" t="s">
        <v>112</v>
      </c>
      <c r="AY313" s="75" t="s">
        <v>251</v>
      </c>
      <c r="AZ313" s="75" t="s">
        <v>353</v>
      </c>
      <c r="BA313" s="75">
        <v>14</v>
      </c>
      <c r="BB313" s="75">
        <v>7</v>
      </c>
      <c r="BC313" s="75">
        <v>77</v>
      </c>
      <c r="BD313" s="75">
        <v>7.0000000000000007E-2</v>
      </c>
      <c r="BE313" s="75" t="s">
        <v>97</v>
      </c>
      <c r="BF313" s="75"/>
      <c r="BG313" s="75">
        <f>2462.55+3050.24</f>
        <v>5512.79</v>
      </c>
      <c r="BH313" s="75"/>
      <c r="BI313" s="75"/>
      <c r="BJ313" s="75"/>
      <c r="BK313" s="75">
        <v>1880.57</v>
      </c>
      <c r="BL313" s="75">
        <f t="shared" si="12"/>
        <v>7393.36</v>
      </c>
      <c r="BM313" s="103">
        <f t="shared" si="13"/>
        <v>406.63479999999998</v>
      </c>
      <c r="BN313" s="103">
        <f t="shared" si="14"/>
        <v>7799.9947999999995</v>
      </c>
      <c r="BO313" s="103">
        <v>7800</v>
      </c>
      <c r="BP313" s="75" t="s">
        <v>354</v>
      </c>
      <c r="BQ313" s="75"/>
      <c r="BR313" s="74">
        <v>43416</v>
      </c>
      <c r="BS313" s="157">
        <v>2018</v>
      </c>
      <c r="BT313">
        <v>2020</v>
      </c>
      <c r="BU313">
        <v>2018</v>
      </c>
    </row>
    <row r="314" spans="1:73" ht="43.15" customHeight="1" x14ac:dyDescent="0.25">
      <c r="A314" s="242" t="s">
        <v>186</v>
      </c>
      <c r="B314" s="242" t="s">
        <v>355</v>
      </c>
      <c r="C314" s="159">
        <v>800</v>
      </c>
      <c r="D314" s="114">
        <v>43110</v>
      </c>
      <c r="E314" s="114">
        <v>43110</v>
      </c>
      <c r="F314" s="114"/>
      <c r="G314" s="114"/>
      <c r="H314" s="114">
        <v>43123</v>
      </c>
      <c r="I314" s="114">
        <v>43123</v>
      </c>
      <c r="J314" s="114">
        <v>43210</v>
      </c>
      <c r="K314" s="114"/>
      <c r="L314" s="114">
        <v>43488</v>
      </c>
      <c r="M314" s="114">
        <v>43462</v>
      </c>
      <c r="N314" s="114"/>
      <c r="O314" s="114">
        <v>43497</v>
      </c>
      <c r="P314" s="114">
        <v>43497</v>
      </c>
      <c r="Q314" s="114">
        <v>43500</v>
      </c>
      <c r="R314" s="100"/>
      <c r="S314" s="114"/>
      <c r="T314" s="75"/>
      <c r="U314" s="75"/>
      <c r="V314" s="75"/>
      <c r="W314" s="75">
        <v>1</v>
      </c>
      <c r="X314" s="75">
        <v>17744</v>
      </c>
      <c r="Y314" s="75" t="str">
        <f ca="1">IF(I314="",IF(D314="","",IF(W314+X314&lt;15,"Données Nb pers ou RFR manquantes",IF(COUNTA(INDIRECT("TabRFR["&amp;YEAR(D314)&amp;"]"))&lt;&gt;COUNTA(TabRFR[Recherche RFR]),"Data RFR manquantes", IF(X314&lt;=INDEX(TabRFR[[2021]:[2025]],MATCH(BD!W314&amp;"-Très modestes",TabRFR[Recherche RFR],0),MATCH(TEXT(YEAR(BD!D314),"Standard"),TabRFR[[#Headers],[2021]:[2025]],0)),"Très Modeste",IF(X314&lt;=INDEX(TabRFR[[2021]:[2025]],MATCH(BD!W314&amp;"-modestes",TabRFR[Recherche RFR],0),MATCH(TEXT(YEAR(BD!D314),"Standard"),TabRFR[[#Headers],[2021]:[2025]],0)),"Modeste",IF(X314&lt;=INDEX(TabRFR[[2021]:[2025]],MATCH(BD!W314&amp;"-Intermédiaire",TabRFR[Recherche RFR],0),MATCH(TEXT(YEAR(BD!D314),"Standard"),TabRFR[[#Headers],[2021]:[2025]],0)),"Intermédiaire","Supérieur")))))),IF(D314="","",IF(W314+X314&lt;15,"Données Nb pers ou RFR manquantes",IF(COUNTA(INDIRECT("TabRFR["&amp;YEAR(I314)&amp;"]"))&lt;&gt;COUNTA(TabRFR[Recherche RFR]),"Data RFR manquantes", IF(X314&lt;=INDEX(TabRFR[[2021]:[2025]],MATCH(BD!W314&amp;"-Très modestes",TabRFR[Recherche RFR],0),MATCH(TEXT(YEAR(BD!I314),"Standard"),TabRFR[[#Headers],[2021]:[2025]],0)),"Très Modeste",IF(X314&lt;=INDEX(TabRFR[[2021]:[2025]],MATCH(BD!W314&amp;"-modestes",TabRFR[Recherche RFR],0),MATCH(TEXT(YEAR(BD!I314),"Standard"),TabRFR[[#Headers],[2021]:[2025]],0)),"Modeste",IF(X314&lt;=INDEX(TabRFR[[2021]:[2025]],MATCH(BD!W314&amp;"-Intermédiaire",TabRFR[Recherche RFR],0),MATCH(TEXT(YEAR(BD!I314),"Standard"),TabRFR[[#Headers],[2021]:[2025]],0)),"Intermédiaire","Supérieur")))))))</f>
        <v>Data RFR manquantes</v>
      </c>
      <c r="Z314" s="75"/>
      <c r="AA314" s="75" t="s">
        <v>358</v>
      </c>
      <c r="AB314" s="75">
        <v>38850</v>
      </c>
      <c r="AC314" s="75" t="s">
        <v>4304</v>
      </c>
      <c r="AD314" s="73"/>
      <c r="AE314" s="102"/>
      <c r="AF314" s="75" t="s">
        <v>95</v>
      </c>
      <c r="AG314" s="75"/>
      <c r="AH314" s="75">
        <v>38108</v>
      </c>
      <c r="AI314" s="75"/>
      <c r="AJ314" s="75"/>
      <c r="AK314" s="75"/>
      <c r="AL314" s="75"/>
      <c r="AM314" s="75" t="s">
        <v>4236</v>
      </c>
      <c r="AN314" s="75" t="s">
        <v>4091</v>
      </c>
      <c r="AO314" s="75" t="s">
        <v>163</v>
      </c>
      <c r="AP314" s="75" t="s">
        <v>97</v>
      </c>
      <c r="AQ314" s="75"/>
      <c r="AR314" s="74">
        <v>43360</v>
      </c>
      <c r="AS314" s="102" t="s">
        <v>285</v>
      </c>
      <c r="AT314" s="73">
        <v>476370350</v>
      </c>
      <c r="AU314" s="75" t="s">
        <v>100</v>
      </c>
      <c r="AV314" s="75">
        <v>1991</v>
      </c>
      <c r="AW314" s="75" t="s">
        <v>100</v>
      </c>
      <c r="AX314" s="75" t="s">
        <v>112</v>
      </c>
      <c r="AY314" s="75" t="s">
        <v>278</v>
      </c>
      <c r="AZ314" s="75" t="s">
        <v>279</v>
      </c>
      <c r="BA314" s="75">
        <v>22</v>
      </c>
      <c r="BB314" s="75">
        <v>5</v>
      </c>
      <c r="BC314" s="75">
        <v>80.5</v>
      </c>
      <c r="BD314" s="75">
        <v>0.09</v>
      </c>
      <c r="BE314" s="75" t="s">
        <v>97</v>
      </c>
      <c r="BF314" s="75"/>
      <c r="BG314" s="75">
        <v>2489.5</v>
      </c>
      <c r="BH314" s="75"/>
      <c r="BI314" s="75"/>
      <c r="BJ314" s="75"/>
      <c r="BK314" s="75">
        <v>399</v>
      </c>
      <c r="BL314" s="75">
        <f t="shared" si="12"/>
        <v>2888.5</v>
      </c>
      <c r="BM314" s="103">
        <f t="shared" si="13"/>
        <v>158.86750000000001</v>
      </c>
      <c r="BN314" s="103">
        <f t="shared" si="14"/>
        <v>3047.3674999999998</v>
      </c>
      <c r="BO314" s="103">
        <v>3047</v>
      </c>
      <c r="BP314" s="75" t="s">
        <v>104</v>
      </c>
      <c r="BQ314" s="75"/>
      <c r="BR314" s="74">
        <v>43416</v>
      </c>
      <c r="BS314" s="157">
        <v>2018</v>
      </c>
      <c r="BT314">
        <v>2020</v>
      </c>
      <c r="BU314">
        <v>2018</v>
      </c>
    </row>
    <row r="315" spans="1:73" ht="43.15" customHeight="1" x14ac:dyDescent="0.25">
      <c r="A315" s="242" t="s">
        <v>90</v>
      </c>
      <c r="B315" s="242" t="s">
        <v>359</v>
      </c>
      <c r="C315" s="159">
        <v>400</v>
      </c>
      <c r="D315" s="114">
        <v>43108</v>
      </c>
      <c r="E315" s="114"/>
      <c r="F315" s="114">
        <v>43147</v>
      </c>
      <c r="G315" s="114" t="s">
        <v>360</v>
      </c>
      <c r="H315" s="114">
        <v>43152</v>
      </c>
      <c r="I315" s="114">
        <v>43152</v>
      </c>
      <c r="J315" s="114">
        <v>43180</v>
      </c>
      <c r="K315" s="114"/>
      <c r="L315" s="114">
        <v>43204</v>
      </c>
      <c r="M315" s="114">
        <v>43252</v>
      </c>
      <c r="N315" s="114"/>
      <c r="O315" s="114">
        <v>43262</v>
      </c>
      <c r="P315" s="114">
        <v>43262</v>
      </c>
      <c r="Q315" s="114">
        <v>43293</v>
      </c>
      <c r="R315" s="80"/>
      <c r="S315" s="114"/>
      <c r="T315" s="75"/>
      <c r="U315" s="75"/>
      <c r="V315" s="75"/>
      <c r="W315" s="75">
        <v>2</v>
      </c>
      <c r="X315" s="75">
        <v>77294</v>
      </c>
      <c r="Y315" s="75" t="str">
        <f ca="1">IF(I315="",IF(D315="","",IF(W315+X315&lt;15,"Données Nb pers ou RFR manquantes",IF(COUNTA(INDIRECT("TabRFR["&amp;YEAR(D315)&amp;"]"))&lt;&gt;COUNTA(TabRFR[Recherche RFR]),"Data RFR manquantes", IF(X315&lt;=INDEX(TabRFR[[2021]:[2025]],MATCH(BD!W315&amp;"-Très modestes",TabRFR[Recherche RFR],0),MATCH(TEXT(YEAR(BD!D315),"Standard"),TabRFR[[#Headers],[2021]:[2025]],0)),"Très Modeste",IF(X315&lt;=INDEX(TabRFR[[2021]:[2025]],MATCH(BD!W315&amp;"-modestes",TabRFR[Recherche RFR],0),MATCH(TEXT(YEAR(BD!D315),"Standard"),TabRFR[[#Headers],[2021]:[2025]],0)),"Modeste",IF(X315&lt;=INDEX(TabRFR[[2021]:[2025]],MATCH(BD!W315&amp;"-Intermédiaire",TabRFR[Recherche RFR],0),MATCH(TEXT(YEAR(BD!D315),"Standard"),TabRFR[[#Headers],[2021]:[2025]],0)),"Intermédiaire","Supérieur")))))),IF(D315="","",IF(W315+X315&lt;15,"Données Nb pers ou RFR manquantes",IF(COUNTA(INDIRECT("TabRFR["&amp;YEAR(I315)&amp;"]"))&lt;&gt;COUNTA(TabRFR[Recherche RFR]),"Data RFR manquantes", IF(X315&lt;=INDEX(TabRFR[[2021]:[2025]],MATCH(BD!W315&amp;"-Très modestes",TabRFR[Recherche RFR],0),MATCH(TEXT(YEAR(BD!I315),"Standard"),TabRFR[[#Headers],[2021]:[2025]],0)),"Très Modeste",IF(X315&lt;=INDEX(TabRFR[[2021]:[2025]],MATCH(BD!W315&amp;"-modestes",TabRFR[Recherche RFR],0),MATCH(TEXT(YEAR(BD!I315),"Standard"),TabRFR[[#Headers],[2021]:[2025]],0)),"Modeste",IF(X315&lt;=INDEX(TabRFR[[2021]:[2025]],MATCH(BD!W315&amp;"-Intermédiaire",TabRFR[Recherche RFR],0),MATCH(TEXT(YEAR(BD!I315),"Standard"),TabRFR[[#Headers],[2021]:[2025]],0)),"Intermédiaire","Supérieur")))))))</f>
        <v>Data RFR manquantes</v>
      </c>
      <c r="Z315" s="75"/>
      <c r="AA315" s="75" t="s">
        <v>362</v>
      </c>
      <c r="AB315" s="75">
        <v>38140</v>
      </c>
      <c r="AC315" s="75" t="s">
        <v>363</v>
      </c>
      <c r="AD315" s="73"/>
      <c r="AE315" s="102"/>
      <c r="AF315" s="75" t="s">
        <v>95</v>
      </c>
      <c r="AG315" s="75"/>
      <c r="AH315" s="131">
        <v>32721</v>
      </c>
      <c r="AI315" s="75"/>
      <c r="AJ315" s="75"/>
      <c r="AK315" s="75"/>
      <c r="AL315" s="75"/>
      <c r="AM315" s="75" t="s">
        <v>4130</v>
      </c>
      <c r="AN315" s="75" t="s">
        <v>4349</v>
      </c>
      <c r="AO315" s="75" t="s">
        <v>336</v>
      </c>
      <c r="AP315" s="75" t="s">
        <v>97</v>
      </c>
      <c r="AQ315" s="75"/>
      <c r="AR315" s="74">
        <v>43180</v>
      </c>
      <c r="AS315" s="102" t="s">
        <v>337</v>
      </c>
      <c r="AT315" s="73">
        <v>438021901</v>
      </c>
      <c r="AU315" s="75" t="s">
        <v>99</v>
      </c>
      <c r="AV315" s="75">
        <v>1987</v>
      </c>
      <c r="AW315" s="75" t="s">
        <v>111</v>
      </c>
      <c r="AX315" s="75" t="s">
        <v>112</v>
      </c>
      <c r="AY315" s="75" t="s">
        <v>338</v>
      </c>
      <c r="AZ315" s="75" t="s">
        <v>364</v>
      </c>
      <c r="BA315" s="75">
        <v>35</v>
      </c>
      <c r="BB315" s="75">
        <v>16</v>
      </c>
      <c r="BC315" s="75">
        <v>82</v>
      </c>
      <c r="BD315" s="75">
        <v>0.08</v>
      </c>
      <c r="BE315" s="75" t="s">
        <v>97</v>
      </c>
      <c r="BF315" s="75"/>
      <c r="BG315" s="75">
        <f>13474-1782</f>
        <v>11692</v>
      </c>
      <c r="BH315" s="75"/>
      <c r="BI315" s="75"/>
      <c r="BJ315" s="75"/>
      <c r="BK315" s="75">
        <v>1782</v>
      </c>
      <c r="BL315" s="75">
        <f t="shared" si="12"/>
        <v>13474</v>
      </c>
      <c r="BM315" s="103">
        <f t="shared" si="13"/>
        <v>741.07</v>
      </c>
      <c r="BN315" s="103">
        <f t="shared" si="14"/>
        <v>14215.07</v>
      </c>
      <c r="BO315" s="103">
        <v>13382</v>
      </c>
      <c r="BP315" s="75"/>
      <c r="BQ315" s="75"/>
      <c r="BR315" s="74">
        <v>43416</v>
      </c>
      <c r="BS315" s="157">
        <v>2018</v>
      </c>
      <c r="BT315">
        <v>2020</v>
      </c>
      <c r="BU315">
        <v>2018</v>
      </c>
    </row>
    <row r="316" spans="1:73" ht="43.15" customHeight="1" x14ac:dyDescent="0.25">
      <c r="A316" s="242" t="s">
        <v>90</v>
      </c>
      <c r="B316" s="242" t="s">
        <v>365</v>
      </c>
      <c r="C316" s="159">
        <v>400</v>
      </c>
      <c r="D316" s="114">
        <v>43119</v>
      </c>
      <c r="E316" s="114">
        <v>43119</v>
      </c>
      <c r="F316" s="114"/>
      <c r="G316" s="114"/>
      <c r="H316" s="114">
        <v>43147</v>
      </c>
      <c r="I316" s="114">
        <v>43147</v>
      </c>
      <c r="J316" s="114">
        <v>43180</v>
      </c>
      <c r="K316" s="114"/>
      <c r="L316" s="114">
        <v>43315</v>
      </c>
      <c r="M316" s="114">
        <v>43311</v>
      </c>
      <c r="N316" s="114"/>
      <c r="O316" s="114">
        <v>43322</v>
      </c>
      <c r="P316" s="114">
        <v>43322</v>
      </c>
      <c r="Q316" s="114">
        <v>43343</v>
      </c>
      <c r="R316" s="80"/>
      <c r="S316" s="114"/>
      <c r="T316" s="75"/>
      <c r="U316" s="75"/>
      <c r="V316" s="75"/>
      <c r="W316" s="75">
        <v>4</v>
      </c>
      <c r="X316" s="75">
        <v>125433</v>
      </c>
      <c r="Y316" s="75" t="str">
        <f ca="1">IF(I316="",IF(D316="","",IF(W316+X316&lt;15,"Données Nb pers ou RFR manquantes",IF(COUNTA(INDIRECT("TabRFR["&amp;YEAR(D316)&amp;"]"))&lt;&gt;COUNTA(TabRFR[Recherche RFR]),"Data RFR manquantes", IF(X316&lt;=INDEX(TabRFR[[2021]:[2025]],MATCH(BD!W316&amp;"-Très modestes",TabRFR[Recherche RFR],0),MATCH(TEXT(YEAR(BD!D316),"Standard"),TabRFR[[#Headers],[2021]:[2025]],0)),"Très Modeste",IF(X316&lt;=INDEX(TabRFR[[2021]:[2025]],MATCH(BD!W316&amp;"-modestes",TabRFR[Recherche RFR],0),MATCH(TEXT(YEAR(BD!D316),"Standard"),TabRFR[[#Headers],[2021]:[2025]],0)),"Modeste",IF(X316&lt;=INDEX(TabRFR[[2021]:[2025]],MATCH(BD!W316&amp;"-Intermédiaire",TabRFR[Recherche RFR],0),MATCH(TEXT(YEAR(BD!D316),"Standard"),TabRFR[[#Headers],[2021]:[2025]],0)),"Intermédiaire","Supérieur")))))),IF(D316="","",IF(W316+X316&lt;15,"Données Nb pers ou RFR manquantes",IF(COUNTA(INDIRECT("TabRFR["&amp;YEAR(I316)&amp;"]"))&lt;&gt;COUNTA(TabRFR[Recherche RFR]),"Data RFR manquantes", IF(X316&lt;=INDEX(TabRFR[[2021]:[2025]],MATCH(BD!W316&amp;"-Très modestes",TabRFR[Recherche RFR],0),MATCH(TEXT(YEAR(BD!I316),"Standard"),TabRFR[[#Headers],[2021]:[2025]],0)),"Très Modeste",IF(X316&lt;=INDEX(TabRFR[[2021]:[2025]],MATCH(BD!W316&amp;"-modestes",TabRFR[Recherche RFR],0),MATCH(TEXT(YEAR(BD!I316),"Standard"),TabRFR[[#Headers],[2021]:[2025]],0)),"Modeste",IF(X316&lt;=INDEX(TabRFR[[2021]:[2025]],MATCH(BD!W316&amp;"-Intermédiaire",TabRFR[Recherche RFR],0),MATCH(TEXT(YEAR(BD!I316),"Standard"),TabRFR[[#Headers],[2021]:[2025]],0)),"Intermédiaire","Supérieur")))))))</f>
        <v>Data RFR manquantes</v>
      </c>
      <c r="Z316" s="75"/>
      <c r="AA316" s="75" t="s">
        <v>366</v>
      </c>
      <c r="AB316" s="75">
        <v>38500</v>
      </c>
      <c r="AC316" s="75" t="s">
        <v>96</v>
      </c>
      <c r="AD316" s="73"/>
      <c r="AE316" s="102"/>
      <c r="AF316" s="75" t="s">
        <v>95</v>
      </c>
      <c r="AG316" s="75"/>
      <c r="AH316" s="131">
        <v>42916</v>
      </c>
      <c r="AI316" s="75"/>
      <c r="AJ316" s="75"/>
      <c r="AK316" s="75"/>
      <c r="AL316" s="75"/>
      <c r="AM316" s="75" t="s">
        <v>4035</v>
      </c>
      <c r="AN316" s="75" t="s">
        <v>108</v>
      </c>
      <c r="AO316" s="75" t="s">
        <v>109</v>
      </c>
      <c r="AP316" s="75" t="s">
        <v>97</v>
      </c>
      <c r="AQ316" s="75"/>
      <c r="AR316" s="74">
        <v>43279</v>
      </c>
      <c r="AS316" s="102" t="s">
        <v>110</v>
      </c>
      <c r="AT316" s="73">
        <v>476500550</v>
      </c>
      <c r="AU316" s="75" t="s">
        <v>99</v>
      </c>
      <c r="AV316" s="75"/>
      <c r="AW316" s="75" t="s">
        <v>100</v>
      </c>
      <c r="AX316" s="75" t="s">
        <v>112</v>
      </c>
      <c r="AY316" s="75" t="s">
        <v>113</v>
      </c>
      <c r="AZ316" s="75" t="s">
        <v>367</v>
      </c>
      <c r="BA316" s="75">
        <v>15</v>
      </c>
      <c r="BB316" s="75">
        <v>8</v>
      </c>
      <c r="BC316" s="75">
        <v>79</v>
      </c>
      <c r="BD316" s="75">
        <v>0.09</v>
      </c>
      <c r="BE316" s="75" t="s">
        <v>97</v>
      </c>
      <c r="BF316" s="77"/>
      <c r="BG316" s="75">
        <v>3830</v>
      </c>
      <c r="BH316" s="75"/>
      <c r="BI316" s="75"/>
      <c r="BJ316" s="75"/>
      <c r="BK316" s="75">
        <v>450</v>
      </c>
      <c r="BL316" s="75">
        <f t="shared" si="12"/>
        <v>4280</v>
      </c>
      <c r="BM316" s="103">
        <f t="shared" si="13"/>
        <v>235.4</v>
      </c>
      <c r="BN316" s="103">
        <f t="shared" si="14"/>
        <v>4515.3999999999996</v>
      </c>
      <c r="BO316" s="103">
        <v>4640.0600000000004</v>
      </c>
      <c r="BP316" s="75" t="s">
        <v>97</v>
      </c>
      <c r="BQ316" s="75"/>
      <c r="BR316" s="74">
        <v>43416</v>
      </c>
      <c r="BS316" s="157">
        <v>2018</v>
      </c>
      <c r="BT316">
        <v>2020</v>
      </c>
      <c r="BU316">
        <v>2018</v>
      </c>
    </row>
    <row r="317" spans="1:73" ht="43.15" customHeight="1" x14ac:dyDescent="0.25">
      <c r="A317" s="242" t="s">
        <v>90</v>
      </c>
      <c r="B317" s="242" t="s">
        <v>368</v>
      </c>
      <c r="C317" s="159">
        <v>800</v>
      </c>
      <c r="D317" s="114">
        <v>43126</v>
      </c>
      <c r="E317" s="114"/>
      <c r="F317" s="114">
        <v>43147</v>
      </c>
      <c r="G317" s="114" t="s">
        <v>360</v>
      </c>
      <c r="H317" s="114">
        <v>43173</v>
      </c>
      <c r="I317" s="114">
        <v>43173</v>
      </c>
      <c r="J317" s="114">
        <v>43180</v>
      </c>
      <c r="K317" s="114"/>
      <c r="L317" s="114">
        <v>43353</v>
      </c>
      <c r="M317" s="114">
        <v>43305</v>
      </c>
      <c r="N317" s="114" t="s">
        <v>369</v>
      </c>
      <c r="O317" s="114">
        <v>43403</v>
      </c>
      <c r="P317" s="114">
        <v>43403</v>
      </c>
      <c r="Q317" s="114">
        <v>43431</v>
      </c>
      <c r="R317" s="100"/>
      <c r="S317" s="114"/>
      <c r="T317" s="75"/>
      <c r="U317" s="75"/>
      <c r="V317" s="75"/>
      <c r="W317" s="75">
        <v>2</v>
      </c>
      <c r="X317" s="75">
        <v>17945</v>
      </c>
      <c r="Y317" s="75" t="str">
        <f ca="1">IF(I317="",IF(D317="","",IF(W317+X317&lt;15,"Données Nb pers ou RFR manquantes",IF(COUNTA(INDIRECT("TabRFR["&amp;YEAR(D317)&amp;"]"))&lt;&gt;COUNTA(TabRFR[Recherche RFR]),"Data RFR manquantes", IF(X317&lt;=INDEX(TabRFR[[2021]:[2025]],MATCH(BD!W317&amp;"-Très modestes",TabRFR[Recherche RFR],0),MATCH(TEXT(YEAR(BD!D317),"Standard"),TabRFR[[#Headers],[2021]:[2025]],0)),"Très Modeste",IF(X317&lt;=INDEX(TabRFR[[2021]:[2025]],MATCH(BD!W317&amp;"-modestes",TabRFR[Recherche RFR],0),MATCH(TEXT(YEAR(BD!D317),"Standard"),TabRFR[[#Headers],[2021]:[2025]],0)),"Modeste",IF(X317&lt;=INDEX(TabRFR[[2021]:[2025]],MATCH(BD!W317&amp;"-Intermédiaire",TabRFR[Recherche RFR],0),MATCH(TEXT(YEAR(BD!D317),"Standard"),TabRFR[[#Headers],[2021]:[2025]],0)),"Intermédiaire","Supérieur")))))),IF(D317="","",IF(W317+X317&lt;15,"Données Nb pers ou RFR manquantes",IF(COUNTA(INDIRECT("TabRFR["&amp;YEAR(I317)&amp;"]"))&lt;&gt;COUNTA(TabRFR[Recherche RFR]),"Data RFR manquantes", IF(X317&lt;=INDEX(TabRFR[[2021]:[2025]],MATCH(BD!W317&amp;"-Très modestes",TabRFR[Recherche RFR],0),MATCH(TEXT(YEAR(BD!I317),"Standard"),TabRFR[[#Headers],[2021]:[2025]],0)),"Très Modeste",IF(X317&lt;=INDEX(TabRFR[[2021]:[2025]],MATCH(BD!W317&amp;"-modestes",TabRFR[Recherche RFR],0),MATCH(TEXT(YEAR(BD!I317),"Standard"),TabRFR[[#Headers],[2021]:[2025]],0)),"Modeste",IF(X317&lt;=INDEX(TabRFR[[2021]:[2025]],MATCH(BD!W317&amp;"-Intermédiaire",TabRFR[Recherche RFR],0),MATCH(TEXT(YEAR(BD!I317),"Standard"),TabRFR[[#Headers],[2021]:[2025]],0)),"Intermédiaire","Supérieur")))))))</f>
        <v>Data RFR manquantes</v>
      </c>
      <c r="Z317" s="75"/>
      <c r="AA317" s="75" t="s">
        <v>370</v>
      </c>
      <c r="AB317" s="75">
        <v>38500</v>
      </c>
      <c r="AC317" s="75" t="s">
        <v>118</v>
      </c>
      <c r="AD317" s="73"/>
      <c r="AE317" s="102"/>
      <c r="AF317" s="75"/>
      <c r="AG317" s="75"/>
      <c r="AH317" s="75"/>
      <c r="AI317" s="75"/>
      <c r="AJ317" s="75"/>
      <c r="AK317" s="75"/>
      <c r="AL317" s="75"/>
      <c r="AM317" s="75" t="s">
        <v>4160</v>
      </c>
      <c r="AN317" s="75" t="s">
        <v>572</v>
      </c>
      <c r="AO317" s="75"/>
      <c r="AP317" s="75" t="s">
        <v>97</v>
      </c>
      <c r="AQ317" s="75"/>
      <c r="AR317" s="74"/>
      <c r="AS317" s="102" t="s">
        <v>371</v>
      </c>
      <c r="AT317" s="73">
        <v>474583428</v>
      </c>
      <c r="AU317" s="75" t="s">
        <v>172</v>
      </c>
      <c r="AV317" s="75"/>
      <c r="AW317" s="75" t="s">
        <v>172</v>
      </c>
      <c r="AX317" s="75" t="s">
        <v>112</v>
      </c>
      <c r="AY317" s="75" t="s">
        <v>372</v>
      </c>
      <c r="AZ317" s="75" t="s">
        <v>373</v>
      </c>
      <c r="BA317" s="75">
        <v>27</v>
      </c>
      <c r="BB317" s="75">
        <v>7.6</v>
      </c>
      <c r="BC317" s="75">
        <v>80.8</v>
      </c>
      <c r="BD317" s="75">
        <v>0.06</v>
      </c>
      <c r="BE317" s="75" t="s">
        <v>374</v>
      </c>
      <c r="BF317" s="75"/>
      <c r="BG317" s="75">
        <v>3500</v>
      </c>
      <c r="BH317" s="75"/>
      <c r="BI317" s="75"/>
      <c r="BJ317" s="75"/>
      <c r="BK317" s="75">
        <v>300</v>
      </c>
      <c r="BL317" s="75">
        <f t="shared" si="12"/>
        <v>3800</v>
      </c>
      <c r="BM317" s="103">
        <f t="shared" si="13"/>
        <v>209</v>
      </c>
      <c r="BN317" s="103">
        <f t="shared" si="14"/>
        <v>4009</v>
      </c>
      <c r="BO317" s="103">
        <v>4400</v>
      </c>
      <c r="BP317" s="75" t="s">
        <v>104</v>
      </c>
      <c r="BQ317" s="75"/>
      <c r="BR317" s="74">
        <v>43416</v>
      </c>
      <c r="BS317" s="157">
        <v>2018</v>
      </c>
      <c r="BT317">
        <v>2020</v>
      </c>
      <c r="BU317">
        <v>2018</v>
      </c>
    </row>
    <row r="318" spans="1:73" ht="43.15" customHeight="1" x14ac:dyDescent="0.25">
      <c r="A318" s="242" t="s">
        <v>90</v>
      </c>
      <c r="B318" s="242" t="s">
        <v>375</v>
      </c>
      <c r="C318" s="159">
        <v>400</v>
      </c>
      <c r="D318" s="114">
        <v>43129</v>
      </c>
      <c r="E318" s="114">
        <v>43129</v>
      </c>
      <c r="F318" s="114"/>
      <c r="G318" s="114"/>
      <c r="H318" s="114">
        <v>43151</v>
      </c>
      <c r="I318" s="114">
        <v>43151</v>
      </c>
      <c r="J318" s="114">
        <v>43157</v>
      </c>
      <c r="K318" s="114"/>
      <c r="L318" s="114">
        <v>42906</v>
      </c>
      <c r="M318" s="114">
        <v>43159</v>
      </c>
      <c r="N318" s="114"/>
      <c r="O318" s="114">
        <v>43333</v>
      </c>
      <c r="P318" s="114">
        <v>43333</v>
      </c>
      <c r="Q318" s="114">
        <v>43367</v>
      </c>
      <c r="R318" s="80"/>
      <c r="S318" s="114"/>
      <c r="T318" s="75"/>
      <c r="U318" s="75"/>
      <c r="V318" s="75"/>
      <c r="W318" s="75">
        <v>4</v>
      </c>
      <c r="X318" s="75">
        <v>58782</v>
      </c>
      <c r="Y318" s="75" t="str">
        <f ca="1">IF(I318="",IF(D318="","",IF(W318+X318&lt;15,"Données Nb pers ou RFR manquantes",IF(COUNTA(INDIRECT("TabRFR["&amp;YEAR(D318)&amp;"]"))&lt;&gt;COUNTA(TabRFR[Recherche RFR]),"Data RFR manquantes", IF(X318&lt;=INDEX(TabRFR[[2021]:[2025]],MATCH(BD!W318&amp;"-Très modestes",TabRFR[Recherche RFR],0),MATCH(TEXT(YEAR(BD!D318),"Standard"),TabRFR[[#Headers],[2021]:[2025]],0)),"Très Modeste",IF(X318&lt;=INDEX(TabRFR[[2021]:[2025]],MATCH(BD!W318&amp;"-modestes",TabRFR[Recherche RFR],0),MATCH(TEXT(YEAR(BD!D318),"Standard"),TabRFR[[#Headers],[2021]:[2025]],0)),"Modeste",IF(X318&lt;=INDEX(TabRFR[[2021]:[2025]],MATCH(BD!W318&amp;"-Intermédiaire",TabRFR[Recherche RFR],0),MATCH(TEXT(YEAR(BD!D318),"Standard"),TabRFR[[#Headers],[2021]:[2025]],0)),"Intermédiaire","Supérieur")))))),IF(D318="","",IF(W318+X318&lt;15,"Données Nb pers ou RFR manquantes",IF(COUNTA(INDIRECT("TabRFR["&amp;YEAR(I318)&amp;"]"))&lt;&gt;COUNTA(TabRFR[Recherche RFR]),"Data RFR manquantes", IF(X318&lt;=INDEX(TabRFR[[2021]:[2025]],MATCH(BD!W318&amp;"-Très modestes",TabRFR[Recherche RFR],0),MATCH(TEXT(YEAR(BD!I318),"Standard"),TabRFR[[#Headers],[2021]:[2025]],0)),"Très Modeste",IF(X318&lt;=INDEX(TabRFR[[2021]:[2025]],MATCH(BD!W318&amp;"-modestes",TabRFR[Recherche RFR],0),MATCH(TEXT(YEAR(BD!I318),"Standard"),TabRFR[[#Headers],[2021]:[2025]],0)),"Modeste",IF(X318&lt;=INDEX(TabRFR[[2021]:[2025]],MATCH(BD!W318&amp;"-Intermédiaire",TabRFR[Recherche RFR],0),MATCH(TEXT(YEAR(BD!I318),"Standard"),TabRFR[[#Headers],[2021]:[2025]],0)),"Intermédiaire","Supérieur")))))))</f>
        <v>Data RFR manquantes</v>
      </c>
      <c r="Z318" s="75"/>
      <c r="AA318" s="75" t="s">
        <v>376</v>
      </c>
      <c r="AB318" s="75">
        <v>38500</v>
      </c>
      <c r="AC318" s="75" t="s">
        <v>96</v>
      </c>
      <c r="AD318" s="73"/>
      <c r="AE318" s="102"/>
      <c r="AF318" s="75" t="s">
        <v>95</v>
      </c>
      <c r="AG318" s="75"/>
      <c r="AH318" s="75">
        <v>42572</v>
      </c>
      <c r="AI318" s="75"/>
      <c r="AJ318" s="75"/>
      <c r="AK318" s="75"/>
      <c r="AL318" s="75"/>
      <c r="AM318" s="75" t="s">
        <v>4191</v>
      </c>
      <c r="AN318" s="75" t="s">
        <v>96</v>
      </c>
      <c r="AO318" s="75" t="s">
        <v>229</v>
      </c>
      <c r="AP318" s="75" t="s">
        <v>97</v>
      </c>
      <c r="AQ318" s="75"/>
      <c r="AR318" s="74">
        <v>43213</v>
      </c>
      <c r="AS318" s="102" t="s">
        <v>230</v>
      </c>
      <c r="AT318" s="73">
        <v>476059938</v>
      </c>
      <c r="AU318" s="75" t="s">
        <v>99</v>
      </c>
      <c r="AV318" s="75"/>
      <c r="AW318" s="75" t="s">
        <v>100</v>
      </c>
      <c r="AX318" s="75" t="s">
        <v>2071</v>
      </c>
      <c r="AY318" s="75" t="s">
        <v>232</v>
      </c>
      <c r="AZ318" s="75" t="s">
        <v>377</v>
      </c>
      <c r="BA318" s="75">
        <v>14</v>
      </c>
      <c r="BB318" s="75">
        <v>9.1</v>
      </c>
      <c r="BC318" s="75">
        <v>90.8</v>
      </c>
      <c r="BD318" s="75">
        <v>0</v>
      </c>
      <c r="BE318" s="75" t="s">
        <v>97</v>
      </c>
      <c r="BF318" s="77"/>
      <c r="BG318" s="75">
        <v>5692</v>
      </c>
      <c r="BH318" s="75"/>
      <c r="BI318" s="75"/>
      <c r="BJ318" s="75"/>
      <c r="BK318" s="75">
        <v>680</v>
      </c>
      <c r="BL318" s="75">
        <f t="shared" si="12"/>
        <v>6372</v>
      </c>
      <c r="BM318" s="103">
        <f t="shared" si="13"/>
        <v>350.46</v>
      </c>
      <c r="BN318" s="103">
        <f t="shared" si="14"/>
        <v>6722.46</v>
      </c>
      <c r="BO318" s="103">
        <v>3722.46</v>
      </c>
      <c r="BP318" s="75" t="s">
        <v>104</v>
      </c>
      <c r="BQ318" s="75"/>
      <c r="BR318" s="75"/>
      <c r="BS318" s="157">
        <v>2018</v>
      </c>
      <c r="BU318">
        <v>2018</v>
      </c>
    </row>
    <row r="319" spans="1:73" ht="43.15" customHeight="1" x14ac:dyDescent="0.25">
      <c r="A319" s="242" t="s">
        <v>90</v>
      </c>
      <c r="B319" s="242" t="s">
        <v>378</v>
      </c>
      <c r="C319" s="159">
        <v>400</v>
      </c>
      <c r="D319" s="114">
        <v>43130</v>
      </c>
      <c r="E319" s="114"/>
      <c r="F319" s="114"/>
      <c r="G319" s="114"/>
      <c r="H319" s="114">
        <v>43151</v>
      </c>
      <c r="I319" s="114">
        <v>43151</v>
      </c>
      <c r="J319" s="114">
        <v>43180</v>
      </c>
      <c r="K319" s="114"/>
      <c r="L319" s="114">
        <v>43185</v>
      </c>
      <c r="M319" s="114">
        <v>43182</v>
      </c>
      <c r="N319" s="114"/>
      <c r="O319" s="114">
        <v>43217</v>
      </c>
      <c r="P319" s="114">
        <v>43217</v>
      </c>
      <c r="Q319" s="114">
        <v>43258</v>
      </c>
      <c r="R319" s="80"/>
      <c r="S319" s="114"/>
      <c r="T319" s="75"/>
      <c r="U319" s="75"/>
      <c r="V319" s="75"/>
      <c r="W319" s="75">
        <v>3</v>
      </c>
      <c r="X319" s="75">
        <v>42502</v>
      </c>
      <c r="Y319" s="75" t="str">
        <f ca="1">IF(I319="",IF(D319="","",IF(W319+X319&lt;15,"Données Nb pers ou RFR manquantes",IF(COUNTA(INDIRECT("TabRFR["&amp;YEAR(D319)&amp;"]"))&lt;&gt;COUNTA(TabRFR[Recherche RFR]),"Data RFR manquantes", IF(X319&lt;=INDEX(TabRFR[[2021]:[2025]],MATCH(BD!W319&amp;"-Très modestes",TabRFR[Recherche RFR],0),MATCH(TEXT(YEAR(BD!D319),"Standard"),TabRFR[[#Headers],[2021]:[2025]],0)),"Très Modeste",IF(X319&lt;=INDEX(TabRFR[[2021]:[2025]],MATCH(BD!W319&amp;"-modestes",TabRFR[Recherche RFR],0),MATCH(TEXT(YEAR(BD!D319),"Standard"),TabRFR[[#Headers],[2021]:[2025]],0)),"Modeste",IF(X319&lt;=INDEX(TabRFR[[2021]:[2025]],MATCH(BD!W319&amp;"-Intermédiaire",TabRFR[Recherche RFR],0),MATCH(TEXT(YEAR(BD!D319),"Standard"),TabRFR[[#Headers],[2021]:[2025]],0)),"Intermédiaire","Supérieur")))))),IF(D319="","",IF(W319+X319&lt;15,"Données Nb pers ou RFR manquantes",IF(COUNTA(INDIRECT("TabRFR["&amp;YEAR(I319)&amp;"]"))&lt;&gt;COUNTA(TabRFR[Recherche RFR]),"Data RFR manquantes", IF(X319&lt;=INDEX(TabRFR[[2021]:[2025]],MATCH(BD!W319&amp;"-Très modestes",TabRFR[Recherche RFR],0),MATCH(TEXT(YEAR(BD!I319),"Standard"),TabRFR[[#Headers],[2021]:[2025]],0)),"Très Modeste",IF(X319&lt;=INDEX(TabRFR[[2021]:[2025]],MATCH(BD!W319&amp;"-modestes",TabRFR[Recherche RFR],0),MATCH(TEXT(YEAR(BD!I319),"Standard"),TabRFR[[#Headers],[2021]:[2025]],0)),"Modeste",IF(X319&lt;=INDEX(TabRFR[[2021]:[2025]],MATCH(BD!W319&amp;"-Intermédiaire",TabRFR[Recherche RFR],0),MATCH(TEXT(YEAR(BD!I319),"Standard"),TabRFR[[#Headers],[2021]:[2025]],0)),"Intermédiaire","Supérieur")))))))</f>
        <v>Data RFR manquantes</v>
      </c>
      <c r="Z319" s="75"/>
      <c r="AA319" s="75" t="s">
        <v>381</v>
      </c>
      <c r="AB319" s="75">
        <v>38240</v>
      </c>
      <c r="AC319" s="75" t="s">
        <v>195</v>
      </c>
      <c r="AD319" s="73"/>
      <c r="AE319" s="102"/>
      <c r="AF319" s="75" t="s">
        <v>95</v>
      </c>
      <c r="AG319" s="75"/>
      <c r="AH319" s="75">
        <v>1995</v>
      </c>
      <c r="AI319" s="75"/>
      <c r="AJ319" s="75"/>
      <c r="AK319" s="75"/>
      <c r="AL319" s="75"/>
      <c r="AM319" s="75" t="s">
        <v>1886</v>
      </c>
      <c r="AN319" s="75" t="s">
        <v>195</v>
      </c>
      <c r="AO319" s="75" t="s">
        <v>196</v>
      </c>
      <c r="AP319" s="75" t="s">
        <v>97</v>
      </c>
      <c r="AQ319" s="75"/>
      <c r="AR319" s="74">
        <v>43309</v>
      </c>
      <c r="AS319" s="102" t="s">
        <v>197</v>
      </c>
      <c r="AT319" s="73">
        <v>476065876</v>
      </c>
      <c r="AU319" s="75" t="s">
        <v>99</v>
      </c>
      <c r="AV319" s="75">
        <v>1995</v>
      </c>
      <c r="AW319" s="75" t="s">
        <v>100</v>
      </c>
      <c r="AX319" s="75" t="s">
        <v>2071</v>
      </c>
      <c r="AY319" s="75" t="s">
        <v>165</v>
      </c>
      <c r="AZ319" s="75" t="s">
        <v>198</v>
      </c>
      <c r="BA319" s="75">
        <v>14</v>
      </c>
      <c r="BB319" s="75">
        <v>6.1</v>
      </c>
      <c r="BC319" s="75">
        <v>94.3</v>
      </c>
      <c r="BD319" s="75">
        <v>3.0000000000000001E-3</v>
      </c>
      <c r="BE319" s="75" t="s">
        <v>97</v>
      </c>
      <c r="BF319" s="75"/>
      <c r="BG319" s="75">
        <v>3635.7</v>
      </c>
      <c r="BH319" s="75"/>
      <c r="BI319" s="75"/>
      <c r="BJ319" s="75"/>
      <c r="BK319" s="75">
        <v>400</v>
      </c>
      <c r="BL319" s="75">
        <f t="shared" si="12"/>
        <v>4035.7</v>
      </c>
      <c r="BM319" s="103">
        <f t="shared" si="13"/>
        <v>221.96349999999998</v>
      </c>
      <c r="BN319" s="103">
        <f t="shared" si="14"/>
        <v>4257.6634999999997</v>
      </c>
      <c r="BO319" s="103"/>
      <c r="BP319" s="75" t="s">
        <v>97</v>
      </c>
      <c r="BQ319" s="75"/>
      <c r="BR319" s="75"/>
      <c r="BS319" s="157">
        <v>2018</v>
      </c>
      <c r="BU319">
        <v>2018</v>
      </c>
    </row>
    <row r="320" spans="1:73" ht="43.15" customHeight="1" x14ac:dyDescent="0.25">
      <c r="A320" s="242" t="s">
        <v>90</v>
      </c>
      <c r="B320" s="242" t="s">
        <v>382</v>
      </c>
      <c r="C320" s="159">
        <v>400</v>
      </c>
      <c r="D320" s="114">
        <v>43131</v>
      </c>
      <c r="E320" s="114"/>
      <c r="F320" s="114"/>
      <c r="G320" s="114"/>
      <c r="H320" s="114">
        <v>43151</v>
      </c>
      <c r="I320" s="114">
        <v>43151</v>
      </c>
      <c r="J320" s="114">
        <v>43180</v>
      </c>
      <c r="K320" s="114"/>
      <c r="L320" s="114">
        <v>43234</v>
      </c>
      <c r="M320" s="114">
        <v>43218</v>
      </c>
      <c r="N320" s="114"/>
      <c r="O320" s="114">
        <v>43248</v>
      </c>
      <c r="P320" s="114">
        <v>43248</v>
      </c>
      <c r="Q320" s="114">
        <v>43258</v>
      </c>
      <c r="R320" s="80"/>
      <c r="S320" s="114"/>
      <c r="T320" s="75"/>
      <c r="U320" s="75"/>
      <c r="V320" s="75"/>
      <c r="W320" s="75">
        <v>2</v>
      </c>
      <c r="X320" s="75">
        <v>61021</v>
      </c>
      <c r="Y320" s="75" t="str">
        <f ca="1">IF(I320="",IF(D320="","",IF(W320+X320&lt;15,"Données Nb pers ou RFR manquantes",IF(COUNTA(INDIRECT("TabRFR["&amp;YEAR(D320)&amp;"]"))&lt;&gt;COUNTA(TabRFR[Recherche RFR]),"Data RFR manquantes", IF(X320&lt;=INDEX(TabRFR[[2021]:[2025]],MATCH(BD!W320&amp;"-Très modestes",TabRFR[Recherche RFR],0),MATCH(TEXT(YEAR(BD!D320),"Standard"),TabRFR[[#Headers],[2021]:[2025]],0)),"Très Modeste",IF(X320&lt;=INDEX(TabRFR[[2021]:[2025]],MATCH(BD!W320&amp;"-modestes",TabRFR[Recherche RFR],0),MATCH(TEXT(YEAR(BD!D320),"Standard"),TabRFR[[#Headers],[2021]:[2025]],0)),"Modeste",IF(X320&lt;=INDEX(TabRFR[[2021]:[2025]],MATCH(BD!W320&amp;"-Intermédiaire",TabRFR[Recherche RFR],0),MATCH(TEXT(YEAR(BD!D320),"Standard"),TabRFR[[#Headers],[2021]:[2025]],0)),"Intermédiaire","Supérieur")))))),IF(D320="","",IF(W320+X320&lt;15,"Données Nb pers ou RFR manquantes",IF(COUNTA(INDIRECT("TabRFR["&amp;YEAR(I320)&amp;"]"))&lt;&gt;COUNTA(TabRFR[Recherche RFR]),"Data RFR manquantes", IF(X320&lt;=INDEX(TabRFR[[2021]:[2025]],MATCH(BD!W320&amp;"-Très modestes",TabRFR[Recherche RFR],0),MATCH(TEXT(YEAR(BD!I320),"Standard"),TabRFR[[#Headers],[2021]:[2025]],0)),"Très Modeste",IF(X320&lt;=INDEX(TabRFR[[2021]:[2025]],MATCH(BD!W320&amp;"-modestes",TabRFR[Recherche RFR],0),MATCH(TEXT(YEAR(BD!I320),"Standard"),TabRFR[[#Headers],[2021]:[2025]],0)),"Modeste",IF(X320&lt;=INDEX(TabRFR[[2021]:[2025]],MATCH(BD!W320&amp;"-Intermédiaire",TabRFR[Recherche RFR],0),MATCH(TEXT(YEAR(BD!I320),"Standard"),TabRFR[[#Headers],[2021]:[2025]],0)),"Intermédiaire","Supérieur")))))))</f>
        <v>Data RFR manquantes</v>
      </c>
      <c r="Z320" s="75"/>
      <c r="AA320" s="75" t="s">
        <v>383</v>
      </c>
      <c r="AB320" s="75">
        <v>38340</v>
      </c>
      <c r="AC320" s="75" t="s">
        <v>3796</v>
      </c>
      <c r="AD320" s="73"/>
      <c r="AE320" s="102"/>
      <c r="AF320" s="75" t="s">
        <v>95</v>
      </c>
      <c r="AG320" s="75"/>
      <c r="AH320" s="75">
        <v>1984</v>
      </c>
      <c r="AI320" s="75"/>
      <c r="AJ320" s="75"/>
      <c r="AK320" s="75"/>
      <c r="AL320" s="75"/>
      <c r="AM320" s="75" t="s">
        <v>4130</v>
      </c>
      <c r="AN320" s="75" t="s">
        <v>4349</v>
      </c>
      <c r="AO320" s="75" t="s">
        <v>384</v>
      </c>
      <c r="AP320" s="75" t="s">
        <v>97</v>
      </c>
      <c r="AQ320" s="75"/>
      <c r="AR320" s="74">
        <v>43180</v>
      </c>
      <c r="AS320" s="102" t="s">
        <v>385</v>
      </c>
      <c r="AT320" s="73">
        <v>474934316</v>
      </c>
      <c r="AU320" s="75" t="s">
        <v>99</v>
      </c>
      <c r="AV320" s="75"/>
      <c r="AW320" s="75" t="s">
        <v>111</v>
      </c>
      <c r="AX320" s="75" t="s">
        <v>112</v>
      </c>
      <c r="AY320" s="75" t="s">
        <v>338</v>
      </c>
      <c r="AZ320" s="75" t="s">
        <v>386</v>
      </c>
      <c r="BA320" s="75">
        <v>24</v>
      </c>
      <c r="BB320" s="75">
        <v>13.2</v>
      </c>
      <c r="BC320" s="75">
        <v>76</v>
      </c>
      <c r="BD320" s="75">
        <v>0.09</v>
      </c>
      <c r="BE320" s="75" t="s">
        <v>97</v>
      </c>
      <c r="BF320" s="75"/>
      <c r="BG320" s="75">
        <v>3886</v>
      </c>
      <c r="BH320" s="75"/>
      <c r="BI320" s="75"/>
      <c r="BJ320" s="75"/>
      <c r="BK320" s="75">
        <v>892</v>
      </c>
      <c r="BL320" s="75">
        <f t="shared" si="12"/>
        <v>4778</v>
      </c>
      <c r="BM320" s="103">
        <f t="shared" si="13"/>
        <v>262.79000000000002</v>
      </c>
      <c r="BN320" s="103">
        <f t="shared" si="14"/>
        <v>5040.79</v>
      </c>
      <c r="BO320" s="103">
        <v>5090</v>
      </c>
      <c r="BP320" s="75" t="s">
        <v>97</v>
      </c>
      <c r="BQ320" s="75"/>
      <c r="BR320" s="74">
        <v>43416</v>
      </c>
      <c r="BS320" s="157">
        <v>2018</v>
      </c>
      <c r="BT320">
        <v>2020</v>
      </c>
      <c r="BU320">
        <v>2018</v>
      </c>
    </row>
    <row r="321" spans="1:73" ht="43.15" customHeight="1" x14ac:dyDescent="0.25">
      <c r="A321" s="241" t="s">
        <v>90</v>
      </c>
      <c r="B321" s="241" t="s">
        <v>387</v>
      </c>
      <c r="C321" s="159">
        <v>400</v>
      </c>
      <c r="D321" s="76">
        <v>43143</v>
      </c>
      <c r="E321" s="76">
        <v>43143</v>
      </c>
      <c r="F321" s="76">
        <v>43187</v>
      </c>
      <c r="G321" s="76" t="s">
        <v>388</v>
      </c>
      <c r="H321" s="76">
        <v>43370</v>
      </c>
      <c r="I321" s="76">
        <v>43370</v>
      </c>
      <c r="J321" s="76">
        <v>43392</v>
      </c>
      <c r="K321" s="76"/>
      <c r="L321" s="76">
        <v>43605</v>
      </c>
      <c r="M321" s="76">
        <v>43493</v>
      </c>
      <c r="N321" s="76"/>
      <c r="O321" s="76">
        <v>43620</v>
      </c>
      <c r="P321" s="76">
        <v>43620</v>
      </c>
      <c r="Q321" s="76">
        <v>43620</v>
      </c>
      <c r="R321" s="80"/>
      <c r="S321" s="76"/>
      <c r="T321" s="77"/>
      <c r="U321" s="77"/>
      <c r="V321" s="77"/>
      <c r="W321" s="77">
        <v>4</v>
      </c>
      <c r="X321" s="77">
        <v>39697</v>
      </c>
      <c r="Y321" s="75" t="str">
        <f ca="1">IF(I321="",IF(D321="","",IF(W321+X321&lt;15,"Données Nb pers ou RFR manquantes",IF(COUNTA(INDIRECT("TabRFR["&amp;YEAR(D321)&amp;"]"))&lt;&gt;COUNTA(TabRFR[Recherche RFR]),"Data RFR manquantes", IF(X321&lt;=INDEX(TabRFR[[2021]:[2025]],MATCH(BD!W321&amp;"-Très modestes",TabRFR[Recherche RFR],0),MATCH(TEXT(YEAR(BD!D321),"Standard"),TabRFR[[#Headers],[2021]:[2025]],0)),"Très Modeste",IF(X321&lt;=INDEX(TabRFR[[2021]:[2025]],MATCH(BD!W321&amp;"-modestes",TabRFR[Recherche RFR],0),MATCH(TEXT(YEAR(BD!D321),"Standard"),TabRFR[[#Headers],[2021]:[2025]],0)),"Modeste",IF(X321&lt;=INDEX(TabRFR[[2021]:[2025]],MATCH(BD!W321&amp;"-Intermédiaire",TabRFR[Recherche RFR],0),MATCH(TEXT(YEAR(BD!D321),"Standard"),TabRFR[[#Headers],[2021]:[2025]],0)),"Intermédiaire","Supérieur")))))),IF(D321="","",IF(W321+X321&lt;15,"Données Nb pers ou RFR manquantes",IF(COUNTA(INDIRECT("TabRFR["&amp;YEAR(I321)&amp;"]"))&lt;&gt;COUNTA(TabRFR[Recherche RFR]),"Data RFR manquantes", IF(X321&lt;=INDEX(TabRFR[[2021]:[2025]],MATCH(BD!W321&amp;"-Très modestes",TabRFR[Recherche RFR],0),MATCH(TEXT(YEAR(BD!I321),"Standard"),TabRFR[[#Headers],[2021]:[2025]],0)),"Très Modeste",IF(X321&lt;=INDEX(TabRFR[[2021]:[2025]],MATCH(BD!W321&amp;"-modestes",TabRFR[Recherche RFR],0),MATCH(TEXT(YEAR(BD!I321),"Standard"),TabRFR[[#Headers],[2021]:[2025]],0)),"Modeste",IF(X321&lt;=INDEX(TabRFR[[2021]:[2025]],MATCH(BD!W321&amp;"-Intermédiaire",TabRFR[Recherche RFR],0),MATCH(TEXT(YEAR(BD!I321),"Standard"),TabRFR[[#Headers],[2021]:[2025]],0)),"Intermédiaire","Supérieur")))))))</f>
        <v>Data RFR manquantes</v>
      </c>
      <c r="Z321" s="77"/>
      <c r="AA321" s="77" t="s">
        <v>389</v>
      </c>
      <c r="AB321" s="77">
        <v>7340</v>
      </c>
      <c r="AC321" s="77" t="s">
        <v>390</v>
      </c>
      <c r="AD321" s="78"/>
      <c r="AE321" s="102"/>
      <c r="AF321" s="77" t="s">
        <v>125</v>
      </c>
      <c r="AG321" s="77">
        <v>84</v>
      </c>
      <c r="AH321" s="77">
        <v>1994</v>
      </c>
      <c r="AI321" s="77">
        <v>88</v>
      </c>
      <c r="AJ321" s="77" t="s">
        <v>391</v>
      </c>
      <c r="AK321" s="77">
        <v>38850</v>
      </c>
      <c r="AL321" s="77" t="s">
        <v>170</v>
      </c>
      <c r="AM321" s="77" t="s">
        <v>4236</v>
      </c>
      <c r="AN321" s="77" t="s">
        <v>4091</v>
      </c>
      <c r="AO321" s="77" t="s">
        <v>163</v>
      </c>
      <c r="AP321" s="77" t="s">
        <v>97</v>
      </c>
      <c r="AQ321" s="77"/>
      <c r="AR321" s="79">
        <v>43360</v>
      </c>
      <c r="AS321" s="102" t="s">
        <v>285</v>
      </c>
      <c r="AT321" s="78">
        <v>476370350</v>
      </c>
      <c r="AU321" s="77" t="s">
        <v>111</v>
      </c>
      <c r="AV321" s="77">
        <v>2000</v>
      </c>
      <c r="AW321" s="77" t="s">
        <v>111</v>
      </c>
      <c r="AX321" s="77" t="s">
        <v>112</v>
      </c>
      <c r="AY321" s="77" t="s">
        <v>251</v>
      </c>
      <c r="AZ321" s="77" t="s">
        <v>392</v>
      </c>
      <c r="BA321" s="77">
        <v>14</v>
      </c>
      <c r="BB321" s="77">
        <v>7</v>
      </c>
      <c r="BC321" s="77">
        <v>77</v>
      </c>
      <c r="BD321" s="77">
        <v>7.0000000000000007E-2</v>
      </c>
      <c r="BE321" s="77" t="s">
        <v>97</v>
      </c>
      <c r="BF321" s="77"/>
      <c r="BG321" s="77">
        <v>2865</v>
      </c>
      <c r="BH321" s="77"/>
      <c r="BI321" s="77"/>
      <c r="BJ321" s="77"/>
      <c r="BK321" s="77">
        <f>7077-2865</f>
        <v>4212</v>
      </c>
      <c r="BL321" s="75">
        <f t="shared" si="12"/>
        <v>7077</v>
      </c>
      <c r="BM321" s="103">
        <f t="shared" si="13"/>
        <v>389.23500000000001</v>
      </c>
      <c r="BN321" s="103">
        <f t="shared" si="14"/>
        <v>7466.2349999999997</v>
      </c>
      <c r="BO321" s="80">
        <v>6390</v>
      </c>
      <c r="BP321" s="77" t="s">
        <v>97</v>
      </c>
      <c r="BQ321" s="77"/>
      <c r="BR321" s="74">
        <v>43416</v>
      </c>
      <c r="BS321" s="157">
        <v>2018</v>
      </c>
      <c r="BT321">
        <v>2020</v>
      </c>
      <c r="BU321">
        <v>2018</v>
      </c>
    </row>
    <row r="322" spans="1:73" ht="43.15" customHeight="1" x14ac:dyDescent="0.25">
      <c r="A322" s="242" t="s">
        <v>90</v>
      </c>
      <c r="B322" s="242" t="s">
        <v>393</v>
      </c>
      <c r="C322" s="159">
        <v>400</v>
      </c>
      <c r="D322" s="114">
        <v>43146</v>
      </c>
      <c r="E322" s="114">
        <v>43146</v>
      </c>
      <c r="F322" s="114">
        <v>43187</v>
      </c>
      <c r="G322" s="114"/>
      <c r="H322" s="114">
        <v>43217</v>
      </c>
      <c r="I322" s="114">
        <v>43217</v>
      </c>
      <c r="J322" s="114">
        <v>43224</v>
      </c>
      <c r="K322" s="114"/>
      <c r="L322" s="114">
        <v>43290</v>
      </c>
      <c r="M322" s="114">
        <v>43285</v>
      </c>
      <c r="N322" s="114" t="s">
        <v>193</v>
      </c>
      <c r="O322" s="114">
        <v>43308</v>
      </c>
      <c r="P322" s="114">
        <v>43308</v>
      </c>
      <c r="Q322" s="114">
        <v>43343</v>
      </c>
      <c r="R322" s="80"/>
      <c r="S322" s="114"/>
      <c r="T322" s="75"/>
      <c r="U322" s="75"/>
      <c r="V322" s="75"/>
      <c r="W322" s="75">
        <v>2</v>
      </c>
      <c r="X322" s="75">
        <v>45012</v>
      </c>
      <c r="Y322" s="75" t="str">
        <f ca="1">IF(I322="",IF(D322="","",IF(W322+X322&lt;15,"Données Nb pers ou RFR manquantes",IF(COUNTA(INDIRECT("TabRFR["&amp;YEAR(D322)&amp;"]"))&lt;&gt;COUNTA(TabRFR[Recherche RFR]),"Data RFR manquantes", IF(X322&lt;=INDEX(TabRFR[[2021]:[2025]],MATCH(BD!W322&amp;"-Très modestes",TabRFR[Recherche RFR],0),MATCH(TEXT(YEAR(BD!D322),"Standard"),TabRFR[[#Headers],[2021]:[2025]],0)),"Très Modeste",IF(X322&lt;=INDEX(TabRFR[[2021]:[2025]],MATCH(BD!W322&amp;"-modestes",TabRFR[Recherche RFR],0),MATCH(TEXT(YEAR(BD!D322),"Standard"),TabRFR[[#Headers],[2021]:[2025]],0)),"Modeste",IF(X322&lt;=INDEX(TabRFR[[2021]:[2025]],MATCH(BD!W322&amp;"-Intermédiaire",TabRFR[Recherche RFR],0),MATCH(TEXT(YEAR(BD!D322),"Standard"),TabRFR[[#Headers],[2021]:[2025]],0)),"Intermédiaire","Supérieur")))))),IF(D322="","",IF(W322+X322&lt;15,"Données Nb pers ou RFR manquantes",IF(COUNTA(INDIRECT("TabRFR["&amp;YEAR(I322)&amp;"]"))&lt;&gt;COUNTA(TabRFR[Recherche RFR]),"Data RFR manquantes", IF(X322&lt;=INDEX(TabRFR[[2021]:[2025]],MATCH(BD!W322&amp;"-Très modestes",TabRFR[Recherche RFR],0),MATCH(TEXT(YEAR(BD!I322),"Standard"),TabRFR[[#Headers],[2021]:[2025]],0)),"Très Modeste",IF(X322&lt;=INDEX(TabRFR[[2021]:[2025]],MATCH(BD!W322&amp;"-modestes",TabRFR[Recherche RFR],0),MATCH(TEXT(YEAR(BD!I322),"Standard"),TabRFR[[#Headers],[2021]:[2025]],0)),"Modeste",IF(X322&lt;=INDEX(TabRFR[[2021]:[2025]],MATCH(BD!W322&amp;"-Intermédiaire",TabRFR[Recherche RFR],0),MATCH(TEXT(YEAR(BD!I322),"Standard"),TabRFR[[#Headers],[2021]:[2025]],0)),"Intermédiaire","Supérieur")))))))</f>
        <v>Data RFR manquantes</v>
      </c>
      <c r="Z322" s="75"/>
      <c r="AA322" s="75" t="s">
        <v>395</v>
      </c>
      <c r="AB322" s="75">
        <v>38140</v>
      </c>
      <c r="AC322" s="75" t="s">
        <v>237</v>
      </c>
      <c r="AD322" s="73"/>
      <c r="AE322" s="102"/>
      <c r="AF322" s="75" t="s">
        <v>95</v>
      </c>
      <c r="AG322" s="75"/>
      <c r="AH322" s="75"/>
      <c r="AI322" s="75"/>
      <c r="AJ322" s="75"/>
      <c r="AK322" s="75"/>
      <c r="AL322" s="75"/>
      <c r="AM322" s="75" t="s">
        <v>4035</v>
      </c>
      <c r="AN322" s="75" t="s">
        <v>108</v>
      </c>
      <c r="AO322" s="75" t="s">
        <v>109</v>
      </c>
      <c r="AP322" s="75" t="s">
        <v>97</v>
      </c>
      <c r="AQ322" s="75"/>
      <c r="AR322" s="74">
        <v>43279</v>
      </c>
      <c r="AS322" s="102" t="s">
        <v>110</v>
      </c>
      <c r="AT322" s="73">
        <v>476500550</v>
      </c>
      <c r="AU322" s="75" t="s">
        <v>111</v>
      </c>
      <c r="AV322" s="75">
        <v>1990</v>
      </c>
      <c r="AW322" s="75" t="s">
        <v>100</v>
      </c>
      <c r="AX322" s="75" t="s">
        <v>112</v>
      </c>
      <c r="AY322" s="75" t="s">
        <v>113</v>
      </c>
      <c r="AZ322" s="75" t="s">
        <v>367</v>
      </c>
      <c r="BA322" s="75">
        <v>15</v>
      </c>
      <c r="BB322" s="75">
        <v>8</v>
      </c>
      <c r="BC322" s="75">
        <v>79</v>
      </c>
      <c r="BD322" s="75">
        <v>0.09</v>
      </c>
      <c r="BE322" s="75" t="s">
        <v>97</v>
      </c>
      <c r="BF322" s="77"/>
      <c r="BG322" s="75">
        <v>4735.3999999999996</v>
      </c>
      <c r="BH322" s="75"/>
      <c r="BI322" s="75"/>
      <c r="BJ322" s="75"/>
      <c r="BK322" s="75">
        <v>800</v>
      </c>
      <c r="BL322" s="75">
        <f t="shared" si="12"/>
        <v>5535.4</v>
      </c>
      <c r="BM322" s="103">
        <f t="shared" si="13"/>
        <v>304.447</v>
      </c>
      <c r="BN322" s="103">
        <f t="shared" si="14"/>
        <v>5839.8469999999998</v>
      </c>
      <c r="BO322" s="103">
        <v>6600.42</v>
      </c>
      <c r="BP322" s="75" t="s">
        <v>97</v>
      </c>
      <c r="BQ322" s="75"/>
      <c r="BR322" s="74">
        <v>43416</v>
      </c>
      <c r="BS322" s="157">
        <v>2018</v>
      </c>
      <c r="BT322">
        <v>2020</v>
      </c>
      <c r="BU322">
        <v>2018</v>
      </c>
    </row>
    <row r="323" spans="1:73" ht="43.15" customHeight="1" x14ac:dyDescent="0.25">
      <c r="A323" s="242" t="s">
        <v>90</v>
      </c>
      <c r="B323" s="242" t="s">
        <v>396</v>
      </c>
      <c r="C323" s="159">
        <v>400</v>
      </c>
      <c r="D323" s="114">
        <v>43150</v>
      </c>
      <c r="E323" s="114">
        <v>43150</v>
      </c>
      <c r="F323" s="114"/>
      <c r="G323" s="114"/>
      <c r="H323" s="114">
        <v>43187</v>
      </c>
      <c r="I323" s="114">
        <v>43187</v>
      </c>
      <c r="J323" s="114">
        <v>43210</v>
      </c>
      <c r="K323" s="114"/>
      <c r="L323" s="114">
        <v>43301</v>
      </c>
      <c r="M323" s="114">
        <v>43280</v>
      </c>
      <c r="N323" s="114"/>
      <c r="O323" s="114">
        <v>43308</v>
      </c>
      <c r="P323" s="114">
        <v>43308</v>
      </c>
      <c r="Q323" s="114">
        <v>43343</v>
      </c>
      <c r="R323" s="80"/>
      <c r="S323" s="114"/>
      <c r="T323" s="75"/>
      <c r="U323" s="75"/>
      <c r="V323" s="75"/>
      <c r="W323" s="75">
        <v>2</v>
      </c>
      <c r="X323" s="75">
        <v>64140</v>
      </c>
      <c r="Y323" s="75" t="str">
        <f ca="1">IF(I323="",IF(D323="","",IF(W323+X323&lt;15,"Données Nb pers ou RFR manquantes",IF(COUNTA(INDIRECT("TabRFR["&amp;YEAR(D323)&amp;"]"))&lt;&gt;COUNTA(TabRFR[Recherche RFR]),"Data RFR manquantes", IF(X323&lt;=INDEX(TabRFR[[2021]:[2025]],MATCH(BD!W323&amp;"-Très modestes",TabRFR[Recherche RFR],0),MATCH(TEXT(YEAR(BD!D323),"Standard"),TabRFR[[#Headers],[2021]:[2025]],0)),"Très Modeste",IF(X323&lt;=INDEX(TabRFR[[2021]:[2025]],MATCH(BD!W323&amp;"-modestes",TabRFR[Recherche RFR],0),MATCH(TEXT(YEAR(BD!D323),"Standard"),TabRFR[[#Headers],[2021]:[2025]],0)),"Modeste",IF(X323&lt;=INDEX(TabRFR[[2021]:[2025]],MATCH(BD!W323&amp;"-Intermédiaire",TabRFR[Recherche RFR],0),MATCH(TEXT(YEAR(BD!D323),"Standard"),TabRFR[[#Headers],[2021]:[2025]],0)),"Intermédiaire","Supérieur")))))),IF(D323="","",IF(W323+X323&lt;15,"Données Nb pers ou RFR manquantes",IF(COUNTA(INDIRECT("TabRFR["&amp;YEAR(I323)&amp;"]"))&lt;&gt;COUNTA(TabRFR[Recherche RFR]),"Data RFR manquantes", IF(X323&lt;=INDEX(TabRFR[[2021]:[2025]],MATCH(BD!W323&amp;"-Très modestes",TabRFR[Recherche RFR],0),MATCH(TEXT(YEAR(BD!I323),"Standard"),TabRFR[[#Headers],[2021]:[2025]],0)),"Très Modeste",IF(X323&lt;=INDEX(TabRFR[[2021]:[2025]],MATCH(BD!W323&amp;"-modestes",TabRFR[Recherche RFR],0),MATCH(TEXT(YEAR(BD!I323),"Standard"),TabRFR[[#Headers],[2021]:[2025]],0)),"Modeste",IF(X323&lt;=INDEX(TabRFR[[2021]:[2025]],MATCH(BD!W323&amp;"-Intermédiaire",TabRFR[Recherche RFR],0),MATCH(TEXT(YEAR(BD!I323),"Standard"),TabRFR[[#Headers],[2021]:[2025]],0)),"Intermédiaire","Supérieur")))))))</f>
        <v>Data RFR manquantes</v>
      </c>
      <c r="Z323" s="75"/>
      <c r="AA323" s="75" t="s">
        <v>397</v>
      </c>
      <c r="AB323" s="75">
        <v>38140</v>
      </c>
      <c r="AC323" s="75" t="s">
        <v>398</v>
      </c>
      <c r="AD323" s="73"/>
      <c r="AE323" s="102"/>
      <c r="AF323" s="75" t="s">
        <v>95</v>
      </c>
      <c r="AG323" s="75"/>
      <c r="AH323" s="75">
        <v>1987</v>
      </c>
      <c r="AI323" s="75"/>
      <c r="AJ323" s="75"/>
      <c r="AK323" s="75"/>
      <c r="AL323" s="75"/>
      <c r="AM323" s="75" t="s">
        <v>4130</v>
      </c>
      <c r="AN323" s="75" t="s">
        <v>4349</v>
      </c>
      <c r="AO323" s="75" t="s">
        <v>384</v>
      </c>
      <c r="AP323" s="75" t="s">
        <v>97</v>
      </c>
      <c r="AQ323" s="75"/>
      <c r="AR323" s="74">
        <v>43545</v>
      </c>
      <c r="AS323" s="102" t="s">
        <v>385</v>
      </c>
      <c r="AT323" s="73">
        <v>474934316</v>
      </c>
      <c r="AU323" s="75" t="s">
        <v>399</v>
      </c>
      <c r="AV323" s="75">
        <v>1987</v>
      </c>
      <c r="AW323" s="75" t="s">
        <v>111</v>
      </c>
      <c r="AX323" s="75" t="s">
        <v>112</v>
      </c>
      <c r="AY323" s="75" t="s">
        <v>338</v>
      </c>
      <c r="AZ323" s="75" t="s">
        <v>400</v>
      </c>
      <c r="BA323" s="75">
        <v>32</v>
      </c>
      <c r="BB323" s="75">
        <v>13</v>
      </c>
      <c r="BC323" s="75">
        <v>75.400000000000006</v>
      </c>
      <c r="BD323" s="75">
        <v>0.03</v>
      </c>
      <c r="BE323" s="75" t="s">
        <v>97</v>
      </c>
      <c r="BF323" s="77"/>
      <c r="BG323" s="75">
        <v>8071.5</v>
      </c>
      <c r="BH323" s="75"/>
      <c r="BI323" s="75"/>
      <c r="BJ323" s="75"/>
      <c r="BK323" s="75">
        <v>1782</v>
      </c>
      <c r="BL323" s="75">
        <f t="shared" si="12"/>
        <v>9853.5</v>
      </c>
      <c r="BM323" s="103">
        <f t="shared" si="13"/>
        <v>541.9425</v>
      </c>
      <c r="BN323" s="103">
        <f t="shared" si="14"/>
        <v>10395.442499999999</v>
      </c>
      <c r="BO323" s="103">
        <v>10059</v>
      </c>
      <c r="BP323" s="75" t="s">
        <v>97</v>
      </c>
      <c r="BQ323" s="75"/>
      <c r="BR323" s="74">
        <v>43416</v>
      </c>
      <c r="BS323" s="157">
        <v>2018</v>
      </c>
      <c r="BT323">
        <v>2020</v>
      </c>
      <c r="BU323">
        <v>2018</v>
      </c>
    </row>
    <row r="324" spans="1:73" ht="43.15" customHeight="1" x14ac:dyDescent="0.25">
      <c r="A324" s="29" t="s">
        <v>90</v>
      </c>
      <c r="B324" s="29" t="s">
        <v>401</v>
      </c>
      <c r="C324" s="161" t="s">
        <v>9</v>
      </c>
      <c r="D324" s="110">
        <v>43157</v>
      </c>
      <c r="E324" s="110">
        <v>43157</v>
      </c>
      <c r="F324" s="110"/>
      <c r="G324" s="110"/>
      <c r="H324" s="110">
        <v>43187</v>
      </c>
      <c r="I324" s="110">
        <v>43187</v>
      </c>
      <c r="J324" s="110">
        <v>43210</v>
      </c>
      <c r="K324" s="110"/>
      <c r="L324" s="110">
        <v>43252</v>
      </c>
      <c r="M324" s="110">
        <v>43173</v>
      </c>
      <c r="N324" s="110"/>
      <c r="O324" s="110"/>
      <c r="P324" s="110"/>
      <c r="Q324" s="110"/>
      <c r="R324" s="109"/>
      <c r="S324" s="110">
        <v>43284</v>
      </c>
      <c r="T324" s="111" t="s">
        <v>402</v>
      </c>
      <c r="U324" s="111"/>
      <c r="V324" s="111"/>
      <c r="W324" s="111">
        <v>3</v>
      </c>
      <c r="X324" s="111">
        <v>49718</v>
      </c>
      <c r="Y324" s="75" t="str">
        <f ca="1">IF(I324="",IF(D324="","",IF(W324+X324&lt;15,"Données Nb pers ou RFR manquantes",IF(COUNTA(INDIRECT("TabRFR["&amp;YEAR(D324)&amp;"]"))&lt;&gt;COUNTA(TabRFR[Recherche RFR]),"Data RFR manquantes", IF(X324&lt;=INDEX(TabRFR[[2021]:[2025]],MATCH(BD!W324&amp;"-Très modestes",TabRFR[Recherche RFR],0),MATCH(TEXT(YEAR(BD!D324),"Standard"),TabRFR[[#Headers],[2021]:[2025]],0)),"Très Modeste",IF(X324&lt;=INDEX(TabRFR[[2021]:[2025]],MATCH(BD!W324&amp;"-modestes",TabRFR[Recherche RFR],0),MATCH(TEXT(YEAR(BD!D324),"Standard"),TabRFR[[#Headers],[2021]:[2025]],0)),"Modeste",IF(X324&lt;=INDEX(TabRFR[[2021]:[2025]],MATCH(BD!W324&amp;"-Intermédiaire",TabRFR[Recherche RFR],0),MATCH(TEXT(YEAR(BD!D324),"Standard"),TabRFR[[#Headers],[2021]:[2025]],0)),"Intermédiaire","Supérieur")))))),IF(D324="","",IF(W324+X324&lt;15,"Données Nb pers ou RFR manquantes",IF(COUNTA(INDIRECT("TabRFR["&amp;YEAR(I324)&amp;"]"))&lt;&gt;COUNTA(TabRFR[Recherche RFR]),"Data RFR manquantes", IF(X324&lt;=INDEX(TabRFR[[2021]:[2025]],MATCH(BD!W324&amp;"-Très modestes",TabRFR[Recherche RFR],0),MATCH(TEXT(YEAR(BD!I324),"Standard"),TabRFR[[#Headers],[2021]:[2025]],0)),"Très Modeste",IF(X324&lt;=INDEX(TabRFR[[2021]:[2025]],MATCH(BD!W324&amp;"-modestes",TabRFR[Recherche RFR],0),MATCH(TEXT(YEAR(BD!I324),"Standard"),TabRFR[[#Headers],[2021]:[2025]],0)),"Modeste",IF(X324&lt;=INDEX(TabRFR[[2021]:[2025]],MATCH(BD!W324&amp;"-Intermédiaire",TabRFR[Recherche RFR],0),MATCH(TEXT(YEAR(BD!I324),"Standard"),TabRFR[[#Headers],[2021]:[2025]],0)),"Intermédiaire","Supérieur")))))))</f>
        <v>Data RFR manquantes</v>
      </c>
      <c r="Z324" s="111"/>
      <c r="AA324" s="111" t="s">
        <v>404</v>
      </c>
      <c r="AB324" s="111">
        <v>38500</v>
      </c>
      <c r="AC324" s="111" t="s">
        <v>96</v>
      </c>
      <c r="AD324" s="127"/>
      <c r="AE324" s="102"/>
      <c r="AF324" s="111" t="s">
        <v>95</v>
      </c>
      <c r="AG324" s="111"/>
      <c r="AH324" s="111"/>
      <c r="AI324" s="111"/>
      <c r="AJ324" s="111"/>
      <c r="AK324" s="111"/>
      <c r="AL324" s="111"/>
      <c r="AM324" s="111" t="s">
        <v>4373</v>
      </c>
      <c r="AN324" s="111" t="s">
        <v>4374</v>
      </c>
      <c r="AO324" s="111" t="s">
        <v>405</v>
      </c>
      <c r="AP324" s="111" t="s">
        <v>97</v>
      </c>
      <c r="AQ324" s="111"/>
      <c r="AR324" s="135">
        <v>43251</v>
      </c>
      <c r="AS324" s="102" t="s">
        <v>406</v>
      </c>
      <c r="AT324" s="127">
        <v>476132200</v>
      </c>
      <c r="AU324" s="111" t="s">
        <v>111</v>
      </c>
      <c r="AV324" s="111">
        <v>2000</v>
      </c>
      <c r="AW324" s="111" t="s">
        <v>111</v>
      </c>
      <c r="AX324" s="111" t="s">
        <v>112</v>
      </c>
      <c r="AY324" s="111" t="s">
        <v>407</v>
      </c>
      <c r="AZ324" s="111" t="s">
        <v>408</v>
      </c>
      <c r="BA324" s="111">
        <v>36</v>
      </c>
      <c r="BB324" s="111">
        <v>11.5</v>
      </c>
      <c r="BC324" s="111">
        <v>77.8</v>
      </c>
      <c r="BD324" s="111">
        <v>0.02</v>
      </c>
      <c r="BE324" s="111" t="s">
        <v>97</v>
      </c>
      <c r="BF324" s="111"/>
      <c r="BG324" s="111">
        <v>4117</v>
      </c>
      <c r="BH324" s="111"/>
      <c r="BI324" s="111"/>
      <c r="BJ324" s="111"/>
      <c r="BK324" s="111">
        <v>990</v>
      </c>
      <c r="BL324" s="75">
        <f t="shared" si="12"/>
        <v>5107</v>
      </c>
      <c r="BM324" s="103">
        <f t="shared" si="13"/>
        <v>280.88499999999999</v>
      </c>
      <c r="BN324" s="103">
        <f t="shared" si="14"/>
        <v>5387.8850000000002</v>
      </c>
      <c r="BO324" s="113"/>
      <c r="BP324" s="111" t="s">
        <v>97</v>
      </c>
      <c r="BQ324" s="111"/>
      <c r="BR324" s="111"/>
      <c r="BS324" s="157">
        <v>2018</v>
      </c>
      <c r="BU324" t="s">
        <v>4180</v>
      </c>
    </row>
    <row r="325" spans="1:73" ht="43.15" customHeight="1" x14ac:dyDescent="0.25">
      <c r="A325" s="242" t="s">
        <v>90</v>
      </c>
      <c r="B325" s="242" t="s">
        <v>409</v>
      </c>
      <c r="C325" s="159">
        <v>400</v>
      </c>
      <c r="D325" s="114">
        <v>43159</v>
      </c>
      <c r="E325" s="114">
        <v>43159</v>
      </c>
      <c r="F325" s="114"/>
      <c r="G325" s="114"/>
      <c r="H325" s="114">
        <v>43187</v>
      </c>
      <c r="I325" s="114">
        <v>43187</v>
      </c>
      <c r="J325" s="114">
        <v>43210</v>
      </c>
      <c r="K325" s="114"/>
      <c r="L325" s="114">
        <v>43223</v>
      </c>
      <c r="M325" s="114">
        <v>43193</v>
      </c>
      <c r="N325" s="114"/>
      <c r="O325" s="114">
        <v>43236</v>
      </c>
      <c r="P325" s="114">
        <v>43236</v>
      </c>
      <c r="Q325" s="114">
        <v>43258</v>
      </c>
      <c r="R325" s="80"/>
      <c r="S325" s="114"/>
      <c r="T325" s="75"/>
      <c r="U325" s="75"/>
      <c r="V325" s="75"/>
      <c r="W325" s="75">
        <v>5</v>
      </c>
      <c r="X325" s="75">
        <v>50655</v>
      </c>
      <c r="Y325" s="75" t="str">
        <f ca="1">IF(I325="",IF(D325="","",IF(W325+X325&lt;15,"Données Nb pers ou RFR manquantes",IF(COUNTA(INDIRECT("TabRFR["&amp;YEAR(D325)&amp;"]"))&lt;&gt;COUNTA(TabRFR[Recherche RFR]),"Data RFR manquantes", IF(X325&lt;=INDEX(TabRFR[[2021]:[2025]],MATCH(BD!W325&amp;"-Très modestes",TabRFR[Recherche RFR],0),MATCH(TEXT(YEAR(BD!D325),"Standard"),TabRFR[[#Headers],[2021]:[2025]],0)),"Très Modeste",IF(X325&lt;=INDEX(TabRFR[[2021]:[2025]],MATCH(BD!W325&amp;"-modestes",TabRFR[Recherche RFR],0),MATCH(TEXT(YEAR(BD!D325),"Standard"),TabRFR[[#Headers],[2021]:[2025]],0)),"Modeste",IF(X325&lt;=INDEX(TabRFR[[2021]:[2025]],MATCH(BD!W325&amp;"-Intermédiaire",TabRFR[Recherche RFR],0),MATCH(TEXT(YEAR(BD!D325),"Standard"),TabRFR[[#Headers],[2021]:[2025]],0)),"Intermédiaire","Supérieur")))))),IF(D325="","",IF(W325+X325&lt;15,"Données Nb pers ou RFR manquantes",IF(COUNTA(INDIRECT("TabRFR["&amp;YEAR(I325)&amp;"]"))&lt;&gt;COUNTA(TabRFR[Recherche RFR]),"Data RFR manquantes", IF(X325&lt;=INDEX(TabRFR[[2021]:[2025]],MATCH(BD!W325&amp;"-Très modestes",TabRFR[Recherche RFR],0),MATCH(TEXT(YEAR(BD!I325),"Standard"),TabRFR[[#Headers],[2021]:[2025]],0)),"Très Modeste",IF(X325&lt;=INDEX(TabRFR[[2021]:[2025]],MATCH(BD!W325&amp;"-modestes",TabRFR[Recherche RFR],0),MATCH(TEXT(YEAR(BD!I325),"Standard"),TabRFR[[#Headers],[2021]:[2025]],0)),"Modeste",IF(X325&lt;=INDEX(TabRFR[[2021]:[2025]],MATCH(BD!W325&amp;"-Intermédiaire",TabRFR[Recherche RFR],0),MATCH(TEXT(YEAR(BD!I325),"Standard"),TabRFR[[#Headers],[2021]:[2025]],0)),"Intermédiaire","Supérieur")))))))</f>
        <v>Data RFR manquantes</v>
      </c>
      <c r="Z325" s="75"/>
      <c r="AA325" s="75" t="s">
        <v>411</v>
      </c>
      <c r="AB325" s="75">
        <v>38430</v>
      </c>
      <c r="AC325" s="75" t="s">
        <v>217</v>
      </c>
      <c r="AD325" s="73"/>
      <c r="AE325" s="102"/>
      <c r="AF325" s="75" t="s">
        <v>95</v>
      </c>
      <c r="AG325" s="75"/>
      <c r="AH325" s="75"/>
      <c r="AI325" s="75"/>
      <c r="AJ325" s="75"/>
      <c r="AK325" s="75"/>
      <c r="AL325" s="75"/>
      <c r="AM325" s="75" t="s">
        <v>218</v>
      </c>
      <c r="AN325" s="75" t="s">
        <v>217</v>
      </c>
      <c r="AO325" s="75" t="s">
        <v>219</v>
      </c>
      <c r="AP325" s="75" t="s">
        <v>97</v>
      </c>
      <c r="AQ325" s="75"/>
      <c r="AR325" s="74">
        <v>43399</v>
      </c>
      <c r="AS325" s="102" t="s">
        <v>220</v>
      </c>
      <c r="AT325" s="73">
        <v>476355605</v>
      </c>
      <c r="AU325" s="75" t="s">
        <v>99</v>
      </c>
      <c r="AV325" s="75">
        <v>1915</v>
      </c>
      <c r="AW325" s="75" t="s">
        <v>100</v>
      </c>
      <c r="AX325" s="75" t="s">
        <v>112</v>
      </c>
      <c r="AY325" s="75" t="s">
        <v>121</v>
      </c>
      <c r="AZ325" s="75" t="s">
        <v>412</v>
      </c>
      <c r="BA325" s="75">
        <v>31</v>
      </c>
      <c r="BB325" s="75">
        <v>6</v>
      </c>
      <c r="BC325" s="75">
        <v>80</v>
      </c>
      <c r="BD325" s="75">
        <v>0.08</v>
      </c>
      <c r="BE325" s="75" t="s">
        <v>97</v>
      </c>
      <c r="BF325" s="75"/>
      <c r="BG325" s="75">
        <v>1481</v>
      </c>
      <c r="BH325" s="75"/>
      <c r="BI325" s="75"/>
      <c r="BJ325" s="75"/>
      <c r="BK325" s="75">
        <v>425</v>
      </c>
      <c r="BL325" s="75">
        <f t="shared" si="12"/>
        <v>1906</v>
      </c>
      <c r="BM325" s="103">
        <f t="shared" si="13"/>
        <v>104.83</v>
      </c>
      <c r="BN325" s="103">
        <f t="shared" si="14"/>
        <v>2010.83</v>
      </c>
      <c r="BO325" s="103">
        <f>700+1311</f>
        <v>2011</v>
      </c>
      <c r="BP325" s="75" t="s">
        <v>97</v>
      </c>
      <c r="BQ325" s="75"/>
      <c r="BR325" s="74">
        <v>43416</v>
      </c>
      <c r="BS325" s="157">
        <v>2018</v>
      </c>
      <c r="BT325">
        <v>2020</v>
      </c>
      <c r="BU325">
        <v>2018</v>
      </c>
    </row>
    <row r="326" spans="1:73" ht="43.15" customHeight="1" x14ac:dyDescent="0.25">
      <c r="A326" s="242" t="s">
        <v>90</v>
      </c>
      <c r="B326" s="242" t="s">
        <v>413</v>
      </c>
      <c r="C326" s="159">
        <v>400</v>
      </c>
      <c r="D326" s="114">
        <v>43160</v>
      </c>
      <c r="E326" s="114">
        <v>43160</v>
      </c>
      <c r="F326" s="114"/>
      <c r="G326" s="114"/>
      <c r="H326" s="114">
        <v>43187</v>
      </c>
      <c r="I326" s="114">
        <v>43187</v>
      </c>
      <c r="J326" s="114">
        <v>43210</v>
      </c>
      <c r="K326" s="114"/>
      <c r="L326" s="114">
        <v>43392</v>
      </c>
      <c r="M326" s="114">
        <v>43363</v>
      </c>
      <c r="N326" s="114"/>
      <c r="O326" s="114">
        <v>43403</v>
      </c>
      <c r="P326" s="114">
        <v>43403</v>
      </c>
      <c r="Q326" s="114">
        <v>43431</v>
      </c>
      <c r="R326" s="80"/>
      <c r="S326" s="114"/>
      <c r="T326" s="75"/>
      <c r="U326" s="75"/>
      <c r="V326" s="75"/>
      <c r="W326" s="75">
        <v>2</v>
      </c>
      <c r="X326" s="75">
        <v>29958</v>
      </c>
      <c r="Y326" s="75" t="str">
        <f ca="1">IF(I326="",IF(D326="","",IF(W326+X326&lt;15,"Données Nb pers ou RFR manquantes",IF(COUNTA(INDIRECT("TabRFR["&amp;YEAR(D326)&amp;"]"))&lt;&gt;COUNTA(TabRFR[Recherche RFR]),"Data RFR manquantes", IF(X326&lt;=INDEX(TabRFR[[2021]:[2025]],MATCH(BD!W326&amp;"-Très modestes",TabRFR[Recherche RFR],0),MATCH(TEXT(YEAR(BD!D326),"Standard"),TabRFR[[#Headers],[2021]:[2025]],0)),"Très Modeste",IF(X326&lt;=INDEX(TabRFR[[2021]:[2025]],MATCH(BD!W326&amp;"-modestes",TabRFR[Recherche RFR],0),MATCH(TEXT(YEAR(BD!D326),"Standard"),TabRFR[[#Headers],[2021]:[2025]],0)),"Modeste",IF(X326&lt;=INDEX(TabRFR[[2021]:[2025]],MATCH(BD!W326&amp;"-Intermédiaire",TabRFR[Recherche RFR],0),MATCH(TEXT(YEAR(BD!D326),"Standard"),TabRFR[[#Headers],[2021]:[2025]],0)),"Intermédiaire","Supérieur")))))),IF(D326="","",IF(W326+X326&lt;15,"Données Nb pers ou RFR manquantes",IF(COUNTA(INDIRECT("TabRFR["&amp;YEAR(I326)&amp;"]"))&lt;&gt;COUNTA(TabRFR[Recherche RFR]),"Data RFR manquantes", IF(X326&lt;=INDEX(TabRFR[[2021]:[2025]],MATCH(BD!W326&amp;"-Très modestes",TabRFR[Recherche RFR],0),MATCH(TEXT(YEAR(BD!I326),"Standard"),TabRFR[[#Headers],[2021]:[2025]],0)),"Très Modeste",IF(X326&lt;=INDEX(TabRFR[[2021]:[2025]],MATCH(BD!W326&amp;"-modestes",TabRFR[Recherche RFR],0),MATCH(TEXT(YEAR(BD!I326),"Standard"),TabRFR[[#Headers],[2021]:[2025]],0)),"Modeste",IF(X326&lt;=INDEX(TabRFR[[2021]:[2025]],MATCH(BD!W326&amp;"-Intermédiaire",TabRFR[Recherche RFR],0),MATCH(TEXT(YEAR(BD!I326),"Standard"),TabRFR[[#Headers],[2021]:[2025]],0)),"Intermédiaire","Supérieur")))))))</f>
        <v>Data RFR manquantes</v>
      </c>
      <c r="Z326" s="75"/>
      <c r="AA326" s="75" t="s">
        <v>415</v>
      </c>
      <c r="AB326" s="75">
        <v>38140</v>
      </c>
      <c r="AC326" s="75" t="s">
        <v>237</v>
      </c>
      <c r="AD326" s="73"/>
      <c r="AE326" s="102"/>
      <c r="AF326" s="75" t="s">
        <v>95</v>
      </c>
      <c r="AG326" s="75"/>
      <c r="AH326" s="75"/>
      <c r="AI326" s="75"/>
      <c r="AJ326" s="75"/>
      <c r="AK326" s="75"/>
      <c r="AL326" s="75"/>
      <c r="AM326" s="75" t="s">
        <v>4389</v>
      </c>
      <c r="AN326" s="75" t="s">
        <v>416</v>
      </c>
      <c r="AO326" s="75" t="s">
        <v>417</v>
      </c>
      <c r="AP326" s="75" t="s">
        <v>97</v>
      </c>
      <c r="AQ326" s="75"/>
      <c r="AR326" s="74">
        <v>43406</v>
      </c>
      <c r="AS326" s="102" t="s">
        <v>418</v>
      </c>
      <c r="AT326" s="73">
        <v>476389584</v>
      </c>
      <c r="AU326" s="75" t="s">
        <v>111</v>
      </c>
      <c r="AV326" s="75">
        <v>1982</v>
      </c>
      <c r="AW326" s="75" t="s">
        <v>100</v>
      </c>
      <c r="AX326" s="75" t="s">
        <v>2071</v>
      </c>
      <c r="AY326" s="75" t="s">
        <v>419</v>
      </c>
      <c r="AZ326" s="75" t="s">
        <v>420</v>
      </c>
      <c r="BA326" s="75">
        <v>27</v>
      </c>
      <c r="BB326" s="75">
        <v>7.9</v>
      </c>
      <c r="BC326" s="75">
        <v>89</v>
      </c>
      <c r="BD326" s="75">
        <v>0.08</v>
      </c>
      <c r="BE326" s="75" t="s">
        <v>374</v>
      </c>
      <c r="BF326" s="75"/>
      <c r="BG326" s="75">
        <v>6894</v>
      </c>
      <c r="BH326" s="75"/>
      <c r="BI326" s="75"/>
      <c r="BJ326" s="75"/>
      <c r="BK326" s="75">
        <v>839</v>
      </c>
      <c r="BL326" s="75">
        <f t="shared" ref="BL326:BL389" si="15">BG326+BK326</f>
        <v>7733</v>
      </c>
      <c r="BM326" s="103">
        <f t="shared" ref="BM326:BM389" si="16">BL326*0.055</f>
        <v>425.315</v>
      </c>
      <c r="BN326" s="103">
        <f t="shared" ref="BN326:BN389" si="17">BL326+BM326</f>
        <v>8158.3149999999996</v>
      </c>
      <c r="BO326" s="103">
        <v>5159.04</v>
      </c>
      <c r="BP326" s="75" t="s">
        <v>97</v>
      </c>
      <c r="BQ326" s="75"/>
      <c r="BR326" s="75"/>
      <c r="BS326" s="157">
        <v>2018</v>
      </c>
      <c r="BU326">
        <v>2018</v>
      </c>
    </row>
    <row r="327" spans="1:73" ht="43.15" customHeight="1" x14ac:dyDescent="0.25">
      <c r="A327" s="242" t="s">
        <v>90</v>
      </c>
      <c r="B327" s="242" t="s">
        <v>421</v>
      </c>
      <c r="C327" s="159">
        <v>800</v>
      </c>
      <c r="D327" s="114">
        <v>43178</v>
      </c>
      <c r="E327" s="114">
        <v>43178</v>
      </c>
      <c r="F327" s="114">
        <v>43187</v>
      </c>
      <c r="G327" s="114" t="s">
        <v>422</v>
      </c>
      <c r="H327" s="114">
        <v>43201</v>
      </c>
      <c r="I327" s="114">
        <v>43201</v>
      </c>
      <c r="J327" s="114">
        <v>43210</v>
      </c>
      <c r="K327" s="114"/>
      <c r="L327" s="114">
        <v>43349</v>
      </c>
      <c r="M327" s="114">
        <v>43328</v>
      </c>
      <c r="N327" s="114"/>
      <c r="O327" s="114">
        <v>43350</v>
      </c>
      <c r="P327" s="114">
        <v>43350</v>
      </c>
      <c r="Q327" s="114">
        <v>43371</v>
      </c>
      <c r="R327" s="100"/>
      <c r="S327" s="114"/>
      <c r="T327" s="75"/>
      <c r="U327" s="75"/>
      <c r="V327" s="75"/>
      <c r="W327" s="75">
        <v>2</v>
      </c>
      <c r="X327" s="75">
        <f>14659+11078</f>
        <v>25737</v>
      </c>
      <c r="Y327" s="75" t="str">
        <f ca="1">IF(I327="",IF(D327="","",IF(W327+X327&lt;15,"Données Nb pers ou RFR manquantes",IF(COUNTA(INDIRECT("TabRFR["&amp;YEAR(D327)&amp;"]"))&lt;&gt;COUNTA(TabRFR[Recherche RFR]),"Data RFR manquantes", IF(X327&lt;=INDEX(TabRFR[[2021]:[2025]],MATCH(BD!W327&amp;"-Très modestes",TabRFR[Recherche RFR],0),MATCH(TEXT(YEAR(BD!D327),"Standard"),TabRFR[[#Headers],[2021]:[2025]],0)),"Très Modeste",IF(X327&lt;=INDEX(TabRFR[[2021]:[2025]],MATCH(BD!W327&amp;"-modestes",TabRFR[Recherche RFR],0),MATCH(TEXT(YEAR(BD!D327),"Standard"),TabRFR[[#Headers],[2021]:[2025]],0)),"Modeste",IF(X327&lt;=INDEX(TabRFR[[2021]:[2025]],MATCH(BD!W327&amp;"-Intermédiaire",TabRFR[Recherche RFR],0),MATCH(TEXT(YEAR(BD!D327),"Standard"),TabRFR[[#Headers],[2021]:[2025]],0)),"Intermédiaire","Supérieur")))))),IF(D327="","",IF(W327+X327&lt;15,"Données Nb pers ou RFR manquantes",IF(COUNTA(INDIRECT("TabRFR["&amp;YEAR(I327)&amp;"]"))&lt;&gt;COUNTA(TabRFR[Recherche RFR]),"Data RFR manquantes", IF(X327&lt;=INDEX(TabRFR[[2021]:[2025]],MATCH(BD!W327&amp;"-Très modestes",TabRFR[Recherche RFR],0),MATCH(TEXT(YEAR(BD!I327),"Standard"),TabRFR[[#Headers],[2021]:[2025]],0)),"Très Modeste",IF(X327&lt;=INDEX(TabRFR[[2021]:[2025]],MATCH(BD!W327&amp;"-modestes",TabRFR[Recherche RFR],0),MATCH(TEXT(YEAR(BD!I327),"Standard"),TabRFR[[#Headers],[2021]:[2025]],0)),"Modeste",IF(X327&lt;=INDEX(TabRFR[[2021]:[2025]],MATCH(BD!W327&amp;"-Intermédiaire",TabRFR[Recherche RFR],0),MATCH(TEXT(YEAR(BD!I327),"Standard"),TabRFR[[#Headers],[2021]:[2025]],0)),"Intermédiaire","Supérieur")))))))</f>
        <v>Data RFR manquantes</v>
      </c>
      <c r="Z327" s="75"/>
      <c r="AA327" s="75" t="s">
        <v>423</v>
      </c>
      <c r="AB327" s="75">
        <v>38620</v>
      </c>
      <c r="AC327" s="75" t="s">
        <v>3833</v>
      </c>
      <c r="AD327" s="73"/>
      <c r="AE327" s="102"/>
      <c r="AF327" s="75" t="s">
        <v>95</v>
      </c>
      <c r="AG327" s="75"/>
      <c r="AH327" s="131"/>
      <c r="AI327" s="75"/>
      <c r="AJ327" s="75"/>
      <c r="AK327" s="75"/>
      <c r="AL327" s="75"/>
      <c r="AM327" s="75" t="s">
        <v>4356</v>
      </c>
      <c r="AN327" s="75" t="s">
        <v>96</v>
      </c>
      <c r="AO327" s="75" t="s">
        <v>119</v>
      </c>
      <c r="AP327" s="75" t="s">
        <v>97</v>
      </c>
      <c r="AQ327" s="75"/>
      <c r="AR327" s="74">
        <v>43407</v>
      </c>
      <c r="AS327" s="102" t="s">
        <v>120</v>
      </c>
      <c r="AT327" s="73">
        <v>476071461</v>
      </c>
      <c r="AU327" s="75" t="s">
        <v>111</v>
      </c>
      <c r="AV327" s="75">
        <v>1990</v>
      </c>
      <c r="AW327" s="75" t="s">
        <v>100</v>
      </c>
      <c r="AX327" s="75" t="s">
        <v>2071</v>
      </c>
      <c r="AY327" s="75" t="s">
        <v>102</v>
      </c>
      <c r="AZ327" s="75" t="s">
        <v>424</v>
      </c>
      <c r="BA327" s="75">
        <v>20</v>
      </c>
      <c r="BB327" s="75">
        <v>11.5</v>
      </c>
      <c r="BC327" s="75">
        <v>90</v>
      </c>
      <c r="BD327" s="75">
        <v>0.01</v>
      </c>
      <c r="BE327" s="75" t="s">
        <v>97</v>
      </c>
      <c r="BF327" s="77"/>
      <c r="BG327" s="75">
        <v>3352</v>
      </c>
      <c r="BH327" s="75"/>
      <c r="BI327" s="75"/>
      <c r="BJ327" s="75"/>
      <c r="BK327" s="75">
        <v>420</v>
      </c>
      <c r="BL327" s="75">
        <f t="shared" si="15"/>
        <v>3772</v>
      </c>
      <c r="BM327" s="103">
        <f t="shared" si="16"/>
        <v>207.46</v>
      </c>
      <c r="BN327" s="103">
        <f t="shared" si="17"/>
        <v>3979.46</v>
      </c>
      <c r="BO327" s="103">
        <v>4000</v>
      </c>
      <c r="BP327" s="75" t="s">
        <v>97</v>
      </c>
      <c r="BQ327" s="75"/>
      <c r="BR327" s="75"/>
      <c r="BS327" s="157">
        <v>2018</v>
      </c>
      <c r="BU327">
        <v>2018</v>
      </c>
    </row>
    <row r="328" spans="1:73" ht="43.15" customHeight="1" x14ac:dyDescent="0.25">
      <c r="A328" s="242" t="s">
        <v>90</v>
      </c>
      <c r="B328" s="242" t="s">
        <v>425</v>
      </c>
      <c r="C328" s="159">
        <v>800</v>
      </c>
      <c r="D328" s="114">
        <v>43180</v>
      </c>
      <c r="E328" s="114">
        <v>43181</v>
      </c>
      <c r="F328" s="114">
        <v>43200</v>
      </c>
      <c r="G328" s="114" t="s">
        <v>426</v>
      </c>
      <c r="H328" s="114">
        <v>43208</v>
      </c>
      <c r="I328" s="114">
        <v>43208</v>
      </c>
      <c r="J328" s="114">
        <v>43210</v>
      </c>
      <c r="K328" s="114"/>
      <c r="L328" s="114">
        <v>43538</v>
      </c>
      <c r="M328" s="114">
        <v>43255</v>
      </c>
      <c r="N328" s="114"/>
      <c r="O328" s="114">
        <v>43565</v>
      </c>
      <c r="P328" s="114">
        <v>43565</v>
      </c>
      <c r="Q328" s="114">
        <v>43566</v>
      </c>
      <c r="R328" s="100"/>
      <c r="S328" s="114"/>
      <c r="T328" s="75"/>
      <c r="U328" s="75"/>
      <c r="V328" s="75"/>
      <c r="W328" s="75">
        <v>2</v>
      </c>
      <c r="X328" s="75">
        <v>15026</v>
      </c>
      <c r="Y328" s="75" t="str">
        <f ca="1">IF(I328="",IF(D328="","",IF(W328+X328&lt;15,"Données Nb pers ou RFR manquantes",IF(COUNTA(INDIRECT("TabRFR["&amp;YEAR(D328)&amp;"]"))&lt;&gt;COUNTA(TabRFR[Recherche RFR]),"Data RFR manquantes", IF(X328&lt;=INDEX(TabRFR[[2021]:[2025]],MATCH(BD!W328&amp;"-Très modestes",TabRFR[Recherche RFR],0),MATCH(TEXT(YEAR(BD!D328),"Standard"),TabRFR[[#Headers],[2021]:[2025]],0)),"Très Modeste",IF(X328&lt;=INDEX(TabRFR[[2021]:[2025]],MATCH(BD!W328&amp;"-modestes",TabRFR[Recherche RFR],0),MATCH(TEXT(YEAR(BD!D328),"Standard"),TabRFR[[#Headers],[2021]:[2025]],0)),"Modeste",IF(X328&lt;=INDEX(TabRFR[[2021]:[2025]],MATCH(BD!W328&amp;"-Intermédiaire",TabRFR[Recherche RFR],0),MATCH(TEXT(YEAR(BD!D328),"Standard"),TabRFR[[#Headers],[2021]:[2025]],0)),"Intermédiaire","Supérieur")))))),IF(D328="","",IF(W328+X328&lt;15,"Données Nb pers ou RFR manquantes",IF(COUNTA(INDIRECT("TabRFR["&amp;YEAR(I328)&amp;"]"))&lt;&gt;COUNTA(TabRFR[Recherche RFR]),"Data RFR manquantes", IF(X328&lt;=INDEX(TabRFR[[2021]:[2025]],MATCH(BD!W328&amp;"-Très modestes",TabRFR[Recherche RFR],0),MATCH(TEXT(YEAR(BD!I328),"Standard"),TabRFR[[#Headers],[2021]:[2025]],0)),"Très Modeste",IF(X328&lt;=INDEX(TabRFR[[2021]:[2025]],MATCH(BD!W328&amp;"-modestes",TabRFR[Recherche RFR],0),MATCH(TEXT(YEAR(BD!I328),"Standard"),TabRFR[[#Headers],[2021]:[2025]],0)),"Modeste",IF(X328&lt;=INDEX(TabRFR[[2021]:[2025]],MATCH(BD!W328&amp;"-Intermédiaire",TabRFR[Recherche RFR],0),MATCH(TEXT(YEAR(BD!I328),"Standard"),TabRFR[[#Headers],[2021]:[2025]],0)),"Intermédiaire","Supérieur")))))))</f>
        <v>Data RFR manquantes</v>
      </c>
      <c r="Z328" s="75"/>
      <c r="AA328" s="75" t="s">
        <v>428</v>
      </c>
      <c r="AB328" s="75">
        <v>38134</v>
      </c>
      <c r="AC328" s="75" t="s">
        <v>4344</v>
      </c>
      <c r="AD328" s="73"/>
      <c r="AE328" s="102"/>
      <c r="AF328" s="75" t="s">
        <v>95</v>
      </c>
      <c r="AG328" s="75"/>
      <c r="AH328" s="131">
        <v>43082</v>
      </c>
      <c r="AI328" s="75"/>
      <c r="AJ328" s="75"/>
      <c r="AK328" s="75"/>
      <c r="AL328" s="75"/>
      <c r="AM328" s="75" t="s">
        <v>4031</v>
      </c>
      <c r="AN328" s="75" t="s">
        <v>4109</v>
      </c>
      <c r="AO328" s="75" t="s">
        <v>155</v>
      </c>
      <c r="AP328" s="75" t="s">
        <v>97</v>
      </c>
      <c r="AQ328" s="75"/>
      <c r="AR328" s="74">
        <v>43537</v>
      </c>
      <c r="AS328" s="102" t="s">
        <v>156</v>
      </c>
      <c r="AT328" s="73">
        <v>698193037</v>
      </c>
      <c r="AU328" s="75" t="s">
        <v>430</v>
      </c>
      <c r="AV328" s="75" t="s">
        <v>9</v>
      </c>
      <c r="AW328" s="75" t="s">
        <v>100</v>
      </c>
      <c r="AX328" s="75" t="s">
        <v>2071</v>
      </c>
      <c r="AY328" s="75" t="s">
        <v>157</v>
      </c>
      <c r="AZ328" s="75" t="s">
        <v>158</v>
      </c>
      <c r="BA328" s="75">
        <v>12</v>
      </c>
      <c r="BB328" s="75">
        <v>10.5</v>
      </c>
      <c r="BC328" s="75">
        <v>87</v>
      </c>
      <c r="BD328" s="75">
        <v>0.01</v>
      </c>
      <c r="BE328" s="75" t="s">
        <v>97</v>
      </c>
      <c r="BF328" s="77"/>
      <c r="BG328" s="75">
        <v>2189.12</v>
      </c>
      <c r="BH328" s="75"/>
      <c r="BI328" s="75"/>
      <c r="BJ328" s="75"/>
      <c r="BK328" s="75">
        <v>1276.6099999999999</v>
      </c>
      <c r="BL328" s="75">
        <f t="shared" si="15"/>
        <v>3465.7299999999996</v>
      </c>
      <c r="BM328" s="103">
        <f t="shared" si="16"/>
        <v>190.61514999999997</v>
      </c>
      <c r="BN328" s="103">
        <f t="shared" si="17"/>
        <v>3656.3451499999996</v>
      </c>
      <c r="BO328" s="103">
        <v>4811</v>
      </c>
      <c r="BP328" s="75" t="s">
        <v>97</v>
      </c>
      <c r="BQ328" s="75"/>
      <c r="BR328" s="75"/>
      <c r="BS328" s="157">
        <v>2018</v>
      </c>
      <c r="BU328">
        <v>2018</v>
      </c>
    </row>
    <row r="329" spans="1:73" ht="43.15" customHeight="1" x14ac:dyDescent="0.25">
      <c r="A329" s="242" t="s">
        <v>90</v>
      </c>
      <c r="B329" s="242" t="s">
        <v>431</v>
      </c>
      <c r="C329" s="159">
        <v>400</v>
      </c>
      <c r="D329" s="114">
        <v>43180</v>
      </c>
      <c r="E329" s="114">
        <v>43180</v>
      </c>
      <c r="F329" s="114"/>
      <c r="G329" s="114"/>
      <c r="H329" s="114">
        <v>43200</v>
      </c>
      <c r="I329" s="114">
        <v>43200</v>
      </c>
      <c r="J329" s="114">
        <v>43210</v>
      </c>
      <c r="K329" s="114"/>
      <c r="L329" s="114">
        <v>43307</v>
      </c>
      <c r="M329" s="114">
        <v>43258</v>
      </c>
      <c r="N329" s="114"/>
      <c r="O329" s="114">
        <v>43308</v>
      </c>
      <c r="P329" s="114">
        <v>43308</v>
      </c>
      <c r="Q329" s="114">
        <v>43343</v>
      </c>
      <c r="R329" s="80"/>
      <c r="S329" s="114"/>
      <c r="T329" s="75"/>
      <c r="U329" s="75"/>
      <c r="V329" s="75"/>
      <c r="W329" s="75">
        <v>2</v>
      </c>
      <c r="X329" s="75">
        <v>19820</v>
      </c>
      <c r="Y329" s="75" t="str">
        <f ca="1">IF(I329="",IF(D329="","",IF(W329+X329&lt;15,"Données Nb pers ou RFR manquantes",IF(COUNTA(INDIRECT("TabRFR["&amp;YEAR(D329)&amp;"]"))&lt;&gt;COUNTA(TabRFR[Recherche RFR]),"Data RFR manquantes", IF(X329&lt;=INDEX(TabRFR[[2021]:[2025]],MATCH(BD!W329&amp;"-Très modestes",TabRFR[Recherche RFR],0),MATCH(TEXT(YEAR(BD!D329),"Standard"),TabRFR[[#Headers],[2021]:[2025]],0)),"Très Modeste",IF(X329&lt;=INDEX(TabRFR[[2021]:[2025]],MATCH(BD!W329&amp;"-modestes",TabRFR[Recherche RFR],0),MATCH(TEXT(YEAR(BD!D329),"Standard"),TabRFR[[#Headers],[2021]:[2025]],0)),"Modeste",IF(X329&lt;=INDEX(TabRFR[[2021]:[2025]],MATCH(BD!W329&amp;"-Intermédiaire",TabRFR[Recherche RFR],0),MATCH(TEXT(YEAR(BD!D329),"Standard"),TabRFR[[#Headers],[2021]:[2025]],0)),"Intermédiaire","Supérieur")))))),IF(D329="","",IF(W329+X329&lt;15,"Données Nb pers ou RFR manquantes",IF(COUNTA(INDIRECT("TabRFR["&amp;YEAR(I329)&amp;"]"))&lt;&gt;COUNTA(TabRFR[Recherche RFR]),"Data RFR manquantes", IF(X329&lt;=INDEX(TabRFR[[2021]:[2025]],MATCH(BD!W329&amp;"-Très modestes",TabRFR[Recherche RFR],0),MATCH(TEXT(YEAR(BD!I329),"Standard"),TabRFR[[#Headers],[2021]:[2025]],0)),"Très Modeste",IF(X329&lt;=INDEX(TabRFR[[2021]:[2025]],MATCH(BD!W329&amp;"-modestes",TabRFR[Recherche RFR],0),MATCH(TEXT(YEAR(BD!I329),"Standard"),TabRFR[[#Headers],[2021]:[2025]],0)),"Modeste",IF(X329&lt;=INDEX(TabRFR[[2021]:[2025]],MATCH(BD!W329&amp;"-Intermédiaire",TabRFR[Recherche RFR],0),MATCH(TEXT(YEAR(BD!I329),"Standard"),TabRFR[[#Headers],[2021]:[2025]],0)),"Intermédiaire","Supérieur")))))))</f>
        <v>Data RFR manquantes</v>
      </c>
      <c r="Z329" s="75"/>
      <c r="AA329" s="75" t="s">
        <v>432</v>
      </c>
      <c r="AB329" s="75">
        <v>38210</v>
      </c>
      <c r="AC329" s="75" t="s">
        <v>195</v>
      </c>
      <c r="AD329" s="73"/>
      <c r="AE329" s="102"/>
      <c r="AF329" s="75" t="s">
        <v>95</v>
      </c>
      <c r="AG329" s="75"/>
      <c r="AH329" s="131">
        <v>39935</v>
      </c>
      <c r="AI329" s="75"/>
      <c r="AJ329" s="75"/>
      <c r="AK329" s="75"/>
      <c r="AL329" s="75"/>
      <c r="AM329" s="75" t="s">
        <v>218</v>
      </c>
      <c r="AN329" s="75" t="s">
        <v>217</v>
      </c>
      <c r="AO329" s="75" t="s">
        <v>219</v>
      </c>
      <c r="AP329" s="75" t="s">
        <v>97</v>
      </c>
      <c r="AQ329" s="75"/>
      <c r="AR329" s="74">
        <v>43399</v>
      </c>
      <c r="AS329" s="102" t="s">
        <v>220</v>
      </c>
      <c r="AT329" s="73">
        <v>476355605</v>
      </c>
      <c r="AU329" s="75" t="s">
        <v>99</v>
      </c>
      <c r="AV329" s="75">
        <v>1999</v>
      </c>
      <c r="AW329" s="75" t="s">
        <v>111</v>
      </c>
      <c r="AX329" s="75" t="s">
        <v>112</v>
      </c>
      <c r="AY329" s="75" t="s">
        <v>433</v>
      </c>
      <c r="AZ329" s="75">
        <v>775</v>
      </c>
      <c r="BA329" s="75">
        <v>23</v>
      </c>
      <c r="BB329" s="75">
        <v>10</v>
      </c>
      <c r="BC329" s="75">
        <v>78</v>
      </c>
      <c r="BD329" s="75">
        <v>7.0000000000000007E-2</v>
      </c>
      <c r="BE329" s="75" t="s">
        <v>97</v>
      </c>
      <c r="BF329" s="77"/>
      <c r="BG329" s="75">
        <v>4144</v>
      </c>
      <c r="BH329" s="75"/>
      <c r="BI329" s="75"/>
      <c r="BJ329" s="75"/>
      <c r="BK329" s="75">
        <v>1067.3599999999999</v>
      </c>
      <c r="BL329" s="75">
        <f t="shared" si="15"/>
        <v>5211.3599999999997</v>
      </c>
      <c r="BM329" s="103">
        <f t="shared" si="16"/>
        <v>286.62479999999999</v>
      </c>
      <c r="BN329" s="103">
        <f t="shared" si="17"/>
        <v>5497.9847999999993</v>
      </c>
      <c r="BO329" s="103">
        <v>5686.14</v>
      </c>
      <c r="BP329" s="75" t="s">
        <v>97</v>
      </c>
      <c r="BQ329" s="75"/>
      <c r="BR329" s="74">
        <v>43416</v>
      </c>
      <c r="BS329" s="157">
        <v>2018</v>
      </c>
      <c r="BT329">
        <v>2020</v>
      </c>
      <c r="BU329">
        <v>2018</v>
      </c>
    </row>
    <row r="330" spans="1:73" ht="43.15" customHeight="1" x14ac:dyDescent="0.25">
      <c r="A330" s="29" t="s">
        <v>90</v>
      </c>
      <c r="B330" s="29" t="s">
        <v>434</v>
      </c>
      <c r="C330" s="161" t="s">
        <v>9</v>
      </c>
      <c r="D330" s="110">
        <v>43181</v>
      </c>
      <c r="E330" s="110"/>
      <c r="F330" s="110">
        <v>43200</v>
      </c>
      <c r="G330" s="110" t="s">
        <v>435</v>
      </c>
      <c r="H330" s="110"/>
      <c r="I330" s="110"/>
      <c r="J330" s="110"/>
      <c r="K330" s="110"/>
      <c r="L330" s="110"/>
      <c r="M330" s="110"/>
      <c r="N330" s="110"/>
      <c r="O330" s="110"/>
      <c r="P330" s="110"/>
      <c r="Q330" s="110"/>
      <c r="R330" s="109"/>
      <c r="S330" s="110">
        <v>43308</v>
      </c>
      <c r="T330" s="111" t="s">
        <v>436</v>
      </c>
      <c r="U330" s="111"/>
      <c r="V330" s="111"/>
      <c r="W330" s="111">
        <v>3</v>
      </c>
      <c r="X330" s="111">
        <v>188417</v>
      </c>
      <c r="Y330" s="75" t="str">
        <f ca="1">IF(I330="",IF(D330="","",IF(W330+X330&lt;15,"Données Nb pers ou RFR manquantes",IF(COUNTA(INDIRECT("TabRFR["&amp;YEAR(D330)&amp;"]"))&lt;&gt;COUNTA(TabRFR[Recherche RFR]),"Data RFR manquantes", IF(X330&lt;=INDEX(TabRFR[[2021]:[2025]],MATCH(BD!W330&amp;"-Très modestes",TabRFR[Recherche RFR],0),MATCH(TEXT(YEAR(BD!D330),"Standard"),TabRFR[[#Headers],[2021]:[2025]],0)),"Très Modeste",IF(X330&lt;=INDEX(TabRFR[[2021]:[2025]],MATCH(BD!W330&amp;"-modestes",TabRFR[Recherche RFR],0),MATCH(TEXT(YEAR(BD!D330),"Standard"),TabRFR[[#Headers],[2021]:[2025]],0)),"Modeste",IF(X330&lt;=INDEX(TabRFR[[2021]:[2025]],MATCH(BD!W330&amp;"-Intermédiaire",TabRFR[Recherche RFR],0),MATCH(TEXT(YEAR(BD!D330),"Standard"),TabRFR[[#Headers],[2021]:[2025]],0)),"Intermédiaire","Supérieur")))))),IF(D330="","",IF(W330+X330&lt;15,"Données Nb pers ou RFR manquantes",IF(COUNTA(INDIRECT("TabRFR["&amp;YEAR(I330)&amp;"]"))&lt;&gt;COUNTA(TabRFR[Recherche RFR]),"Data RFR manquantes", IF(X330&lt;=INDEX(TabRFR[[2021]:[2025]],MATCH(BD!W330&amp;"-Très modestes",TabRFR[Recherche RFR],0),MATCH(TEXT(YEAR(BD!I330),"Standard"),TabRFR[[#Headers],[2021]:[2025]],0)),"Très Modeste",IF(X330&lt;=INDEX(TabRFR[[2021]:[2025]],MATCH(BD!W330&amp;"-modestes",TabRFR[Recherche RFR],0),MATCH(TEXT(YEAR(BD!I330),"Standard"),TabRFR[[#Headers],[2021]:[2025]],0)),"Modeste",IF(X330&lt;=INDEX(TabRFR[[2021]:[2025]],MATCH(BD!W330&amp;"-Intermédiaire",TabRFR[Recherche RFR],0),MATCH(TEXT(YEAR(BD!I330),"Standard"),TabRFR[[#Headers],[2021]:[2025]],0)),"Intermédiaire","Supérieur")))))))</f>
        <v>Data RFR manquantes</v>
      </c>
      <c r="Z330" s="111"/>
      <c r="AA330" s="111" t="s">
        <v>437</v>
      </c>
      <c r="AB330" s="111">
        <v>38850</v>
      </c>
      <c r="AC330" s="111" t="s">
        <v>438</v>
      </c>
      <c r="AD330" s="127"/>
      <c r="AE330" s="102"/>
      <c r="AF330" s="111"/>
      <c r="AG330" s="111"/>
      <c r="AH330" s="111">
        <v>1995</v>
      </c>
      <c r="AI330" s="111"/>
      <c r="AJ330" s="111"/>
      <c r="AK330" s="111"/>
      <c r="AL330" s="111"/>
      <c r="AM330" s="77" t="s">
        <v>3973</v>
      </c>
      <c r="AN330" s="111" t="s">
        <v>96</v>
      </c>
      <c r="AO330" s="111" t="s">
        <v>439</v>
      </c>
      <c r="AP330" s="111" t="s">
        <v>97</v>
      </c>
      <c r="AQ330" s="111"/>
      <c r="AR330" s="135">
        <v>43361</v>
      </c>
      <c r="AS330" s="102" t="s">
        <v>141</v>
      </c>
      <c r="AT330" s="127">
        <v>476069938</v>
      </c>
      <c r="AU330" s="111" t="s">
        <v>100</v>
      </c>
      <c r="AV330" s="111">
        <v>1997</v>
      </c>
      <c r="AW330" s="111" t="s">
        <v>100</v>
      </c>
      <c r="AX330" s="75" t="s">
        <v>2071</v>
      </c>
      <c r="AY330" s="111" t="s">
        <v>440</v>
      </c>
      <c r="AZ330" s="111" t="s">
        <v>441</v>
      </c>
      <c r="BA330" s="111">
        <v>8</v>
      </c>
      <c r="BB330" s="111">
        <v>9</v>
      </c>
      <c r="BC330" s="111">
        <v>90.5</v>
      </c>
      <c r="BD330" s="111">
        <v>0</v>
      </c>
      <c r="BE330" s="111" t="s">
        <v>97</v>
      </c>
      <c r="BF330" s="111"/>
      <c r="BG330" s="111">
        <v>4184.68</v>
      </c>
      <c r="BH330" s="111"/>
      <c r="BI330" s="111"/>
      <c r="BJ330" s="111"/>
      <c r="BK330" s="111">
        <v>886.2</v>
      </c>
      <c r="BL330" s="75">
        <f t="shared" si="15"/>
        <v>5070.88</v>
      </c>
      <c r="BM330" s="103">
        <f t="shared" si="16"/>
        <v>278.89839999999998</v>
      </c>
      <c r="BN330" s="103">
        <f t="shared" si="17"/>
        <v>5349.7784000000001</v>
      </c>
      <c r="BO330" s="113"/>
      <c r="BP330" s="111" t="s">
        <v>104</v>
      </c>
      <c r="BQ330" s="111"/>
      <c r="BR330" s="111"/>
      <c r="BS330" s="157">
        <v>2018</v>
      </c>
      <c r="BU330" t="s">
        <v>4180</v>
      </c>
    </row>
    <row r="331" spans="1:73" ht="43.15" customHeight="1" x14ac:dyDescent="0.25">
      <c r="A331" s="242" t="s">
        <v>90</v>
      </c>
      <c r="B331" s="242" t="s">
        <v>442</v>
      </c>
      <c r="C331" s="159">
        <v>400</v>
      </c>
      <c r="D331" s="114">
        <v>43181</v>
      </c>
      <c r="E331" s="114"/>
      <c r="F331" s="114"/>
      <c r="G331" s="114" t="s">
        <v>193</v>
      </c>
      <c r="H331" s="114">
        <v>43200</v>
      </c>
      <c r="I331" s="114">
        <v>43200</v>
      </c>
      <c r="J331" s="114">
        <v>43210</v>
      </c>
      <c r="K331" s="114"/>
      <c r="L331" s="114">
        <v>43321</v>
      </c>
      <c r="M331" s="114">
        <v>43244</v>
      </c>
      <c r="N331" s="114"/>
      <c r="O331" s="114">
        <v>43322</v>
      </c>
      <c r="P331" s="114">
        <v>43322</v>
      </c>
      <c r="Q331" s="114">
        <v>43343</v>
      </c>
      <c r="R331" s="80"/>
      <c r="S331" s="114"/>
      <c r="T331" s="75"/>
      <c r="U331" s="75"/>
      <c r="V331" s="75"/>
      <c r="W331" s="75">
        <v>2</v>
      </c>
      <c r="X331" s="75">
        <f>32932+20184</f>
        <v>53116</v>
      </c>
      <c r="Y331" s="75" t="str">
        <f ca="1">IF(I331="",IF(D331="","",IF(W331+X331&lt;15,"Données Nb pers ou RFR manquantes",IF(COUNTA(INDIRECT("TabRFR["&amp;YEAR(D331)&amp;"]"))&lt;&gt;COUNTA(TabRFR[Recherche RFR]),"Data RFR manquantes", IF(X331&lt;=INDEX(TabRFR[[2021]:[2025]],MATCH(BD!W331&amp;"-Très modestes",TabRFR[Recherche RFR],0),MATCH(TEXT(YEAR(BD!D331),"Standard"),TabRFR[[#Headers],[2021]:[2025]],0)),"Très Modeste",IF(X331&lt;=INDEX(TabRFR[[2021]:[2025]],MATCH(BD!W331&amp;"-modestes",TabRFR[Recherche RFR],0),MATCH(TEXT(YEAR(BD!D331),"Standard"),TabRFR[[#Headers],[2021]:[2025]],0)),"Modeste",IF(X331&lt;=INDEX(TabRFR[[2021]:[2025]],MATCH(BD!W331&amp;"-Intermédiaire",TabRFR[Recherche RFR],0),MATCH(TEXT(YEAR(BD!D331),"Standard"),TabRFR[[#Headers],[2021]:[2025]],0)),"Intermédiaire","Supérieur")))))),IF(D331="","",IF(W331+X331&lt;15,"Données Nb pers ou RFR manquantes",IF(COUNTA(INDIRECT("TabRFR["&amp;YEAR(I331)&amp;"]"))&lt;&gt;COUNTA(TabRFR[Recherche RFR]),"Data RFR manquantes", IF(X331&lt;=INDEX(TabRFR[[2021]:[2025]],MATCH(BD!W331&amp;"-Très modestes",TabRFR[Recherche RFR],0),MATCH(TEXT(YEAR(BD!I331),"Standard"),TabRFR[[#Headers],[2021]:[2025]],0)),"Très Modeste",IF(X331&lt;=INDEX(TabRFR[[2021]:[2025]],MATCH(BD!W331&amp;"-modestes",TabRFR[Recherche RFR],0),MATCH(TEXT(YEAR(BD!I331),"Standard"),TabRFR[[#Headers],[2021]:[2025]],0)),"Modeste",IF(X331&lt;=INDEX(TabRFR[[2021]:[2025]],MATCH(BD!W331&amp;"-Intermédiaire",TabRFR[Recherche RFR],0),MATCH(TEXT(YEAR(BD!I331),"Standard"),TabRFR[[#Headers],[2021]:[2025]],0)),"Intermédiaire","Supérieur")))))))</f>
        <v>Data RFR manquantes</v>
      </c>
      <c r="Z331" s="75"/>
      <c r="AA331" s="75" t="s">
        <v>444</v>
      </c>
      <c r="AB331" s="75">
        <v>38210</v>
      </c>
      <c r="AC331" s="75" t="s">
        <v>445</v>
      </c>
      <c r="AD331" s="73"/>
      <c r="AE331" s="102"/>
      <c r="AF331" s="75" t="s">
        <v>95</v>
      </c>
      <c r="AG331" s="75"/>
      <c r="AH331" s="131">
        <v>42986</v>
      </c>
      <c r="AI331" s="75"/>
      <c r="AJ331" s="75"/>
      <c r="AK331" s="75"/>
      <c r="AL331" s="75"/>
      <c r="AM331" s="75" t="s">
        <v>4356</v>
      </c>
      <c r="AN331" s="75" t="s">
        <v>96</v>
      </c>
      <c r="AO331" s="75" t="s">
        <v>119</v>
      </c>
      <c r="AP331" s="75" t="s">
        <v>97</v>
      </c>
      <c r="AQ331" s="75"/>
      <c r="AR331" s="74">
        <v>43407</v>
      </c>
      <c r="AS331" s="102" t="s">
        <v>120</v>
      </c>
      <c r="AT331" s="73">
        <v>476071461</v>
      </c>
      <c r="AU331" s="75" t="s">
        <v>99</v>
      </c>
      <c r="AV331" s="75" t="s">
        <v>9</v>
      </c>
      <c r="AW331" s="75" t="s">
        <v>100</v>
      </c>
      <c r="AX331" s="75" t="s">
        <v>112</v>
      </c>
      <c r="AY331" s="75" t="s">
        <v>190</v>
      </c>
      <c r="AZ331" s="75" t="s">
        <v>446</v>
      </c>
      <c r="BA331" s="75">
        <v>36</v>
      </c>
      <c r="BB331" s="75">
        <v>7</v>
      </c>
      <c r="BC331" s="75">
        <v>80</v>
      </c>
      <c r="BD331" s="75">
        <v>0.1</v>
      </c>
      <c r="BE331" s="75" t="s">
        <v>97</v>
      </c>
      <c r="BF331" s="77"/>
      <c r="BG331" s="75">
        <f>2559.24+918+15-250</f>
        <v>3242.24</v>
      </c>
      <c r="BH331" s="75"/>
      <c r="BI331" s="75"/>
      <c r="BJ331" s="75"/>
      <c r="BK331" s="75">
        <v>470</v>
      </c>
      <c r="BL331" s="75">
        <f t="shared" si="15"/>
        <v>3712.24</v>
      </c>
      <c r="BM331" s="103">
        <f t="shared" si="16"/>
        <v>204.17319999999998</v>
      </c>
      <c r="BN331" s="103">
        <f t="shared" si="17"/>
        <v>3916.4132</v>
      </c>
      <c r="BO331" s="103">
        <v>3600</v>
      </c>
      <c r="BP331" s="75" t="s">
        <v>97</v>
      </c>
      <c r="BQ331" s="75"/>
      <c r="BR331" s="74">
        <v>43416</v>
      </c>
      <c r="BS331" s="157">
        <v>2018</v>
      </c>
      <c r="BT331">
        <v>2020</v>
      </c>
      <c r="BU331">
        <v>2018</v>
      </c>
    </row>
    <row r="332" spans="1:73" ht="43.15" customHeight="1" x14ac:dyDescent="0.25">
      <c r="A332" s="242" t="s">
        <v>90</v>
      </c>
      <c r="B332" s="242" t="s">
        <v>447</v>
      </c>
      <c r="C332" s="159">
        <v>400</v>
      </c>
      <c r="D332" s="114">
        <v>43185</v>
      </c>
      <c r="E332" s="114">
        <v>43185</v>
      </c>
      <c r="F332" s="114"/>
      <c r="G332" s="114"/>
      <c r="H332" s="114">
        <v>43200</v>
      </c>
      <c r="I332" s="114">
        <v>43200</v>
      </c>
      <c r="J332" s="114">
        <v>43210</v>
      </c>
      <c r="K332" s="114"/>
      <c r="L332" s="114">
        <v>43277</v>
      </c>
      <c r="M332" s="114">
        <v>43234</v>
      </c>
      <c r="N332" s="114"/>
      <c r="O332" s="114">
        <v>43308</v>
      </c>
      <c r="P332" s="114">
        <v>43308</v>
      </c>
      <c r="Q332" s="114">
        <v>43343</v>
      </c>
      <c r="R332" s="80"/>
      <c r="S332" s="114"/>
      <c r="T332" s="75"/>
      <c r="U332" s="75"/>
      <c r="V332" s="75"/>
      <c r="W332" s="75">
        <v>3</v>
      </c>
      <c r="X332" s="75">
        <v>89176</v>
      </c>
      <c r="Y332" s="75" t="str">
        <f ca="1">IF(I332="",IF(D332="","",IF(W332+X332&lt;15,"Données Nb pers ou RFR manquantes",IF(COUNTA(INDIRECT("TabRFR["&amp;YEAR(D332)&amp;"]"))&lt;&gt;COUNTA(TabRFR[Recherche RFR]),"Data RFR manquantes", IF(X332&lt;=INDEX(TabRFR[[2021]:[2025]],MATCH(BD!W332&amp;"-Très modestes",TabRFR[Recherche RFR],0),MATCH(TEXT(YEAR(BD!D332),"Standard"),TabRFR[[#Headers],[2021]:[2025]],0)),"Très Modeste",IF(X332&lt;=INDEX(TabRFR[[2021]:[2025]],MATCH(BD!W332&amp;"-modestes",TabRFR[Recherche RFR],0),MATCH(TEXT(YEAR(BD!D332),"Standard"),TabRFR[[#Headers],[2021]:[2025]],0)),"Modeste",IF(X332&lt;=INDEX(TabRFR[[2021]:[2025]],MATCH(BD!W332&amp;"-Intermédiaire",TabRFR[Recherche RFR],0),MATCH(TEXT(YEAR(BD!D332),"Standard"),TabRFR[[#Headers],[2021]:[2025]],0)),"Intermédiaire","Supérieur")))))),IF(D332="","",IF(W332+X332&lt;15,"Données Nb pers ou RFR manquantes",IF(COUNTA(INDIRECT("TabRFR["&amp;YEAR(I332)&amp;"]"))&lt;&gt;COUNTA(TabRFR[Recherche RFR]),"Data RFR manquantes", IF(X332&lt;=INDEX(TabRFR[[2021]:[2025]],MATCH(BD!W332&amp;"-Très modestes",TabRFR[Recherche RFR],0),MATCH(TEXT(YEAR(BD!I332),"Standard"),TabRFR[[#Headers],[2021]:[2025]],0)),"Très Modeste",IF(X332&lt;=INDEX(TabRFR[[2021]:[2025]],MATCH(BD!W332&amp;"-modestes",TabRFR[Recherche RFR],0),MATCH(TEXT(YEAR(BD!I332),"Standard"),TabRFR[[#Headers],[2021]:[2025]],0)),"Modeste",IF(X332&lt;=INDEX(TabRFR[[2021]:[2025]],MATCH(BD!W332&amp;"-Intermédiaire",TabRFR[Recherche RFR],0),MATCH(TEXT(YEAR(BD!I332),"Standard"),TabRFR[[#Headers],[2021]:[2025]],0)),"Intermédiaire","Supérieur")))))))</f>
        <v>Data RFR manquantes</v>
      </c>
      <c r="Z332" s="75"/>
      <c r="AA332" s="75" t="s">
        <v>449</v>
      </c>
      <c r="AB332" s="75">
        <v>38140</v>
      </c>
      <c r="AC332" s="75" t="s">
        <v>2357</v>
      </c>
      <c r="AD332" s="73"/>
      <c r="AE332" s="102"/>
      <c r="AF332" s="75" t="s">
        <v>95</v>
      </c>
      <c r="AG332" s="75"/>
      <c r="AH332" s="75"/>
      <c r="AI332" s="75"/>
      <c r="AJ332" s="75"/>
      <c r="AK332" s="75"/>
      <c r="AL332" s="75"/>
      <c r="AM332" s="75" t="s">
        <v>350</v>
      </c>
      <c r="AN332" s="75" t="s">
        <v>451</v>
      </c>
      <c r="AO332" s="75" t="s">
        <v>452</v>
      </c>
      <c r="AP332" s="75" t="s">
        <v>97</v>
      </c>
      <c r="AQ332" s="75"/>
      <c r="AR332" s="74">
        <v>43572</v>
      </c>
      <c r="AS332" s="102" t="s">
        <v>453</v>
      </c>
      <c r="AT332" s="73">
        <v>438920220</v>
      </c>
      <c r="AU332" s="75" t="s">
        <v>100</v>
      </c>
      <c r="AV332" s="75">
        <v>1982</v>
      </c>
      <c r="AW332" s="75" t="s">
        <v>100</v>
      </c>
      <c r="AX332" s="75" t="s">
        <v>2071</v>
      </c>
      <c r="AY332" s="75" t="s">
        <v>454</v>
      </c>
      <c r="AZ332" s="75" t="s">
        <v>455</v>
      </c>
      <c r="BA332" s="75">
        <v>9</v>
      </c>
      <c r="BB332" s="75">
        <v>12</v>
      </c>
      <c r="BC332" s="75">
        <v>89</v>
      </c>
      <c r="BD332" s="75">
        <v>0.01</v>
      </c>
      <c r="BE332" s="75" t="s">
        <v>97</v>
      </c>
      <c r="BF332" s="77"/>
      <c r="BG332" s="75">
        <v>3350.71</v>
      </c>
      <c r="BH332" s="75"/>
      <c r="BI332" s="75"/>
      <c r="BJ332" s="75"/>
      <c r="BK332" s="75">
        <v>2134.6</v>
      </c>
      <c r="BL332" s="75">
        <f t="shared" si="15"/>
        <v>5485.3099999999995</v>
      </c>
      <c r="BM332" s="103">
        <f t="shared" si="16"/>
        <v>301.69204999999999</v>
      </c>
      <c r="BN332" s="103">
        <f t="shared" si="17"/>
        <v>5787.0020499999991</v>
      </c>
      <c r="BO332" s="103">
        <v>5787</v>
      </c>
      <c r="BP332" s="75" t="s">
        <v>97</v>
      </c>
      <c r="BQ332" s="75"/>
      <c r="BR332" s="75"/>
      <c r="BS332" s="157">
        <v>2018</v>
      </c>
      <c r="BU332">
        <v>2018</v>
      </c>
    </row>
    <row r="333" spans="1:73" ht="43.15" customHeight="1" x14ac:dyDescent="0.25">
      <c r="A333" s="31" t="s">
        <v>90</v>
      </c>
      <c r="B333" s="31" t="s">
        <v>456</v>
      </c>
      <c r="C333" s="163" t="s">
        <v>9</v>
      </c>
      <c r="D333" s="76">
        <v>43154</v>
      </c>
      <c r="E333" s="76"/>
      <c r="F333" s="76">
        <v>43200</v>
      </c>
      <c r="G333" s="76" t="s">
        <v>457</v>
      </c>
      <c r="H333" s="76">
        <v>43208</v>
      </c>
      <c r="I333" s="76">
        <v>43208</v>
      </c>
      <c r="J333" s="76">
        <v>43210</v>
      </c>
      <c r="K333" s="76"/>
      <c r="L333" s="76"/>
      <c r="M333" s="76" t="s">
        <v>3743</v>
      </c>
      <c r="N333" s="76"/>
      <c r="O333" s="76"/>
      <c r="P333" s="76"/>
      <c r="Q333" s="76"/>
      <c r="R333" s="81"/>
      <c r="S333" s="76">
        <v>43944</v>
      </c>
      <c r="T333" s="77" t="s">
        <v>4175</v>
      </c>
      <c r="U333" s="77"/>
      <c r="V333" s="77"/>
      <c r="W333" s="77">
        <v>3</v>
      </c>
      <c r="X333" s="77">
        <v>47249</v>
      </c>
      <c r="Y333" s="75" t="str">
        <f ca="1">IF(I333="",IF(D333="","",IF(W333+X333&lt;15,"Données Nb pers ou RFR manquantes",IF(COUNTA(INDIRECT("TabRFR["&amp;YEAR(D333)&amp;"]"))&lt;&gt;COUNTA(TabRFR[Recherche RFR]),"Data RFR manquantes", IF(X333&lt;=INDEX(TabRFR[[2021]:[2025]],MATCH(BD!W333&amp;"-Très modestes",TabRFR[Recherche RFR],0),MATCH(TEXT(YEAR(BD!D333),"Standard"),TabRFR[[#Headers],[2021]:[2025]],0)),"Très Modeste",IF(X333&lt;=INDEX(TabRFR[[2021]:[2025]],MATCH(BD!W333&amp;"-modestes",TabRFR[Recherche RFR],0),MATCH(TEXT(YEAR(BD!D333),"Standard"),TabRFR[[#Headers],[2021]:[2025]],0)),"Modeste",IF(X333&lt;=INDEX(TabRFR[[2021]:[2025]],MATCH(BD!W333&amp;"-Intermédiaire",TabRFR[Recherche RFR],0),MATCH(TEXT(YEAR(BD!D333),"Standard"),TabRFR[[#Headers],[2021]:[2025]],0)),"Intermédiaire","Supérieur")))))),IF(D333="","",IF(W333+X333&lt;15,"Données Nb pers ou RFR manquantes",IF(COUNTA(INDIRECT("TabRFR["&amp;YEAR(I333)&amp;"]"))&lt;&gt;COUNTA(TabRFR[Recherche RFR]),"Data RFR manquantes", IF(X333&lt;=INDEX(TabRFR[[2021]:[2025]],MATCH(BD!W333&amp;"-Très modestes",TabRFR[Recherche RFR],0),MATCH(TEXT(YEAR(BD!I333),"Standard"),TabRFR[[#Headers],[2021]:[2025]],0)),"Très Modeste",IF(X333&lt;=INDEX(TabRFR[[2021]:[2025]],MATCH(BD!W333&amp;"-modestes",TabRFR[Recherche RFR],0),MATCH(TEXT(YEAR(BD!I333),"Standard"),TabRFR[[#Headers],[2021]:[2025]],0)),"Modeste",IF(X333&lt;=INDEX(TabRFR[[2021]:[2025]],MATCH(BD!W333&amp;"-Intermédiaire",TabRFR[Recherche RFR],0),MATCH(TEXT(YEAR(BD!I333),"Standard"),TabRFR[[#Headers],[2021]:[2025]],0)),"Intermédiaire","Supérieur")))))))</f>
        <v>Data RFR manquantes</v>
      </c>
      <c r="Z333" s="77"/>
      <c r="AA333" s="77" t="s">
        <v>458</v>
      </c>
      <c r="AB333" s="77">
        <v>38140</v>
      </c>
      <c r="AC333" s="77" t="s">
        <v>363</v>
      </c>
      <c r="AD333" s="78"/>
      <c r="AE333" s="102"/>
      <c r="AF333" s="77" t="s">
        <v>95</v>
      </c>
      <c r="AG333" s="77"/>
      <c r="AH333" s="132">
        <v>43140</v>
      </c>
      <c r="AI333" s="77"/>
      <c r="AJ333" s="77"/>
      <c r="AK333" s="77"/>
      <c r="AL333" s="77"/>
      <c r="AM333" s="77" t="s">
        <v>4031</v>
      </c>
      <c r="AN333" s="77" t="s">
        <v>4109</v>
      </c>
      <c r="AO333" s="77" t="s">
        <v>155</v>
      </c>
      <c r="AP333" s="77" t="s">
        <v>97</v>
      </c>
      <c r="AQ333" s="77"/>
      <c r="AR333" s="79">
        <v>43537</v>
      </c>
      <c r="AS333" s="102" t="s">
        <v>156</v>
      </c>
      <c r="AT333" s="78">
        <v>698193037</v>
      </c>
      <c r="AU333" s="77" t="s">
        <v>111</v>
      </c>
      <c r="AV333" s="77" t="s">
        <v>9</v>
      </c>
      <c r="AW333" s="77" t="s">
        <v>100</v>
      </c>
      <c r="AX333" s="77" t="s">
        <v>112</v>
      </c>
      <c r="AY333" s="77" t="s">
        <v>258</v>
      </c>
      <c r="AZ333" s="138" t="str">
        <f>"9-7"</f>
        <v>9-7</v>
      </c>
      <c r="BA333" s="77">
        <v>28</v>
      </c>
      <c r="BB333" s="77">
        <v>6</v>
      </c>
      <c r="BC333" s="77">
        <v>81.3</v>
      </c>
      <c r="BD333" s="77">
        <v>0.1</v>
      </c>
      <c r="BE333" s="77" t="s">
        <v>97</v>
      </c>
      <c r="BF333" s="77"/>
      <c r="BG333" s="77">
        <v>1422</v>
      </c>
      <c r="BH333" s="77"/>
      <c r="BI333" s="77"/>
      <c r="BJ333" s="77"/>
      <c r="BK333" s="77">
        <v>551</v>
      </c>
      <c r="BL333" s="75">
        <f t="shared" si="15"/>
        <v>1973</v>
      </c>
      <c r="BM333" s="103">
        <f t="shared" si="16"/>
        <v>108.515</v>
      </c>
      <c r="BN333" s="103">
        <f t="shared" si="17"/>
        <v>2081.5149999999999</v>
      </c>
      <c r="BO333" s="80"/>
      <c r="BP333" s="77" t="s">
        <v>104</v>
      </c>
      <c r="BQ333" s="77"/>
      <c r="BR333" s="74">
        <v>43416</v>
      </c>
      <c r="BS333" s="157">
        <v>2018</v>
      </c>
      <c r="BU333" t="s">
        <v>4180</v>
      </c>
    </row>
    <row r="334" spans="1:73" ht="43.15" customHeight="1" x14ac:dyDescent="0.25">
      <c r="A334" s="242" t="s">
        <v>90</v>
      </c>
      <c r="B334" s="242" t="s">
        <v>459</v>
      </c>
      <c r="C334" s="159">
        <v>800</v>
      </c>
      <c r="D334" s="114">
        <v>43187</v>
      </c>
      <c r="E334" s="114">
        <v>43188</v>
      </c>
      <c r="F334" s="114"/>
      <c r="G334" s="114"/>
      <c r="H334" s="114">
        <v>43200</v>
      </c>
      <c r="I334" s="114">
        <v>43200</v>
      </c>
      <c r="J334" s="114">
        <v>43210</v>
      </c>
      <c r="K334" s="76"/>
      <c r="L334" s="114">
        <v>43342</v>
      </c>
      <c r="M334" s="114">
        <v>43304</v>
      </c>
      <c r="N334" s="114"/>
      <c r="O334" s="114">
        <v>43348</v>
      </c>
      <c r="P334" s="114">
        <v>43348</v>
      </c>
      <c r="Q334" s="114">
        <v>43371</v>
      </c>
      <c r="R334" s="81"/>
      <c r="S334" s="114"/>
      <c r="T334" s="75"/>
      <c r="U334" s="75"/>
      <c r="V334" s="75"/>
      <c r="W334" s="75">
        <v>4</v>
      </c>
      <c r="X334" s="75">
        <v>34836</v>
      </c>
      <c r="Y334" s="75" t="str">
        <f ca="1">IF(I334="",IF(D334="","",IF(W334+X334&lt;15,"Données Nb pers ou RFR manquantes",IF(COUNTA(INDIRECT("TabRFR["&amp;YEAR(D334)&amp;"]"))&lt;&gt;COUNTA(TabRFR[Recherche RFR]),"Data RFR manquantes", IF(X334&lt;=INDEX(TabRFR[[2021]:[2025]],MATCH(BD!W334&amp;"-Très modestes",TabRFR[Recherche RFR],0),MATCH(TEXT(YEAR(BD!D334),"Standard"),TabRFR[[#Headers],[2021]:[2025]],0)),"Très Modeste",IF(X334&lt;=INDEX(TabRFR[[2021]:[2025]],MATCH(BD!W334&amp;"-modestes",TabRFR[Recherche RFR],0),MATCH(TEXT(YEAR(BD!D334),"Standard"),TabRFR[[#Headers],[2021]:[2025]],0)),"Modeste",IF(X334&lt;=INDEX(TabRFR[[2021]:[2025]],MATCH(BD!W334&amp;"-Intermédiaire",TabRFR[Recherche RFR],0),MATCH(TEXT(YEAR(BD!D334),"Standard"),TabRFR[[#Headers],[2021]:[2025]],0)),"Intermédiaire","Supérieur")))))),IF(D334="","",IF(W334+X334&lt;15,"Données Nb pers ou RFR manquantes",IF(COUNTA(INDIRECT("TabRFR["&amp;YEAR(I334)&amp;"]"))&lt;&gt;COUNTA(TabRFR[Recherche RFR]),"Data RFR manquantes", IF(X334&lt;=INDEX(TabRFR[[2021]:[2025]],MATCH(BD!W334&amp;"-Très modestes",TabRFR[Recherche RFR],0),MATCH(TEXT(YEAR(BD!I334),"Standard"),TabRFR[[#Headers],[2021]:[2025]],0)),"Très Modeste",IF(X334&lt;=INDEX(TabRFR[[2021]:[2025]],MATCH(BD!W334&amp;"-modestes",TabRFR[Recherche RFR],0),MATCH(TEXT(YEAR(BD!I334),"Standard"),TabRFR[[#Headers],[2021]:[2025]],0)),"Modeste",IF(X334&lt;=INDEX(TabRFR[[2021]:[2025]],MATCH(BD!W334&amp;"-Intermédiaire",TabRFR[Recherche RFR],0),MATCH(TEXT(YEAR(BD!I334),"Standard"),TabRFR[[#Headers],[2021]:[2025]],0)),"Intermédiaire","Supérieur")))))))</f>
        <v>Data RFR manquantes</v>
      </c>
      <c r="Z334" s="75"/>
      <c r="AA334" s="75" t="s">
        <v>460</v>
      </c>
      <c r="AB334" s="75">
        <v>38140</v>
      </c>
      <c r="AC334" s="75" t="s">
        <v>237</v>
      </c>
      <c r="AD334" s="101"/>
      <c r="AE334" s="102"/>
      <c r="AF334" s="75" t="s">
        <v>95</v>
      </c>
      <c r="AG334" s="75"/>
      <c r="AH334" s="75">
        <v>42853</v>
      </c>
      <c r="AI334" s="75"/>
      <c r="AJ334" s="75"/>
      <c r="AK334" s="75"/>
      <c r="AL334" s="75"/>
      <c r="AM334" s="75" t="s">
        <v>4348</v>
      </c>
      <c r="AN334" s="75" t="s">
        <v>96</v>
      </c>
      <c r="AO334" s="75" t="s">
        <v>238</v>
      </c>
      <c r="AP334" s="75" t="s">
        <v>97</v>
      </c>
      <c r="AQ334" s="75"/>
      <c r="AR334" s="75">
        <v>43333</v>
      </c>
      <c r="AS334" s="102" t="s">
        <v>98</v>
      </c>
      <c r="AT334" s="101">
        <v>476323235</v>
      </c>
      <c r="AU334" s="75" t="s">
        <v>111</v>
      </c>
      <c r="AV334" s="75">
        <v>1985</v>
      </c>
      <c r="AW334" s="75" t="s">
        <v>100</v>
      </c>
      <c r="AX334" s="75" t="s">
        <v>2071</v>
      </c>
      <c r="AY334" s="75" t="s">
        <v>102</v>
      </c>
      <c r="AZ334" s="75" t="s">
        <v>461</v>
      </c>
      <c r="BA334" s="75">
        <v>14</v>
      </c>
      <c r="BB334" s="75">
        <v>11.9</v>
      </c>
      <c r="BC334" s="75">
        <v>90.8</v>
      </c>
      <c r="BD334" s="75">
        <v>7.0000000000000001E-3</v>
      </c>
      <c r="BE334" s="75" t="s">
        <v>97</v>
      </c>
      <c r="BF334" s="75"/>
      <c r="BG334" s="75">
        <v>4044</v>
      </c>
      <c r="BH334" s="77"/>
      <c r="BI334" s="77"/>
      <c r="BJ334" s="77"/>
      <c r="BK334" s="75">
        <v>403</v>
      </c>
      <c r="BL334" s="75">
        <f t="shared" si="15"/>
        <v>4447</v>
      </c>
      <c r="BM334" s="103">
        <f t="shared" si="16"/>
        <v>244.58500000000001</v>
      </c>
      <c r="BN334" s="103">
        <f t="shared" si="17"/>
        <v>4691.585</v>
      </c>
      <c r="BO334" s="103">
        <v>4322.34</v>
      </c>
      <c r="BP334" s="75" t="s">
        <v>97</v>
      </c>
      <c r="BQ334" s="75"/>
      <c r="BR334" s="75"/>
      <c r="BS334" s="157">
        <v>2018</v>
      </c>
      <c r="BU334">
        <v>2018</v>
      </c>
    </row>
    <row r="335" spans="1:73" ht="43.15" customHeight="1" x14ac:dyDescent="0.25">
      <c r="A335" s="242" t="s">
        <v>90</v>
      </c>
      <c r="B335" s="242" t="s">
        <v>462</v>
      </c>
      <c r="C335" s="159">
        <v>400</v>
      </c>
      <c r="D335" s="114">
        <v>43187</v>
      </c>
      <c r="E335" s="114">
        <v>43188</v>
      </c>
      <c r="F335" s="114"/>
      <c r="G335" s="114"/>
      <c r="H335" s="114">
        <v>43200</v>
      </c>
      <c r="I335" s="114">
        <v>43200</v>
      </c>
      <c r="J335" s="114">
        <v>43210</v>
      </c>
      <c r="K335" s="76"/>
      <c r="L335" s="114">
        <v>43368</v>
      </c>
      <c r="M335" s="114">
        <v>43265</v>
      </c>
      <c r="N335" s="114"/>
      <c r="O335" s="114">
        <v>43381</v>
      </c>
      <c r="P335" s="114">
        <v>43381</v>
      </c>
      <c r="Q335" s="114">
        <v>43392</v>
      </c>
      <c r="R335" s="80"/>
      <c r="S335" s="114"/>
      <c r="T335" s="75"/>
      <c r="U335" s="75"/>
      <c r="V335" s="75"/>
      <c r="W335" s="75">
        <v>5</v>
      </c>
      <c r="X335" s="75">
        <v>133508</v>
      </c>
      <c r="Y335" s="75" t="str">
        <f ca="1">IF(I335="",IF(D335="","",IF(W335+X335&lt;15,"Données Nb pers ou RFR manquantes",IF(COUNTA(INDIRECT("TabRFR["&amp;YEAR(D335)&amp;"]"))&lt;&gt;COUNTA(TabRFR[Recherche RFR]),"Data RFR manquantes", IF(X335&lt;=INDEX(TabRFR[[2021]:[2025]],MATCH(BD!W335&amp;"-Très modestes",TabRFR[Recherche RFR],0),MATCH(TEXT(YEAR(BD!D335),"Standard"),TabRFR[[#Headers],[2021]:[2025]],0)),"Très Modeste",IF(X335&lt;=INDEX(TabRFR[[2021]:[2025]],MATCH(BD!W335&amp;"-modestes",TabRFR[Recherche RFR],0),MATCH(TEXT(YEAR(BD!D335),"Standard"),TabRFR[[#Headers],[2021]:[2025]],0)),"Modeste",IF(X335&lt;=INDEX(TabRFR[[2021]:[2025]],MATCH(BD!W335&amp;"-Intermédiaire",TabRFR[Recherche RFR],0),MATCH(TEXT(YEAR(BD!D335),"Standard"),TabRFR[[#Headers],[2021]:[2025]],0)),"Intermédiaire","Supérieur")))))),IF(D335="","",IF(W335+X335&lt;15,"Données Nb pers ou RFR manquantes",IF(COUNTA(INDIRECT("TabRFR["&amp;YEAR(I335)&amp;"]"))&lt;&gt;COUNTA(TabRFR[Recherche RFR]),"Data RFR manquantes", IF(X335&lt;=INDEX(TabRFR[[2021]:[2025]],MATCH(BD!W335&amp;"-Très modestes",TabRFR[Recherche RFR],0),MATCH(TEXT(YEAR(BD!I335),"Standard"),TabRFR[[#Headers],[2021]:[2025]],0)),"Très Modeste",IF(X335&lt;=INDEX(TabRFR[[2021]:[2025]],MATCH(BD!W335&amp;"-modestes",TabRFR[Recherche RFR],0),MATCH(TEXT(YEAR(BD!I335),"Standard"),TabRFR[[#Headers],[2021]:[2025]],0)),"Modeste",IF(X335&lt;=INDEX(TabRFR[[2021]:[2025]],MATCH(BD!W335&amp;"-Intermédiaire",TabRFR[Recherche RFR],0),MATCH(TEXT(YEAR(BD!I335),"Standard"),TabRFR[[#Headers],[2021]:[2025]],0)),"Intermédiaire","Supérieur")))))))</f>
        <v>Data RFR manquantes</v>
      </c>
      <c r="Z335" s="75"/>
      <c r="AA335" s="75" t="s">
        <v>463</v>
      </c>
      <c r="AB335" s="75">
        <v>38340</v>
      </c>
      <c r="AC335" s="75" t="s">
        <v>108</v>
      </c>
      <c r="AD335" s="101"/>
      <c r="AE335" s="102"/>
      <c r="AF335" s="75" t="s">
        <v>95</v>
      </c>
      <c r="AG335" s="75"/>
      <c r="AH335" s="75">
        <v>43082</v>
      </c>
      <c r="AI335" s="75"/>
      <c r="AJ335" s="75"/>
      <c r="AK335" s="75"/>
      <c r="AL335" s="75"/>
      <c r="AM335" s="75" t="s">
        <v>4354</v>
      </c>
      <c r="AN335" s="75" t="s">
        <v>1056</v>
      </c>
      <c r="AO335" s="75"/>
      <c r="AP335" s="75" t="s">
        <v>97</v>
      </c>
      <c r="AQ335" s="75"/>
      <c r="AR335" s="75">
        <v>43302</v>
      </c>
      <c r="AS335" s="102" t="s">
        <v>464</v>
      </c>
      <c r="AT335" s="101">
        <v>476441060</v>
      </c>
      <c r="AU335" s="75" t="s">
        <v>99</v>
      </c>
      <c r="AV335" s="75">
        <v>1994</v>
      </c>
      <c r="AW335" s="75" t="s">
        <v>100</v>
      </c>
      <c r="AX335" s="75" t="s">
        <v>112</v>
      </c>
      <c r="AY335" s="75" t="s">
        <v>465</v>
      </c>
      <c r="AZ335" s="75" t="s">
        <v>466</v>
      </c>
      <c r="BA335" s="75">
        <v>6</v>
      </c>
      <c r="BB335" s="75">
        <v>5.6</v>
      </c>
      <c r="BC335" s="75">
        <v>80</v>
      </c>
      <c r="BD335" s="75">
        <v>0.06</v>
      </c>
      <c r="BE335" s="75" t="s">
        <v>97</v>
      </c>
      <c r="BF335" s="75"/>
      <c r="BG335" s="75">
        <v>3394.1</v>
      </c>
      <c r="BH335" s="77"/>
      <c r="BI335" s="77"/>
      <c r="BJ335" s="77"/>
      <c r="BK335" s="75">
        <v>790</v>
      </c>
      <c r="BL335" s="75">
        <f t="shared" si="15"/>
        <v>4184.1000000000004</v>
      </c>
      <c r="BM335" s="103">
        <f t="shared" si="16"/>
        <v>230.12550000000002</v>
      </c>
      <c r="BN335" s="103">
        <f t="shared" si="17"/>
        <v>4414.2255000000005</v>
      </c>
      <c r="BO335" s="103">
        <v>4414</v>
      </c>
      <c r="BP335" s="75" t="s">
        <v>104</v>
      </c>
      <c r="BQ335" s="75"/>
      <c r="BR335" s="75">
        <v>43416</v>
      </c>
      <c r="BS335" s="157">
        <v>2018</v>
      </c>
      <c r="BT335">
        <v>2020</v>
      </c>
      <c r="BU335">
        <v>2018</v>
      </c>
    </row>
    <row r="336" spans="1:73" ht="43.15" customHeight="1" x14ac:dyDescent="0.25">
      <c r="A336" s="242" t="s">
        <v>90</v>
      </c>
      <c r="B336" s="242" t="s">
        <v>467</v>
      </c>
      <c r="C336" s="159">
        <v>800</v>
      </c>
      <c r="D336" s="114">
        <v>43180</v>
      </c>
      <c r="E336" s="114">
        <v>43188</v>
      </c>
      <c r="F336" s="114"/>
      <c r="G336" s="114"/>
      <c r="H336" s="114">
        <v>43200</v>
      </c>
      <c r="I336" s="114">
        <v>43200</v>
      </c>
      <c r="J336" s="114">
        <v>43210</v>
      </c>
      <c r="K336" s="114"/>
      <c r="L336" s="114">
        <v>43389</v>
      </c>
      <c r="M336" s="114">
        <v>43367</v>
      </c>
      <c r="N336" s="114" t="s">
        <v>468</v>
      </c>
      <c r="O336" s="114">
        <v>43389</v>
      </c>
      <c r="P336" s="114">
        <v>43389</v>
      </c>
      <c r="Q336" s="114">
        <v>43435</v>
      </c>
      <c r="R336" s="100"/>
      <c r="S336" s="114"/>
      <c r="T336" s="75"/>
      <c r="U336" s="75"/>
      <c r="V336" s="75"/>
      <c r="W336" s="75">
        <v>3</v>
      </c>
      <c r="X336" s="75">
        <v>29570</v>
      </c>
      <c r="Y336" s="75" t="str">
        <f ca="1">IF(I336="",IF(D336="","",IF(W336+X336&lt;15,"Données Nb pers ou RFR manquantes",IF(COUNTA(INDIRECT("TabRFR["&amp;YEAR(D336)&amp;"]"))&lt;&gt;COUNTA(TabRFR[Recherche RFR]),"Data RFR manquantes", IF(X336&lt;=INDEX(TabRFR[[2021]:[2025]],MATCH(BD!W336&amp;"-Très modestes",TabRFR[Recherche RFR],0),MATCH(TEXT(YEAR(BD!D336),"Standard"),TabRFR[[#Headers],[2021]:[2025]],0)),"Très Modeste",IF(X336&lt;=INDEX(TabRFR[[2021]:[2025]],MATCH(BD!W336&amp;"-modestes",TabRFR[Recherche RFR],0),MATCH(TEXT(YEAR(BD!D336),"Standard"),TabRFR[[#Headers],[2021]:[2025]],0)),"Modeste",IF(X336&lt;=INDEX(TabRFR[[2021]:[2025]],MATCH(BD!W336&amp;"-Intermédiaire",TabRFR[Recherche RFR],0),MATCH(TEXT(YEAR(BD!D336),"Standard"),TabRFR[[#Headers],[2021]:[2025]],0)),"Intermédiaire","Supérieur")))))),IF(D336="","",IF(W336+X336&lt;15,"Données Nb pers ou RFR manquantes",IF(COUNTA(INDIRECT("TabRFR["&amp;YEAR(I336)&amp;"]"))&lt;&gt;COUNTA(TabRFR[Recherche RFR]),"Data RFR manquantes", IF(X336&lt;=INDEX(TabRFR[[2021]:[2025]],MATCH(BD!W336&amp;"-Très modestes",TabRFR[Recherche RFR],0),MATCH(TEXT(YEAR(BD!I336),"Standard"),TabRFR[[#Headers],[2021]:[2025]],0)),"Très Modeste",IF(X336&lt;=INDEX(TabRFR[[2021]:[2025]],MATCH(BD!W336&amp;"-modestes",TabRFR[Recherche RFR],0),MATCH(TEXT(YEAR(BD!I336),"Standard"),TabRFR[[#Headers],[2021]:[2025]],0)),"Modeste",IF(X336&lt;=INDEX(TabRFR[[2021]:[2025]],MATCH(BD!W336&amp;"-Intermédiaire",TabRFR[Recherche RFR],0),MATCH(TEXT(YEAR(BD!I336),"Standard"),TabRFR[[#Headers],[2021]:[2025]],0)),"Intermédiaire","Supérieur")))))))</f>
        <v>Data RFR manquantes</v>
      </c>
      <c r="Z336" s="75"/>
      <c r="AA336" s="75" t="s">
        <v>470</v>
      </c>
      <c r="AB336" s="75">
        <v>38850</v>
      </c>
      <c r="AC336" s="75" t="s">
        <v>438</v>
      </c>
      <c r="AD336" s="73"/>
      <c r="AE336" s="102"/>
      <c r="AF336" s="75" t="s">
        <v>95</v>
      </c>
      <c r="AG336" s="75"/>
      <c r="AH336" s="131">
        <v>41940</v>
      </c>
      <c r="AI336" s="75"/>
      <c r="AJ336" s="75"/>
      <c r="AK336" s="75"/>
      <c r="AL336" s="75"/>
      <c r="AM336" s="75" t="s">
        <v>4390</v>
      </c>
      <c r="AN336" s="75" t="s">
        <v>96</v>
      </c>
      <c r="AO336" s="75"/>
      <c r="AP336" s="75" t="s">
        <v>97</v>
      </c>
      <c r="AQ336" s="75"/>
      <c r="AR336" s="74">
        <v>43681</v>
      </c>
      <c r="AS336" s="102" t="s">
        <v>230</v>
      </c>
      <c r="AT336" s="73">
        <v>476059938</v>
      </c>
      <c r="AU336" s="75" t="s">
        <v>100</v>
      </c>
      <c r="AV336" s="75">
        <v>2001</v>
      </c>
      <c r="AW336" s="75" t="s">
        <v>100</v>
      </c>
      <c r="AX336" s="75" t="s">
        <v>2071</v>
      </c>
      <c r="AY336" s="75" t="s">
        <v>232</v>
      </c>
      <c r="AZ336" s="75" t="s">
        <v>471</v>
      </c>
      <c r="BA336" s="75">
        <v>15</v>
      </c>
      <c r="BB336" s="75">
        <v>10.9</v>
      </c>
      <c r="BC336" s="75">
        <v>88.8</v>
      </c>
      <c r="BD336" s="75">
        <v>0.01</v>
      </c>
      <c r="BE336" s="75" t="s">
        <v>97</v>
      </c>
      <c r="BF336" s="77"/>
      <c r="BG336" s="75">
        <v>6436</v>
      </c>
      <c r="BH336" s="75"/>
      <c r="BI336" s="75"/>
      <c r="BJ336" s="75"/>
      <c r="BK336" s="75">
        <v>580</v>
      </c>
      <c r="BL336" s="75">
        <f t="shared" si="15"/>
        <v>7016</v>
      </c>
      <c r="BM336" s="103">
        <f t="shared" si="16"/>
        <v>385.88</v>
      </c>
      <c r="BN336" s="103">
        <f t="shared" si="17"/>
        <v>7401.88</v>
      </c>
      <c r="BO336" s="103">
        <f>3800+3866</f>
        <v>7666</v>
      </c>
      <c r="BP336" s="75" t="s">
        <v>97</v>
      </c>
      <c r="BQ336" s="75"/>
      <c r="BR336" s="75"/>
      <c r="BS336" s="157">
        <v>2018</v>
      </c>
      <c r="BU336">
        <v>2018</v>
      </c>
    </row>
    <row r="337" spans="1:73" ht="43.15" customHeight="1" x14ac:dyDescent="0.25">
      <c r="A337" s="242" t="s">
        <v>90</v>
      </c>
      <c r="B337" s="242" t="s">
        <v>472</v>
      </c>
      <c r="C337" s="159">
        <v>400</v>
      </c>
      <c r="D337" s="114">
        <v>43180</v>
      </c>
      <c r="E337" s="114">
        <v>43188</v>
      </c>
      <c r="F337" s="114"/>
      <c r="G337" s="114"/>
      <c r="H337" s="114">
        <v>43201</v>
      </c>
      <c r="I337" s="114">
        <v>43201</v>
      </c>
      <c r="J337" s="114">
        <v>43210</v>
      </c>
      <c r="K337" s="114"/>
      <c r="L337" s="114">
        <v>43477</v>
      </c>
      <c r="M337" s="114">
        <v>43313</v>
      </c>
      <c r="N337" s="114"/>
      <c r="O337" s="114">
        <v>43481</v>
      </c>
      <c r="P337" s="114">
        <v>43481</v>
      </c>
      <c r="Q337" s="114">
        <v>43482</v>
      </c>
      <c r="R337" s="80"/>
      <c r="S337" s="114"/>
      <c r="T337" s="75"/>
      <c r="U337" s="75"/>
      <c r="V337" s="75"/>
      <c r="W337" s="75">
        <v>4</v>
      </c>
      <c r="X337" s="75">
        <v>64118</v>
      </c>
      <c r="Y337" s="75" t="str">
        <f ca="1">IF(I337="",IF(D337="","",IF(W337+X337&lt;15,"Données Nb pers ou RFR manquantes",IF(COUNTA(INDIRECT("TabRFR["&amp;YEAR(D337)&amp;"]"))&lt;&gt;COUNTA(TabRFR[Recherche RFR]),"Data RFR manquantes", IF(X337&lt;=INDEX(TabRFR[[2021]:[2025]],MATCH(BD!W337&amp;"-Très modestes",TabRFR[Recherche RFR],0),MATCH(TEXT(YEAR(BD!D337),"Standard"),TabRFR[[#Headers],[2021]:[2025]],0)),"Très Modeste",IF(X337&lt;=INDEX(TabRFR[[2021]:[2025]],MATCH(BD!W337&amp;"-modestes",TabRFR[Recherche RFR],0),MATCH(TEXT(YEAR(BD!D337),"Standard"),TabRFR[[#Headers],[2021]:[2025]],0)),"Modeste",IF(X337&lt;=INDEX(TabRFR[[2021]:[2025]],MATCH(BD!W337&amp;"-Intermédiaire",TabRFR[Recherche RFR],0),MATCH(TEXT(YEAR(BD!D337),"Standard"),TabRFR[[#Headers],[2021]:[2025]],0)),"Intermédiaire","Supérieur")))))),IF(D337="","",IF(W337+X337&lt;15,"Données Nb pers ou RFR manquantes",IF(COUNTA(INDIRECT("TabRFR["&amp;YEAR(I337)&amp;"]"))&lt;&gt;COUNTA(TabRFR[Recherche RFR]),"Data RFR manquantes", IF(X337&lt;=INDEX(TabRFR[[2021]:[2025]],MATCH(BD!W337&amp;"-Très modestes",TabRFR[Recherche RFR],0),MATCH(TEXT(YEAR(BD!I337),"Standard"),TabRFR[[#Headers],[2021]:[2025]],0)),"Très Modeste",IF(X337&lt;=INDEX(TabRFR[[2021]:[2025]],MATCH(BD!W337&amp;"-modestes",TabRFR[Recherche RFR],0),MATCH(TEXT(YEAR(BD!I337),"Standard"),TabRFR[[#Headers],[2021]:[2025]],0)),"Modeste",IF(X337&lt;=INDEX(TabRFR[[2021]:[2025]],MATCH(BD!W337&amp;"-Intermédiaire",TabRFR[Recherche RFR],0),MATCH(TEXT(YEAR(BD!I337),"Standard"),TabRFR[[#Headers],[2021]:[2025]],0)),"Intermédiaire","Supérieur")))))))</f>
        <v>Data RFR manquantes</v>
      </c>
      <c r="Z337" s="75"/>
      <c r="AA337" s="75" t="s">
        <v>473</v>
      </c>
      <c r="AB337" s="75">
        <v>38960</v>
      </c>
      <c r="AC337" s="75" t="s">
        <v>2378</v>
      </c>
      <c r="AD337" s="73"/>
      <c r="AE337" s="102"/>
      <c r="AF337" s="75" t="s">
        <v>95</v>
      </c>
      <c r="AG337" s="75"/>
      <c r="AH337" s="131">
        <v>42905</v>
      </c>
      <c r="AI337" s="75"/>
      <c r="AJ337" s="75"/>
      <c r="AK337" s="75"/>
      <c r="AL337" s="75"/>
      <c r="AM337" s="75" t="s">
        <v>4348</v>
      </c>
      <c r="AN337" s="75" t="s">
        <v>96</v>
      </c>
      <c r="AO337" s="75" t="s">
        <v>238</v>
      </c>
      <c r="AP337" s="75" t="s">
        <v>97</v>
      </c>
      <c r="AQ337" s="75"/>
      <c r="AR337" s="74">
        <v>43333</v>
      </c>
      <c r="AS337" s="102" t="s">
        <v>98</v>
      </c>
      <c r="AT337" s="73">
        <v>476323235</v>
      </c>
      <c r="AU337" s="75" t="s">
        <v>99</v>
      </c>
      <c r="AV337" s="75" t="s">
        <v>9</v>
      </c>
      <c r="AW337" s="75" t="s">
        <v>100</v>
      </c>
      <c r="AX337" s="75" t="s">
        <v>112</v>
      </c>
      <c r="AY337" s="75" t="s">
        <v>251</v>
      </c>
      <c r="AZ337" s="75" t="s">
        <v>474</v>
      </c>
      <c r="BA337" s="75">
        <v>7</v>
      </c>
      <c r="BB337" s="75">
        <v>7.5</v>
      </c>
      <c r="BC337" s="75">
        <v>79</v>
      </c>
      <c r="BD337" s="75">
        <v>0.06</v>
      </c>
      <c r="BE337" s="75" t="s">
        <v>97</v>
      </c>
      <c r="BF337" s="77"/>
      <c r="BG337" s="75">
        <v>4443</v>
      </c>
      <c r="BH337" s="75"/>
      <c r="BI337" s="75"/>
      <c r="BJ337" s="75"/>
      <c r="BK337" s="75">
        <v>730</v>
      </c>
      <c r="BL337" s="75">
        <f t="shared" si="15"/>
        <v>5173</v>
      </c>
      <c r="BM337" s="103">
        <f t="shared" si="16"/>
        <v>284.51499999999999</v>
      </c>
      <c r="BN337" s="103">
        <f t="shared" si="17"/>
        <v>5457.5150000000003</v>
      </c>
      <c r="BO337" s="103">
        <v>2723</v>
      </c>
      <c r="BP337" s="75" t="s">
        <v>97</v>
      </c>
      <c r="BQ337" s="75"/>
      <c r="BR337" s="74">
        <v>43416</v>
      </c>
      <c r="BS337" s="157">
        <v>2018</v>
      </c>
      <c r="BT337">
        <v>2020</v>
      </c>
      <c r="BU337">
        <v>2018</v>
      </c>
    </row>
    <row r="338" spans="1:73" ht="43.15" customHeight="1" x14ac:dyDescent="0.25">
      <c r="A338" s="242" t="s">
        <v>90</v>
      </c>
      <c r="B338" s="242" t="s">
        <v>475</v>
      </c>
      <c r="C338" s="159">
        <v>400</v>
      </c>
      <c r="D338" s="114">
        <v>43188</v>
      </c>
      <c r="E338" s="114">
        <v>43188</v>
      </c>
      <c r="F338" s="114"/>
      <c r="G338" s="114"/>
      <c r="H338" s="114">
        <v>43201</v>
      </c>
      <c r="I338" s="114">
        <v>43201</v>
      </c>
      <c r="J338" s="114">
        <v>43210</v>
      </c>
      <c r="K338" s="114"/>
      <c r="L338" s="114">
        <v>43378</v>
      </c>
      <c r="M338" s="114">
        <v>43231</v>
      </c>
      <c r="N338" s="114" t="s">
        <v>476</v>
      </c>
      <c r="O338" s="114">
        <v>43403</v>
      </c>
      <c r="P338" s="114">
        <v>43403</v>
      </c>
      <c r="Q338" s="114">
        <v>43431</v>
      </c>
      <c r="R338" s="80"/>
      <c r="S338" s="114"/>
      <c r="T338" s="75"/>
      <c r="U338" s="75"/>
      <c r="V338" s="75"/>
      <c r="W338" s="75">
        <v>3</v>
      </c>
      <c r="X338" s="75">
        <v>55043</v>
      </c>
      <c r="Y338" s="75" t="str">
        <f ca="1">IF(I338="",IF(D338="","",IF(W338+X338&lt;15,"Données Nb pers ou RFR manquantes",IF(COUNTA(INDIRECT("TabRFR["&amp;YEAR(D338)&amp;"]"))&lt;&gt;COUNTA(TabRFR[Recherche RFR]),"Data RFR manquantes", IF(X338&lt;=INDEX(TabRFR[[2021]:[2025]],MATCH(BD!W338&amp;"-Très modestes",TabRFR[Recherche RFR],0),MATCH(TEXT(YEAR(BD!D338),"Standard"),TabRFR[[#Headers],[2021]:[2025]],0)),"Très Modeste",IF(X338&lt;=INDEX(TabRFR[[2021]:[2025]],MATCH(BD!W338&amp;"-modestes",TabRFR[Recherche RFR],0),MATCH(TEXT(YEAR(BD!D338),"Standard"),TabRFR[[#Headers],[2021]:[2025]],0)),"Modeste",IF(X338&lt;=INDEX(TabRFR[[2021]:[2025]],MATCH(BD!W338&amp;"-Intermédiaire",TabRFR[Recherche RFR],0),MATCH(TEXT(YEAR(BD!D338),"Standard"),TabRFR[[#Headers],[2021]:[2025]],0)),"Intermédiaire","Supérieur")))))),IF(D338="","",IF(W338+X338&lt;15,"Données Nb pers ou RFR manquantes",IF(COUNTA(INDIRECT("TabRFR["&amp;YEAR(I338)&amp;"]"))&lt;&gt;COUNTA(TabRFR[Recherche RFR]),"Data RFR manquantes", IF(X338&lt;=INDEX(TabRFR[[2021]:[2025]],MATCH(BD!W338&amp;"-Très modestes",TabRFR[Recherche RFR],0),MATCH(TEXT(YEAR(BD!I338),"Standard"),TabRFR[[#Headers],[2021]:[2025]],0)),"Très Modeste",IF(X338&lt;=INDEX(TabRFR[[2021]:[2025]],MATCH(BD!W338&amp;"-modestes",TabRFR[Recherche RFR],0),MATCH(TEXT(YEAR(BD!I338),"Standard"),TabRFR[[#Headers],[2021]:[2025]],0)),"Modeste",IF(X338&lt;=INDEX(TabRFR[[2021]:[2025]],MATCH(BD!W338&amp;"-Intermédiaire",TabRFR[Recherche RFR],0),MATCH(TEXT(YEAR(BD!I338),"Standard"),TabRFR[[#Headers],[2021]:[2025]],0)),"Intermédiaire","Supérieur")))))))</f>
        <v>Data RFR manquantes</v>
      </c>
      <c r="Z338" s="75"/>
      <c r="AA338" s="75" t="s">
        <v>478</v>
      </c>
      <c r="AB338" s="75">
        <v>38960</v>
      </c>
      <c r="AC338" s="75" t="s">
        <v>2378</v>
      </c>
      <c r="AD338" s="73"/>
      <c r="AE338" s="102"/>
      <c r="AF338" s="75" t="s">
        <v>95</v>
      </c>
      <c r="AG338" s="75"/>
      <c r="AH338" s="75"/>
      <c r="AI338" s="75"/>
      <c r="AJ338" s="75"/>
      <c r="AK338" s="75"/>
      <c r="AL338" s="75"/>
      <c r="AM338" s="75" t="s">
        <v>3973</v>
      </c>
      <c r="AN338" s="75" t="s">
        <v>96</v>
      </c>
      <c r="AO338" s="75" t="s">
        <v>439</v>
      </c>
      <c r="AP338" s="75" t="s">
        <v>97</v>
      </c>
      <c r="AQ338" s="75"/>
      <c r="AR338" s="74">
        <v>43361</v>
      </c>
      <c r="AS338" s="102" t="s">
        <v>141</v>
      </c>
      <c r="AT338" s="73">
        <v>476069938</v>
      </c>
      <c r="AU338" s="75" t="s">
        <v>99</v>
      </c>
      <c r="AV338" s="75">
        <v>1991</v>
      </c>
      <c r="AW338" s="75" t="s">
        <v>111</v>
      </c>
      <c r="AX338" s="75" t="s">
        <v>112</v>
      </c>
      <c r="AY338" s="75" t="s">
        <v>144</v>
      </c>
      <c r="AZ338" s="75" t="s">
        <v>479</v>
      </c>
      <c r="BA338" s="75">
        <v>16</v>
      </c>
      <c r="BB338" s="75">
        <v>12</v>
      </c>
      <c r="BC338" s="75">
        <v>83</v>
      </c>
      <c r="BD338" s="75">
        <v>0.08</v>
      </c>
      <c r="BE338" s="75" t="s">
        <v>97</v>
      </c>
      <c r="BF338" s="75"/>
      <c r="BG338" s="75">
        <v>4800</v>
      </c>
      <c r="BH338" s="75"/>
      <c r="BI338" s="75"/>
      <c r="BJ338" s="75"/>
      <c r="BK338" s="75">
        <v>4089</v>
      </c>
      <c r="BL338" s="75">
        <f t="shared" si="15"/>
        <v>8889</v>
      </c>
      <c r="BM338" s="103">
        <f t="shared" si="16"/>
        <v>488.89499999999998</v>
      </c>
      <c r="BN338" s="103">
        <f t="shared" si="17"/>
        <v>9377.8950000000004</v>
      </c>
      <c r="BO338" s="103">
        <f>7600+1715</f>
        <v>9315</v>
      </c>
      <c r="BP338" s="75" t="s">
        <v>97</v>
      </c>
      <c r="BQ338" s="75"/>
      <c r="BR338" s="74">
        <v>43416</v>
      </c>
      <c r="BS338" s="157">
        <v>2018</v>
      </c>
      <c r="BT338">
        <v>2020</v>
      </c>
      <c r="BU338">
        <v>2018</v>
      </c>
    </row>
    <row r="339" spans="1:73" ht="43.15" customHeight="1" x14ac:dyDescent="0.25">
      <c r="A339" s="242" t="s">
        <v>90</v>
      </c>
      <c r="B339" s="242" t="s">
        <v>480</v>
      </c>
      <c r="C339" s="159">
        <v>400</v>
      </c>
      <c r="D339" s="114">
        <v>43203</v>
      </c>
      <c r="E339" s="114">
        <v>43203</v>
      </c>
      <c r="F339" s="114"/>
      <c r="G339" s="114"/>
      <c r="H339" s="114">
        <v>43235</v>
      </c>
      <c r="I339" s="114">
        <v>43235</v>
      </c>
      <c r="J339" s="114">
        <v>43248</v>
      </c>
      <c r="K339" s="114"/>
      <c r="L339" s="114">
        <v>43479</v>
      </c>
      <c r="M339" s="114">
        <v>43411</v>
      </c>
      <c r="N339" s="114"/>
      <c r="O339" s="114">
        <v>43481</v>
      </c>
      <c r="P339" s="114">
        <v>43481</v>
      </c>
      <c r="Q339" s="114">
        <v>43482</v>
      </c>
      <c r="R339" s="80"/>
      <c r="S339" s="114"/>
      <c r="T339" s="75"/>
      <c r="U339" s="75"/>
      <c r="V339" s="75"/>
      <c r="W339" s="75">
        <v>4</v>
      </c>
      <c r="X339" s="75">
        <f>33186+30719</f>
        <v>63905</v>
      </c>
      <c r="Y339" s="75" t="str">
        <f ca="1">IF(I339="",IF(D339="","",IF(W339+X339&lt;15,"Données Nb pers ou RFR manquantes",IF(COUNTA(INDIRECT("TabRFR["&amp;YEAR(D339)&amp;"]"))&lt;&gt;COUNTA(TabRFR[Recherche RFR]),"Data RFR manquantes", IF(X339&lt;=INDEX(TabRFR[[2021]:[2025]],MATCH(BD!W339&amp;"-Très modestes",TabRFR[Recherche RFR],0),MATCH(TEXT(YEAR(BD!D339),"Standard"),TabRFR[[#Headers],[2021]:[2025]],0)),"Très Modeste",IF(X339&lt;=INDEX(TabRFR[[2021]:[2025]],MATCH(BD!W339&amp;"-modestes",TabRFR[Recherche RFR],0),MATCH(TEXT(YEAR(BD!D339),"Standard"),TabRFR[[#Headers],[2021]:[2025]],0)),"Modeste",IF(X339&lt;=INDEX(TabRFR[[2021]:[2025]],MATCH(BD!W339&amp;"-Intermédiaire",TabRFR[Recherche RFR],0),MATCH(TEXT(YEAR(BD!D339),"Standard"),TabRFR[[#Headers],[2021]:[2025]],0)),"Intermédiaire","Supérieur")))))),IF(D339="","",IF(W339+X339&lt;15,"Données Nb pers ou RFR manquantes",IF(COUNTA(INDIRECT("TabRFR["&amp;YEAR(I339)&amp;"]"))&lt;&gt;COUNTA(TabRFR[Recherche RFR]),"Data RFR manquantes", IF(X339&lt;=INDEX(TabRFR[[2021]:[2025]],MATCH(BD!W339&amp;"-Très modestes",TabRFR[Recherche RFR],0),MATCH(TEXT(YEAR(BD!I339),"Standard"),TabRFR[[#Headers],[2021]:[2025]],0)),"Très Modeste",IF(X339&lt;=INDEX(TabRFR[[2021]:[2025]],MATCH(BD!W339&amp;"-modestes",TabRFR[Recherche RFR],0),MATCH(TEXT(YEAR(BD!I339),"Standard"),TabRFR[[#Headers],[2021]:[2025]],0)),"Modeste",IF(X339&lt;=INDEX(TabRFR[[2021]:[2025]],MATCH(BD!W339&amp;"-Intermédiaire",TabRFR[Recherche RFR],0),MATCH(TEXT(YEAR(BD!I339),"Standard"),TabRFR[[#Headers],[2021]:[2025]],0)),"Intermédiaire","Supérieur")))))))</f>
        <v>Data RFR manquantes</v>
      </c>
      <c r="Z339" s="75"/>
      <c r="AA339" s="75" t="s">
        <v>481</v>
      </c>
      <c r="AB339" s="75">
        <v>38960</v>
      </c>
      <c r="AC339" s="75" t="s">
        <v>2378</v>
      </c>
      <c r="AD339" s="73"/>
      <c r="AE339" s="102"/>
      <c r="AF339" s="75" t="s">
        <v>95</v>
      </c>
      <c r="AG339" s="75"/>
      <c r="AH339" s="131">
        <v>39386</v>
      </c>
      <c r="AI339" s="75"/>
      <c r="AJ339" s="75"/>
      <c r="AK339" s="75"/>
      <c r="AL339" s="75"/>
      <c r="AM339" s="75" t="s">
        <v>4236</v>
      </c>
      <c r="AN339" s="75" t="s">
        <v>4091</v>
      </c>
      <c r="AO339" s="75" t="s">
        <v>163</v>
      </c>
      <c r="AP339" s="75" t="s">
        <v>97</v>
      </c>
      <c r="AQ339" s="75"/>
      <c r="AR339" s="74">
        <v>43360</v>
      </c>
      <c r="AS339" s="102" t="s">
        <v>164</v>
      </c>
      <c r="AT339" s="73">
        <v>476370350</v>
      </c>
      <c r="AU339" s="75" t="s">
        <v>99</v>
      </c>
      <c r="AV339" s="75">
        <v>1980</v>
      </c>
      <c r="AW339" s="75" t="s">
        <v>100</v>
      </c>
      <c r="AX339" s="75" t="s">
        <v>112</v>
      </c>
      <c r="AY339" s="75" t="s">
        <v>278</v>
      </c>
      <c r="AZ339" s="75" t="s">
        <v>482</v>
      </c>
      <c r="BA339" s="75">
        <v>20</v>
      </c>
      <c r="BB339" s="75">
        <v>7</v>
      </c>
      <c r="BC339" s="75">
        <v>80.400000000000006</v>
      </c>
      <c r="BD339" s="75">
        <v>0.06</v>
      </c>
      <c r="BE339" s="75" t="s">
        <v>97</v>
      </c>
      <c r="BF339" s="77"/>
      <c r="BG339" s="75">
        <v>4631</v>
      </c>
      <c r="BH339" s="75"/>
      <c r="BI339" s="75"/>
      <c r="BJ339" s="75"/>
      <c r="BK339" s="75">
        <v>390</v>
      </c>
      <c r="BL339" s="75">
        <f t="shared" si="15"/>
        <v>5021</v>
      </c>
      <c r="BM339" s="103">
        <f t="shared" si="16"/>
        <v>276.15500000000003</v>
      </c>
      <c r="BN339" s="103">
        <f t="shared" si="17"/>
        <v>5297.1549999999997</v>
      </c>
      <c r="BO339" s="103">
        <v>5297</v>
      </c>
      <c r="BP339" s="75" t="s">
        <v>104</v>
      </c>
      <c r="BQ339" s="75"/>
      <c r="BR339" s="74">
        <v>43416</v>
      </c>
      <c r="BS339" s="157">
        <v>2018</v>
      </c>
      <c r="BT339">
        <v>2020</v>
      </c>
      <c r="BU339">
        <v>2018</v>
      </c>
    </row>
    <row r="340" spans="1:73" ht="43.15" customHeight="1" x14ac:dyDescent="0.25">
      <c r="A340" s="242" t="s">
        <v>90</v>
      </c>
      <c r="B340" s="242" t="s">
        <v>483</v>
      </c>
      <c r="C340" s="159">
        <v>400</v>
      </c>
      <c r="D340" s="114">
        <v>43193</v>
      </c>
      <c r="E340" s="114">
        <v>43195</v>
      </c>
      <c r="F340" s="114"/>
      <c r="G340" s="114"/>
      <c r="H340" s="114">
        <v>43201</v>
      </c>
      <c r="I340" s="114">
        <v>43201</v>
      </c>
      <c r="J340" s="114">
        <v>43210</v>
      </c>
      <c r="K340" s="114"/>
      <c r="L340" s="114">
        <v>43304</v>
      </c>
      <c r="M340" s="114">
        <v>43278</v>
      </c>
      <c r="N340" s="114"/>
      <c r="O340" s="114">
        <v>43308</v>
      </c>
      <c r="P340" s="114">
        <v>43308</v>
      </c>
      <c r="Q340" s="114">
        <v>43343</v>
      </c>
      <c r="R340" s="80"/>
      <c r="S340" s="114"/>
      <c r="T340" s="75"/>
      <c r="U340" s="75"/>
      <c r="V340" s="75"/>
      <c r="W340" s="75">
        <v>2</v>
      </c>
      <c r="X340" s="75">
        <v>33048</v>
      </c>
      <c r="Y340" s="75" t="str">
        <f ca="1">IF(I340="",IF(D340="","",IF(W340+X340&lt;15,"Données Nb pers ou RFR manquantes",IF(COUNTA(INDIRECT("TabRFR["&amp;YEAR(D340)&amp;"]"))&lt;&gt;COUNTA(TabRFR[Recherche RFR]),"Data RFR manquantes", IF(X340&lt;=INDEX(TabRFR[[2021]:[2025]],MATCH(BD!W340&amp;"-Très modestes",TabRFR[Recherche RFR],0),MATCH(TEXT(YEAR(BD!D340),"Standard"),TabRFR[[#Headers],[2021]:[2025]],0)),"Très Modeste",IF(X340&lt;=INDEX(TabRFR[[2021]:[2025]],MATCH(BD!W340&amp;"-modestes",TabRFR[Recherche RFR],0),MATCH(TEXT(YEAR(BD!D340),"Standard"),TabRFR[[#Headers],[2021]:[2025]],0)),"Modeste",IF(X340&lt;=INDEX(TabRFR[[2021]:[2025]],MATCH(BD!W340&amp;"-Intermédiaire",TabRFR[Recherche RFR],0),MATCH(TEXT(YEAR(BD!D340),"Standard"),TabRFR[[#Headers],[2021]:[2025]],0)),"Intermédiaire","Supérieur")))))),IF(D340="","",IF(W340+X340&lt;15,"Données Nb pers ou RFR manquantes",IF(COUNTA(INDIRECT("TabRFR["&amp;YEAR(I340)&amp;"]"))&lt;&gt;COUNTA(TabRFR[Recherche RFR]),"Data RFR manquantes", IF(X340&lt;=INDEX(TabRFR[[2021]:[2025]],MATCH(BD!W340&amp;"-Très modestes",TabRFR[Recherche RFR],0),MATCH(TEXT(YEAR(BD!I340),"Standard"),TabRFR[[#Headers],[2021]:[2025]],0)),"Très Modeste",IF(X340&lt;=INDEX(TabRFR[[2021]:[2025]],MATCH(BD!W340&amp;"-modestes",TabRFR[Recherche RFR],0),MATCH(TEXT(YEAR(BD!I340),"Standard"),TabRFR[[#Headers],[2021]:[2025]],0)),"Modeste",IF(X340&lt;=INDEX(TabRFR[[2021]:[2025]],MATCH(BD!W340&amp;"-Intermédiaire",TabRFR[Recherche RFR],0),MATCH(TEXT(YEAR(BD!I340),"Standard"),TabRFR[[#Headers],[2021]:[2025]],0)),"Intermédiaire","Supérieur")))))))</f>
        <v>Data RFR manquantes</v>
      </c>
      <c r="Z340" s="75"/>
      <c r="AA340" s="75" t="s">
        <v>485</v>
      </c>
      <c r="AB340" s="75">
        <v>38500</v>
      </c>
      <c r="AC340" s="75" t="s">
        <v>96</v>
      </c>
      <c r="AD340" s="73"/>
      <c r="AE340" s="102"/>
      <c r="AF340" s="75" t="s">
        <v>95</v>
      </c>
      <c r="AG340" s="75"/>
      <c r="AH340" s="75"/>
      <c r="AI340" s="75"/>
      <c r="AJ340" s="75"/>
      <c r="AK340" s="75"/>
      <c r="AL340" s="75"/>
      <c r="AM340" s="75" t="s">
        <v>4130</v>
      </c>
      <c r="AN340" s="75" t="s">
        <v>4349</v>
      </c>
      <c r="AO340" s="75"/>
      <c r="AP340" s="75" t="s">
        <v>97</v>
      </c>
      <c r="AQ340" s="75"/>
      <c r="AR340" s="74">
        <v>43545</v>
      </c>
      <c r="AS340" s="102" t="s">
        <v>337</v>
      </c>
      <c r="AT340" s="73">
        <v>438021901</v>
      </c>
      <c r="AU340" s="75" t="s">
        <v>111</v>
      </c>
      <c r="AV340" s="75">
        <v>1995</v>
      </c>
      <c r="AW340" s="75" t="s">
        <v>111</v>
      </c>
      <c r="AX340" s="75" t="s">
        <v>112</v>
      </c>
      <c r="AY340" s="75" t="s">
        <v>338</v>
      </c>
      <c r="AZ340" s="75" t="s">
        <v>486</v>
      </c>
      <c r="BA340" s="75">
        <v>32</v>
      </c>
      <c r="BB340" s="75">
        <v>13</v>
      </c>
      <c r="BC340" s="75">
        <v>75.400000000000006</v>
      </c>
      <c r="BD340" s="75">
        <v>0.03</v>
      </c>
      <c r="BE340" s="75" t="s">
        <v>97</v>
      </c>
      <c r="BF340" s="77"/>
      <c r="BG340" s="75">
        <v>2420</v>
      </c>
      <c r="BH340" s="75"/>
      <c r="BI340" s="75"/>
      <c r="BJ340" s="75"/>
      <c r="BK340" s="75">
        <v>3788</v>
      </c>
      <c r="BL340" s="75">
        <f t="shared" si="15"/>
        <v>6208</v>
      </c>
      <c r="BM340" s="103">
        <f t="shared" si="16"/>
        <v>341.44</v>
      </c>
      <c r="BN340" s="103">
        <f t="shared" si="17"/>
        <v>6549.44</v>
      </c>
      <c r="BO340" s="103">
        <v>5900</v>
      </c>
      <c r="BP340" s="75" t="s">
        <v>104</v>
      </c>
      <c r="BQ340" s="75"/>
      <c r="BR340" s="74">
        <v>43416</v>
      </c>
      <c r="BS340" s="157">
        <v>2018</v>
      </c>
      <c r="BT340">
        <v>2020</v>
      </c>
      <c r="BU340">
        <v>2018</v>
      </c>
    </row>
    <row r="341" spans="1:73" ht="43.15" customHeight="1" x14ac:dyDescent="0.25">
      <c r="A341" s="242" t="s">
        <v>90</v>
      </c>
      <c r="B341" s="242" t="s">
        <v>487</v>
      </c>
      <c r="C341" s="159">
        <v>800</v>
      </c>
      <c r="D341" s="114">
        <v>43196</v>
      </c>
      <c r="E341" s="114">
        <v>43196</v>
      </c>
      <c r="F341" s="114" t="s">
        <v>488</v>
      </c>
      <c r="G341" s="114" t="s">
        <v>489</v>
      </c>
      <c r="H341" s="114">
        <v>43215</v>
      </c>
      <c r="I341" s="114">
        <v>43215</v>
      </c>
      <c r="J341" s="114">
        <v>43224</v>
      </c>
      <c r="K341" s="114"/>
      <c r="L341" s="114">
        <v>43419</v>
      </c>
      <c r="M341" s="114">
        <v>43385</v>
      </c>
      <c r="N341" s="217"/>
      <c r="O341" s="114">
        <v>43437</v>
      </c>
      <c r="P341" s="114">
        <v>43437</v>
      </c>
      <c r="Q341" s="114">
        <v>43440</v>
      </c>
      <c r="R341" s="100"/>
      <c r="S341" s="114"/>
      <c r="T341" s="75"/>
      <c r="U341" s="75"/>
      <c r="V341" s="75"/>
      <c r="W341" s="75">
        <v>2</v>
      </c>
      <c r="X341" s="75">
        <f>3351+15025</f>
        <v>18376</v>
      </c>
      <c r="Y341" s="75" t="str">
        <f ca="1">IF(I341="",IF(D341="","",IF(W341+X341&lt;15,"Données Nb pers ou RFR manquantes",IF(COUNTA(INDIRECT("TabRFR["&amp;YEAR(D341)&amp;"]"))&lt;&gt;COUNTA(TabRFR[Recherche RFR]),"Data RFR manquantes", IF(X341&lt;=INDEX(TabRFR[[2021]:[2025]],MATCH(BD!W341&amp;"-Très modestes",TabRFR[Recherche RFR],0),MATCH(TEXT(YEAR(BD!D341),"Standard"),TabRFR[[#Headers],[2021]:[2025]],0)),"Très Modeste",IF(X341&lt;=INDEX(TabRFR[[2021]:[2025]],MATCH(BD!W341&amp;"-modestes",TabRFR[Recherche RFR],0),MATCH(TEXT(YEAR(BD!D341),"Standard"),TabRFR[[#Headers],[2021]:[2025]],0)),"Modeste",IF(X341&lt;=INDEX(TabRFR[[2021]:[2025]],MATCH(BD!W341&amp;"-Intermédiaire",TabRFR[Recherche RFR],0),MATCH(TEXT(YEAR(BD!D341),"Standard"),TabRFR[[#Headers],[2021]:[2025]],0)),"Intermédiaire","Supérieur")))))),IF(D341="","",IF(W341+X341&lt;15,"Données Nb pers ou RFR manquantes",IF(COUNTA(INDIRECT("TabRFR["&amp;YEAR(I341)&amp;"]"))&lt;&gt;COUNTA(TabRFR[Recherche RFR]),"Data RFR manquantes", IF(X341&lt;=INDEX(TabRFR[[2021]:[2025]],MATCH(BD!W341&amp;"-Très modestes",TabRFR[Recherche RFR],0),MATCH(TEXT(YEAR(BD!I341),"Standard"),TabRFR[[#Headers],[2021]:[2025]],0)),"Très Modeste",IF(X341&lt;=INDEX(TabRFR[[2021]:[2025]],MATCH(BD!W341&amp;"-modestes",TabRFR[Recherche RFR],0),MATCH(TEXT(YEAR(BD!I341),"Standard"),TabRFR[[#Headers],[2021]:[2025]],0)),"Modeste",IF(X341&lt;=INDEX(TabRFR[[2021]:[2025]],MATCH(BD!W341&amp;"-Intermédiaire",TabRFR[Recherche RFR],0),MATCH(TEXT(YEAR(BD!I341),"Standard"),TabRFR[[#Headers],[2021]:[2025]],0)),"Intermédiaire","Supérieur")))))))</f>
        <v>Data RFR manquantes</v>
      </c>
      <c r="Z341" s="75"/>
      <c r="AA341" s="75" t="s">
        <v>490</v>
      </c>
      <c r="AB341" s="75">
        <v>38134</v>
      </c>
      <c r="AC341" s="75" t="s">
        <v>3796</v>
      </c>
      <c r="AD341" s="73"/>
      <c r="AE341" s="102"/>
      <c r="AF341" s="75" t="s">
        <v>95</v>
      </c>
      <c r="AG341" s="75"/>
      <c r="AH341" s="75"/>
      <c r="AI341" s="75"/>
      <c r="AJ341" s="75"/>
      <c r="AK341" s="75"/>
      <c r="AL341" s="75"/>
      <c r="AM341" s="75" t="s">
        <v>4359</v>
      </c>
      <c r="AN341" s="75" t="s">
        <v>829</v>
      </c>
      <c r="AO341" s="75" t="s">
        <v>9</v>
      </c>
      <c r="AP341" s="75" t="s">
        <v>97</v>
      </c>
      <c r="AQ341" s="75"/>
      <c r="AR341" s="74">
        <v>43387</v>
      </c>
      <c r="AS341" s="102" t="s">
        <v>491</v>
      </c>
      <c r="AT341" s="73">
        <v>476452433</v>
      </c>
      <c r="AU341" s="75" t="s">
        <v>111</v>
      </c>
      <c r="AV341" s="75">
        <v>2000</v>
      </c>
      <c r="AW341" s="75" t="s">
        <v>100</v>
      </c>
      <c r="AX341" s="75" t="s">
        <v>112</v>
      </c>
      <c r="AY341" s="75" t="s">
        <v>492</v>
      </c>
      <c r="AZ341" s="75" t="s">
        <v>493</v>
      </c>
      <c r="BA341" s="75">
        <v>20</v>
      </c>
      <c r="BB341" s="75">
        <v>6</v>
      </c>
      <c r="BC341" s="75">
        <v>81</v>
      </c>
      <c r="BD341" s="75">
        <v>0.08</v>
      </c>
      <c r="BE341" s="75" t="s">
        <v>97</v>
      </c>
      <c r="BF341" s="75"/>
      <c r="BG341" s="75">
        <v>3900</v>
      </c>
      <c r="BH341" s="75"/>
      <c r="BI341" s="75"/>
      <c r="BJ341" s="75"/>
      <c r="BK341" s="75">
        <v>350</v>
      </c>
      <c r="BL341" s="75">
        <f t="shared" si="15"/>
        <v>4250</v>
      </c>
      <c r="BM341" s="103">
        <f t="shared" si="16"/>
        <v>233.75</v>
      </c>
      <c r="BN341" s="103">
        <f t="shared" si="17"/>
        <v>4483.75</v>
      </c>
      <c r="BO341" s="103"/>
      <c r="BP341" s="75" t="s">
        <v>97</v>
      </c>
      <c r="BQ341" s="75"/>
      <c r="BR341" s="74">
        <v>43416</v>
      </c>
      <c r="BS341" s="157">
        <v>2018</v>
      </c>
      <c r="BT341">
        <v>2020</v>
      </c>
      <c r="BU341">
        <v>2018</v>
      </c>
    </row>
    <row r="342" spans="1:73" ht="43.15" customHeight="1" x14ac:dyDescent="0.25">
      <c r="A342" s="242" t="s">
        <v>90</v>
      </c>
      <c r="B342" s="242" t="s">
        <v>494</v>
      </c>
      <c r="C342" s="159">
        <v>400</v>
      </c>
      <c r="D342" s="114">
        <v>43210</v>
      </c>
      <c r="E342" s="114">
        <v>43210</v>
      </c>
      <c r="F342" s="114">
        <v>43235</v>
      </c>
      <c r="G342" s="114" t="s">
        <v>495</v>
      </c>
      <c r="H342" s="114">
        <v>43236</v>
      </c>
      <c r="I342" s="114">
        <v>43236</v>
      </c>
      <c r="J342" s="114">
        <v>43248</v>
      </c>
      <c r="K342" s="114"/>
      <c r="L342" s="114">
        <v>39695</v>
      </c>
      <c r="M342" s="114">
        <v>43257</v>
      </c>
      <c r="N342" s="114"/>
      <c r="O342" s="114">
        <v>43348</v>
      </c>
      <c r="P342" s="114">
        <v>43348</v>
      </c>
      <c r="Q342" s="114">
        <v>43371</v>
      </c>
      <c r="R342" s="80"/>
      <c r="S342" s="114"/>
      <c r="T342" s="75"/>
      <c r="U342" s="75"/>
      <c r="V342" s="75"/>
      <c r="W342" s="75">
        <v>4</v>
      </c>
      <c r="X342" s="75">
        <v>88912</v>
      </c>
      <c r="Y342" s="75" t="str">
        <f ca="1">IF(I342="",IF(D342="","",IF(W342+X342&lt;15,"Données Nb pers ou RFR manquantes",IF(COUNTA(INDIRECT("TabRFR["&amp;YEAR(D342)&amp;"]"))&lt;&gt;COUNTA(TabRFR[Recherche RFR]),"Data RFR manquantes", IF(X342&lt;=INDEX(TabRFR[[2021]:[2025]],MATCH(BD!W342&amp;"-Très modestes",TabRFR[Recherche RFR],0),MATCH(TEXT(YEAR(BD!D342),"Standard"),TabRFR[[#Headers],[2021]:[2025]],0)),"Très Modeste",IF(X342&lt;=INDEX(TabRFR[[2021]:[2025]],MATCH(BD!W342&amp;"-modestes",TabRFR[Recherche RFR],0),MATCH(TEXT(YEAR(BD!D342),"Standard"),TabRFR[[#Headers],[2021]:[2025]],0)),"Modeste",IF(X342&lt;=INDEX(TabRFR[[2021]:[2025]],MATCH(BD!W342&amp;"-Intermédiaire",TabRFR[Recherche RFR],0),MATCH(TEXT(YEAR(BD!D342),"Standard"),TabRFR[[#Headers],[2021]:[2025]],0)),"Intermédiaire","Supérieur")))))),IF(D342="","",IF(W342+X342&lt;15,"Données Nb pers ou RFR manquantes",IF(COUNTA(INDIRECT("TabRFR["&amp;YEAR(I342)&amp;"]"))&lt;&gt;COUNTA(TabRFR[Recherche RFR]),"Data RFR manquantes", IF(X342&lt;=INDEX(TabRFR[[2021]:[2025]],MATCH(BD!W342&amp;"-Très modestes",TabRFR[Recherche RFR],0),MATCH(TEXT(YEAR(BD!I342),"Standard"),TabRFR[[#Headers],[2021]:[2025]],0)),"Très Modeste",IF(X342&lt;=INDEX(TabRFR[[2021]:[2025]],MATCH(BD!W342&amp;"-modestes",TabRFR[Recherche RFR],0),MATCH(TEXT(YEAR(BD!I342),"Standard"),TabRFR[[#Headers],[2021]:[2025]],0)),"Modeste",IF(X342&lt;=INDEX(TabRFR[[2021]:[2025]],MATCH(BD!W342&amp;"-Intermédiaire",TabRFR[Recherche RFR],0),MATCH(TEXT(YEAR(BD!I342),"Standard"),TabRFR[[#Headers],[2021]:[2025]],0)),"Intermédiaire","Supérieur")))))))</f>
        <v>Data RFR manquantes</v>
      </c>
      <c r="Z342" s="75"/>
      <c r="AA342" s="75" t="s">
        <v>496</v>
      </c>
      <c r="AB342" s="75">
        <v>38340</v>
      </c>
      <c r="AC342" s="75" t="s">
        <v>108</v>
      </c>
      <c r="AD342" s="73"/>
      <c r="AE342" s="102"/>
      <c r="AF342" s="75" t="s">
        <v>95</v>
      </c>
      <c r="AG342" s="75"/>
      <c r="AH342" s="75">
        <v>1998</v>
      </c>
      <c r="AI342" s="75"/>
      <c r="AJ342" s="75"/>
      <c r="AK342" s="75"/>
      <c r="AL342" s="75"/>
      <c r="AM342" s="75" t="s">
        <v>350</v>
      </c>
      <c r="AN342" s="75" t="s">
        <v>451</v>
      </c>
      <c r="AO342" s="75" t="s">
        <v>497</v>
      </c>
      <c r="AP342" s="75" t="s">
        <v>97</v>
      </c>
      <c r="AQ342" s="75"/>
      <c r="AR342" s="74">
        <v>43572</v>
      </c>
      <c r="AS342" s="102" t="s">
        <v>498</v>
      </c>
      <c r="AT342" s="73">
        <v>438920220</v>
      </c>
      <c r="AU342" s="75" t="s">
        <v>99</v>
      </c>
      <c r="AV342" s="75"/>
      <c r="AW342" s="75" t="s">
        <v>100</v>
      </c>
      <c r="AX342" s="75" t="s">
        <v>112</v>
      </c>
      <c r="AY342" s="75" t="s">
        <v>499</v>
      </c>
      <c r="AZ342" s="75" t="s">
        <v>500</v>
      </c>
      <c r="BA342" s="75">
        <v>6</v>
      </c>
      <c r="BB342" s="75">
        <v>6</v>
      </c>
      <c r="BC342" s="75">
        <v>84</v>
      </c>
      <c r="BD342" s="75">
        <v>0.06</v>
      </c>
      <c r="BE342" s="75" t="s">
        <v>97</v>
      </c>
      <c r="BF342" s="77"/>
      <c r="BG342" s="75">
        <v>2642</v>
      </c>
      <c r="BH342" s="75"/>
      <c r="BI342" s="75"/>
      <c r="BJ342" s="75"/>
      <c r="BK342" s="75">
        <v>3272</v>
      </c>
      <c r="BL342" s="75">
        <f t="shared" si="15"/>
        <v>5914</v>
      </c>
      <c r="BM342" s="103">
        <f t="shared" si="16"/>
        <v>325.27</v>
      </c>
      <c r="BN342" s="103">
        <f t="shared" si="17"/>
        <v>6239.27</v>
      </c>
      <c r="BO342" s="103">
        <v>5538</v>
      </c>
      <c r="BP342" s="75" t="s">
        <v>97</v>
      </c>
      <c r="BQ342" s="75"/>
      <c r="BR342" s="74">
        <v>43416</v>
      </c>
      <c r="BS342" s="157">
        <v>2018</v>
      </c>
      <c r="BT342">
        <v>2020</v>
      </c>
      <c r="BU342">
        <v>2018</v>
      </c>
    </row>
    <row r="343" spans="1:73" ht="43.15" customHeight="1" x14ac:dyDescent="0.25">
      <c r="A343" s="242" t="s">
        <v>501</v>
      </c>
      <c r="B343" s="242" t="s">
        <v>502</v>
      </c>
      <c r="C343" s="159">
        <v>400</v>
      </c>
      <c r="D343" s="114">
        <v>43210</v>
      </c>
      <c r="E343" s="114">
        <v>43210</v>
      </c>
      <c r="F343" s="114"/>
      <c r="G343" s="114"/>
      <c r="H343" s="114">
        <v>43223</v>
      </c>
      <c r="I343" s="114">
        <v>43236</v>
      </c>
      <c r="J343" s="114">
        <v>43248</v>
      </c>
      <c r="K343" s="114"/>
      <c r="L343" s="114">
        <v>43431</v>
      </c>
      <c r="M343" s="114">
        <v>43418</v>
      </c>
      <c r="N343" s="114"/>
      <c r="O343" s="114">
        <v>43451</v>
      </c>
      <c r="P343" s="114">
        <v>43451</v>
      </c>
      <c r="Q343" s="114">
        <v>43121</v>
      </c>
      <c r="R343" s="80"/>
      <c r="S343" s="114"/>
      <c r="T343" s="75"/>
      <c r="U343" s="75"/>
      <c r="V343" s="75"/>
      <c r="W343" s="75">
        <v>3</v>
      </c>
      <c r="X343" s="75">
        <v>51133</v>
      </c>
      <c r="Y343" s="75" t="str">
        <f ca="1">IF(I343="",IF(D343="","",IF(W343+X343&lt;15,"Données Nb pers ou RFR manquantes",IF(COUNTA(INDIRECT("TabRFR["&amp;YEAR(D343)&amp;"]"))&lt;&gt;COUNTA(TabRFR[Recherche RFR]),"Data RFR manquantes", IF(X343&lt;=INDEX(TabRFR[[2021]:[2025]],MATCH(BD!W343&amp;"-Très modestes",TabRFR[Recherche RFR],0),MATCH(TEXT(YEAR(BD!D343),"Standard"),TabRFR[[#Headers],[2021]:[2025]],0)),"Très Modeste",IF(X343&lt;=INDEX(TabRFR[[2021]:[2025]],MATCH(BD!W343&amp;"-modestes",TabRFR[Recherche RFR],0),MATCH(TEXT(YEAR(BD!D343),"Standard"),TabRFR[[#Headers],[2021]:[2025]],0)),"Modeste",IF(X343&lt;=INDEX(TabRFR[[2021]:[2025]],MATCH(BD!W343&amp;"-Intermédiaire",TabRFR[Recherche RFR],0),MATCH(TEXT(YEAR(BD!D343),"Standard"),TabRFR[[#Headers],[2021]:[2025]],0)),"Intermédiaire","Supérieur")))))),IF(D343="","",IF(W343+X343&lt;15,"Données Nb pers ou RFR manquantes",IF(COUNTA(INDIRECT("TabRFR["&amp;YEAR(I343)&amp;"]"))&lt;&gt;COUNTA(TabRFR[Recherche RFR]),"Data RFR manquantes", IF(X343&lt;=INDEX(TabRFR[[2021]:[2025]],MATCH(BD!W343&amp;"-Très modestes",TabRFR[Recherche RFR],0),MATCH(TEXT(YEAR(BD!I343),"Standard"),TabRFR[[#Headers],[2021]:[2025]],0)),"Très Modeste",IF(X343&lt;=INDEX(TabRFR[[2021]:[2025]],MATCH(BD!W343&amp;"-modestes",TabRFR[Recherche RFR],0),MATCH(TEXT(YEAR(BD!I343),"Standard"),TabRFR[[#Headers],[2021]:[2025]],0)),"Modeste",IF(X343&lt;=INDEX(TabRFR[[2021]:[2025]],MATCH(BD!W343&amp;"-Intermédiaire",TabRFR[Recherche RFR],0),MATCH(TEXT(YEAR(BD!I343),"Standard"),TabRFR[[#Headers],[2021]:[2025]],0)),"Intermédiaire","Supérieur")))))))</f>
        <v>Data RFR manquantes</v>
      </c>
      <c r="Z343" s="75"/>
      <c r="AA343" s="75" t="s">
        <v>504</v>
      </c>
      <c r="AB343" s="75">
        <v>38850</v>
      </c>
      <c r="AC343" s="75" t="s">
        <v>148</v>
      </c>
      <c r="AD343" s="73"/>
      <c r="AE343" s="102"/>
      <c r="AF343" s="75" t="s">
        <v>95</v>
      </c>
      <c r="AG343" s="75"/>
      <c r="AH343" s="75"/>
      <c r="AI343" s="75"/>
      <c r="AJ343" s="75"/>
      <c r="AK343" s="75"/>
      <c r="AL343" s="75"/>
      <c r="AM343" s="75" t="s">
        <v>4360</v>
      </c>
      <c r="AN343" s="75" t="s">
        <v>3539</v>
      </c>
      <c r="AO343" s="75" t="s">
        <v>9</v>
      </c>
      <c r="AP343" s="75" t="s">
        <v>97</v>
      </c>
      <c r="AQ343" s="75"/>
      <c r="AR343" s="74">
        <v>43547</v>
      </c>
      <c r="AS343" s="102" t="s">
        <v>505</v>
      </c>
      <c r="AT343" s="73">
        <v>469326383</v>
      </c>
      <c r="AU343" s="75" t="s">
        <v>111</v>
      </c>
      <c r="AV343" s="75">
        <v>2000</v>
      </c>
      <c r="AW343" s="75" t="s">
        <v>100</v>
      </c>
      <c r="AX343" s="75" t="s">
        <v>112</v>
      </c>
      <c r="AY343" s="75" t="s">
        <v>232</v>
      </c>
      <c r="AZ343" s="75" t="s">
        <v>506</v>
      </c>
      <c r="BA343" s="75">
        <v>40</v>
      </c>
      <c r="BB343" s="75">
        <v>7.3</v>
      </c>
      <c r="BC343" s="75">
        <v>81</v>
      </c>
      <c r="BD343" s="75">
        <v>0.05</v>
      </c>
      <c r="BE343" s="75" t="s">
        <v>97</v>
      </c>
      <c r="BF343" s="75"/>
      <c r="BG343" s="75">
        <v>2950</v>
      </c>
      <c r="BH343" s="75"/>
      <c r="BI343" s="75"/>
      <c r="BJ343" s="75"/>
      <c r="BK343" s="75">
        <v>288</v>
      </c>
      <c r="BL343" s="75">
        <f t="shared" si="15"/>
        <v>3238</v>
      </c>
      <c r="BM343" s="103">
        <f t="shared" si="16"/>
        <v>178.09</v>
      </c>
      <c r="BN343" s="103">
        <f t="shared" si="17"/>
        <v>3416.09</v>
      </c>
      <c r="BO343" s="103"/>
      <c r="BP343" s="75" t="s">
        <v>97</v>
      </c>
      <c r="BQ343" s="75"/>
      <c r="BR343" s="74">
        <v>43416</v>
      </c>
      <c r="BS343" s="157">
        <v>2018</v>
      </c>
      <c r="BT343">
        <v>2020</v>
      </c>
      <c r="BU343">
        <v>2018</v>
      </c>
    </row>
    <row r="344" spans="1:73" ht="43.15" customHeight="1" x14ac:dyDescent="0.25">
      <c r="A344" s="29" t="s">
        <v>90</v>
      </c>
      <c r="B344" s="29" t="s">
        <v>507</v>
      </c>
      <c r="C344" s="161" t="s">
        <v>9</v>
      </c>
      <c r="D344" s="110">
        <v>43217</v>
      </c>
      <c r="E344" s="110"/>
      <c r="F344" s="110">
        <v>43235</v>
      </c>
      <c r="G344" s="110" t="s">
        <v>508</v>
      </c>
      <c r="H344" s="110"/>
      <c r="I344" s="110"/>
      <c r="J344" s="110"/>
      <c r="K344" s="110"/>
      <c r="L344" s="110"/>
      <c r="M344" s="110"/>
      <c r="N344" s="110"/>
      <c r="O344" s="110"/>
      <c r="P344" s="110"/>
      <c r="Q344" s="110"/>
      <c r="R344" s="109"/>
      <c r="S344" s="110">
        <v>43308</v>
      </c>
      <c r="T344" s="111" t="s">
        <v>509</v>
      </c>
      <c r="U344" s="111"/>
      <c r="V344" s="111"/>
      <c r="W344" s="111">
        <v>2</v>
      </c>
      <c r="X344" s="111">
        <v>28195</v>
      </c>
      <c r="Y344" s="75" t="str">
        <f ca="1">IF(I344="",IF(D344="","",IF(W344+X344&lt;15,"Données Nb pers ou RFR manquantes",IF(COUNTA(INDIRECT("TabRFR["&amp;YEAR(D344)&amp;"]"))&lt;&gt;COUNTA(TabRFR[Recherche RFR]),"Data RFR manquantes", IF(X344&lt;=INDEX(TabRFR[[2021]:[2025]],MATCH(BD!W344&amp;"-Très modestes",TabRFR[Recherche RFR],0),MATCH(TEXT(YEAR(BD!D344),"Standard"),TabRFR[[#Headers],[2021]:[2025]],0)),"Très Modeste",IF(X344&lt;=INDEX(TabRFR[[2021]:[2025]],MATCH(BD!W344&amp;"-modestes",TabRFR[Recherche RFR],0),MATCH(TEXT(YEAR(BD!D344),"Standard"),TabRFR[[#Headers],[2021]:[2025]],0)),"Modeste",IF(X344&lt;=INDEX(TabRFR[[2021]:[2025]],MATCH(BD!W344&amp;"-Intermédiaire",TabRFR[Recherche RFR],0),MATCH(TEXT(YEAR(BD!D344),"Standard"),TabRFR[[#Headers],[2021]:[2025]],0)),"Intermédiaire","Supérieur")))))),IF(D344="","",IF(W344+X344&lt;15,"Données Nb pers ou RFR manquantes",IF(COUNTA(INDIRECT("TabRFR["&amp;YEAR(I344)&amp;"]"))&lt;&gt;COUNTA(TabRFR[Recherche RFR]),"Data RFR manquantes", IF(X344&lt;=INDEX(TabRFR[[2021]:[2025]],MATCH(BD!W344&amp;"-Très modestes",TabRFR[Recherche RFR],0),MATCH(TEXT(YEAR(BD!I344),"Standard"),TabRFR[[#Headers],[2021]:[2025]],0)),"Très Modeste",IF(X344&lt;=INDEX(TabRFR[[2021]:[2025]],MATCH(BD!W344&amp;"-modestes",TabRFR[Recherche RFR],0),MATCH(TEXT(YEAR(BD!I344),"Standard"),TabRFR[[#Headers],[2021]:[2025]],0)),"Modeste",IF(X344&lt;=INDEX(TabRFR[[2021]:[2025]],MATCH(BD!W344&amp;"-Intermédiaire",TabRFR[Recherche RFR],0),MATCH(TEXT(YEAR(BD!I344),"Standard"),TabRFR[[#Headers],[2021]:[2025]],0)),"Intermédiaire","Supérieur")))))))</f>
        <v>Data RFR manquantes</v>
      </c>
      <c r="Z344" s="111"/>
      <c r="AA344" s="111" t="s">
        <v>510</v>
      </c>
      <c r="AB344" s="111">
        <v>38690</v>
      </c>
      <c r="AC344" s="111" t="s">
        <v>511</v>
      </c>
      <c r="AD344" s="127"/>
      <c r="AE344" s="102"/>
      <c r="AF344" s="111" t="s">
        <v>95</v>
      </c>
      <c r="AG344" s="111"/>
      <c r="AH344" s="111"/>
      <c r="AI344" s="111"/>
      <c r="AJ344" s="111"/>
      <c r="AK344" s="111"/>
      <c r="AL344" s="111"/>
      <c r="AM344" s="111" t="s">
        <v>4236</v>
      </c>
      <c r="AN344" s="111" t="s">
        <v>4091</v>
      </c>
      <c r="AO344" s="111" t="s">
        <v>163</v>
      </c>
      <c r="AP344" s="111" t="s">
        <v>97</v>
      </c>
      <c r="AQ344" s="111"/>
      <c r="AR344" s="135">
        <v>43360</v>
      </c>
      <c r="AS344" s="102" t="s">
        <v>164</v>
      </c>
      <c r="AT344" s="127">
        <v>476370350</v>
      </c>
      <c r="AU344" s="111" t="s">
        <v>99</v>
      </c>
      <c r="AV344" s="111"/>
      <c r="AW344" s="111" t="s">
        <v>100</v>
      </c>
      <c r="AX344" s="75" t="s">
        <v>2071</v>
      </c>
      <c r="AY344" s="111" t="s">
        <v>440</v>
      </c>
      <c r="AZ344" s="111" t="s">
        <v>512</v>
      </c>
      <c r="BA344" s="111"/>
      <c r="BB344" s="111"/>
      <c r="BC344" s="111"/>
      <c r="BD344" s="111"/>
      <c r="BE344" s="111"/>
      <c r="BF344" s="111"/>
      <c r="BG344" s="111">
        <f>3104-590</f>
        <v>2514</v>
      </c>
      <c r="BH344" s="111"/>
      <c r="BI344" s="111"/>
      <c r="BJ344" s="111"/>
      <c r="BK344" s="111">
        <v>590</v>
      </c>
      <c r="BL344" s="75">
        <f t="shared" si="15"/>
        <v>3104</v>
      </c>
      <c r="BM344" s="103">
        <f t="shared" si="16"/>
        <v>170.72</v>
      </c>
      <c r="BN344" s="103">
        <f t="shared" si="17"/>
        <v>3274.72</v>
      </c>
      <c r="BO344" s="113"/>
      <c r="BP344" s="111" t="s">
        <v>104</v>
      </c>
      <c r="BQ344" s="111"/>
      <c r="BR344" s="111"/>
      <c r="BS344" s="157">
        <v>2018</v>
      </c>
      <c r="BU344" t="s">
        <v>4180</v>
      </c>
    </row>
    <row r="345" spans="1:73" ht="43.15" customHeight="1" x14ac:dyDescent="0.25">
      <c r="A345" s="242" t="s">
        <v>90</v>
      </c>
      <c r="B345" s="242" t="s">
        <v>513</v>
      </c>
      <c r="C345" s="159">
        <v>400</v>
      </c>
      <c r="D345" s="114">
        <v>43217</v>
      </c>
      <c r="E345" s="114">
        <v>43217</v>
      </c>
      <c r="F345" s="114"/>
      <c r="G345" s="114"/>
      <c r="H345" s="114">
        <v>43235</v>
      </c>
      <c r="I345" s="114">
        <v>43235</v>
      </c>
      <c r="J345" s="114">
        <v>43248</v>
      </c>
      <c r="K345" s="76"/>
      <c r="L345" s="114">
        <v>43035</v>
      </c>
      <c r="M345" s="114">
        <v>43276</v>
      </c>
      <c r="N345" s="114"/>
      <c r="O345" s="114">
        <v>43308</v>
      </c>
      <c r="P345" s="114">
        <v>43308</v>
      </c>
      <c r="Q345" s="114">
        <v>43343</v>
      </c>
      <c r="R345" s="80"/>
      <c r="S345" s="114"/>
      <c r="T345" s="75"/>
      <c r="U345" s="75"/>
      <c r="V345" s="75"/>
      <c r="W345" s="75">
        <v>3</v>
      </c>
      <c r="X345" s="75">
        <v>56479</v>
      </c>
      <c r="Y345" s="75" t="str">
        <f ca="1">IF(I345="",IF(D345="","",IF(W345+X345&lt;15,"Données Nb pers ou RFR manquantes",IF(COUNTA(INDIRECT("TabRFR["&amp;YEAR(D345)&amp;"]"))&lt;&gt;COUNTA(TabRFR[Recherche RFR]),"Data RFR manquantes", IF(X345&lt;=INDEX(TabRFR[[2021]:[2025]],MATCH(BD!W345&amp;"-Très modestes",TabRFR[Recherche RFR],0),MATCH(TEXT(YEAR(BD!D345),"Standard"),TabRFR[[#Headers],[2021]:[2025]],0)),"Très Modeste",IF(X345&lt;=INDEX(TabRFR[[2021]:[2025]],MATCH(BD!W345&amp;"-modestes",TabRFR[Recherche RFR],0),MATCH(TEXT(YEAR(BD!D345),"Standard"),TabRFR[[#Headers],[2021]:[2025]],0)),"Modeste",IF(X345&lt;=INDEX(TabRFR[[2021]:[2025]],MATCH(BD!W345&amp;"-Intermédiaire",TabRFR[Recherche RFR],0),MATCH(TEXT(YEAR(BD!D345),"Standard"),TabRFR[[#Headers],[2021]:[2025]],0)),"Intermédiaire","Supérieur")))))),IF(D345="","",IF(W345+X345&lt;15,"Données Nb pers ou RFR manquantes",IF(COUNTA(INDIRECT("TabRFR["&amp;YEAR(I345)&amp;"]"))&lt;&gt;COUNTA(TabRFR[Recherche RFR]),"Data RFR manquantes", IF(X345&lt;=INDEX(TabRFR[[2021]:[2025]],MATCH(BD!W345&amp;"-Très modestes",TabRFR[Recherche RFR],0),MATCH(TEXT(YEAR(BD!I345),"Standard"),TabRFR[[#Headers],[2021]:[2025]],0)),"Très Modeste",IF(X345&lt;=INDEX(TabRFR[[2021]:[2025]],MATCH(BD!W345&amp;"-modestes",TabRFR[Recherche RFR],0),MATCH(TEXT(YEAR(BD!I345),"Standard"),TabRFR[[#Headers],[2021]:[2025]],0)),"Modeste",IF(X345&lt;=INDEX(TabRFR[[2021]:[2025]],MATCH(BD!W345&amp;"-Intermédiaire",TabRFR[Recherche RFR],0),MATCH(TEXT(YEAR(BD!I345),"Standard"),TabRFR[[#Headers],[2021]:[2025]],0)),"Intermédiaire","Supérieur")))))))</f>
        <v>Data RFR manquantes</v>
      </c>
      <c r="Z345" s="75"/>
      <c r="AA345" s="75" t="s">
        <v>515</v>
      </c>
      <c r="AB345" s="75">
        <v>38850</v>
      </c>
      <c r="AC345" s="75" t="s">
        <v>438</v>
      </c>
      <c r="AD345" s="101"/>
      <c r="AE345" s="102"/>
      <c r="AF345" s="75" t="s">
        <v>95</v>
      </c>
      <c r="AG345" s="75"/>
      <c r="AH345" s="75"/>
      <c r="AI345" s="75"/>
      <c r="AJ345" s="75"/>
      <c r="AK345" s="75"/>
      <c r="AL345" s="75"/>
      <c r="AM345" s="75" t="s">
        <v>1886</v>
      </c>
      <c r="AN345" s="75" t="s">
        <v>195</v>
      </c>
      <c r="AO345" s="75"/>
      <c r="AP345" s="75" t="s">
        <v>97</v>
      </c>
      <c r="AQ345" s="75"/>
      <c r="AR345" s="75">
        <v>43309</v>
      </c>
      <c r="AS345" s="102" t="s">
        <v>516</v>
      </c>
      <c r="AT345" s="101">
        <v>476065876</v>
      </c>
      <c r="AU345" s="75" t="s">
        <v>111</v>
      </c>
      <c r="AV345" s="75">
        <v>2001</v>
      </c>
      <c r="AW345" s="75" t="s">
        <v>100</v>
      </c>
      <c r="AX345" s="75" t="s">
        <v>2071</v>
      </c>
      <c r="AY345" s="75" t="s">
        <v>440</v>
      </c>
      <c r="AZ345" s="75" t="s">
        <v>517</v>
      </c>
      <c r="BA345" s="75">
        <v>16</v>
      </c>
      <c r="BB345" s="75">
        <v>9.1</v>
      </c>
      <c r="BC345" s="75">
        <v>91.8</v>
      </c>
      <c r="BD345" s="75">
        <v>3.0000000000000001E-3</v>
      </c>
      <c r="BE345" s="75" t="s">
        <v>97</v>
      </c>
      <c r="BF345" s="75"/>
      <c r="BG345" s="75">
        <v>2933</v>
      </c>
      <c r="BH345" s="77"/>
      <c r="BI345" s="77"/>
      <c r="BJ345" s="77"/>
      <c r="BK345" s="75">
        <v>400</v>
      </c>
      <c r="BL345" s="75">
        <f t="shared" si="15"/>
        <v>3333</v>
      </c>
      <c r="BM345" s="103">
        <f t="shared" si="16"/>
        <v>183.315</v>
      </c>
      <c r="BN345" s="103">
        <f t="shared" si="17"/>
        <v>3516.3150000000001</v>
      </c>
      <c r="BO345" s="103">
        <v>3516.32</v>
      </c>
      <c r="BP345" s="75" t="s">
        <v>97</v>
      </c>
      <c r="BQ345" s="75"/>
      <c r="BR345" s="75"/>
      <c r="BS345" s="157">
        <v>2018</v>
      </c>
      <c r="BU345">
        <v>2018</v>
      </c>
    </row>
    <row r="346" spans="1:73" ht="43.15" customHeight="1" x14ac:dyDescent="0.25">
      <c r="A346" s="242" t="s">
        <v>90</v>
      </c>
      <c r="B346" s="242" t="s">
        <v>518</v>
      </c>
      <c r="C346" s="159">
        <v>400</v>
      </c>
      <c r="D346" s="114">
        <v>43223</v>
      </c>
      <c r="E346" s="114">
        <v>43223</v>
      </c>
      <c r="F346" s="114"/>
      <c r="G346" s="114"/>
      <c r="H346" s="114">
        <v>43235</v>
      </c>
      <c r="I346" s="114">
        <v>43235</v>
      </c>
      <c r="J346" s="114">
        <v>43248</v>
      </c>
      <c r="K346" s="76"/>
      <c r="L346" s="114">
        <v>43367</v>
      </c>
      <c r="M346" s="114">
        <v>43293</v>
      </c>
      <c r="N346" s="114"/>
      <c r="O346" s="114">
        <v>43381</v>
      </c>
      <c r="P346" s="114">
        <v>43381</v>
      </c>
      <c r="Q346" s="114">
        <v>43392</v>
      </c>
      <c r="R346" s="80"/>
      <c r="S346" s="114"/>
      <c r="T346" s="75"/>
      <c r="U346" s="75"/>
      <c r="V346" s="75"/>
      <c r="W346" s="75">
        <v>2</v>
      </c>
      <c r="X346" s="75">
        <f>26183+26349</f>
        <v>52532</v>
      </c>
      <c r="Y346" s="75" t="str">
        <f ca="1">IF(I346="",IF(D346="","",IF(W346+X346&lt;15,"Données Nb pers ou RFR manquantes",IF(COUNTA(INDIRECT("TabRFR["&amp;YEAR(D346)&amp;"]"))&lt;&gt;COUNTA(TabRFR[Recherche RFR]),"Data RFR manquantes", IF(X346&lt;=INDEX(TabRFR[[2021]:[2025]],MATCH(BD!W346&amp;"-Très modestes",TabRFR[Recherche RFR],0),MATCH(TEXT(YEAR(BD!D346),"Standard"),TabRFR[[#Headers],[2021]:[2025]],0)),"Très Modeste",IF(X346&lt;=INDEX(TabRFR[[2021]:[2025]],MATCH(BD!W346&amp;"-modestes",TabRFR[Recherche RFR],0),MATCH(TEXT(YEAR(BD!D346),"Standard"),TabRFR[[#Headers],[2021]:[2025]],0)),"Modeste",IF(X346&lt;=INDEX(TabRFR[[2021]:[2025]],MATCH(BD!W346&amp;"-Intermédiaire",TabRFR[Recherche RFR],0),MATCH(TEXT(YEAR(BD!D346),"Standard"),TabRFR[[#Headers],[2021]:[2025]],0)),"Intermédiaire","Supérieur")))))),IF(D346="","",IF(W346+X346&lt;15,"Données Nb pers ou RFR manquantes",IF(COUNTA(INDIRECT("TabRFR["&amp;YEAR(I346)&amp;"]"))&lt;&gt;COUNTA(TabRFR[Recherche RFR]),"Data RFR manquantes", IF(X346&lt;=INDEX(TabRFR[[2021]:[2025]],MATCH(BD!W346&amp;"-Très modestes",TabRFR[Recherche RFR],0),MATCH(TEXT(YEAR(BD!I346),"Standard"),TabRFR[[#Headers],[2021]:[2025]],0)),"Très Modeste",IF(X346&lt;=INDEX(TabRFR[[2021]:[2025]],MATCH(BD!W346&amp;"-modestes",TabRFR[Recherche RFR],0),MATCH(TEXT(YEAR(BD!I346),"Standard"),TabRFR[[#Headers],[2021]:[2025]],0)),"Modeste",IF(X346&lt;=INDEX(TabRFR[[2021]:[2025]],MATCH(BD!W346&amp;"-Intermédiaire",TabRFR[Recherche RFR],0),MATCH(TEXT(YEAR(BD!I346),"Standard"),TabRFR[[#Headers],[2021]:[2025]],0)),"Intermédiaire","Supérieur")))))))</f>
        <v>Data RFR manquantes</v>
      </c>
      <c r="Z346" s="75"/>
      <c r="AA346" s="75" t="s">
        <v>519</v>
      </c>
      <c r="AB346" s="75">
        <v>38430</v>
      </c>
      <c r="AC346" s="75" t="s">
        <v>3202</v>
      </c>
      <c r="AD346" s="101"/>
      <c r="AE346" s="102"/>
      <c r="AF346" s="75" t="s">
        <v>95</v>
      </c>
      <c r="AG346" s="75"/>
      <c r="AH346" s="75"/>
      <c r="AI346" s="75"/>
      <c r="AJ346" s="75"/>
      <c r="AK346" s="75"/>
      <c r="AL346" s="75"/>
      <c r="AM346" s="77" t="s">
        <v>4198</v>
      </c>
      <c r="AN346" s="75" t="s">
        <v>521</v>
      </c>
      <c r="AO346" s="75" t="s">
        <v>522</v>
      </c>
      <c r="AP346" s="75" t="s">
        <v>97</v>
      </c>
      <c r="AQ346" s="75"/>
      <c r="AR346" s="74">
        <v>43418</v>
      </c>
      <c r="AS346" s="102" t="s">
        <v>523</v>
      </c>
      <c r="AT346" s="101">
        <v>618630529</v>
      </c>
      <c r="AU346" s="75" t="s">
        <v>100</v>
      </c>
      <c r="AV346" s="75"/>
      <c r="AW346" s="75" t="s">
        <v>100</v>
      </c>
      <c r="AX346" s="75" t="s">
        <v>2071</v>
      </c>
      <c r="AY346" s="75" t="s">
        <v>133</v>
      </c>
      <c r="AZ346" s="75" t="s">
        <v>524</v>
      </c>
      <c r="BA346" s="75">
        <v>30</v>
      </c>
      <c r="BB346" s="75">
        <v>6.3</v>
      </c>
      <c r="BC346" s="75">
        <v>89</v>
      </c>
      <c r="BD346" s="75">
        <v>1.7999999999999999E-2</v>
      </c>
      <c r="BE346" s="75" t="s">
        <v>374</v>
      </c>
      <c r="BF346" s="75"/>
      <c r="BG346" s="75">
        <v>4663</v>
      </c>
      <c r="BH346" s="77"/>
      <c r="BI346" s="77"/>
      <c r="BJ346" s="77"/>
      <c r="BK346" s="75">
        <v>400</v>
      </c>
      <c r="BL346" s="75">
        <f t="shared" si="15"/>
        <v>5063</v>
      </c>
      <c r="BM346" s="103">
        <f t="shared" si="16"/>
        <v>278.46499999999997</v>
      </c>
      <c r="BN346" s="103">
        <f t="shared" si="17"/>
        <v>5341.4650000000001</v>
      </c>
      <c r="BO346" s="103">
        <v>5342.52</v>
      </c>
      <c r="BP346" s="75" t="s">
        <v>97</v>
      </c>
      <c r="BQ346" s="75"/>
      <c r="BR346" s="75"/>
      <c r="BS346" s="157">
        <v>2018</v>
      </c>
      <c r="BU346">
        <v>2018</v>
      </c>
    </row>
    <row r="347" spans="1:73" ht="43.15" customHeight="1" x14ac:dyDescent="0.25">
      <c r="A347" s="242" t="s">
        <v>90</v>
      </c>
      <c r="B347" s="242" t="s">
        <v>525</v>
      </c>
      <c r="C347" s="159">
        <v>800</v>
      </c>
      <c r="D347" s="114">
        <v>43207</v>
      </c>
      <c r="E347" s="114"/>
      <c r="F347" s="114"/>
      <c r="G347" s="114"/>
      <c r="H347" s="114">
        <v>43235</v>
      </c>
      <c r="I347" s="114">
        <v>43235</v>
      </c>
      <c r="J347" s="114">
        <v>43248</v>
      </c>
      <c r="K347" s="76"/>
      <c r="L347" s="114">
        <v>43356</v>
      </c>
      <c r="M347" s="114">
        <v>43342</v>
      </c>
      <c r="N347" s="114"/>
      <c r="O347" s="114">
        <v>43363</v>
      </c>
      <c r="P347" s="114">
        <v>43363</v>
      </c>
      <c r="Q347" s="114">
        <v>43371</v>
      </c>
      <c r="R347" s="81"/>
      <c r="S347" s="114"/>
      <c r="T347" s="75"/>
      <c r="U347" s="75"/>
      <c r="V347" s="75"/>
      <c r="W347" s="75">
        <v>4</v>
      </c>
      <c r="X347" s="75">
        <v>33522</v>
      </c>
      <c r="Y347" s="75" t="str">
        <f ca="1">IF(I347="",IF(D347="","",IF(W347+X347&lt;15,"Données Nb pers ou RFR manquantes",IF(COUNTA(INDIRECT("TabRFR["&amp;YEAR(D347)&amp;"]"))&lt;&gt;COUNTA(TabRFR[Recherche RFR]),"Data RFR manquantes", IF(X347&lt;=INDEX(TabRFR[[2021]:[2025]],MATCH(BD!W347&amp;"-Très modestes",TabRFR[Recherche RFR],0),MATCH(TEXT(YEAR(BD!D347),"Standard"),TabRFR[[#Headers],[2021]:[2025]],0)),"Très Modeste",IF(X347&lt;=INDEX(TabRFR[[2021]:[2025]],MATCH(BD!W347&amp;"-modestes",TabRFR[Recherche RFR],0),MATCH(TEXT(YEAR(BD!D347),"Standard"),TabRFR[[#Headers],[2021]:[2025]],0)),"Modeste",IF(X347&lt;=INDEX(TabRFR[[2021]:[2025]],MATCH(BD!W347&amp;"-Intermédiaire",TabRFR[Recherche RFR],0),MATCH(TEXT(YEAR(BD!D347),"Standard"),TabRFR[[#Headers],[2021]:[2025]],0)),"Intermédiaire","Supérieur")))))),IF(D347="","",IF(W347+X347&lt;15,"Données Nb pers ou RFR manquantes",IF(COUNTA(INDIRECT("TabRFR["&amp;YEAR(I347)&amp;"]"))&lt;&gt;COUNTA(TabRFR[Recherche RFR]),"Data RFR manquantes", IF(X347&lt;=INDEX(TabRFR[[2021]:[2025]],MATCH(BD!W347&amp;"-Très modestes",TabRFR[Recherche RFR],0),MATCH(TEXT(YEAR(BD!I347),"Standard"),TabRFR[[#Headers],[2021]:[2025]],0)),"Très Modeste",IF(X347&lt;=INDEX(TabRFR[[2021]:[2025]],MATCH(BD!W347&amp;"-modestes",TabRFR[Recherche RFR],0),MATCH(TEXT(YEAR(BD!I347),"Standard"),TabRFR[[#Headers],[2021]:[2025]],0)),"Modeste",IF(X347&lt;=INDEX(TabRFR[[2021]:[2025]],MATCH(BD!W347&amp;"-Intermédiaire",TabRFR[Recherche RFR],0),MATCH(TEXT(YEAR(BD!I347),"Standard"),TabRFR[[#Headers],[2021]:[2025]],0)),"Intermédiaire","Supérieur")))))))</f>
        <v>Data RFR manquantes</v>
      </c>
      <c r="Z347" s="75"/>
      <c r="AA347" s="75" t="s">
        <v>526</v>
      </c>
      <c r="AB347" s="75">
        <v>38430</v>
      </c>
      <c r="AC347" s="75" t="s">
        <v>217</v>
      </c>
      <c r="AD347" s="101"/>
      <c r="AE347" s="102"/>
      <c r="AF347" s="75" t="s">
        <v>95</v>
      </c>
      <c r="AG347" s="75"/>
      <c r="AH347" s="75">
        <v>42741</v>
      </c>
      <c r="AI347" s="75"/>
      <c r="AJ347" s="75"/>
      <c r="AK347" s="75"/>
      <c r="AL347" s="75"/>
      <c r="AM347" s="75" t="s">
        <v>4391</v>
      </c>
      <c r="AN347" s="75" t="s">
        <v>4392</v>
      </c>
      <c r="AO347" s="75" t="s">
        <v>527</v>
      </c>
      <c r="AP347" s="75" t="s">
        <v>97</v>
      </c>
      <c r="AQ347" s="75"/>
      <c r="AR347" s="75">
        <v>43452</v>
      </c>
      <c r="AS347" s="102" t="s">
        <v>528</v>
      </c>
      <c r="AT347" s="101">
        <v>613321535</v>
      </c>
      <c r="AU347" s="75" t="s">
        <v>99</v>
      </c>
      <c r="AV347" s="75">
        <v>1980</v>
      </c>
      <c r="AW347" s="75" t="s">
        <v>100</v>
      </c>
      <c r="AX347" s="75" t="s">
        <v>112</v>
      </c>
      <c r="AY347" s="75" t="s">
        <v>344</v>
      </c>
      <c r="AZ347" s="75" t="s">
        <v>529</v>
      </c>
      <c r="BA347" s="75">
        <v>12</v>
      </c>
      <c r="BB347" s="75">
        <v>10</v>
      </c>
      <c r="BC347" s="75">
        <v>86</v>
      </c>
      <c r="BD347" s="75">
        <v>0.02</v>
      </c>
      <c r="BE347" s="75" t="s">
        <v>97</v>
      </c>
      <c r="BF347" s="75"/>
      <c r="BG347" s="75">
        <f>2470-738</f>
        <v>1732</v>
      </c>
      <c r="BH347" s="77"/>
      <c r="BI347" s="77"/>
      <c r="BJ347" s="77"/>
      <c r="BK347" s="75">
        <v>738</v>
      </c>
      <c r="BL347" s="75">
        <f t="shared" si="15"/>
        <v>2470</v>
      </c>
      <c r="BM347" s="103">
        <f t="shared" si="16"/>
        <v>135.85</v>
      </c>
      <c r="BN347" s="103">
        <f t="shared" si="17"/>
        <v>2605.85</v>
      </c>
      <c r="BO347" s="103"/>
      <c r="BP347" s="75" t="s">
        <v>97</v>
      </c>
      <c r="BQ347" s="75"/>
      <c r="BR347" s="75">
        <v>43416</v>
      </c>
      <c r="BS347" s="157">
        <v>2018</v>
      </c>
      <c r="BT347">
        <v>2020</v>
      </c>
      <c r="BU347">
        <v>2018</v>
      </c>
    </row>
    <row r="348" spans="1:73" ht="43.15" customHeight="1" x14ac:dyDescent="0.25">
      <c r="A348" s="241" t="s">
        <v>90</v>
      </c>
      <c r="B348" s="241" t="s">
        <v>530</v>
      </c>
      <c r="C348" s="163">
        <v>800</v>
      </c>
      <c r="D348" s="76">
        <v>43220</v>
      </c>
      <c r="E348" s="76"/>
      <c r="F348" s="76">
        <v>43235</v>
      </c>
      <c r="G348" s="76" t="s">
        <v>531</v>
      </c>
      <c r="H348" s="76">
        <v>43284</v>
      </c>
      <c r="I348" s="76">
        <v>43284</v>
      </c>
      <c r="J348" s="76">
        <v>43293</v>
      </c>
      <c r="K348" s="76"/>
      <c r="L348" s="76">
        <v>43691</v>
      </c>
      <c r="M348" s="76">
        <v>43486</v>
      </c>
      <c r="N348" s="76"/>
      <c r="O348" s="76">
        <v>43691</v>
      </c>
      <c r="P348" s="76">
        <v>43691</v>
      </c>
      <c r="Q348" s="76">
        <v>43712</v>
      </c>
      <c r="R348" s="81"/>
      <c r="S348" s="76"/>
      <c r="T348" s="77"/>
      <c r="U348" s="77"/>
      <c r="V348" s="77"/>
      <c r="W348" s="77">
        <v>3</v>
      </c>
      <c r="X348" s="77">
        <v>10977</v>
      </c>
      <c r="Y348" s="75" t="str">
        <f ca="1">IF(I348="",IF(D348="","",IF(W348+X348&lt;15,"Données Nb pers ou RFR manquantes",IF(COUNTA(INDIRECT("TabRFR["&amp;YEAR(D348)&amp;"]"))&lt;&gt;COUNTA(TabRFR[Recherche RFR]),"Data RFR manquantes", IF(X348&lt;=INDEX(TabRFR[[2021]:[2025]],MATCH(BD!W348&amp;"-Très modestes",TabRFR[Recherche RFR],0),MATCH(TEXT(YEAR(BD!D348),"Standard"),TabRFR[[#Headers],[2021]:[2025]],0)),"Très Modeste",IF(X348&lt;=INDEX(TabRFR[[2021]:[2025]],MATCH(BD!W348&amp;"-modestes",TabRFR[Recherche RFR],0),MATCH(TEXT(YEAR(BD!D348),"Standard"),TabRFR[[#Headers],[2021]:[2025]],0)),"Modeste",IF(X348&lt;=INDEX(TabRFR[[2021]:[2025]],MATCH(BD!W348&amp;"-Intermédiaire",TabRFR[Recherche RFR],0),MATCH(TEXT(YEAR(BD!D348),"Standard"),TabRFR[[#Headers],[2021]:[2025]],0)),"Intermédiaire","Supérieur")))))),IF(D348="","",IF(W348+X348&lt;15,"Données Nb pers ou RFR manquantes",IF(COUNTA(INDIRECT("TabRFR["&amp;YEAR(I348)&amp;"]"))&lt;&gt;COUNTA(TabRFR[Recherche RFR]),"Data RFR manquantes", IF(X348&lt;=INDEX(TabRFR[[2021]:[2025]],MATCH(BD!W348&amp;"-Très modestes",TabRFR[Recherche RFR],0),MATCH(TEXT(YEAR(BD!I348),"Standard"),TabRFR[[#Headers],[2021]:[2025]],0)),"Très Modeste",IF(X348&lt;=INDEX(TabRFR[[2021]:[2025]],MATCH(BD!W348&amp;"-modestes",TabRFR[Recherche RFR],0),MATCH(TEXT(YEAR(BD!I348),"Standard"),TabRFR[[#Headers],[2021]:[2025]],0)),"Modeste",IF(X348&lt;=INDEX(TabRFR[[2021]:[2025]],MATCH(BD!W348&amp;"-Intermédiaire",TabRFR[Recherche RFR],0),MATCH(TEXT(YEAR(BD!I348),"Standard"),TabRFR[[#Headers],[2021]:[2025]],0)),"Intermédiaire","Supérieur")))))))</f>
        <v>Data RFR manquantes</v>
      </c>
      <c r="Z348" s="77"/>
      <c r="AA348" s="77" t="s">
        <v>533</v>
      </c>
      <c r="AB348" s="77">
        <v>38620</v>
      </c>
      <c r="AC348" s="77" t="s">
        <v>534</v>
      </c>
      <c r="AD348" s="78"/>
      <c r="AE348" s="102"/>
      <c r="AF348" s="77" t="s">
        <v>95</v>
      </c>
      <c r="AG348" s="77"/>
      <c r="AH348" s="77">
        <v>2011</v>
      </c>
      <c r="AI348" s="77"/>
      <c r="AJ348" s="77"/>
      <c r="AK348" s="77"/>
      <c r="AL348" s="77"/>
      <c r="AM348" s="77" t="s">
        <v>4167</v>
      </c>
      <c r="AN348" s="77" t="s">
        <v>3996</v>
      </c>
      <c r="AO348" s="77" t="s">
        <v>535</v>
      </c>
      <c r="AP348" s="77" t="s">
        <v>97</v>
      </c>
      <c r="AQ348" s="77"/>
      <c r="AR348" s="79">
        <v>43517</v>
      </c>
      <c r="AS348" s="102" t="s">
        <v>536</v>
      </c>
      <c r="AT348" s="78">
        <v>611403887</v>
      </c>
      <c r="AU348" s="77" t="s">
        <v>100</v>
      </c>
      <c r="AV348" s="77" t="s">
        <v>9</v>
      </c>
      <c r="AW348" s="77" t="s">
        <v>100</v>
      </c>
      <c r="AX348" s="77" t="s">
        <v>112</v>
      </c>
      <c r="AY348" s="77" t="s">
        <v>316</v>
      </c>
      <c r="AZ348" s="77" t="s">
        <v>537</v>
      </c>
      <c r="BA348" s="77">
        <v>25</v>
      </c>
      <c r="BB348" s="77">
        <v>6</v>
      </c>
      <c r="BC348" s="77">
        <v>80.3</v>
      </c>
      <c r="BD348" s="77">
        <v>7.0000000000000007E-2</v>
      </c>
      <c r="BE348" s="77" t="s">
        <v>97</v>
      </c>
      <c r="BF348" s="77"/>
      <c r="BG348" s="77">
        <f>2935-700</f>
        <v>2235</v>
      </c>
      <c r="BH348" s="77"/>
      <c r="BI348" s="77"/>
      <c r="BJ348" s="77"/>
      <c r="BK348" s="77">
        <v>700</v>
      </c>
      <c r="BL348" s="75">
        <f t="shared" si="15"/>
        <v>2935</v>
      </c>
      <c r="BM348" s="103">
        <f t="shared" si="16"/>
        <v>161.42500000000001</v>
      </c>
      <c r="BN348" s="103">
        <f t="shared" si="17"/>
        <v>3096.4250000000002</v>
      </c>
      <c r="BO348" s="80"/>
      <c r="BP348" s="77" t="s">
        <v>97</v>
      </c>
      <c r="BQ348" s="77"/>
      <c r="BR348" s="74">
        <v>43416</v>
      </c>
      <c r="BS348" s="157">
        <v>2018</v>
      </c>
      <c r="BT348">
        <v>2020</v>
      </c>
      <c r="BU348">
        <v>2018</v>
      </c>
    </row>
    <row r="349" spans="1:73" ht="43.15" customHeight="1" x14ac:dyDescent="0.25">
      <c r="A349" s="242" t="s">
        <v>90</v>
      </c>
      <c r="B349" s="242" t="s">
        <v>538</v>
      </c>
      <c r="C349" s="159">
        <v>800</v>
      </c>
      <c r="D349" s="114">
        <v>43223</v>
      </c>
      <c r="E349" s="114"/>
      <c r="F349" s="114"/>
      <c r="G349" s="114"/>
      <c r="H349" s="114">
        <v>43236</v>
      </c>
      <c r="I349" s="114">
        <v>43236</v>
      </c>
      <c r="J349" s="114">
        <v>43248</v>
      </c>
      <c r="K349" s="114"/>
      <c r="L349" s="114">
        <v>43349</v>
      </c>
      <c r="M349" s="114">
        <v>43312</v>
      </c>
      <c r="N349" s="114"/>
      <c r="O349" s="114">
        <v>43350</v>
      </c>
      <c r="P349" s="114">
        <v>43350</v>
      </c>
      <c r="Q349" s="114">
        <v>43371</v>
      </c>
      <c r="R349" s="100"/>
      <c r="S349" s="114"/>
      <c r="T349" s="75"/>
      <c r="U349" s="75"/>
      <c r="V349" s="75"/>
      <c r="W349" s="75">
        <v>2</v>
      </c>
      <c r="X349" s="75">
        <v>21515</v>
      </c>
      <c r="Y349" s="75" t="str">
        <f ca="1">IF(I349="",IF(D349="","",IF(W349+X349&lt;15,"Données Nb pers ou RFR manquantes",IF(COUNTA(INDIRECT("TabRFR["&amp;YEAR(D349)&amp;"]"))&lt;&gt;COUNTA(TabRFR[Recherche RFR]),"Data RFR manquantes", IF(X349&lt;=INDEX(TabRFR[[2021]:[2025]],MATCH(BD!W349&amp;"-Très modestes",TabRFR[Recherche RFR],0),MATCH(TEXT(YEAR(BD!D349),"Standard"),TabRFR[[#Headers],[2021]:[2025]],0)),"Très Modeste",IF(X349&lt;=INDEX(TabRFR[[2021]:[2025]],MATCH(BD!W349&amp;"-modestes",TabRFR[Recherche RFR],0),MATCH(TEXT(YEAR(BD!D349),"Standard"),TabRFR[[#Headers],[2021]:[2025]],0)),"Modeste",IF(X349&lt;=INDEX(TabRFR[[2021]:[2025]],MATCH(BD!W349&amp;"-Intermédiaire",TabRFR[Recherche RFR],0),MATCH(TEXT(YEAR(BD!D349),"Standard"),TabRFR[[#Headers],[2021]:[2025]],0)),"Intermédiaire","Supérieur")))))),IF(D349="","",IF(W349+X349&lt;15,"Données Nb pers ou RFR manquantes",IF(COUNTA(INDIRECT("TabRFR["&amp;YEAR(I349)&amp;"]"))&lt;&gt;COUNTA(TabRFR[Recherche RFR]),"Data RFR manquantes", IF(X349&lt;=INDEX(TabRFR[[2021]:[2025]],MATCH(BD!W349&amp;"-Très modestes",TabRFR[Recherche RFR],0),MATCH(TEXT(YEAR(BD!I349),"Standard"),TabRFR[[#Headers],[2021]:[2025]],0)),"Très Modeste",IF(X349&lt;=INDEX(TabRFR[[2021]:[2025]],MATCH(BD!W349&amp;"-modestes",TabRFR[Recherche RFR],0),MATCH(TEXT(YEAR(BD!I349),"Standard"),TabRFR[[#Headers],[2021]:[2025]],0)),"Modeste",IF(X349&lt;=INDEX(TabRFR[[2021]:[2025]],MATCH(BD!W349&amp;"-Intermédiaire",TabRFR[Recherche RFR],0),MATCH(TEXT(YEAR(BD!I349),"Standard"),TabRFR[[#Headers],[2021]:[2025]],0)),"Intermédiaire","Supérieur")))))))</f>
        <v>Data RFR manquantes</v>
      </c>
      <c r="Z349" s="75"/>
      <c r="AA349" s="75" t="s">
        <v>539</v>
      </c>
      <c r="AB349" s="75">
        <v>38850</v>
      </c>
      <c r="AC349" s="75" t="s">
        <v>148</v>
      </c>
      <c r="AD349" s="73"/>
      <c r="AE349" s="102"/>
      <c r="AF349" s="75" t="s">
        <v>95</v>
      </c>
      <c r="AG349" s="75"/>
      <c r="AH349" s="75"/>
      <c r="AI349" s="75"/>
      <c r="AJ349" s="75"/>
      <c r="AK349" s="75"/>
      <c r="AL349" s="75"/>
      <c r="AM349" s="75" t="s">
        <v>4356</v>
      </c>
      <c r="AN349" s="75" t="s">
        <v>96</v>
      </c>
      <c r="AO349" s="75" t="s">
        <v>119</v>
      </c>
      <c r="AP349" s="75" t="s">
        <v>97</v>
      </c>
      <c r="AQ349" s="75"/>
      <c r="AR349" s="74">
        <v>43407</v>
      </c>
      <c r="AS349" s="102" t="s">
        <v>120</v>
      </c>
      <c r="AT349" s="73">
        <v>476076114</v>
      </c>
      <c r="AU349" s="75" t="s">
        <v>111</v>
      </c>
      <c r="AV349" s="75"/>
      <c r="AW349" s="75" t="s">
        <v>100</v>
      </c>
      <c r="AX349" s="75" t="s">
        <v>2071</v>
      </c>
      <c r="AY349" s="75" t="s">
        <v>102</v>
      </c>
      <c r="AZ349" s="75" t="s">
        <v>540</v>
      </c>
      <c r="BA349" s="75">
        <v>17</v>
      </c>
      <c r="BB349" s="75">
        <v>8.1</v>
      </c>
      <c r="BC349" s="75">
        <v>90.9</v>
      </c>
      <c r="BD349" s="75">
        <v>0</v>
      </c>
      <c r="BE349" s="75" t="s">
        <v>97</v>
      </c>
      <c r="BF349" s="77"/>
      <c r="BG349" s="75">
        <v>3522</v>
      </c>
      <c r="BH349" s="75"/>
      <c r="BI349" s="75"/>
      <c r="BJ349" s="75"/>
      <c r="BK349" s="75">
        <v>420</v>
      </c>
      <c r="BL349" s="75">
        <f t="shared" si="15"/>
        <v>3942</v>
      </c>
      <c r="BM349" s="103">
        <f t="shared" si="16"/>
        <v>216.81</v>
      </c>
      <c r="BN349" s="103">
        <f t="shared" si="17"/>
        <v>4158.8100000000004</v>
      </c>
      <c r="BO349" s="103">
        <v>4000</v>
      </c>
      <c r="BP349" s="75" t="s">
        <v>97</v>
      </c>
      <c r="BQ349" s="75"/>
      <c r="BR349" s="75"/>
      <c r="BS349" s="157">
        <v>2018</v>
      </c>
      <c r="BU349">
        <v>2018</v>
      </c>
    </row>
    <row r="350" spans="1:73" ht="43.15" customHeight="1" x14ac:dyDescent="0.25">
      <c r="A350" s="242" t="s">
        <v>90</v>
      </c>
      <c r="B350" s="242" t="s">
        <v>541</v>
      </c>
      <c r="C350" s="159">
        <v>400</v>
      </c>
      <c r="D350" s="114">
        <v>43234</v>
      </c>
      <c r="E350" s="114">
        <v>43234</v>
      </c>
      <c r="F350" s="114"/>
      <c r="G350" s="114"/>
      <c r="H350" s="114">
        <v>43236</v>
      </c>
      <c r="I350" s="114">
        <v>43236</v>
      </c>
      <c r="J350" s="114">
        <v>43248</v>
      </c>
      <c r="K350" s="114"/>
      <c r="L350" s="114">
        <v>43315</v>
      </c>
      <c r="M350" s="114">
        <v>43308</v>
      </c>
      <c r="N350" s="114"/>
      <c r="O350" s="114">
        <v>43322</v>
      </c>
      <c r="P350" s="114">
        <v>43322</v>
      </c>
      <c r="Q350" s="114">
        <v>43367</v>
      </c>
      <c r="R350" s="80"/>
      <c r="S350" s="114"/>
      <c r="T350" s="75"/>
      <c r="U350" s="75"/>
      <c r="V350" s="75"/>
      <c r="W350" s="75">
        <v>2</v>
      </c>
      <c r="X350" s="75">
        <v>44959</v>
      </c>
      <c r="Y350" s="75" t="str">
        <f ca="1">IF(I350="",IF(D350="","",IF(W350+X350&lt;15,"Données Nb pers ou RFR manquantes",IF(COUNTA(INDIRECT("TabRFR["&amp;YEAR(D350)&amp;"]"))&lt;&gt;COUNTA(TabRFR[Recherche RFR]),"Data RFR manquantes", IF(X350&lt;=INDEX(TabRFR[[2021]:[2025]],MATCH(BD!W350&amp;"-Très modestes",TabRFR[Recherche RFR],0),MATCH(TEXT(YEAR(BD!D350),"Standard"),TabRFR[[#Headers],[2021]:[2025]],0)),"Très Modeste",IF(X350&lt;=INDEX(TabRFR[[2021]:[2025]],MATCH(BD!W350&amp;"-modestes",TabRFR[Recherche RFR],0),MATCH(TEXT(YEAR(BD!D350),"Standard"),TabRFR[[#Headers],[2021]:[2025]],0)),"Modeste",IF(X350&lt;=INDEX(TabRFR[[2021]:[2025]],MATCH(BD!W350&amp;"-Intermédiaire",TabRFR[Recherche RFR],0),MATCH(TEXT(YEAR(BD!D350),"Standard"),TabRFR[[#Headers],[2021]:[2025]],0)),"Intermédiaire","Supérieur")))))),IF(D350="","",IF(W350+X350&lt;15,"Données Nb pers ou RFR manquantes",IF(COUNTA(INDIRECT("TabRFR["&amp;YEAR(I350)&amp;"]"))&lt;&gt;COUNTA(TabRFR[Recherche RFR]),"Data RFR manquantes", IF(X350&lt;=INDEX(TabRFR[[2021]:[2025]],MATCH(BD!W350&amp;"-Très modestes",TabRFR[Recherche RFR],0),MATCH(TEXT(YEAR(BD!I350),"Standard"),TabRFR[[#Headers],[2021]:[2025]],0)),"Très Modeste",IF(X350&lt;=INDEX(TabRFR[[2021]:[2025]],MATCH(BD!W350&amp;"-modestes",TabRFR[Recherche RFR],0),MATCH(TEXT(YEAR(BD!I350),"Standard"),TabRFR[[#Headers],[2021]:[2025]],0)),"Modeste",IF(X350&lt;=INDEX(TabRFR[[2021]:[2025]],MATCH(BD!W350&amp;"-Intermédiaire",TabRFR[Recherche RFR],0),MATCH(TEXT(YEAR(BD!I350),"Standard"),TabRFR[[#Headers],[2021]:[2025]],0)),"Intermédiaire","Supérieur")))))))</f>
        <v>Data RFR manquantes</v>
      </c>
      <c r="Z350" s="75"/>
      <c r="AA350" s="75" t="s">
        <v>542</v>
      </c>
      <c r="AB350" s="75">
        <v>38500</v>
      </c>
      <c r="AC350" s="75" t="s">
        <v>2873</v>
      </c>
      <c r="AD350" s="73"/>
      <c r="AE350" s="102"/>
      <c r="AF350" s="75" t="s">
        <v>95</v>
      </c>
      <c r="AG350" s="75"/>
      <c r="AH350" s="75"/>
      <c r="AI350" s="75"/>
      <c r="AJ350" s="75"/>
      <c r="AK350" s="75"/>
      <c r="AL350" s="75"/>
      <c r="AM350" s="77" t="s">
        <v>3973</v>
      </c>
      <c r="AN350" s="75" t="s">
        <v>96</v>
      </c>
      <c r="AO350" s="75" t="s">
        <v>439</v>
      </c>
      <c r="AP350" s="75" t="s">
        <v>97</v>
      </c>
      <c r="AQ350" s="75"/>
      <c r="AR350" s="74">
        <v>43361</v>
      </c>
      <c r="AS350" s="102" t="s">
        <v>141</v>
      </c>
      <c r="AT350" s="73">
        <v>476069938</v>
      </c>
      <c r="AU350" s="75" t="s">
        <v>111</v>
      </c>
      <c r="AV350" s="75">
        <v>1985</v>
      </c>
      <c r="AW350" s="75" t="s">
        <v>100</v>
      </c>
      <c r="AX350" s="75" t="s">
        <v>112</v>
      </c>
      <c r="AY350" s="75" t="s">
        <v>144</v>
      </c>
      <c r="AZ350" s="75" t="s">
        <v>543</v>
      </c>
      <c r="BA350" s="75">
        <v>17</v>
      </c>
      <c r="BB350" s="75">
        <v>9</v>
      </c>
      <c r="BC350" s="75">
        <v>79.5</v>
      </c>
      <c r="BD350" s="75">
        <v>0.12</v>
      </c>
      <c r="BE350" s="75" t="s">
        <v>97</v>
      </c>
      <c r="BF350" s="77"/>
      <c r="BG350" s="75">
        <v>6701</v>
      </c>
      <c r="BH350" s="75"/>
      <c r="BI350" s="75"/>
      <c r="BJ350" s="75"/>
      <c r="BK350" s="75">
        <v>980</v>
      </c>
      <c r="BL350" s="75">
        <f t="shared" si="15"/>
        <v>7681</v>
      </c>
      <c r="BM350" s="103">
        <f t="shared" si="16"/>
        <v>422.45499999999998</v>
      </c>
      <c r="BN350" s="103">
        <f t="shared" si="17"/>
        <v>8103.4549999999999</v>
      </c>
      <c r="BO350" s="103">
        <v>6722.59</v>
      </c>
      <c r="BP350" s="75" t="s">
        <v>97</v>
      </c>
      <c r="BQ350" s="75"/>
      <c r="BR350" s="74">
        <v>43416</v>
      </c>
      <c r="BS350" s="157">
        <v>2018</v>
      </c>
      <c r="BT350">
        <v>2020</v>
      </c>
      <c r="BU350">
        <v>2018</v>
      </c>
    </row>
    <row r="351" spans="1:73" ht="43.15" customHeight="1" x14ac:dyDescent="0.25">
      <c r="A351" s="242" t="s">
        <v>90</v>
      </c>
      <c r="B351" s="242" t="s">
        <v>544</v>
      </c>
      <c r="C351" s="159">
        <v>400</v>
      </c>
      <c r="D351" s="114">
        <v>43229</v>
      </c>
      <c r="E351" s="114">
        <v>43234</v>
      </c>
      <c r="F351" s="114"/>
      <c r="G351" s="114"/>
      <c r="H351" s="114">
        <v>43236</v>
      </c>
      <c r="I351" s="114">
        <v>43236</v>
      </c>
      <c r="J351" s="114">
        <v>43248</v>
      </c>
      <c r="K351" s="114"/>
      <c r="L351" s="114">
        <v>43297</v>
      </c>
      <c r="M351" s="114">
        <v>43293</v>
      </c>
      <c r="N351" s="114" t="s">
        <v>9</v>
      </c>
      <c r="O351" s="114">
        <v>43322</v>
      </c>
      <c r="P351" s="114">
        <v>43322</v>
      </c>
      <c r="Q351" s="114">
        <v>43431</v>
      </c>
      <c r="R351" s="80"/>
      <c r="S351" s="114"/>
      <c r="T351" s="75"/>
      <c r="U351" s="75"/>
      <c r="V351" s="75"/>
      <c r="W351" s="75">
        <v>2</v>
      </c>
      <c r="X351" s="75">
        <v>40185</v>
      </c>
      <c r="Y351" s="75" t="str">
        <f ca="1">IF(I351="",IF(D351="","",IF(W351+X351&lt;15,"Données Nb pers ou RFR manquantes",IF(COUNTA(INDIRECT("TabRFR["&amp;YEAR(D351)&amp;"]"))&lt;&gt;COUNTA(TabRFR[Recherche RFR]),"Data RFR manquantes", IF(X351&lt;=INDEX(TabRFR[[2021]:[2025]],MATCH(BD!W351&amp;"-Très modestes",TabRFR[Recherche RFR],0),MATCH(TEXT(YEAR(BD!D351),"Standard"),TabRFR[[#Headers],[2021]:[2025]],0)),"Très Modeste",IF(X351&lt;=INDEX(TabRFR[[2021]:[2025]],MATCH(BD!W351&amp;"-modestes",TabRFR[Recherche RFR],0),MATCH(TEXT(YEAR(BD!D351),"Standard"),TabRFR[[#Headers],[2021]:[2025]],0)),"Modeste",IF(X351&lt;=INDEX(TabRFR[[2021]:[2025]],MATCH(BD!W351&amp;"-Intermédiaire",TabRFR[Recherche RFR],0),MATCH(TEXT(YEAR(BD!D351),"Standard"),TabRFR[[#Headers],[2021]:[2025]],0)),"Intermédiaire","Supérieur")))))),IF(D351="","",IF(W351+X351&lt;15,"Données Nb pers ou RFR manquantes",IF(COUNTA(INDIRECT("TabRFR["&amp;YEAR(I351)&amp;"]"))&lt;&gt;COUNTA(TabRFR[Recherche RFR]),"Data RFR manquantes", IF(X351&lt;=INDEX(TabRFR[[2021]:[2025]],MATCH(BD!W351&amp;"-Très modestes",TabRFR[Recherche RFR],0),MATCH(TEXT(YEAR(BD!I351),"Standard"),TabRFR[[#Headers],[2021]:[2025]],0)),"Très Modeste",IF(X351&lt;=INDEX(TabRFR[[2021]:[2025]],MATCH(BD!W351&amp;"-modestes",TabRFR[Recherche RFR],0),MATCH(TEXT(YEAR(BD!I351),"Standard"),TabRFR[[#Headers],[2021]:[2025]],0)),"Modeste",IF(X351&lt;=INDEX(TabRFR[[2021]:[2025]],MATCH(BD!W351&amp;"-Intermédiaire",TabRFR[Recherche RFR],0),MATCH(TEXT(YEAR(BD!I351),"Standard"),TabRFR[[#Headers],[2021]:[2025]],0)),"Intermédiaire","Supérieur")))))))</f>
        <v>Data RFR manquantes</v>
      </c>
      <c r="Z351" s="75"/>
      <c r="AA351" s="75" t="s">
        <v>546</v>
      </c>
      <c r="AB351" s="75">
        <v>38500</v>
      </c>
      <c r="AC351" s="75" t="s">
        <v>96</v>
      </c>
      <c r="AD351" s="73"/>
      <c r="AE351" s="102"/>
      <c r="AF351" s="75" t="s">
        <v>95</v>
      </c>
      <c r="AG351" s="75"/>
      <c r="AH351" s="75"/>
      <c r="AI351" s="75"/>
      <c r="AJ351" s="75"/>
      <c r="AK351" s="75"/>
      <c r="AL351" s="75"/>
      <c r="AM351" s="75" t="s">
        <v>3973</v>
      </c>
      <c r="AN351" s="75" t="s">
        <v>96</v>
      </c>
      <c r="AO351" s="75" t="s">
        <v>439</v>
      </c>
      <c r="AP351" s="75" t="s">
        <v>97</v>
      </c>
      <c r="AQ351" s="75"/>
      <c r="AR351" s="74">
        <v>43361</v>
      </c>
      <c r="AS351" s="102" t="s">
        <v>141</v>
      </c>
      <c r="AT351" s="73">
        <v>476069939</v>
      </c>
      <c r="AU351" s="75" t="s">
        <v>111</v>
      </c>
      <c r="AV351" s="75">
        <v>1999</v>
      </c>
      <c r="AW351" s="75" t="s">
        <v>100</v>
      </c>
      <c r="AX351" s="75" t="s">
        <v>112</v>
      </c>
      <c r="AY351" s="75" t="s">
        <v>144</v>
      </c>
      <c r="AZ351" s="75" t="s">
        <v>547</v>
      </c>
      <c r="BA351" s="75">
        <v>35</v>
      </c>
      <c r="BB351" s="75">
        <v>5.9</v>
      </c>
      <c r="BC351" s="75">
        <v>80.2</v>
      </c>
      <c r="BD351" s="75">
        <v>0.09</v>
      </c>
      <c r="BE351" s="75" t="s">
        <v>97</v>
      </c>
      <c r="BF351" s="75"/>
      <c r="BG351" s="75">
        <v>3052</v>
      </c>
      <c r="BH351" s="75"/>
      <c r="BI351" s="75"/>
      <c r="BJ351" s="75"/>
      <c r="BK351" s="75">
        <v>301</v>
      </c>
      <c r="BL351" s="75">
        <f t="shared" si="15"/>
        <v>3353</v>
      </c>
      <c r="BM351" s="103">
        <f t="shared" si="16"/>
        <v>184.41499999999999</v>
      </c>
      <c r="BN351" s="103">
        <f t="shared" si="17"/>
        <v>3537.415</v>
      </c>
      <c r="BO351" s="103">
        <v>3537.74</v>
      </c>
      <c r="BP351" s="75" t="s">
        <v>104</v>
      </c>
      <c r="BQ351" s="75"/>
      <c r="BR351" s="74">
        <v>43416</v>
      </c>
      <c r="BS351" s="157">
        <v>2018</v>
      </c>
      <c r="BT351">
        <v>2020</v>
      </c>
      <c r="BU351">
        <v>2018</v>
      </c>
    </row>
    <row r="352" spans="1:73" ht="43.15" customHeight="1" x14ac:dyDescent="0.25">
      <c r="A352" s="242" t="s">
        <v>90</v>
      </c>
      <c r="B352" s="242" t="s">
        <v>548</v>
      </c>
      <c r="C352" s="159">
        <v>400</v>
      </c>
      <c r="D352" s="114">
        <v>43229</v>
      </c>
      <c r="E352" s="114">
        <v>43234</v>
      </c>
      <c r="F352" s="114" t="s">
        <v>549</v>
      </c>
      <c r="G352" s="114"/>
      <c r="H352" s="114">
        <v>43236</v>
      </c>
      <c r="I352" s="114">
        <v>43236</v>
      </c>
      <c r="J352" s="114">
        <v>43248</v>
      </c>
      <c r="K352" s="114"/>
      <c r="L352" s="114">
        <v>43354</v>
      </c>
      <c r="M352" s="114">
        <v>43340</v>
      </c>
      <c r="N352" s="114"/>
      <c r="O352" s="114"/>
      <c r="P352" s="114">
        <v>43371</v>
      </c>
      <c r="Q352" s="114">
        <v>43371</v>
      </c>
      <c r="R352" s="100"/>
      <c r="S352" s="114"/>
      <c r="T352" s="75"/>
      <c r="U352" s="75"/>
      <c r="V352" s="75"/>
      <c r="W352" s="75">
        <v>3</v>
      </c>
      <c r="X352" s="75">
        <v>63801</v>
      </c>
      <c r="Y352" s="75" t="str">
        <f ca="1">IF(I352="",IF(D352="","",IF(W352+X352&lt;15,"Données Nb pers ou RFR manquantes",IF(COUNTA(INDIRECT("TabRFR["&amp;YEAR(D352)&amp;"]"))&lt;&gt;COUNTA(TabRFR[Recherche RFR]),"Data RFR manquantes", IF(X352&lt;=INDEX(TabRFR[[2021]:[2025]],MATCH(BD!W352&amp;"-Très modestes",TabRFR[Recherche RFR],0),MATCH(TEXT(YEAR(BD!D352),"Standard"),TabRFR[[#Headers],[2021]:[2025]],0)),"Très Modeste",IF(X352&lt;=INDEX(TabRFR[[2021]:[2025]],MATCH(BD!W352&amp;"-modestes",TabRFR[Recherche RFR],0),MATCH(TEXT(YEAR(BD!D352),"Standard"),TabRFR[[#Headers],[2021]:[2025]],0)),"Modeste",IF(X352&lt;=INDEX(TabRFR[[2021]:[2025]],MATCH(BD!W352&amp;"-Intermédiaire",TabRFR[Recherche RFR],0),MATCH(TEXT(YEAR(BD!D352),"Standard"),TabRFR[[#Headers],[2021]:[2025]],0)),"Intermédiaire","Supérieur")))))),IF(D352="","",IF(W352+X352&lt;15,"Données Nb pers ou RFR manquantes",IF(COUNTA(INDIRECT("TabRFR["&amp;YEAR(I352)&amp;"]"))&lt;&gt;COUNTA(TabRFR[Recherche RFR]),"Data RFR manquantes", IF(X352&lt;=INDEX(TabRFR[[2021]:[2025]],MATCH(BD!W352&amp;"-Très modestes",TabRFR[Recherche RFR],0),MATCH(TEXT(YEAR(BD!I352),"Standard"),TabRFR[[#Headers],[2021]:[2025]],0)),"Très Modeste",IF(X352&lt;=INDEX(TabRFR[[2021]:[2025]],MATCH(BD!W352&amp;"-modestes",TabRFR[Recherche RFR],0),MATCH(TEXT(YEAR(BD!I352),"Standard"),TabRFR[[#Headers],[2021]:[2025]],0)),"Modeste",IF(X352&lt;=INDEX(TabRFR[[2021]:[2025]],MATCH(BD!W352&amp;"-Intermédiaire",TabRFR[Recherche RFR],0),MATCH(TEXT(YEAR(BD!I352),"Standard"),TabRFR[[#Headers],[2021]:[2025]],0)),"Intermédiaire","Supérieur")))))))</f>
        <v>Data RFR manquantes</v>
      </c>
      <c r="Z352" s="75"/>
      <c r="AA352" s="75" t="s">
        <v>550</v>
      </c>
      <c r="AB352" s="75">
        <v>38500</v>
      </c>
      <c r="AC352" s="75" t="s">
        <v>96</v>
      </c>
      <c r="AD352" s="73"/>
      <c r="AE352" s="102"/>
      <c r="AF352" s="75" t="s">
        <v>95</v>
      </c>
      <c r="AG352" s="75"/>
      <c r="AH352" s="75"/>
      <c r="AI352" s="75"/>
      <c r="AJ352" s="75"/>
      <c r="AK352" s="75"/>
      <c r="AL352" s="75"/>
      <c r="AM352" s="75" t="s">
        <v>4035</v>
      </c>
      <c r="AN352" s="75" t="s">
        <v>108</v>
      </c>
      <c r="AO352" s="75" t="s">
        <v>109</v>
      </c>
      <c r="AP352" s="75" t="s">
        <v>97</v>
      </c>
      <c r="AQ352" s="75"/>
      <c r="AR352" s="74">
        <v>43279</v>
      </c>
      <c r="AS352" s="102" t="s">
        <v>110</v>
      </c>
      <c r="AT352" s="73">
        <v>476500550</v>
      </c>
      <c r="AU352" s="75" t="s">
        <v>111</v>
      </c>
      <c r="AV352" s="75"/>
      <c r="AW352" s="75" t="s">
        <v>111</v>
      </c>
      <c r="AX352" s="75" t="s">
        <v>112</v>
      </c>
      <c r="AY352" s="75" t="s">
        <v>113</v>
      </c>
      <c r="AZ352" s="75" t="s">
        <v>551</v>
      </c>
      <c r="BA352" s="75">
        <v>30</v>
      </c>
      <c r="BB352" s="75">
        <v>13</v>
      </c>
      <c r="BC352" s="75">
        <v>84</v>
      </c>
      <c r="BD352" s="75">
        <v>0.04</v>
      </c>
      <c r="BE352" s="75" t="s">
        <v>97</v>
      </c>
      <c r="BF352" s="77"/>
      <c r="BG352" s="75">
        <v>2150</v>
      </c>
      <c r="BH352" s="75"/>
      <c r="BI352" s="75"/>
      <c r="BJ352" s="75"/>
      <c r="BK352" s="75">
        <v>1650</v>
      </c>
      <c r="BL352" s="75">
        <f t="shared" si="15"/>
        <v>3800</v>
      </c>
      <c r="BM352" s="103">
        <f t="shared" si="16"/>
        <v>209</v>
      </c>
      <c r="BN352" s="103">
        <f t="shared" si="17"/>
        <v>4009</v>
      </c>
      <c r="BO352" s="103">
        <v>5424</v>
      </c>
      <c r="BP352" s="75" t="s">
        <v>97</v>
      </c>
      <c r="BQ352" s="75"/>
      <c r="BR352" s="74">
        <v>43416</v>
      </c>
      <c r="BS352" s="157">
        <v>2018</v>
      </c>
      <c r="BT352">
        <v>2020</v>
      </c>
      <c r="BU352">
        <v>2018</v>
      </c>
    </row>
    <row r="353" spans="1:73" ht="43.15" customHeight="1" x14ac:dyDescent="0.25">
      <c r="A353" s="241" t="s">
        <v>90</v>
      </c>
      <c r="B353" s="241" t="s">
        <v>552</v>
      </c>
      <c r="C353" s="159">
        <v>400</v>
      </c>
      <c r="D353" s="76">
        <v>43234</v>
      </c>
      <c r="E353" s="76">
        <v>43234</v>
      </c>
      <c r="F353" s="76">
        <v>43236</v>
      </c>
      <c r="G353" s="76" t="s">
        <v>553</v>
      </c>
      <c r="H353" s="76">
        <v>43304</v>
      </c>
      <c r="I353" s="76">
        <v>43304</v>
      </c>
      <c r="J353" s="76">
        <v>43306</v>
      </c>
      <c r="K353" s="76"/>
      <c r="L353" s="76">
        <v>43619</v>
      </c>
      <c r="M353" s="76">
        <v>43329</v>
      </c>
      <c r="N353" s="76"/>
      <c r="O353" s="76">
        <v>43620</v>
      </c>
      <c r="P353" s="76">
        <v>43620</v>
      </c>
      <c r="Q353" s="76">
        <v>43620</v>
      </c>
      <c r="R353" s="80"/>
      <c r="S353" s="76"/>
      <c r="T353" s="77"/>
      <c r="U353" s="77"/>
      <c r="V353" s="77"/>
      <c r="W353" s="77">
        <v>3</v>
      </c>
      <c r="X353" s="77">
        <v>28613</v>
      </c>
      <c r="Y353" s="75" t="str">
        <f ca="1">IF(I353="",IF(D353="","",IF(W353+X353&lt;15,"Données Nb pers ou RFR manquantes",IF(COUNTA(INDIRECT("TabRFR["&amp;YEAR(D353)&amp;"]"))&lt;&gt;COUNTA(TabRFR[Recherche RFR]),"Data RFR manquantes", IF(X353&lt;=INDEX(TabRFR[[2021]:[2025]],MATCH(BD!W353&amp;"-Très modestes",TabRFR[Recherche RFR],0),MATCH(TEXT(YEAR(BD!D353),"Standard"),TabRFR[[#Headers],[2021]:[2025]],0)),"Très Modeste",IF(X353&lt;=INDEX(TabRFR[[2021]:[2025]],MATCH(BD!W353&amp;"-modestes",TabRFR[Recherche RFR],0),MATCH(TEXT(YEAR(BD!D353),"Standard"),TabRFR[[#Headers],[2021]:[2025]],0)),"Modeste",IF(X353&lt;=INDEX(TabRFR[[2021]:[2025]],MATCH(BD!W353&amp;"-Intermédiaire",TabRFR[Recherche RFR],0),MATCH(TEXT(YEAR(BD!D353),"Standard"),TabRFR[[#Headers],[2021]:[2025]],0)),"Intermédiaire","Supérieur")))))),IF(D353="","",IF(W353+X353&lt;15,"Données Nb pers ou RFR manquantes",IF(COUNTA(INDIRECT("TabRFR["&amp;YEAR(I353)&amp;"]"))&lt;&gt;COUNTA(TabRFR[Recherche RFR]),"Data RFR manquantes", IF(X353&lt;=INDEX(TabRFR[[2021]:[2025]],MATCH(BD!W353&amp;"-Très modestes",TabRFR[Recherche RFR],0),MATCH(TEXT(YEAR(BD!I353),"Standard"),TabRFR[[#Headers],[2021]:[2025]],0)),"Très Modeste",IF(X353&lt;=INDEX(TabRFR[[2021]:[2025]],MATCH(BD!W353&amp;"-modestes",TabRFR[Recherche RFR],0),MATCH(TEXT(YEAR(BD!I353),"Standard"),TabRFR[[#Headers],[2021]:[2025]],0)),"Modeste",IF(X353&lt;=INDEX(TabRFR[[2021]:[2025]],MATCH(BD!W353&amp;"-Intermédiaire",TabRFR[Recherche RFR],0),MATCH(TEXT(YEAR(BD!I353),"Standard"),TabRFR[[#Headers],[2021]:[2025]],0)),"Intermédiaire","Supérieur")))))))</f>
        <v>Data RFR manquantes</v>
      </c>
      <c r="Z353" s="77"/>
      <c r="AA353" s="77" t="s">
        <v>554</v>
      </c>
      <c r="AB353" s="77">
        <v>38340</v>
      </c>
      <c r="AC353" s="77" t="s">
        <v>108</v>
      </c>
      <c r="AD353" s="78"/>
      <c r="AE353" s="102"/>
      <c r="AF353" s="77" t="s">
        <v>95</v>
      </c>
      <c r="AG353" s="77"/>
      <c r="AH353" s="77"/>
      <c r="AI353" s="77"/>
      <c r="AJ353" s="77"/>
      <c r="AK353" s="77"/>
      <c r="AL353" s="77"/>
      <c r="AM353" s="77" t="s">
        <v>4357</v>
      </c>
      <c r="AN353" s="77" t="s">
        <v>829</v>
      </c>
      <c r="AO353" s="77" t="s">
        <v>555</v>
      </c>
      <c r="AP353" s="77" t="s">
        <v>97</v>
      </c>
      <c r="AQ353" s="77" t="s">
        <v>154</v>
      </c>
      <c r="AR353" s="79">
        <v>43537</v>
      </c>
      <c r="AS353" s="102" t="s">
        <v>9</v>
      </c>
      <c r="AT353" s="78" t="s">
        <v>556</v>
      </c>
      <c r="AU353" s="77" t="s">
        <v>100</v>
      </c>
      <c r="AV353" s="77" t="s">
        <v>9</v>
      </c>
      <c r="AW353" s="77" t="s">
        <v>100</v>
      </c>
      <c r="AX353" s="75" t="s">
        <v>2071</v>
      </c>
      <c r="AY353" s="77" t="s">
        <v>157</v>
      </c>
      <c r="AZ353" s="77" t="s">
        <v>557</v>
      </c>
      <c r="BA353" s="77">
        <v>11</v>
      </c>
      <c r="BB353" s="77">
        <v>10.5</v>
      </c>
      <c r="BC353" s="77">
        <v>87</v>
      </c>
      <c r="BD353" s="77">
        <v>0.01</v>
      </c>
      <c r="BE353" s="77" t="s">
        <v>97</v>
      </c>
      <c r="BF353" s="77"/>
      <c r="BG353" s="77">
        <v>1908.33</v>
      </c>
      <c r="BH353" s="77"/>
      <c r="BI353" s="77"/>
      <c r="BJ353" s="77"/>
      <c r="BK353" s="77">
        <v>839.62</v>
      </c>
      <c r="BL353" s="75">
        <f t="shared" si="15"/>
        <v>2747.95</v>
      </c>
      <c r="BM353" s="103">
        <f t="shared" si="16"/>
        <v>151.13724999999999</v>
      </c>
      <c r="BN353" s="103">
        <f t="shared" si="17"/>
        <v>2899.0872499999996</v>
      </c>
      <c r="BO353" s="80">
        <v>1811</v>
      </c>
      <c r="BP353" s="77" t="s">
        <v>97</v>
      </c>
      <c r="BQ353" s="77"/>
      <c r="BR353" s="77"/>
      <c r="BS353" s="157">
        <v>2018</v>
      </c>
      <c r="BU353">
        <v>2018</v>
      </c>
    </row>
    <row r="354" spans="1:73" ht="43.15" customHeight="1" x14ac:dyDescent="0.25">
      <c r="A354" s="242" t="s">
        <v>90</v>
      </c>
      <c r="B354" s="242" t="s">
        <v>558</v>
      </c>
      <c r="C354" s="159">
        <v>400</v>
      </c>
      <c r="D354" s="114">
        <v>43242</v>
      </c>
      <c r="E354" s="114">
        <v>43242</v>
      </c>
      <c r="F354" s="114">
        <v>43262</v>
      </c>
      <c r="G354" s="114" t="s">
        <v>559</v>
      </c>
      <c r="H354" s="114">
        <v>43497</v>
      </c>
      <c r="I354" s="114">
        <v>43497</v>
      </c>
      <c r="J354" s="114">
        <v>43508</v>
      </c>
      <c r="K354" s="114"/>
      <c r="L354" s="114">
        <v>43369</v>
      </c>
      <c r="M354" s="114">
        <v>43369</v>
      </c>
      <c r="N354" s="114" t="s">
        <v>560</v>
      </c>
      <c r="O354" s="114">
        <v>43565</v>
      </c>
      <c r="P354" s="114">
        <v>43565</v>
      </c>
      <c r="Q354" s="114">
        <v>43566</v>
      </c>
      <c r="R354" s="80"/>
      <c r="S354" s="114"/>
      <c r="T354" s="75"/>
      <c r="U354" s="75"/>
      <c r="V354" s="75"/>
      <c r="W354" s="75">
        <v>2</v>
      </c>
      <c r="X354" s="75">
        <v>81835</v>
      </c>
      <c r="Y354" s="75" t="str">
        <f ca="1">IF(I354="",IF(D354="","",IF(W354+X354&lt;15,"Données Nb pers ou RFR manquantes",IF(COUNTA(INDIRECT("TabRFR["&amp;YEAR(D354)&amp;"]"))&lt;&gt;COUNTA(TabRFR[Recherche RFR]),"Data RFR manquantes", IF(X354&lt;=INDEX(TabRFR[[2021]:[2025]],MATCH(BD!W354&amp;"-Très modestes",TabRFR[Recherche RFR],0),MATCH(TEXT(YEAR(BD!D354),"Standard"),TabRFR[[#Headers],[2021]:[2025]],0)),"Très Modeste",IF(X354&lt;=INDEX(TabRFR[[2021]:[2025]],MATCH(BD!W354&amp;"-modestes",TabRFR[Recherche RFR],0),MATCH(TEXT(YEAR(BD!D354),"Standard"),TabRFR[[#Headers],[2021]:[2025]],0)),"Modeste",IF(X354&lt;=INDEX(TabRFR[[2021]:[2025]],MATCH(BD!W354&amp;"-Intermédiaire",TabRFR[Recherche RFR],0),MATCH(TEXT(YEAR(BD!D354),"Standard"),TabRFR[[#Headers],[2021]:[2025]],0)),"Intermédiaire","Supérieur")))))),IF(D354="","",IF(W354+X354&lt;15,"Données Nb pers ou RFR manquantes",IF(COUNTA(INDIRECT("TabRFR["&amp;YEAR(I354)&amp;"]"))&lt;&gt;COUNTA(TabRFR[Recherche RFR]),"Data RFR manquantes", IF(X354&lt;=INDEX(TabRFR[[2021]:[2025]],MATCH(BD!W354&amp;"-Très modestes",TabRFR[Recherche RFR],0),MATCH(TEXT(YEAR(BD!I354),"Standard"),TabRFR[[#Headers],[2021]:[2025]],0)),"Très Modeste",IF(X354&lt;=INDEX(TabRFR[[2021]:[2025]],MATCH(BD!W354&amp;"-modestes",TabRFR[Recherche RFR],0),MATCH(TEXT(YEAR(BD!I354),"Standard"),TabRFR[[#Headers],[2021]:[2025]],0)),"Modeste",IF(X354&lt;=INDEX(TabRFR[[2021]:[2025]],MATCH(BD!W354&amp;"-Intermédiaire",TabRFR[Recherche RFR],0),MATCH(TEXT(YEAR(BD!I354),"Standard"),TabRFR[[#Headers],[2021]:[2025]],0)),"Intermédiaire","Supérieur")))))))</f>
        <v>Data RFR manquantes</v>
      </c>
      <c r="Z354" s="75"/>
      <c r="AA354" s="75" t="s">
        <v>562</v>
      </c>
      <c r="AB354" s="75">
        <v>38140</v>
      </c>
      <c r="AC354" s="75" t="s">
        <v>2357</v>
      </c>
      <c r="AD354" s="73"/>
      <c r="AE354" s="102"/>
      <c r="AF354" s="75" t="s">
        <v>95</v>
      </c>
      <c r="AG354" s="75"/>
      <c r="AH354" s="75"/>
      <c r="AI354" s="75"/>
      <c r="AJ354" s="75"/>
      <c r="AK354" s="75"/>
      <c r="AL354" s="75"/>
      <c r="AM354" s="75" t="s">
        <v>4191</v>
      </c>
      <c r="AN354" s="75" t="s">
        <v>96</v>
      </c>
      <c r="AO354" s="75" t="s">
        <v>229</v>
      </c>
      <c r="AP354" s="75"/>
      <c r="AQ354" s="75">
        <v>43681</v>
      </c>
      <c r="AR354" s="74">
        <v>43681</v>
      </c>
      <c r="AS354" s="102" t="s">
        <v>230</v>
      </c>
      <c r="AT354" s="73" t="s">
        <v>563</v>
      </c>
      <c r="AU354" s="75" t="s">
        <v>111</v>
      </c>
      <c r="AV354" s="75">
        <v>1994</v>
      </c>
      <c r="AW354" s="75" t="s">
        <v>100</v>
      </c>
      <c r="AX354" s="75" t="s">
        <v>2071</v>
      </c>
      <c r="AY354" s="158" t="s">
        <v>232</v>
      </c>
      <c r="AZ354" s="75" t="s">
        <v>564</v>
      </c>
      <c r="BA354" s="75">
        <v>14.5</v>
      </c>
      <c r="BB354" s="75">
        <v>8</v>
      </c>
      <c r="BC354" s="75">
        <v>91.5</v>
      </c>
      <c r="BD354" s="75">
        <v>4.0000000000000001E-3</v>
      </c>
      <c r="BE354" s="75" t="s">
        <v>374</v>
      </c>
      <c r="BF354" s="77"/>
      <c r="BG354" s="75">
        <v>3950</v>
      </c>
      <c r="BH354" s="75"/>
      <c r="BI354" s="75"/>
      <c r="BJ354" s="75"/>
      <c r="BK354" s="75">
        <v>1415</v>
      </c>
      <c r="BL354" s="75">
        <f t="shared" si="15"/>
        <v>5365</v>
      </c>
      <c r="BM354" s="103">
        <f t="shared" si="16"/>
        <v>295.07499999999999</v>
      </c>
      <c r="BN354" s="103">
        <f t="shared" si="17"/>
        <v>5660.0749999999998</v>
      </c>
      <c r="BO354" s="103">
        <v>7101</v>
      </c>
      <c r="BP354" s="75" t="s">
        <v>104</v>
      </c>
      <c r="BQ354" s="75"/>
      <c r="BR354" s="74"/>
      <c r="BS354" s="157">
        <v>2018</v>
      </c>
      <c r="BU354">
        <v>2018</v>
      </c>
    </row>
    <row r="355" spans="1:73" ht="43.15" customHeight="1" x14ac:dyDescent="0.25">
      <c r="A355" s="242" t="s">
        <v>90</v>
      </c>
      <c r="B355" s="242" t="s">
        <v>565</v>
      </c>
      <c r="C355" s="159">
        <v>400</v>
      </c>
      <c r="D355" s="114">
        <v>43242</v>
      </c>
      <c r="E355" s="114">
        <v>43242</v>
      </c>
      <c r="F355" s="114"/>
      <c r="G355" s="114"/>
      <c r="H355" s="114">
        <v>43266</v>
      </c>
      <c r="I355" s="114">
        <v>43266</v>
      </c>
      <c r="J355" s="114">
        <v>43269</v>
      </c>
      <c r="K355" s="114"/>
      <c r="L355" s="114">
        <v>43326</v>
      </c>
      <c r="M355" s="114">
        <v>43306</v>
      </c>
      <c r="N355" s="114"/>
      <c r="O355" s="114">
        <v>43334</v>
      </c>
      <c r="P355" s="114">
        <v>43334</v>
      </c>
      <c r="Q355" s="114">
        <v>43343</v>
      </c>
      <c r="R355" s="80"/>
      <c r="S355" s="114"/>
      <c r="T355" s="75"/>
      <c r="U355" s="75"/>
      <c r="V355" s="75"/>
      <c r="W355" s="75">
        <v>1</v>
      </c>
      <c r="X355" s="75">
        <v>20691</v>
      </c>
      <c r="Y355" s="75" t="str">
        <f ca="1">IF(I355="",IF(D355="","",IF(W355+X355&lt;15,"Données Nb pers ou RFR manquantes",IF(COUNTA(INDIRECT("TabRFR["&amp;YEAR(D355)&amp;"]"))&lt;&gt;COUNTA(TabRFR[Recherche RFR]),"Data RFR manquantes", IF(X355&lt;=INDEX(TabRFR[[2021]:[2025]],MATCH(BD!W355&amp;"-Très modestes",TabRFR[Recherche RFR],0),MATCH(TEXT(YEAR(BD!D355),"Standard"),TabRFR[[#Headers],[2021]:[2025]],0)),"Très Modeste",IF(X355&lt;=INDEX(TabRFR[[2021]:[2025]],MATCH(BD!W355&amp;"-modestes",TabRFR[Recherche RFR],0),MATCH(TEXT(YEAR(BD!D355),"Standard"),TabRFR[[#Headers],[2021]:[2025]],0)),"Modeste",IF(X355&lt;=INDEX(TabRFR[[2021]:[2025]],MATCH(BD!W355&amp;"-Intermédiaire",TabRFR[Recherche RFR],0),MATCH(TEXT(YEAR(BD!D355),"Standard"),TabRFR[[#Headers],[2021]:[2025]],0)),"Intermédiaire","Supérieur")))))),IF(D355="","",IF(W355+X355&lt;15,"Données Nb pers ou RFR manquantes",IF(COUNTA(INDIRECT("TabRFR["&amp;YEAR(I355)&amp;"]"))&lt;&gt;COUNTA(TabRFR[Recherche RFR]),"Data RFR manquantes", IF(X355&lt;=INDEX(TabRFR[[2021]:[2025]],MATCH(BD!W355&amp;"-Très modestes",TabRFR[Recherche RFR],0),MATCH(TEXT(YEAR(BD!I355),"Standard"),TabRFR[[#Headers],[2021]:[2025]],0)),"Très Modeste",IF(X355&lt;=INDEX(TabRFR[[2021]:[2025]],MATCH(BD!W355&amp;"-modestes",TabRFR[Recherche RFR],0),MATCH(TEXT(YEAR(BD!I355),"Standard"),TabRFR[[#Headers],[2021]:[2025]],0)),"Modeste",IF(X355&lt;=INDEX(TabRFR[[2021]:[2025]],MATCH(BD!W355&amp;"-Intermédiaire",TabRFR[Recherche RFR],0),MATCH(TEXT(YEAR(BD!I355),"Standard"),TabRFR[[#Headers],[2021]:[2025]],0)),"Intermédiaire","Supérieur")))))))</f>
        <v>Data RFR manquantes</v>
      </c>
      <c r="Z355" s="75"/>
      <c r="AA355" s="75" t="s">
        <v>566</v>
      </c>
      <c r="AB355" s="75">
        <v>38140</v>
      </c>
      <c r="AC355" s="75" t="s">
        <v>363</v>
      </c>
      <c r="AD355" s="73"/>
      <c r="AE355" s="102"/>
      <c r="AF355" s="75" t="s">
        <v>95</v>
      </c>
      <c r="AG355" s="75"/>
      <c r="AH355" s="75"/>
      <c r="AI355" s="75"/>
      <c r="AJ355" s="75"/>
      <c r="AK355" s="75"/>
      <c r="AL355" s="75"/>
      <c r="AM355" s="75" t="s">
        <v>218</v>
      </c>
      <c r="AN355" s="75" t="s">
        <v>217</v>
      </c>
      <c r="AO355" s="75" t="s">
        <v>219</v>
      </c>
      <c r="AP355" s="75" t="s">
        <v>97</v>
      </c>
      <c r="AQ355" s="75"/>
      <c r="AR355" s="74">
        <v>43399</v>
      </c>
      <c r="AS355" s="102" t="s">
        <v>220</v>
      </c>
      <c r="AT355" s="73">
        <v>476353756</v>
      </c>
      <c r="AU355" s="75" t="s">
        <v>99</v>
      </c>
      <c r="AV355" s="75">
        <v>2001</v>
      </c>
      <c r="AW355" s="75" t="s">
        <v>100</v>
      </c>
      <c r="AX355" s="75" t="s">
        <v>112</v>
      </c>
      <c r="AY355" s="158" t="s">
        <v>567</v>
      </c>
      <c r="AZ355" s="75" t="s">
        <v>568</v>
      </c>
      <c r="BA355" s="75">
        <v>18</v>
      </c>
      <c r="BB355" s="75">
        <v>10.6</v>
      </c>
      <c r="BC355" s="75">
        <v>88</v>
      </c>
      <c r="BD355" s="75">
        <v>7.0000000000000007E-2</v>
      </c>
      <c r="BE355" s="75" t="s">
        <v>97</v>
      </c>
      <c r="BF355" s="77"/>
      <c r="BG355" s="75">
        <v>3251</v>
      </c>
      <c r="BH355" s="75"/>
      <c r="BI355" s="75"/>
      <c r="BJ355" s="75"/>
      <c r="BK355" s="75">
        <v>1007</v>
      </c>
      <c r="BL355" s="75">
        <f t="shared" si="15"/>
        <v>4258</v>
      </c>
      <c r="BM355" s="103">
        <f t="shared" si="16"/>
        <v>234.19</v>
      </c>
      <c r="BN355" s="103">
        <f t="shared" si="17"/>
        <v>4492.1899999999996</v>
      </c>
      <c r="BO355" s="103">
        <v>4493.53</v>
      </c>
      <c r="BP355" s="75" t="s">
        <v>97</v>
      </c>
      <c r="BQ355" s="75"/>
      <c r="BR355" s="74">
        <v>43416</v>
      </c>
      <c r="BS355" s="157">
        <v>2018</v>
      </c>
      <c r="BT355">
        <v>2020</v>
      </c>
      <c r="BU355">
        <v>2018</v>
      </c>
    </row>
    <row r="356" spans="1:73" ht="43.15" customHeight="1" x14ac:dyDescent="0.25">
      <c r="A356" s="242" t="s">
        <v>90</v>
      </c>
      <c r="B356" s="242" t="s">
        <v>569</v>
      </c>
      <c r="C356" s="159">
        <v>400</v>
      </c>
      <c r="D356" s="114">
        <v>43242</v>
      </c>
      <c r="E356" s="114">
        <v>43242</v>
      </c>
      <c r="F356" s="114">
        <v>43266</v>
      </c>
      <c r="G356" s="140" t="s">
        <v>570</v>
      </c>
      <c r="H356" s="114">
        <v>43308</v>
      </c>
      <c r="I356" s="114">
        <v>43308</v>
      </c>
      <c r="J356" s="114">
        <v>43348</v>
      </c>
      <c r="K356" s="114"/>
      <c r="L356" s="114">
        <v>43439</v>
      </c>
      <c r="M356" s="114">
        <v>43384</v>
      </c>
      <c r="N356" s="114"/>
      <c r="O356" s="114">
        <v>43455</v>
      </c>
      <c r="P356" s="114">
        <v>43455</v>
      </c>
      <c r="Q356" s="114">
        <v>43482</v>
      </c>
      <c r="R356" s="80"/>
      <c r="S356" s="114"/>
      <c r="T356" s="75"/>
      <c r="U356" s="75"/>
      <c r="V356" s="75"/>
      <c r="W356" s="75">
        <v>4</v>
      </c>
      <c r="X356" s="75"/>
      <c r="Y356" s="75" t="str">
        <f ca="1">IF(I356="",IF(D356="","",IF(W356+X356&lt;15,"Données Nb pers ou RFR manquantes",IF(COUNTA(INDIRECT("TabRFR["&amp;YEAR(D356)&amp;"]"))&lt;&gt;COUNTA(TabRFR[Recherche RFR]),"Data RFR manquantes", IF(X356&lt;=INDEX(TabRFR[[2021]:[2025]],MATCH(BD!W356&amp;"-Très modestes",TabRFR[Recherche RFR],0),MATCH(TEXT(YEAR(BD!D356),"Standard"),TabRFR[[#Headers],[2021]:[2025]],0)),"Très Modeste",IF(X356&lt;=INDEX(TabRFR[[2021]:[2025]],MATCH(BD!W356&amp;"-modestes",TabRFR[Recherche RFR],0),MATCH(TEXT(YEAR(BD!D356),"Standard"),TabRFR[[#Headers],[2021]:[2025]],0)),"Modeste",IF(X356&lt;=INDEX(TabRFR[[2021]:[2025]],MATCH(BD!W356&amp;"-Intermédiaire",TabRFR[Recherche RFR],0),MATCH(TEXT(YEAR(BD!D356),"Standard"),TabRFR[[#Headers],[2021]:[2025]],0)),"Intermédiaire","Supérieur")))))),IF(D356="","",IF(W356+X356&lt;15,"Données Nb pers ou RFR manquantes",IF(COUNTA(INDIRECT("TabRFR["&amp;YEAR(I356)&amp;"]"))&lt;&gt;COUNTA(TabRFR[Recherche RFR]),"Data RFR manquantes", IF(X356&lt;=INDEX(TabRFR[[2021]:[2025]],MATCH(BD!W356&amp;"-Très modestes",TabRFR[Recherche RFR],0),MATCH(TEXT(YEAR(BD!I356),"Standard"),TabRFR[[#Headers],[2021]:[2025]],0)),"Très Modeste",IF(X356&lt;=INDEX(TabRFR[[2021]:[2025]],MATCH(BD!W356&amp;"-modestes",TabRFR[Recherche RFR],0),MATCH(TEXT(YEAR(BD!I356),"Standard"),TabRFR[[#Headers],[2021]:[2025]],0)),"Modeste",IF(X356&lt;=INDEX(TabRFR[[2021]:[2025]],MATCH(BD!W356&amp;"-Intermédiaire",TabRFR[Recherche RFR],0),MATCH(TEXT(YEAR(BD!I356),"Standard"),TabRFR[[#Headers],[2021]:[2025]],0)),"Intermédiaire","Supérieur")))))))</f>
        <v>Données Nb pers ou RFR manquantes</v>
      </c>
      <c r="Z356" s="75"/>
      <c r="AA356" s="75" t="s">
        <v>571</v>
      </c>
      <c r="AB356" s="75">
        <v>38850</v>
      </c>
      <c r="AC356" s="75" t="s">
        <v>242</v>
      </c>
      <c r="AD356" s="73"/>
      <c r="AE356" s="102"/>
      <c r="AF356" s="75" t="s">
        <v>95</v>
      </c>
      <c r="AG356" s="75"/>
      <c r="AH356" s="75"/>
      <c r="AI356" s="75"/>
      <c r="AJ356" s="75"/>
      <c r="AK356" s="75"/>
      <c r="AL356" s="75"/>
      <c r="AM356" s="75" t="s">
        <v>4160</v>
      </c>
      <c r="AN356" s="75" t="s">
        <v>572</v>
      </c>
      <c r="AO356" s="75" t="s">
        <v>9</v>
      </c>
      <c r="AP356" s="75" t="s">
        <v>97</v>
      </c>
      <c r="AQ356" s="75"/>
      <c r="AR356" s="74">
        <v>43701</v>
      </c>
      <c r="AS356" s="102" t="s">
        <v>573</v>
      </c>
      <c r="AT356" s="73" t="s">
        <v>574</v>
      </c>
      <c r="AU356" s="75" t="s">
        <v>111</v>
      </c>
      <c r="AV356" s="75">
        <v>1998</v>
      </c>
      <c r="AW356" s="75" t="s">
        <v>100</v>
      </c>
      <c r="AX356" s="75" t="s">
        <v>2071</v>
      </c>
      <c r="AY356" s="75" t="s">
        <v>575</v>
      </c>
      <c r="AZ356" s="75" t="s">
        <v>576</v>
      </c>
      <c r="BA356" s="75">
        <v>26.2</v>
      </c>
      <c r="BB356" s="75">
        <v>7.2</v>
      </c>
      <c r="BC356" s="75">
        <v>91</v>
      </c>
      <c r="BD356" s="75">
        <v>1.4E-2</v>
      </c>
      <c r="BE356" s="75" t="s">
        <v>374</v>
      </c>
      <c r="BF356" s="77"/>
      <c r="BG356" s="75">
        <f>3255+421</f>
        <v>3676</v>
      </c>
      <c r="BH356" s="75"/>
      <c r="BI356" s="75"/>
      <c r="BJ356" s="75"/>
      <c r="BK356" s="75">
        <v>457</v>
      </c>
      <c r="BL356" s="75">
        <f t="shared" si="15"/>
        <v>4133</v>
      </c>
      <c r="BM356" s="103">
        <f t="shared" si="16"/>
        <v>227.315</v>
      </c>
      <c r="BN356" s="103">
        <f t="shared" si="17"/>
        <v>4360.3149999999996</v>
      </c>
      <c r="BO356" s="103">
        <v>4493.53</v>
      </c>
      <c r="BP356" s="75" t="s">
        <v>104</v>
      </c>
      <c r="BQ356" s="75"/>
      <c r="BR356" s="75"/>
      <c r="BS356" s="157">
        <v>2018</v>
      </c>
      <c r="BU356">
        <v>2018</v>
      </c>
    </row>
    <row r="357" spans="1:73" ht="43.15" customHeight="1" x14ac:dyDescent="0.25">
      <c r="A357" s="242" t="s">
        <v>90</v>
      </c>
      <c r="B357" s="242" t="s">
        <v>577</v>
      </c>
      <c r="C357" s="159">
        <v>400</v>
      </c>
      <c r="D357" s="114">
        <v>43245</v>
      </c>
      <c r="E357" s="114">
        <v>43245</v>
      </c>
      <c r="F357" s="114"/>
      <c r="G357" s="114"/>
      <c r="H357" s="114">
        <v>43266</v>
      </c>
      <c r="I357" s="114">
        <v>43266</v>
      </c>
      <c r="J357" s="114">
        <v>43269</v>
      </c>
      <c r="K357" s="114"/>
      <c r="L357" s="114">
        <v>43304</v>
      </c>
      <c r="M357" s="114">
        <v>43290</v>
      </c>
      <c r="N357" s="114"/>
      <c r="O357" s="114">
        <v>43308</v>
      </c>
      <c r="P357" s="114">
        <v>43308</v>
      </c>
      <c r="Q357" s="114">
        <v>43343</v>
      </c>
      <c r="R357" s="80"/>
      <c r="S357" s="114"/>
      <c r="T357" s="75"/>
      <c r="U357" s="75"/>
      <c r="V357" s="75"/>
      <c r="W357" s="75">
        <v>3</v>
      </c>
      <c r="X357" s="75">
        <v>42507</v>
      </c>
      <c r="Y357" s="75" t="str">
        <f ca="1">IF(I357="",IF(D357="","",IF(W357+X357&lt;15,"Données Nb pers ou RFR manquantes",IF(COUNTA(INDIRECT("TabRFR["&amp;YEAR(D357)&amp;"]"))&lt;&gt;COUNTA(TabRFR[Recherche RFR]),"Data RFR manquantes", IF(X357&lt;=INDEX(TabRFR[[2021]:[2025]],MATCH(BD!W357&amp;"-Très modestes",TabRFR[Recherche RFR],0),MATCH(TEXT(YEAR(BD!D357),"Standard"),TabRFR[[#Headers],[2021]:[2025]],0)),"Très Modeste",IF(X357&lt;=INDEX(TabRFR[[2021]:[2025]],MATCH(BD!W357&amp;"-modestes",TabRFR[Recherche RFR],0),MATCH(TEXT(YEAR(BD!D357),"Standard"),TabRFR[[#Headers],[2021]:[2025]],0)),"Modeste",IF(X357&lt;=INDEX(TabRFR[[2021]:[2025]],MATCH(BD!W357&amp;"-Intermédiaire",TabRFR[Recherche RFR],0),MATCH(TEXT(YEAR(BD!D357),"Standard"),TabRFR[[#Headers],[2021]:[2025]],0)),"Intermédiaire","Supérieur")))))),IF(D357="","",IF(W357+X357&lt;15,"Données Nb pers ou RFR manquantes",IF(COUNTA(INDIRECT("TabRFR["&amp;YEAR(I357)&amp;"]"))&lt;&gt;COUNTA(TabRFR[Recherche RFR]),"Data RFR manquantes", IF(X357&lt;=INDEX(TabRFR[[2021]:[2025]],MATCH(BD!W357&amp;"-Très modestes",TabRFR[Recherche RFR],0),MATCH(TEXT(YEAR(BD!I357),"Standard"),TabRFR[[#Headers],[2021]:[2025]],0)),"Très Modeste",IF(X357&lt;=INDEX(TabRFR[[2021]:[2025]],MATCH(BD!W357&amp;"-modestes",TabRFR[Recherche RFR],0),MATCH(TEXT(YEAR(BD!I357),"Standard"),TabRFR[[#Headers],[2021]:[2025]],0)),"Modeste",IF(X357&lt;=INDEX(TabRFR[[2021]:[2025]],MATCH(BD!W357&amp;"-Intermédiaire",TabRFR[Recherche RFR],0),MATCH(TEXT(YEAR(BD!I357),"Standard"),TabRFR[[#Headers],[2021]:[2025]],0)),"Intermédiaire","Supérieur")))))))</f>
        <v>Data RFR manquantes</v>
      </c>
      <c r="Z357" s="75"/>
      <c r="AA357" s="75" t="s">
        <v>579</v>
      </c>
      <c r="AB357" s="75">
        <v>38500</v>
      </c>
      <c r="AC357" s="75" t="s">
        <v>94</v>
      </c>
      <c r="AD357" s="73"/>
      <c r="AE357" s="102"/>
      <c r="AF357" s="75"/>
      <c r="AG357" s="75"/>
      <c r="AH357" s="75"/>
      <c r="AI357" s="75"/>
      <c r="AJ357" s="75"/>
      <c r="AK357" s="75"/>
      <c r="AL357" s="75"/>
      <c r="AM357" s="75" t="s">
        <v>218</v>
      </c>
      <c r="AN357" s="75" t="s">
        <v>217</v>
      </c>
      <c r="AO357" s="75" t="s">
        <v>219</v>
      </c>
      <c r="AP357" s="75" t="s">
        <v>97</v>
      </c>
      <c r="AQ357" s="75"/>
      <c r="AR357" s="74">
        <v>43399</v>
      </c>
      <c r="AS357" s="102" t="s">
        <v>220</v>
      </c>
      <c r="AT357" s="73">
        <v>476355605</v>
      </c>
      <c r="AU357" s="75" t="s">
        <v>111</v>
      </c>
      <c r="AV357" s="75">
        <v>1996</v>
      </c>
      <c r="AW357" s="75" t="s">
        <v>100</v>
      </c>
      <c r="AX357" s="75" t="s">
        <v>2071</v>
      </c>
      <c r="AY357" s="75" t="s">
        <v>121</v>
      </c>
      <c r="AZ357" s="75" t="s">
        <v>580</v>
      </c>
      <c r="BA357" s="75">
        <v>8</v>
      </c>
      <c r="BB357" s="75">
        <v>8.1999999999999993</v>
      </c>
      <c r="BC357" s="75">
        <v>87.8</v>
      </c>
      <c r="BD357" s="75">
        <v>0.01</v>
      </c>
      <c r="BE357" s="75" t="s">
        <v>97</v>
      </c>
      <c r="BF357" s="77"/>
      <c r="BG357" s="75">
        <v>2470</v>
      </c>
      <c r="BH357" s="75"/>
      <c r="BI357" s="75"/>
      <c r="BJ357" s="75"/>
      <c r="BK357" s="75">
        <v>1343</v>
      </c>
      <c r="BL357" s="75">
        <f t="shared" si="15"/>
        <v>3813</v>
      </c>
      <c r="BM357" s="103">
        <f t="shared" si="16"/>
        <v>209.715</v>
      </c>
      <c r="BN357" s="103">
        <f t="shared" si="17"/>
        <v>4022.7150000000001</v>
      </c>
      <c r="BO357" s="103">
        <v>4023.34</v>
      </c>
      <c r="BP357" s="75" t="s">
        <v>97</v>
      </c>
      <c r="BQ357" s="75"/>
      <c r="BR357" s="75"/>
      <c r="BS357" s="157">
        <v>2018</v>
      </c>
      <c r="BU357">
        <v>2018</v>
      </c>
    </row>
    <row r="358" spans="1:73" ht="43.15" customHeight="1" x14ac:dyDescent="0.25">
      <c r="A358" s="242" t="s">
        <v>90</v>
      </c>
      <c r="B358" s="242" t="s">
        <v>581</v>
      </c>
      <c r="C358" s="159">
        <v>400</v>
      </c>
      <c r="D358" s="114">
        <v>43245</v>
      </c>
      <c r="E358" s="114">
        <v>43245</v>
      </c>
      <c r="F358" s="114"/>
      <c r="G358" s="114"/>
      <c r="H358" s="114">
        <v>43266</v>
      </c>
      <c r="I358" s="114">
        <v>43266</v>
      </c>
      <c r="J358" s="114">
        <v>43269</v>
      </c>
      <c r="K358" s="114"/>
      <c r="L358" s="114">
        <v>43350</v>
      </c>
      <c r="M358" s="114">
        <v>43307</v>
      </c>
      <c r="N358" s="114" t="s">
        <v>582</v>
      </c>
      <c r="O358" s="114">
        <v>43364</v>
      </c>
      <c r="P358" s="114">
        <v>43364</v>
      </c>
      <c r="Q358" s="114">
        <v>43371</v>
      </c>
      <c r="R358" s="80"/>
      <c r="S358" s="114"/>
      <c r="T358" s="75"/>
      <c r="U358" s="75"/>
      <c r="V358" s="75"/>
      <c r="W358" s="75">
        <v>4</v>
      </c>
      <c r="X358" s="75">
        <v>43687</v>
      </c>
      <c r="Y358" s="75" t="str">
        <f ca="1">IF(I358="",IF(D358="","",IF(W358+X358&lt;15,"Données Nb pers ou RFR manquantes",IF(COUNTA(INDIRECT("TabRFR["&amp;YEAR(D358)&amp;"]"))&lt;&gt;COUNTA(TabRFR[Recherche RFR]),"Data RFR manquantes", IF(X358&lt;=INDEX(TabRFR[[2021]:[2025]],MATCH(BD!W358&amp;"-Très modestes",TabRFR[Recherche RFR],0),MATCH(TEXT(YEAR(BD!D358),"Standard"),TabRFR[[#Headers],[2021]:[2025]],0)),"Très Modeste",IF(X358&lt;=INDEX(TabRFR[[2021]:[2025]],MATCH(BD!W358&amp;"-modestes",TabRFR[Recherche RFR],0),MATCH(TEXT(YEAR(BD!D358),"Standard"),TabRFR[[#Headers],[2021]:[2025]],0)),"Modeste",IF(X358&lt;=INDEX(TabRFR[[2021]:[2025]],MATCH(BD!W358&amp;"-Intermédiaire",TabRFR[Recherche RFR],0),MATCH(TEXT(YEAR(BD!D358),"Standard"),TabRFR[[#Headers],[2021]:[2025]],0)),"Intermédiaire","Supérieur")))))),IF(D358="","",IF(W358+X358&lt;15,"Données Nb pers ou RFR manquantes",IF(COUNTA(INDIRECT("TabRFR["&amp;YEAR(I358)&amp;"]"))&lt;&gt;COUNTA(TabRFR[Recherche RFR]),"Data RFR manquantes", IF(X358&lt;=INDEX(TabRFR[[2021]:[2025]],MATCH(BD!W358&amp;"-Très modestes",TabRFR[Recherche RFR],0),MATCH(TEXT(YEAR(BD!I358),"Standard"),TabRFR[[#Headers],[2021]:[2025]],0)),"Très Modeste",IF(X358&lt;=INDEX(TabRFR[[2021]:[2025]],MATCH(BD!W358&amp;"-modestes",TabRFR[Recherche RFR],0),MATCH(TEXT(YEAR(BD!I358),"Standard"),TabRFR[[#Headers],[2021]:[2025]],0)),"Modeste",IF(X358&lt;=INDEX(TabRFR[[2021]:[2025]],MATCH(BD!W358&amp;"-Intermédiaire",TabRFR[Recherche RFR],0),MATCH(TEXT(YEAR(BD!I358),"Standard"),TabRFR[[#Headers],[2021]:[2025]],0)),"Intermédiaire","Supérieur")))))))</f>
        <v>Data RFR manquantes</v>
      </c>
      <c r="Z358" s="75"/>
      <c r="AA358" s="75" t="s">
        <v>583</v>
      </c>
      <c r="AB358" s="75">
        <v>38140</v>
      </c>
      <c r="AC358" s="75" t="s">
        <v>321</v>
      </c>
      <c r="AD358" s="73"/>
      <c r="AE358" s="102"/>
      <c r="AF358" s="75" t="s">
        <v>95</v>
      </c>
      <c r="AG358" s="75"/>
      <c r="AH358" s="75">
        <v>42549</v>
      </c>
      <c r="AI358" s="75"/>
      <c r="AJ358" s="75"/>
      <c r="AK358" s="75"/>
      <c r="AL358" s="75"/>
      <c r="AM358" s="75" t="s">
        <v>4383</v>
      </c>
      <c r="AN358" s="75" t="s">
        <v>584</v>
      </c>
      <c r="AO358" s="75"/>
      <c r="AP358" s="75" t="s">
        <v>97</v>
      </c>
      <c r="AQ358" s="75"/>
      <c r="AR358" s="74">
        <v>43418</v>
      </c>
      <c r="AS358" s="102" t="s">
        <v>585</v>
      </c>
      <c r="AT358" s="73" t="s">
        <v>586</v>
      </c>
      <c r="AU358" s="75" t="s">
        <v>99</v>
      </c>
      <c r="AV358" s="75" t="s">
        <v>9</v>
      </c>
      <c r="AW358" s="75" t="s">
        <v>100</v>
      </c>
      <c r="AX358" s="75" t="s">
        <v>112</v>
      </c>
      <c r="AY358" s="75" t="s">
        <v>587</v>
      </c>
      <c r="AZ358" s="75" t="s">
        <v>588</v>
      </c>
      <c r="BA358" s="75">
        <v>26</v>
      </c>
      <c r="BB358" s="75">
        <v>8</v>
      </c>
      <c r="BC358" s="75">
        <v>78</v>
      </c>
      <c r="BD358" s="75">
        <v>0.09</v>
      </c>
      <c r="BE358" s="75" t="s">
        <v>97</v>
      </c>
      <c r="BF358" s="77"/>
      <c r="BG358" s="75">
        <v>1395</v>
      </c>
      <c r="BH358" s="75"/>
      <c r="BI358" s="75"/>
      <c r="BJ358" s="75"/>
      <c r="BK358" s="75">
        <v>650</v>
      </c>
      <c r="BL358" s="75">
        <f t="shared" si="15"/>
        <v>2045</v>
      </c>
      <c r="BM358" s="103">
        <f t="shared" si="16"/>
        <v>112.47499999999999</v>
      </c>
      <c r="BN358" s="103">
        <f t="shared" si="17"/>
        <v>2157.4749999999999</v>
      </c>
      <c r="BO358" s="103">
        <v>3099</v>
      </c>
      <c r="BP358" s="75" t="s">
        <v>97</v>
      </c>
      <c r="BQ358" s="75"/>
      <c r="BR358" s="74">
        <v>43416</v>
      </c>
      <c r="BS358" s="157">
        <v>2018</v>
      </c>
      <c r="BT358">
        <v>2020</v>
      </c>
      <c r="BU358">
        <v>2018</v>
      </c>
    </row>
    <row r="359" spans="1:73" ht="43.15" customHeight="1" x14ac:dyDescent="0.25">
      <c r="A359" s="242" t="s">
        <v>90</v>
      </c>
      <c r="B359" s="242" t="s">
        <v>589</v>
      </c>
      <c r="C359" s="159">
        <v>400</v>
      </c>
      <c r="D359" s="114">
        <v>43248</v>
      </c>
      <c r="E359" s="114">
        <v>43248</v>
      </c>
      <c r="F359" s="114"/>
      <c r="G359" s="114"/>
      <c r="H359" s="114">
        <v>43266</v>
      </c>
      <c r="I359" s="114">
        <v>43266</v>
      </c>
      <c r="J359" s="114">
        <v>43269</v>
      </c>
      <c r="K359" s="114"/>
      <c r="L359" s="114">
        <v>43410</v>
      </c>
      <c r="M359" s="114">
        <v>43355</v>
      </c>
      <c r="N359" s="114" t="s">
        <v>590</v>
      </c>
      <c r="O359" s="114">
        <v>43437</v>
      </c>
      <c r="P359" s="114">
        <v>43437</v>
      </c>
      <c r="Q359" s="114">
        <v>43440</v>
      </c>
      <c r="R359" s="80"/>
      <c r="S359" s="114"/>
      <c r="T359" s="75"/>
      <c r="U359" s="75"/>
      <c r="V359" s="75"/>
      <c r="W359" s="75">
        <v>2</v>
      </c>
      <c r="X359" s="75">
        <v>45673</v>
      </c>
      <c r="Y359" s="75" t="str">
        <f ca="1">IF(I359="",IF(D359="","",IF(W359+X359&lt;15,"Données Nb pers ou RFR manquantes",IF(COUNTA(INDIRECT("TabRFR["&amp;YEAR(D359)&amp;"]"))&lt;&gt;COUNTA(TabRFR[Recherche RFR]),"Data RFR manquantes", IF(X359&lt;=INDEX(TabRFR[[2021]:[2025]],MATCH(BD!W359&amp;"-Très modestes",TabRFR[Recherche RFR],0),MATCH(TEXT(YEAR(BD!D359),"Standard"),TabRFR[[#Headers],[2021]:[2025]],0)),"Très Modeste",IF(X359&lt;=INDEX(TabRFR[[2021]:[2025]],MATCH(BD!W359&amp;"-modestes",TabRFR[Recherche RFR],0),MATCH(TEXT(YEAR(BD!D359),"Standard"),TabRFR[[#Headers],[2021]:[2025]],0)),"Modeste",IF(X359&lt;=INDEX(TabRFR[[2021]:[2025]],MATCH(BD!W359&amp;"-Intermédiaire",TabRFR[Recherche RFR],0),MATCH(TEXT(YEAR(BD!D359),"Standard"),TabRFR[[#Headers],[2021]:[2025]],0)),"Intermédiaire","Supérieur")))))),IF(D359="","",IF(W359+X359&lt;15,"Données Nb pers ou RFR manquantes",IF(COUNTA(INDIRECT("TabRFR["&amp;YEAR(I359)&amp;"]"))&lt;&gt;COUNTA(TabRFR[Recherche RFR]),"Data RFR manquantes", IF(X359&lt;=INDEX(TabRFR[[2021]:[2025]],MATCH(BD!W359&amp;"-Très modestes",TabRFR[Recherche RFR],0),MATCH(TEXT(YEAR(BD!I359),"Standard"),TabRFR[[#Headers],[2021]:[2025]],0)),"Très Modeste",IF(X359&lt;=INDEX(TabRFR[[2021]:[2025]],MATCH(BD!W359&amp;"-modestes",TabRFR[Recherche RFR],0),MATCH(TEXT(YEAR(BD!I359),"Standard"),TabRFR[[#Headers],[2021]:[2025]],0)),"Modeste",IF(X359&lt;=INDEX(TabRFR[[2021]:[2025]],MATCH(BD!W359&amp;"-Intermédiaire",TabRFR[Recherche RFR],0),MATCH(TEXT(YEAR(BD!I359),"Standard"),TabRFR[[#Headers],[2021]:[2025]],0)),"Intermédiaire","Supérieur")))))))</f>
        <v>Data RFR manquantes</v>
      </c>
      <c r="Z359" s="75"/>
      <c r="AA359" s="75" t="s">
        <v>592</v>
      </c>
      <c r="AB359" s="75">
        <v>38140</v>
      </c>
      <c r="AC359" s="75" t="s">
        <v>3048</v>
      </c>
      <c r="AD359" s="73"/>
      <c r="AE359" s="102"/>
      <c r="AF359" s="75" t="s">
        <v>95</v>
      </c>
      <c r="AG359" s="75"/>
      <c r="AH359" s="130">
        <v>29373</v>
      </c>
      <c r="AI359" s="75"/>
      <c r="AJ359" s="75"/>
      <c r="AK359" s="75"/>
      <c r="AL359" s="75"/>
      <c r="AM359" s="75" t="s">
        <v>4236</v>
      </c>
      <c r="AN359" s="75" t="s">
        <v>4091</v>
      </c>
      <c r="AO359" s="75" t="s">
        <v>163</v>
      </c>
      <c r="AP359" s="75" t="s">
        <v>97</v>
      </c>
      <c r="AQ359" s="75"/>
      <c r="AR359" s="74">
        <v>43360</v>
      </c>
      <c r="AS359" s="102" t="s">
        <v>285</v>
      </c>
      <c r="AT359" s="73">
        <v>476370350</v>
      </c>
      <c r="AU359" s="75" t="s">
        <v>111</v>
      </c>
      <c r="AV359" s="75">
        <v>1990</v>
      </c>
      <c r="AW359" s="75" t="s">
        <v>100</v>
      </c>
      <c r="AX359" s="75" t="s">
        <v>112</v>
      </c>
      <c r="AY359" s="75" t="s">
        <v>278</v>
      </c>
      <c r="AZ359" s="75" t="s">
        <v>593</v>
      </c>
      <c r="BA359" s="75">
        <v>20</v>
      </c>
      <c r="BB359" s="75">
        <v>9</v>
      </c>
      <c r="BC359" s="75">
        <v>80.400000000000006</v>
      </c>
      <c r="BD359" s="75">
        <v>0.06</v>
      </c>
      <c r="BE359" s="75" t="s">
        <v>97</v>
      </c>
      <c r="BF359" s="75"/>
      <c r="BG359" s="75">
        <v>3849</v>
      </c>
      <c r="BH359" s="75"/>
      <c r="BI359" s="75"/>
      <c r="BJ359" s="75"/>
      <c r="BK359" s="75">
        <v>390</v>
      </c>
      <c r="BL359" s="75">
        <f t="shared" si="15"/>
        <v>4239</v>
      </c>
      <c r="BM359" s="103">
        <f t="shared" si="16"/>
        <v>233.14500000000001</v>
      </c>
      <c r="BN359" s="103">
        <f t="shared" si="17"/>
        <v>4472.1450000000004</v>
      </c>
      <c r="BO359" s="103">
        <v>4472</v>
      </c>
      <c r="BP359" s="75" t="s">
        <v>97</v>
      </c>
      <c r="BQ359" s="75"/>
      <c r="BR359" s="74">
        <v>43416</v>
      </c>
      <c r="BS359" s="157">
        <v>2018</v>
      </c>
      <c r="BT359">
        <v>2020</v>
      </c>
      <c r="BU359">
        <v>2018</v>
      </c>
    </row>
    <row r="360" spans="1:73" ht="43.15" customHeight="1" x14ac:dyDescent="0.25">
      <c r="A360" s="242" t="s">
        <v>594</v>
      </c>
      <c r="B360" s="242" t="s">
        <v>595</v>
      </c>
      <c r="C360" s="159">
        <v>400</v>
      </c>
      <c r="D360" s="114">
        <v>43249</v>
      </c>
      <c r="E360" s="114">
        <v>43249</v>
      </c>
      <c r="F360" s="114"/>
      <c r="G360" s="114"/>
      <c r="H360" s="114">
        <v>43293</v>
      </c>
      <c r="I360" s="114">
        <v>43293</v>
      </c>
      <c r="J360" s="114">
        <v>43297</v>
      </c>
      <c r="K360" s="114"/>
      <c r="L360" s="114">
        <v>43357</v>
      </c>
      <c r="M360" s="114">
        <v>43328</v>
      </c>
      <c r="N360" s="114">
        <v>43389</v>
      </c>
      <c r="O360" s="114">
        <v>43389</v>
      </c>
      <c r="P360" s="114">
        <v>43389</v>
      </c>
      <c r="Q360" s="114">
        <v>43435</v>
      </c>
      <c r="R360" s="80"/>
      <c r="S360" s="114"/>
      <c r="T360" s="75"/>
      <c r="U360" s="75"/>
      <c r="V360" s="75"/>
      <c r="W360" s="75">
        <v>2</v>
      </c>
      <c r="X360" s="75" t="s">
        <v>596</v>
      </c>
      <c r="Y360" s="75" t="e">
        <f ca="1">IF(I360="",IF(D360="","",IF(W360+X360&lt;15,"Données Nb pers ou RFR manquantes",IF(COUNTA(INDIRECT("TabRFR["&amp;YEAR(D360)&amp;"]"))&lt;&gt;COUNTA(TabRFR[Recherche RFR]),"Data RFR manquantes", IF(X360&lt;=INDEX(TabRFR[[2021]:[2025]],MATCH(BD!W360&amp;"-Très modestes",TabRFR[Recherche RFR],0),MATCH(TEXT(YEAR(BD!D360),"Standard"),TabRFR[[#Headers],[2021]:[2025]],0)),"Très Modeste",IF(X360&lt;=INDEX(TabRFR[[2021]:[2025]],MATCH(BD!W360&amp;"-modestes",TabRFR[Recherche RFR],0),MATCH(TEXT(YEAR(BD!D360),"Standard"),TabRFR[[#Headers],[2021]:[2025]],0)),"Modeste",IF(X360&lt;=INDEX(TabRFR[[2021]:[2025]],MATCH(BD!W360&amp;"-Intermédiaire",TabRFR[Recherche RFR],0),MATCH(TEXT(YEAR(BD!D360),"Standard"),TabRFR[[#Headers],[2021]:[2025]],0)),"Intermédiaire","Supérieur")))))),IF(D360="","",IF(W360+X360&lt;15,"Données Nb pers ou RFR manquantes",IF(COUNTA(INDIRECT("TabRFR["&amp;YEAR(I360)&amp;"]"))&lt;&gt;COUNTA(TabRFR[Recherche RFR]),"Data RFR manquantes", IF(X360&lt;=INDEX(TabRFR[[2021]:[2025]],MATCH(BD!W360&amp;"-Très modestes",TabRFR[Recherche RFR],0),MATCH(TEXT(YEAR(BD!I360),"Standard"),TabRFR[[#Headers],[2021]:[2025]],0)),"Très Modeste",IF(X360&lt;=INDEX(TabRFR[[2021]:[2025]],MATCH(BD!W360&amp;"-modestes",TabRFR[Recherche RFR],0),MATCH(TEXT(YEAR(BD!I360),"Standard"),TabRFR[[#Headers],[2021]:[2025]],0)),"Modeste",IF(X360&lt;=INDEX(TabRFR[[2021]:[2025]],MATCH(BD!W360&amp;"-Intermédiaire",TabRFR[Recherche RFR],0),MATCH(TEXT(YEAR(BD!I360),"Standard"),TabRFR[[#Headers],[2021]:[2025]],0)),"Intermédiaire","Supérieur")))))))</f>
        <v>#VALUE!</v>
      </c>
      <c r="Z360" s="75"/>
      <c r="AA360" s="75" t="s">
        <v>597</v>
      </c>
      <c r="AB360" s="75">
        <v>38000</v>
      </c>
      <c r="AC360" s="75" t="s">
        <v>598</v>
      </c>
      <c r="AD360" s="73"/>
      <c r="AE360" s="102"/>
      <c r="AF360" s="75" t="s">
        <v>95</v>
      </c>
      <c r="AG360" s="75"/>
      <c r="AH360" s="131">
        <v>43143</v>
      </c>
      <c r="AI360" s="75">
        <v>151</v>
      </c>
      <c r="AJ360" s="75" t="s">
        <v>599</v>
      </c>
      <c r="AK360" s="75">
        <v>38134</v>
      </c>
      <c r="AL360" s="75" t="s">
        <v>202</v>
      </c>
      <c r="AM360" s="75" t="s">
        <v>4393</v>
      </c>
      <c r="AN360" s="75" t="s">
        <v>4394</v>
      </c>
      <c r="AO360" s="75"/>
      <c r="AP360" s="75" t="s">
        <v>97</v>
      </c>
      <c r="AQ360" s="75"/>
      <c r="AR360" s="74">
        <v>43561</v>
      </c>
      <c r="AS360" s="102" t="s">
        <v>600</v>
      </c>
      <c r="AT360" s="73" t="s">
        <v>601</v>
      </c>
      <c r="AU360" s="75" t="s">
        <v>100</v>
      </c>
      <c r="AV360" s="75">
        <v>2001</v>
      </c>
      <c r="AW360" s="75" t="s">
        <v>100</v>
      </c>
      <c r="AX360" s="75" t="s">
        <v>326</v>
      </c>
      <c r="AY360" s="75" t="s">
        <v>258</v>
      </c>
      <c r="AZ360" s="75" t="s">
        <v>602</v>
      </c>
      <c r="BA360" s="75">
        <v>28</v>
      </c>
      <c r="BB360" s="75">
        <v>7</v>
      </c>
      <c r="BC360" s="75">
        <v>81.3</v>
      </c>
      <c r="BD360" s="75">
        <v>0.6</v>
      </c>
      <c r="BE360" s="75" t="s">
        <v>97</v>
      </c>
      <c r="BF360" s="77"/>
      <c r="BG360" s="75">
        <v>3066.65</v>
      </c>
      <c r="BH360" s="75"/>
      <c r="BI360" s="75"/>
      <c r="BJ360" s="75"/>
      <c r="BK360" s="75">
        <v>450</v>
      </c>
      <c r="BL360" s="75">
        <f t="shared" si="15"/>
        <v>3516.65</v>
      </c>
      <c r="BM360" s="103">
        <f t="shared" si="16"/>
        <v>193.41575</v>
      </c>
      <c r="BN360" s="103">
        <f t="shared" si="17"/>
        <v>3710.0657500000002</v>
      </c>
      <c r="BO360" s="103">
        <v>3710</v>
      </c>
      <c r="BP360" s="75" t="s">
        <v>104</v>
      </c>
      <c r="BQ360" s="75"/>
      <c r="BR360" s="74">
        <v>43416</v>
      </c>
      <c r="BS360" s="157">
        <v>2018</v>
      </c>
      <c r="BT360">
        <v>2020</v>
      </c>
      <c r="BU360">
        <v>2018</v>
      </c>
    </row>
    <row r="361" spans="1:73" ht="43.15" customHeight="1" x14ac:dyDescent="0.25">
      <c r="A361" s="242" t="s">
        <v>594</v>
      </c>
      <c r="B361" s="242" t="s">
        <v>603</v>
      </c>
      <c r="C361" s="159">
        <v>400</v>
      </c>
      <c r="D361" s="114">
        <v>43249</v>
      </c>
      <c r="E361" s="114">
        <v>43249</v>
      </c>
      <c r="F361" s="114">
        <v>43306</v>
      </c>
      <c r="G361" s="114" t="s">
        <v>604</v>
      </c>
      <c r="H361" s="114">
        <v>43332</v>
      </c>
      <c r="I361" s="114">
        <v>43334</v>
      </c>
      <c r="J361" s="114">
        <v>43357</v>
      </c>
      <c r="K361" s="114"/>
      <c r="L361" s="114">
        <v>43371</v>
      </c>
      <c r="M361" s="114">
        <v>43371</v>
      </c>
      <c r="N361" s="114">
        <v>43389</v>
      </c>
      <c r="O361" s="114">
        <v>43389</v>
      </c>
      <c r="P361" s="114">
        <v>43389</v>
      </c>
      <c r="Q361" s="114">
        <v>43435</v>
      </c>
      <c r="R361" s="80"/>
      <c r="S361" s="114"/>
      <c r="T361" s="75"/>
      <c r="U361" s="75"/>
      <c r="V361" s="75"/>
      <c r="W361" s="75">
        <v>2</v>
      </c>
      <c r="X361" s="75">
        <v>36557</v>
      </c>
      <c r="Y361" s="75" t="str">
        <f ca="1">IF(I361="",IF(D361="","",IF(W361+X361&lt;15,"Données Nb pers ou RFR manquantes",IF(COUNTA(INDIRECT("TabRFR["&amp;YEAR(D361)&amp;"]"))&lt;&gt;COUNTA(TabRFR[Recherche RFR]),"Data RFR manquantes", IF(X361&lt;=INDEX(TabRFR[[2021]:[2025]],MATCH(BD!W361&amp;"-Très modestes",TabRFR[Recherche RFR],0),MATCH(TEXT(YEAR(BD!D361),"Standard"),TabRFR[[#Headers],[2021]:[2025]],0)),"Très Modeste",IF(X361&lt;=INDEX(TabRFR[[2021]:[2025]],MATCH(BD!W361&amp;"-modestes",TabRFR[Recherche RFR],0),MATCH(TEXT(YEAR(BD!D361),"Standard"),TabRFR[[#Headers],[2021]:[2025]],0)),"Modeste",IF(X361&lt;=INDEX(TabRFR[[2021]:[2025]],MATCH(BD!W361&amp;"-Intermédiaire",TabRFR[Recherche RFR],0),MATCH(TEXT(YEAR(BD!D361),"Standard"),TabRFR[[#Headers],[2021]:[2025]],0)),"Intermédiaire","Supérieur")))))),IF(D361="","",IF(W361+X361&lt;15,"Données Nb pers ou RFR manquantes",IF(COUNTA(INDIRECT("TabRFR["&amp;YEAR(I361)&amp;"]"))&lt;&gt;COUNTA(TabRFR[Recherche RFR]),"Data RFR manquantes", IF(X361&lt;=INDEX(TabRFR[[2021]:[2025]],MATCH(BD!W361&amp;"-Très modestes",TabRFR[Recherche RFR],0),MATCH(TEXT(YEAR(BD!I361),"Standard"),TabRFR[[#Headers],[2021]:[2025]],0)),"Très Modeste",IF(X361&lt;=INDEX(TabRFR[[2021]:[2025]],MATCH(BD!W361&amp;"-modestes",TabRFR[Recherche RFR],0),MATCH(TEXT(YEAR(BD!I361),"Standard"),TabRFR[[#Headers],[2021]:[2025]],0)),"Modeste",IF(X361&lt;=INDEX(TabRFR[[2021]:[2025]],MATCH(BD!W361&amp;"-Intermédiaire",TabRFR[Recherche RFR],0),MATCH(TEXT(YEAR(BD!I361),"Standard"),TabRFR[[#Headers],[2021]:[2025]],0)),"Intermédiaire","Supérieur")))))))</f>
        <v>Data RFR manquantes</v>
      </c>
      <c r="Z361" s="75"/>
      <c r="AA361" s="75" t="s">
        <v>606</v>
      </c>
      <c r="AB361" s="75">
        <v>38620</v>
      </c>
      <c r="AC361" s="75" t="s">
        <v>3754</v>
      </c>
      <c r="AD361" s="73"/>
      <c r="AE361" s="102"/>
      <c r="AF361" s="75" t="s">
        <v>95</v>
      </c>
      <c r="AG361" s="75"/>
      <c r="AH361" s="75"/>
      <c r="AI361" s="75"/>
      <c r="AJ361" s="75"/>
      <c r="AK361" s="75"/>
      <c r="AL361" s="75"/>
      <c r="AM361" s="75" t="s">
        <v>4236</v>
      </c>
      <c r="AN361" s="75" t="s">
        <v>4091</v>
      </c>
      <c r="AO361" s="75" t="s">
        <v>163</v>
      </c>
      <c r="AP361" s="75" t="s">
        <v>97</v>
      </c>
      <c r="AQ361" s="75"/>
      <c r="AR361" s="74">
        <v>43360</v>
      </c>
      <c r="AS361" s="102" t="s">
        <v>285</v>
      </c>
      <c r="AT361" s="73" t="s">
        <v>608</v>
      </c>
      <c r="AU361" s="75" t="s">
        <v>111</v>
      </c>
      <c r="AV361" s="75">
        <v>1998</v>
      </c>
      <c r="AW361" s="75" t="s">
        <v>100</v>
      </c>
      <c r="AX361" s="75" t="s">
        <v>2071</v>
      </c>
      <c r="AY361" s="75" t="s">
        <v>165</v>
      </c>
      <c r="AZ361" s="75" t="s">
        <v>609</v>
      </c>
      <c r="BA361" s="75">
        <v>11</v>
      </c>
      <c r="BB361" s="75">
        <v>12</v>
      </c>
      <c r="BC361" s="75">
        <v>88.5</v>
      </c>
      <c r="BD361" s="75">
        <v>0.01</v>
      </c>
      <c r="BE361" s="75" t="s">
        <v>97</v>
      </c>
      <c r="BF361" s="77"/>
      <c r="BG361" s="75">
        <v>3650</v>
      </c>
      <c r="BH361" s="75"/>
      <c r="BI361" s="75"/>
      <c r="BJ361" s="75"/>
      <c r="BK361" s="75">
        <v>4283</v>
      </c>
      <c r="BL361" s="75">
        <f t="shared" si="15"/>
        <v>7933</v>
      </c>
      <c r="BM361" s="103">
        <f t="shared" si="16"/>
        <v>436.315</v>
      </c>
      <c r="BN361" s="103">
        <f t="shared" si="17"/>
        <v>8369.3150000000005</v>
      </c>
      <c r="BO361" s="103">
        <v>8369.32</v>
      </c>
      <c r="BP361" s="75" t="s">
        <v>104</v>
      </c>
      <c r="BQ361" s="75"/>
      <c r="BR361" s="75"/>
      <c r="BS361" s="157">
        <v>2018</v>
      </c>
      <c r="BU361">
        <v>2018</v>
      </c>
    </row>
    <row r="362" spans="1:73" ht="43.15" customHeight="1" x14ac:dyDescent="0.25">
      <c r="A362" s="242" t="s">
        <v>90</v>
      </c>
      <c r="B362" s="242" t="s">
        <v>610</v>
      </c>
      <c r="C362" s="159">
        <v>400</v>
      </c>
      <c r="D362" s="114">
        <v>43249</v>
      </c>
      <c r="E362" s="114">
        <v>43249</v>
      </c>
      <c r="F362" s="114">
        <v>43272</v>
      </c>
      <c r="G362" s="114">
        <v>43381</v>
      </c>
      <c r="H362" s="114">
        <v>43381</v>
      </c>
      <c r="I362" s="114">
        <v>43381</v>
      </c>
      <c r="J362" s="114">
        <v>43392</v>
      </c>
      <c r="K362" s="76"/>
      <c r="L362" s="114">
        <v>43427</v>
      </c>
      <c r="M362" s="114">
        <v>43423</v>
      </c>
      <c r="N362" s="114" t="s">
        <v>590</v>
      </c>
      <c r="O362" s="114">
        <v>43438</v>
      </c>
      <c r="P362" s="114">
        <v>43438</v>
      </c>
      <c r="Q362" s="114">
        <v>43440</v>
      </c>
      <c r="R362" s="80"/>
      <c r="S362" s="114"/>
      <c r="T362" s="75"/>
      <c r="U362" s="75"/>
      <c r="V362" s="75"/>
      <c r="W362" s="75">
        <v>2</v>
      </c>
      <c r="X362" s="75">
        <v>35661</v>
      </c>
      <c r="Y362" s="75" t="str">
        <f ca="1">IF(I362="",IF(D362="","",IF(W362+X362&lt;15,"Données Nb pers ou RFR manquantes",IF(COUNTA(INDIRECT("TabRFR["&amp;YEAR(D362)&amp;"]"))&lt;&gt;COUNTA(TabRFR[Recherche RFR]),"Data RFR manquantes", IF(X362&lt;=INDEX(TabRFR[[2021]:[2025]],MATCH(BD!W362&amp;"-Très modestes",TabRFR[Recherche RFR],0),MATCH(TEXT(YEAR(BD!D362),"Standard"),TabRFR[[#Headers],[2021]:[2025]],0)),"Très Modeste",IF(X362&lt;=INDEX(TabRFR[[2021]:[2025]],MATCH(BD!W362&amp;"-modestes",TabRFR[Recherche RFR],0),MATCH(TEXT(YEAR(BD!D362),"Standard"),TabRFR[[#Headers],[2021]:[2025]],0)),"Modeste",IF(X362&lt;=INDEX(TabRFR[[2021]:[2025]],MATCH(BD!W362&amp;"-Intermédiaire",TabRFR[Recherche RFR],0),MATCH(TEXT(YEAR(BD!D362),"Standard"),TabRFR[[#Headers],[2021]:[2025]],0)),"Intermédiaire","Supérieur")))))),IF(D362="","",IF(W362+X362&lt;15,"Données Nb pers ou RFR manquantes",IF(COUNTA(INDIRECT("TabRFR["&amp;YEAR(I362)&amp;"]"))&lt;&gt;COUNTA(TabRFR[Recherche RFR]),"Data RFR manquantes", IF(X362&lt;=INDEX(TabRFR[[2021]:[2025]],MATCH(BD!W362&amp;"-Très modestes",TabRFR[Recherche RFR],0),MATCH(TEXT(YEAR(BD!I362),"Standard"),TabRFR[[#Headers],[2021]:[2025]],0)),"Très Modeste",IF(X362&lt;=INDEX(TabRFR[[2021]:[2025]],MATCH(BD!W362&amp;"-modestes",TabRFR[Recherche RFR],0),MATCH(TEXT(YEAR(BD!I362),"Standard"),TabRFR[[#Headers],[2021]:[2025]],0)),"Modeste",IF(X362&lt;=INDEX(TabRFR[[2021]:[2025]],MATCH(BD!W362&amp;"-Intermédiaire",TabRFR[Recherche RFR],0),MATCH(TEXT(YEAR(BD!I362),"Standard"),TabRFR[[#Headers],[2021]:[2025]],0)),"Intermédiaire","Supérieur")))))))</f>
        <v>Data RFR manquantes</v>
      </c>
      <c r="Z362" s="75"/>
      <c r="AA362" s="75" t="s">
        <v>611</v>
      </c>
      <c r="AB362" s="75">
        <v>38500</v>
      </c>
      <c r="AC362" s="75" t="s">
        <v>96</v>
      </c>
      <c r="AD362" s="101"/>
      <c r="AE362" s="102"/>
      <c r="AF362" s="75" t="s">
        <v>95</v>
      </c>
      <c r="AG362" s="75"/>
      <c r="AH362" s="75">
        <v>40441</v>
      </c>
      <c r="AI362" s="75"/>
      <c r="AJ362" s="75"/>
      <c r="AK362" s="75"/>
      <c r="AL362" s="75"/>
      <c r="AM362" s="75" t="s">
        <v>4191</v>
      </c>
      <c r="AN362" s="75" t="s">
        <v>96</v>
      </c>
      <c r="AO362" s="75" t="s">
        <v>229</v>
      </c>
      <c r="AP362" s="75" t="s">
        <v>97</v>
      </c>
      <c r="AQ362" s="75"/>
      <c r="AR362" s="75">
        <v>43681</v>
      </c>
      <c r="AS362" s="102" t="s">
        <v>230</v>
      </c>
      <c r="AT362" s="101">
        <v>476059938</v>
      </c>
      <c r="AU362" s="75" t="s">
        <v>111</v>
      </c>
      <c r="AV362" s="75" t="s">
        <v>9</v>
      </c>
      <c r="AW362" s="75" t="s">
        <v>100</v>
      </c>
      <c r="AX362" s="75" t="s">
        <v>112</v>
      </c>
      <c r="AY362" s="75" t="s">
        <v>232</v>
      </c>
      <c r="AZ362" s="75" t="s">
        <v>612</v>
      </c>
      <c r="BA362" s="75"/>
      <c r="BB362" s="75">
        <v>7</v>
      </c>
      <c r="BC362" s="75">
        <v>83.1</v>
      </c>
      <c r="BD362" s="75">
        <v>6.9000000000000006E-2</v>
      </c>
      <c r="BE362" s="75" t="s">
        <v>613</v>
      </c>
      <c r="BF362" s="75"/>
      <c r="BG362" s="75">
        <v>2850</v>
      </c>
      <c r="BH362" s="77"/>
      <c r="BI362" s="77"/>
      <c r="BJ362" s="77"/>
      <c r="BK362" s="75">
        <v>2765</v>
      </c>
      <c r="BL362" s="75">
        <f t="shared" si="15"/>
        <v>5615</v>
      </c>
      <c r="BM362" s="103">
        <f t="shared" si="16"/>
        <v>308.82499999999999</v>
      </c>
      <c r="BN362" s="103">
        <f t="shared" si="17"/>
        <v>5923.8249999999998</v>
      </c>
      <c r="BO362" s="103"/>
      <c r="BP362" s="75" t="s">
        <v>97</v>
      </c>
      <c r="BQ362" s="75"/>
      <c r="BR362" s="75">
        <v>43416</v>
      </c>
      <c r="BS362" s="157">
        <v>2018</v>
      </c>
      <c r="BT362">
        <v>2020</v>
      </c>
      <c r="BU362">
        <v>2018</v>
      </c>
    </row>
    <row r="363" spans="1:73" ht="43.15" customHeight="1" x14ac:dyDescent="0.25">
      <c r="A363" s="242" t="s">
        <v>90</v>
      </c>
      <c r="B363" s="242" t="s">
        <v>614</v>
      </c>
      <c r="C363" s="159">
        <v>400</v>
      </c>
      <c r="D363" s="114">
        <v>43255</v>
      </c>
      <c r="E363" s="114">
        <v>43255</v>
      </c>
      <c r="F363" s="114"/>
      <c r="G363" s="114"/>
      <c r="H363" s="114">
        <v>43272</v>
      </c>
      <c r="I363" s="114">
        <v>43272</v>
      </c>
      <c r="J363" s="114">
        <v>43276</v>
      </c>
      <c r="K363" s="76"/>
      <c r="L363" s="114">
        <v>43377</v>
      </c>
      <c r="M363" s="114">
        <v>43354</v>
      </c>
      <c r="N363" s="114"/>
      <c r="O363" s="114">
        <v>43381</v>
      </c>
      <c r="P363" s="114">
        <v>43381</v>
      </c>
      <c r="Q363" s="114">
        <v>43392</v>
      </c>
      <c r="R363" s="80"/>
      <c r="S363" s="114"/>
      <c r="T363" s="75"/>
      <c r="U363" s="75"/>
      <c r="V363" s="75"/>
      <c r="W363" s="75">
        <v>2</v>
      </c>
      <c r="X363" s="75">
        <v>59801</v>
      </c>
      <c r="Y363" s="75" t="str">
        <f ca="1">IF(I363="",IF(D363="","",IF(W363+X363&lt;15,"Données Nb pers ou RFR manquantes",IF(COUNTA(INDIRECT("TabRFR["&amp;YEAR(D363)&amp;"]"))&lt;&gt;COUNTA(TabRFR[Recherche RFR]),"Data RFR manquantes", IF(X363&lt;=INDEX(TabRFR[[2021]:[2025]],MATCH(BD!W363&amp;"-Très modestes",TabRFR[Recherche RFR],0),MATCH(TEXT(YEAR(BD!D363),"Standard"),TabRFR[[#Headers],[2021]:[2025]],0)),"Très Modeste",IF(X363&lt;=INDEX(TabRFR[[2021]:[2025]],MATCH(BD!W363&amp;"-modestes",TabRFR[Recherche RFR],0),MATCH(TEXT(YEAR(BD!D363),"Standard"),TabRFR[[#Headers],[2021]:[2025]],0)),"Modeste",IF(X363&lt;=INDEX(TabRFR[[2021]:[2025]],MATCH(BD!W363&amp;"-Intermédiaire",TabRFR[Recherche RFR],0),MATCH(TEXT(YEAR(BD!D363),"Standard"),TabRFR[[#Headers],[2021]:[2025]],0)),"Intermédiaire","Supérieur")))))),IF(D363="","",IF(W363+X363&lt;15,"Données Nb pers ou RFR manquantes",IF(COUNTA(INDIRECT("TabRFR["&amp;YEAR(I363)&amp;"]"))&lt;&gt;COUNTA(TabRFR[Recherche RFR]),"Data RFR manquantes", IF(X363&lt;=INDEX(TabRFR[[2021]:[2025]],MATCH(BD!W363&amp;"-Très modestes",TabRFR[Recherche RFR],0),MATCH(TEXT(YEAR(BD!I363),"Standard"),TabRFR[[#Headers],[2021]:[2025]],0)),"Très Modeste",IF(X363&lt;=INDEX(TabRFR[[2021]:[2025]],MATCH(BD!W363&amp;"-modestes",TabRFR[Recherche RFR],0),MATCH(TEXT(YEAR(BD!I363),"Standard"),TabRFR[[#Headers],[2021]:[2025]],0)),"Modeste",IF(X363&lt;=INDEX(TabRFR[[2021]:[2025]],MATCH(BD!W363&amp;"-Intermédiaire",TabRFR[Recherche RFR],0),MATCH(TEXT(YEAR(BD!I363),"Standard"),TabRFR[[#Headers],[2021]:[2025]],0)),"Intermédiaire","Supérieur")))))))</f>
        <v>Data RFR manquantes</v>
      </c>
      <c r="Z363" s="75"/>
      <c r="AA363" s="75" t="s">
        <v>615</v>
      </c>
      <c r="AB363" s="75">
        <v>38210</v>
      </c>
      <c r="AC363" s="75" t="s">
        <v>445</v>
      </c>
      <c r="AD363" s="101"/>
      <c r="AE363" s="102"/>
      <c r="AF363" s="75" t="s">
        <v>95</v>
      </c>
      <c r="AG363" s="75"/>
      <c r="AH363" s="75">
        <v>1978</v>
      </c>
      <c r="AI363" s="75"/>
      <c r="AJ363" s="75"/>
      <c r="AK363" s="75"/>
      <c r="AL363" s="75"/>
      <c r="AM363" s="75" t="s">
        <v>4035</v>
      </c>
      <c r="AN363" s="75" t="s">
        <v>108</v>
      </c>
      <c r="AO363" s="75" t="s">
        <v>109</v>
      </c>
      <c r="AP363" s="75" t="s">
        <v>97</v>
      </c>
      <c r="AQ363" s="75"/>
      <c r="AR363" s="75">
        <v>43279</v>
      </c>
      <c r="AS363" s="102" t="s">
        <v>110</v>
      </c>
      <c r="AT363" s="101" t="s">
        <v>616</v>
      </c>
      <c r="AU363" s="75" t="s">
        <v>111</v>
      </c>
      <c r="AV363" s="75">
        <v>2001</v>
      </c>
      <c r="AW363" s="75" t="s">
        <v>111</v>
      </c>
      <c r="AX363" s="75" t="s">
        <v>112</v>
      </c>
      <c r="AY363" s="75" t="s">
        <v>113</v>
      </c>
      <c r="AZ363" s="75" t="s">
        <v>551</v>
      </c>
      <c r="BA363" s="75">
        <v>30</v>
      </c>
      <c r="BB363" s="75">
        <v>6</v>
      </c>
      <c r="BC363" s="75">
        <v>80</v>
      </c>
      <c r="BD363" s="75">
        <v>0.11</v>
      </c>
      <c r="BE363" s="75" t="s">
        <v>97</v>
      </c>
      <c r="BF363" s="75"/>
      <c r="BG363" s="75">
        <v>1506.24</v>
      </c>
      <c r="BH363" s="77"/>
      <c r="BI363" s="77"/>
      <c r="BJ363" s="77"/>
      <c r="BK363" s="75">
        <v>1800</v>
      </c>
      <c r="BL363" s="75">
        <f t="shared" si="15"/>
        <v>3306.24</v>
      </c>
      <c r="BM363" s="103">
        <f t="shared" si="16"/>
        <v>181.8432</v>
      </c>
      <c r="BN363" s="103">
        <f t="shared" si="17"/>
        <v>3488.0831999999996</v>
      </c>
      <c r="BO363" s="103">
        <v>7345</v>
      </c>
      <c r="BP363" s="75" t="s">
        <v>97</v>
      </c>
      <c r="BQ363" s="75"/>
      <c r="BR363" s="75">
        <v>43416</v>
      </c>
      <c r="BS363" s="157">
        <v>2018</v>
      </c>
      <c r="BT363">
        <v>2020</v>
      </c>
      <c r="BU363">
        <v>2018</v>
      </c>
    </row>
    <row r="364" spans="1:73" ht="43.15" customHeight="1" x14ac:dyDescent="0.25">
      <c r="A364" s="242" t="s">
        <v>90</v>
      </c>
      <c r="B364" s="242" t="s">
        <v>617</v>
      </c>
      <c r="C364" s="159">
        <v>400</v>
      </c>
      <c r="D364" s="114">
        <v>43257</v>
      </c>
      <c r="E364" s="114">
        <v>43257</v>
      </c>
      <c r="F364" s="114">
        <v>43272</v>
      </c>
      <c r="G364" s="114" t="s">
        <v>618</v>
      </c>
      <c r="H364" s="114">
        <v>43308</v>
      </c>
      <c r="I364" s="114">
        <v>43308</v>
      </c>
      <c r="J364" s="114">
        <v>43348</v>
      </c>
      <c r="K364" s="76"/>
      <c r="L364" s="114">
        <v>43360</v>
      </c>
      <c r="M364" s="114">
        <v>43354</v>
      </c>
      <c r="N364" s="114"/>
      <c r="O364" s="114">
        <v>43363</v>
      </c>
      <c r="P364" s="114">
        <v>43363</v>
      </c>
      <c r="Q364" s="114">
        <v>43371</v>
      </c>
      <c r="R364" s="80"/>
      <c r="S364" s="114"/>
      <c r="T364" s="75"/>
      <c r="U364" s="75"/>
      <c r="V364" s="75"/>
      <c r="W364" s="75">
        <v>1</v>
      </c>
      <c r="X364" s="75">
        <v>21938</v>
      </c>
      <c r="Y364" s="75" t="str">
        <f ca="1">IF(I364="",IF(D364="","",IF(W364+X364&lt;15,"Données Nb pers ou RFR manquantes",IF(COUNTA(INDIRECT("TabRFR["&amp;YEAR(D364)&amp;"]"))&lt;&gt;COUNTA(TabRFR[Recherche RFR]),"Data RFR manquantes", IF(X364&lt;=INDEX(TabRFR[[2021]:[2025]],MATCH(BD!W364&amp;"-Très modestes",TabRFR[Recherche RFR],0),MATCH(TEXT(YEAR(BD!D364),"Standard"),TabRFR[[#Headers],[2021]:[2025]],0)),"Très Modeste",IF(X364&lt;=INDEX(TabRFR[[2021]:[2025]],MATCH(BD!W364&amp;"-modestes",TabRFR[Recherche RFR],0),MATCH(TEXT(YEAR(BD!D364),"Standard"),TabRFR[[#Headers],[2021]:[2025]],0)),"Modeste",IF(X364&lt;=INDEX(TabRFR[[2021]:[2025]],MATCH(BD!W364&amp;"-Intermédiaire",TabRFR[Recherche RFR],0),MATCH(TEXT(YEAR(BD!D364),"Standard"),TabRFR[[#Headers],[2021]:[2025]],0)),"Intermédiaire","Supérieur")))))),IF(D364="","",IF(W364+X364&lt;15,"Données Nb pers ou RFR manquantes",IF(COUNTA(INDIRECT("TabRFR["&amp;YEAR(I364)&amp;"]"))&lt;&gt;COUNTA(TabRFR[Recherche RFR]),"Data RFR manquantes", IF(X364&lt;=INDEX(TabRFR[[2021]:[2025]],MATCH(BD!W364&amp;"-Très modestes",TabRFR[Recherche RFR],0),MATCH(TEXT(YEAR(BD!I364),"Standard"),TabRFR[[#Headers],[2021]:[2025]],0)),"Très Modeste",IF(X364&lt;=INDEX(TabRFR[[2021]:[2025]],MATCH(BD!W364&amp;"-modestes",TabRFR[Recherche RFR],0),MATCH(TEXT(YEAR(BD!I364),"Standard"),TabRFR[[#Headers],[2021]:[2025]],0)),"Modeste",IF(X364&lt;=INDEX(TabRFR[[2021]:[2025]],MATCH(BD!W364&amp;"-Intermédiaire",TabRFR[Recherche RFR],0),MATCH(TEXT(YEAR(BD!I364),"Standard"),TabRFR[[#Headers],[2021]:[2025]],0)),"Intermédiaire","Supérieur")))))))</f>
        <v>Data RFR manquantes</v>
      </c>
      <c r="Z364" s="75"/>
      <c r="AA364" s="75" t="s">
        <v>619</v>
      </c>
      <c r="AB364" s="75">
        <v>38210</v>
      </c>
      <c r="AC364" s="75" t="s">
        <v>445</v>
      </c>
      <c r="AD364" s="101"/>
      <c r="AE364" s="102"/>
      <c r="AF364" s="75" t="s">
        <v>95</v>
      </c>
      <c r="AG364" s="75"/>
      <c r="AH364" s="75"/>
      <c r="AI364" s="75"/>
      <c r="AJ364" s="75"/>
      <c r="AK364" s="75"/>
      <c r="AL364" s="75"/>
      <c r="AM364" s="75" t="s">
        <v>218</v>
      </c>
      <c r="AN364" s="75" t="s">
        <v>217</v>
      </c>
      <c r="AO364" s="75" t="s">
        <v>219</v>
      </c>
      <c r="AP364" s="75" t="s">
        <v>97</v>
      </c>
      <c r="AQ364" s="75"/>
      <c r="AR364" s="75">
        <v>43399</v>
      </c>
      <c r="AS364" s="102" t="s">
        <v>220</v>
      </c>
      <c r="AT364" s="101" t="s">
        <v>620</v>
      </c>
      <c r="AU364" s="75" t="s">
        <v>99</v>
      </c>
      <c r="AV364" s="75"/>
      <c r="AW364" s="75" t="s">
        <v>111</v>
      </c>
      <c r="AX364" s="75" t="s">
        <v>112</v>
      </c>
      <c r="AY364" s="75" t="s">
        <v>121</v>
      </c>
      <c r="AZ364" s="75" t="s">
        <v>621</v>
      </c>
      <c r="BA364" s="75">
        <v>26</v>
      </c>
      <c r="BB364" s="75">
        <v>8</v>
      </c>
      <c r="BC364" s="75">
        <v>81</v>
      </c>
      <c r="BD364" s="75">
        <v>7.0000000000000007E-2</v>
      </c>
      <c r="BE364" s="75" t="s">
        <v>97</v>
      </c>
      <c r="BF364" s="75"/>
      <c r="BG364" s="75">
        <v>3321.87</v>
      </c>
      <c r="BH364" s="77"/>
      <c r="BI364" s="77"/>
      <c r="BJ364" s="77"/>
      <c r="BK364" s="75">
        <v>1339.03</v>
      </c>
      <c r="BL364" s="75">
        <f t="shared" si="15"/>
        <v>4660.8999999999996</v>
      </c>
      <c r="BM364" s="103">
        <f t="shared" si="16"/>
        <v>256.34949999999998</v>
      </c>
      <c r="BN364" s="103">
        <f t="shared" si="17"/>
        <v>4917.2494999999999</v>
      </c>
      <c r="BO364" s="103">
        <v>4909</v>
      </c>
      <c r="BP364" s="75" t="s">
        <v>97</v>
      </c>
      <c r="BQ364" s="75"/>
      <c r="BR364" s="75">
        <v>43416</v>
      </c>
      <c r="BS364" s="157">
        <v>2018</v>
      </c>
      <c r="BT364">
        <v>2020</v>
      </c>
      <c r="BU364">
        <v>2018</v>
      </c>
    </row>
    <row r="365" spans="1:73" ht="43.15" customHeight="1" x14ac:dyDescent="0.25">
      <c r="A365" s="242" t="s">
        <v>594</v>
      </c>
      <c r="B365" s="242" t="s">
        <v>622</v>
      </c>
      <c r="C365" s="159">
        <v>400</v>
      </c>
      <c r="D365" s="114">
        <v>43262</v>
      </c>
      <c r="E365" s="114">
        <v>43262</v>
      </c>
      <c r="F365" s="114">
        <v>43293</v>
      </c>
      <c r="G365" s="114">
        <v>43293</v>
      </c>
      <c r="H365" s="114">
        <v>43293</v>
      </c>
      <c r="I365" s="114">
        <v>43293</v>
      </c>
      <c r="J365" s="114">
        <v>43297</v>
      </c>
      <c r="K365" s="114"/>
      <c r="L365" s="114">
        <v>43314</v>
      </c>
      <c r="M365" s="114">
        <v>43307</v>
      </c>
      <c r="N365" s="114"/>
      <c r="O365" s="114">
        <v>43322</v>
      </c>
      <c r="P365" s="114">
        <v>43322</v>
      </c>
      <c r="Q365" s="114">
        <v>43343</v>
      </c>
      <c r="R365" s="80"/>
      <c r="S365" s="114"/>
      <c r="T365" s="75"/>
      <c r="U365" s="75"/>
      <c r="V365" s="75"/>
      <c r="W365" s="75">
        <v>4</v>
      </c>
      <c r="X365" s="75">
        <v>74335</v>
      </c>
      <c r="Y365" s="75" t="str">
        <f ca="1">IF(I365="",IF(D365="","",IF(W365+X365&lt;15,"Données Nb pers ou RFR manquantes",IF(COUNTA(INDIRECT("TabRFR["&amp;YEAR(D365)&amp;"]"))&lt;&gt;COUNTA(TabRFR[Recherche RFR]),"Data RFR manquantes", IF(X365&lt;=INDEX(TabRFR[[2021]:[2025]],MATCH(BD!W365&amp;"-Très modestes",TabRFR[Recherche RFR],0),MATCH(TEXT(YEAR(BD!D365),"Standard"),TabRFR[[#Headers],[2021]:[2025]],0)),"Très Modeste",IF(X365&lt;=INDEX(TabRFR[[2021]:[2025]],MATCH(BD!W365&amp;"-modestes",TabRFR[Recherche RFR],0),MATCH(TEXT(YEAR(BD!D365),"Standard"),TabRFR[[#Headers],[2021]:[2025]],0)),"Modeste",IF(X365&lt;=INDEX(TabRFR[[2021]:[2025]],MATCH(BD!W365&amp;"-Intermédiaire",TabRFR[Recherche RFR],0),MATCH(TEXT(YEAR(BD!D365),"Standard"),TabRFR[[#Headers],[2021]:[2025]],0)),"Intermédiaire","Supérieur")))))),IF(D365="","",IF(W365+X365&lt;15,"Données Nb pers ou RFR manquantes",IF(COUNTA(INDIRECT("TabRFR["&amp;YEAR(I365)&amp;"]"))&lt;&gt;COUNTA(TabRFR[Recherche RFR]),"Data RFR manquantes", IF(X365&lt;=INDEX(TabRFR[[2021]:[2025]],MATCH(BD!W365&amp;"-Très modestes",TabRFR[Recherche RFR],0),MATCH(TEXT(YEAR(BD!I365),"Standard"),TabRFR[[#Headers],[2021]:[2025]],0)),"Très Modeste",IF(X365&lt;=INDEX(TabRFR[[2021]:[2025]],MATCH(BD!W365&amp;"-modestes",TabRFR[Recherche RFR],0),MATCH(TEXT(YEAR(BD!I365),"Standard"),TabRFR[[#Headers],[2021]:[2025]],0)),"Modeste",IF(X365&lt;=INDEX(TabRFR[[2021]:[2025]],MATCH(BD!W365&amp;"-Intermédiaire",TabRFR[Recherche RFR],0),MATCH(TEXT(YEAR(BD!I365),"Standard"),TabRFR[[#Headers],[2021]:[2025]],0)),"Intermédiaire","Supérieur")))))))</f>
        <v>Data RFR manquantes</v>
      </c>
      <c r="Z365" s="75"/>
      <c r="AA365" s="75" t="s">
        <v>624</v>
      </c>
      <c r="AB365" s="75">
        <v>38140</v>
      </c>
      <c r="AC365" s="75" t="s">
        <v>237</v>
      </c>
      <c r="AD365" s="73"/>
      <c r="AE365" s="102"/>
      <c r="AF365" s="75" t="s">
        <v>95</v>
      </c>
      <c r="AG365" s="75"/>
      <c r="AH365" s="131">
        <v>36981</v>
      </c>
      <c r="AI365" s="75"/>
      <c r="AJ365" s="75"/>
      <c r="AK365" s="75"/>
      <c r="AL365" s="75"/>
      <c r="AM365" s="75" t="s">
        <v>218</v>
      </c>
      <c r="AN365" s="75" t="s">
        <v>217</v>
      </c>
      <c r="AO365" s="75" t="s">
        <v>219</v>
      </c>
      <c r="AP365" s="75" t="s">
        <v>97</v>
      </c>
      <c r="AQ365" s="75"/>
      <c r="AR365" s="74">
        <v>43399</v>
      </c>
      <c r="AS365" s="102" t="s">
        <v>220</v>
      </c>
      <c r="AT365" s="73" t="s">
        <v>620</v>
      </c>
      <c r="AU365" s="75" t="s">
        <v>111</v>
      </c>
      <c r="AV365" s="75" t="s">
        <v>625</v>
      </c>
      <c r="AW365" s="75" t="s">
        <v>100</v>
      </c>
      <c r="AX365" s="75" t="s">
        <v>2071</v>
      </c>
      <c r="AY365" s="75" t="s">
        <v>316</v>
      </c>
      <c r="AZ365" s="75" t="s">
        <v>626</v>
      </c>
      <c r="BA365" s="75">
        <v>23</v>
      </c>
      <c r="BB365" s="75">
        <v>8</v>
      </c>
      <c r="BC365" s="75">
        <v>87.8</v>
      </c>
      <c r="BD365" s="75">
        <v>1.4E-2</v>
      </c>
      <c r="BE365" s="75" t="s">
        <v>97</v>
      </c>
      <c r="BF365" s="77"/>
      <c r="BG365" s="75">
        <v>2150</v>
      </c>
      <c r="BH365" s="75"/>
      <c r="BI365" s="75"/>
      <c r="BJ365" s="75"/>
      <c r="BK365" s="75">
        <v>425</v>
      </c>
      <c r="BL365" s="75">
        <f t="shared" si="15"/>
        <v>2575</v>
      </c>
      <c r="BM365" s="103">
        <f t="shared" si="16"/>
        <v>141.625</v>
      </c>
      <c r="BN365" s="103">
        <f t="shared" si="17"/>
        <v>2716.625</v>
      </c>
      <c r="BO365" s="103">
        <v>5681.96</v>
      </c>
      <c r="BP365" s="75" t="s">
        <v>97</v>
      </c>
      <c r="BQ365" s="75"/>
      <c r="BR365" s="75"/>
      <c r="BS365" s="157">
        <v>2018</v>
      </c>
      <c r="BU365">
        <v>2018</v>
      </c>
    </row>
    <row r="366" spans="1:73" ht="43.15" customHeight="1" x14ac:dyDescent="0.25">
      <c r="A366" s="242" t="s">
        <v>594</v>
      </c>
      <c r="B366" s="242" t="s">
        <v>627</v>
      </c>
      <c r="C366" s="159">
        <v>800</v>
      </c>
      <c r="D366" s="114">
        <v>43265</v>
      </c>
      <c r="E366" s="114">
        <v>43265</v>
      </c>
      <c r="F366" s="114"/>
      <c r="G366" s="114"/>
      <c r="H366" s="114">
        <v>43299</v>
      </c>
      <c r="I366" s="114">
        <v>43299</v>
      </c>
      <c r="J366" s="114">
        <v>43306</v>
      </c>
      <c r="K366" s="114"/>
      <c r="L366" s="114">
        <v>43381</v>
      </c>
      <c r="M366" s="114">
        <v>43363</v>
      </c>
      <c r="N366" s="114"/>
      <c r="O366" s="114">
        <v>43389</v>
      </c>
      <c r="P366" s="114">
        <v>43389</v>
      </c>
      <c r="Q366" s="114">
        <v>43435</v>
      </c>
      <c r="R366" s="100"/>
      <c r="S366" s="114"/>
      <c r="T366" s="75"/>
      <c r="U366" s="75"/>
      <c r="V366" s="75"/>
      <c r="W366" s="75">
        <v>3</v>
      </c>
      <c r="X366" s="75">
        <v>32661</v>
      </c>
      <c r="Y366" s="75" t="str">
        <f ca="1">IF(I366="",IF(D366="","",IF(W366+X366&lt;15,"Données Nb pers ou RFR manquantes",IF(COUNTA(INDIRECT("TabRFR["&amp;YEAR(D366)&amp;"]"))&lt;&gt;COUNTA(TabRFR[Recherche RFR]),"Data RFR manquantes", IF(X366&lt;=INDEX(TabRFR[[2021]:[2025]],MATCH(BD!W366&amp;"-Très modestes",TabRFR[Recherche RFR],0),MATCH(TEXT(YEAR(BD!D366),"Standard"),TabRFR[[#Headers],[2021]:[2025]],0)),"Très Modeste",IF(X366&lt;=INDEX(TabRFR[[2021]:[2025]],MATCH(BD!W366&amp;"-modestes",TabRFR[Recherche RFR],0),MATCH(TEXT(YEAR(BD!D366),"Standard"),TabRFR[[#Headers],[2021]:[2025]],0)),"Modeste",IF(X366&lt;=INDEX(TabRFR[[2021]:[2025]],MATCH(BD!W366&amp;"-Intermédiaire",TabRFR[Recherche RFR],0),MATCH(TEXT(YEAR(BD!D366),"Standard"),TabRFR[[#Headers],[2021]:[2025]],0)),"Intermédiaire","Supérieur")))))),IF(D366="","",IF(W366+X366&lt;15,"Données Nb pers ou RFR manquantes",IF(COUNTA(INDIRECT("TabRFR["&amp;YEAR(I366)&amp;"]"))&lt;&gt;COUNTA(TabRFR[Recherche RFR]),"Data RFR manquantes", IF(X366&lt;=INDEX(TabRFR[[2021]:[2025]],MATCH(BD!W366&amp;"-Très modestes",TabRFR[Recherche RFR],0),MATCH(TEXT(YEAR(BD!I366),"Standard"),TabRFR[[#Headers],[2021]:[2025]],0)),"Très Modeste",IF(X366&lt;=INDEX(TabRFR[[2021]:[2025]],MATCH(BD!W366&amp;"-modestes",TabRFR[Recherche RFR],0),MATCH(TEXT(YEAR(BD!I366),"Standard"),TabRFR[[#Headers],[2021]:[2025]],0)),"Modeste",IF(X366&lt;=INDEX(TabRFR[[2021]:[2025]],MATCH(BD!W366&amp;"-Intermédiaire",TabRFR[Recherche RFR],0),MATCH(TEXT(YEAR(BD!I366),"Standard"),TabRFR[[#Headers],[2021]:[2025]],0)),"Intermédiaire","Supérieur")))))))</f>
        <v>Data RFR manquantes</v>
      </c>
      <c r="Z366" s="75"/>
      <c r="AA366" s="75" t="s">
        <v>629</v>
      </c>
      <c r="AB366" s="75">
        <v>38430</v>
      </c>
      <c r="AC366" s="75" t="s">
        <v>217</v>
      </c>
      <c r="AD366" s="73"/>
      <c r="AE366" s="102"/>
      <c r="AF366" s="75" t="s">
        <v>95</v>
      </c>
      <c r="AG366" s="75"/>
      <c r="AH366" s="75"/>
      <c r="AI366" s="75"/>
      <c r="AJ366" s="75"/>
      <c r="AK366" s="75"/>
      <c r="AL366" s="75"/>
      <c r="AM366" s="75" t="s">
        <v>218</v>
      </c>
      <c r="AN366" s="75" t="s">
        <v>217</v>
      </c>
      <c r="AO366" s="75" t="s">
        <v>219</v>
      </c>
      <c r="AP366" s="75" t="s">
        <v>97</v>
      </c>
      <c r="AQ366" s="75"/>
      <c r="AR366" s="74">
        <v>43399</v>
      </c>
      <c r="AS366" s="102" t="s">
        <v>220</v>
      </c>
      <c r="AT366" s="73" t="s">
        <v>620</v>
      </c>
      <c r="AU366" s="75" t="s">
        <v>111</v>
      </c>
      <c r="AV366" s="75">
        <v>1974</v>
      </c>
      <c r="AW366" s="75" t="s">
        <v>100</v>
      </c>
      <c r="AX366" s="75" t="s">
        <v>112</v>
      </c>
      <c r="AY366" s="75" t="s">
        <v>121</v>
      </c>
      <c r="AZ366" s="75" t="s">
        <v>630</v>
      </c>
      <c r="BA366" s="75">
        <v>17</v>
      </c>
      <c r="BB366" s="75">
        <v>8.1999999999999993</v>
      </c>
      <c r="BC366" s="75">
        <v>82</v>
      </c>
      <c r="BD366" s="75">
        <v>0.1</v>
      </c>
      <c r="BE366" s="75" t="s">
        <v>97</v>
      </c>
      <c r="BF366" s="77"/>
      <c r="BG366" s="75">
        <v>2478.69</v>
      </c>
      <c r="BH366" s="75"/>
      <c r="BI366" s="75"/>
      <c r="BJ366" s="75"/>
      <c r="BK366" s="75">
        <v>874.09</v>
      </c>
      <c r="BL366" s="75">
        <f t="shared" si="15"/>
        <v>3352.78</v>
      </c>
      <c r="BM366" s="103">
        <f t="shared" si="16"/>
        <v>184.40290000000002</v>
      </c>
      <c r="BN366" s="103">
        <f t="shared" si="17"/>
        <v>3537.1829000000002</v>
      </c>
      <c r="BO366" s="103">
        <f>2299+1238</f>
        <v>3537</v>
      </c>
      <c r="BP366" s="75" t="s">
        <v>97</v>
      </c>
      <c r="BQ366" s="75"/>
      <c r="BR366" s="74">
        <v>43416</v>
      </c>
      <c r="BS366" s="157">
        <v>2018</v>
      </c>
      <c r="BT366">
        <v>2020</v>
      </c>
      <c r="BU366">
        <v>2018</v>
      </c>
    </row>
    <row r="367" spans="1:73" ht="43.15" customHeight="1" x14ac:dyDescent="0.25">
      <c r="A367" s="29" t="s">
        <v>594</v>
      </c>
      <c r="B367" s="29" t="s">
        <v>631</v>
      </c>
      <c r="C367" s="161" t="s">
        <v>9</v>
      </c>
      <c r="D367" s="110">
        <v>43266</v>
      </c>
      <c r="E367" s="110">
        <v>43266</v>
      </c>
      <c r="F367" s="110">
        <v>43293</v>
      </c>
      <c r="G367" s="110" t="s">
        <v>632</v>
      </c>
      <c r="H367" s="110"/>
      <c r="I367" s="110"/>
      <c r="J367" s="110"/>
      <c r="K367" s="110"/>
      <c r="L367" s="110"/>
      <c r="M367" s="110"/>
      <c r="N367" s="110"/>
      <c r="O367" s="110"/>
      <c r="P367" s="110"/>
      <c r="Q367" s="110"/>
      <c r="R367" s="109"/>
      <c r="S367" s="110">
        <v>43313</v>
      </c>
      <c r="T367" s="111" t="s">
        <v>4174</v>
      </c>
      <c r="U367" s="111"/>
      <c r="V367" s="111"/>
      <c r="W367" s="111">
        <v>4</v>
      </c>
      <c r="X367" s="111">
        <v>28892</v>
      </c>
      <c r="Y367" s="75" t="str">
        <f ca="1">IF(I367="",IF(D367="","",IF(W367+X367&lt;15,"Données Nb pers ou RFR manquantes",IF(COUNTA(INDIRECT("TabRFR["&amp;YEAR(D367)&amp;"]"))&lt;&gt;COUNTA(TabRFR[Recherche RFR]),"Data RFR manquantes", IF(X367&lt;=INDEX(TabRFR[[2021]:[2025]],MATCH(BD!W367&amp;"-Très modestes",TabRFR[Recherche RFR],0),MATCH(TEXT(YEAR(BD!D367),"Standard"),TabRFR[[#Headers],[2021]:[2025]],0)),"Très Modeste",IF(X367&lt;=INDEX(TabRFR[[2021]:[2025]],MATCH(BD!W367&amp;"-modestes",TabRFR[Recherche RFR],0),MATCH(TEXT(YEAR(BD!D367),"Standard"),TabRFR[[#Headers],[2021]:[2025]],0)),"Modeste",IF(X367&lt;=INDEX(TabRFR[[2021]:[2025]],MATCH(BD!W367&amp;"-Intermédiaire",TabRFR[Recherche RFR],0),MATCH(TEXT(YEAR(BD!D367),"Standard"),TabRFR[[#Headers],[2021]:[2025]],0)),"Intermédiaire","Supérieur")))))),IF(D367="","",IF(W367+X367&lt;15,"Données Nb pers ou RFR manquantes",IF(COUNTA(INDIRECT("TabRFR["&amp;YEAR(I367)&amp;"]"))&lt;&gt;COUNTA(TabRFR[Recherche RFR]),"Data RFR manquantes", IF(X367&lt;=INDEX(TabRFR[[2021]:[2025]],MATCH(BD!W367&amp;"-Très modestes",TabRFR[Recherche RFR],0),MATCH(TEXT(YEAR(BD!I367),"Standard"),TabRFR[[#Headers],[2021]:[2025]],0)),"Très Modeste",IF(X367&lt;=INDEX(TabRFR[[2021]:[2025]],MATCH(BD!W367&amp;"-modestes",TabRFR[Recherche RFR],0),MATCH(TEXT(YEAR(BD!I367),"Standard"),TabRFR[[#Headers],[2021]:[2025]],0)),"Modeste",IF(X367&lt;=INDEX(TabRFR[[2021]:[2025]],MATCH(BD!W367&amp;"-Intermédiaire",TabRFR[Recherche RFR],0),MATCH(TEXT(YEAR(BD!I367),"Standard"),TabRFR[[#Headers],[2021]:[2025]],0)),"Intermédiaire","Supérieur")))))))</f>
        <v>Data RFR manquantes</v>
      </c>
      <c r="Z367" s="111"/>
      <c r="AA367" s="111" t="s">
        <v>228</v>
      </c>
      <c r="AB367" s="111">
        <v>38960</v>
      </c>
      <c r="AC367" s="111" t="s">
        <v>2378</v>
      </c>
      <c r="AD367" s="127"/>
      <c r="AE367" s="102"/>
      <c r="AF367" s="111" t="s">
        <v>95</v>
      </c>
      <c r="AG367" s="111"/>
      <c r="AH367" s="134">
        <v>36647</v>
      </c>
      <c r="AI367" s="111"/>
      <c r="AJ367" s="111"/>
      <c r="AK367" s="111"/>
      <c r="AL367" s="111"/>
      <c r="AM367" s="111" t="s">
        <v>4233</v>
      </c>
      <c r="AN367" s="111" t="s">
        <v>829</v>
      </c>
      <c r="AO367" s="111" t="s">
        <v>325</v>
      </c>
      <c r="AP367" s="111" t="s">
        <v>97</v>
      </c>
      <c r="AQ367" s="111"/>
      <c r="AR367" s="135">
        <v>43321</v>
      </c>
      <c r="AS367" s="102" t="s">
        <v>211</v>
      </c>
      <c r="AT367" s="127" t="s">
        <v>634</v>
      </c>
      <c r="AU367" s="111" t="s">
        <v>99</v>
      </c>
      <c r="AV367" s="111">
        <v>1970</v>
      </c>
      <c r="AW367" s="111" t="s">
        <v>100</v>
      </c>
      <c r="AX367" s="75" t="s">
        <v>2071</v>
      </c>
      <c r="AY367" s="111" t="s">
        <v>272</v>
      </c>
      <c r="AZ367" s="111" t="s">
        <v>635</v>
      </c>
      <c r="BA367" s="111">
        <v>29</v>
      </c>
      <c r="BB367" s="111">
        <v>8.5</v>
      </c>
      <c r="BC367" s="111">
        <v>87.1</v>
      </c>
      <c r="BD367" s="111">
        <v>0.03</v>
      </c>
      <c r="BE367" s="111" t="s">
        <v>97</v>
      </c>
      <c r="BF367" s="111"/>
      <c r="BG367" s="111">
        <v>3298.58</v>
      </c>
      <c r="BH367" s="111"/>
      <c r="BI367" s="111"/>
      <c r="BJ367" s="111"/>
      <c r="BK367" s="111">
        <v>568.72</v>
      </c>
      <c r="BL367" s="75">
        <f t="shared" si="15"/>
        <v>3867.3</v>
      </c>
      <c r="BM367" s="103">
        <f t="shared" si="16"/>
        <v>212.70150000000001</v>
      </c>
      <c r="BN367" s="103">
        <f t="shared" si="17"/>
        <v>4080.0015000000003</v>
      </c>
      <c r="BO367" s="113"/>
      <c r="BP367" s="111" t="s">
        <v>104</v>
      </c>
      <c r="BQ367" s="111"/>
      <c r="BR367" s="111"/>
      <c r="BS367" s="157">
        <v>2018</v>
      </c>
      <c r="BU367" t="s">
        <v>4180</v>
      </c>
    </row>
    <row r="368" spans="1:73" ht="43.15" customHeight="1" x14ac:dyDescent="0.25">
      <c r="A368" s="31" t="s">
        <v>594</v>
      </c>
      <c r="B368" s="31" t="s">
        <v>636</v>
      </c>
      <c r="C368" s="163" t="s">
        <v>9</v>
      </c>
      <c r="D368" s="76">
        <v>43269</v>
      </c>
      <c r="E368" s="76">
        <v>43269</v>
      </c>
      <c r="F368" s="76">
        <v>43293</v>
      </c>
      <c r="G368" s="76">
        <v>43306</v>
      </c>
      <c r="H368" s="76">
        <v>43306</v>
      </c>
      <c r="I368" s="76">
        <v>43306</v>
      </c>
      <c r="J368" s="76">
        <v>43348</v>
      </c>
      <c r="K368" s="76"/>
      <c r="L368" s="76" t="s">
        <v>3742</v>
      </c>
      <c r="M368" s="76"/>
      <c r="N368" s="76"/>
      <c r="O368" s="76"/>
      <c r="P368" s="76"/>
      <c r="Q368" s="76"/>
      <c r="R368" s="81"/>
      <c r="S368" s="76">
        <v>43944</v>
      </c>
      <c r="T368" s="77" t="s">
        <v>4175</v>
      </c>
      <c r="U368" s="77"/>
      <c r="V368" s="77"/>
      <c r="W368" s="77">
        <v>2</v>
      </c>
      <c r="X368" s="77">
        <v>21748</v>
      </c>
      <c r="Y368" s="75" t="str">
        <f ca="1">IF(I368="",IF(D368="","",IF(W368+X368&lt;15,"Données Nb pers ou RFR manquantes",IF(COUNTA(INDIRECT("TabRFR["&amp;YEAR(D368)&amp;"]"))&lt;&gt;COUNTA(TabRFR[Recherche RFR]),"Data RFR manquantes", IF(X368&lt;=INDEX(TabRFR[[2021]:[2025]],MATCH(BD!W368&amp;"-Très modestes",TabRFR[Recherche RFR],0),MATCH(TEXT(YEAR(BD!D368),"Standard"),TabRFR[[#Headers],[2021]:[2025]],0)),"Très Modeste",IF(X368&lt;=INDEX(TabRFR[[2021]:[2025]],MATCH(BD!W368&amp;"-modestes",TabRFR[Recherche RFR],0),MATCH(TEXT(YEAR(BD!D368),"Standard"),TabRFR[[#Headers],[2021]:[2025]],0)),"Modeste",IF(X368&lt;=INDEX(TabRFR[[2021]:[2025]],MATCH(BD!W368&amp;"-Intermédiaire",TabRFR[Recherche RFR],0),MATCH(TEXT(YEAR(BD!D368),"Standard"),TabRFR[[#Headers],[2021]:[2025]],0)),"Intermédiaire","Supérieur")))))),IF(D368="","",IF(W368+X368&lt;15,"Données Nb pers ou RFR manquantes",IF(COUNTA(INDIRECT("TabRFR["&amp;YEAR(I368)&amp;"]"))&lt;&gt;COUNTA(TabRFR[Recherche RFR]),"Data RFR manquantes", IF(X368&lt;=INDEX(TabRFR[[2021]:[2025]],MATCH(BD!W368&amp;"-Très modestes",TabRFR[Recherche RFR],0),MATCH(TEXT(YEAR(BD!I368),"Standard"),TabRFR[[#Headers],[2021]:[2025]],0)),"Très Modeste",IF(X368&lt;=INDEX(TabRFR[[2021]:[2025]],MATCH(BD!W368&amp;"-modestes",TabRFR[Recherche RFR],0),MATCH(TEXT(YEAR(BD!I368),"Standard"),TabRFR[[#Headers],[2021]:[2025]],0)),"Modeste",IF(X368&lt;=INDEX(TabRFR[[2021]:[2025]],MATCH(BD!W368&amp;"-Intermédiaire",TabRFR[Recherche RFR],0),MATCH(TEXT(YEAR(BD!I368),"Standard"),TabRFR[[#Headers],[2021]:[2025]],0)),"Intermédiaire","Supérieur")))))))</f>
        <v>Data RFR manquantes</v>
      </c>
      <c r="Z368" s="77"/>
      <c r="AA368" s="77" t="s">
        <v>638</v>
      </c>
      <c r="AB368" s="77">
        <v>38730</v>
      </c>
      <c r="AC368" s="77" t="s">
        <v>4304</v>
      </c>
      <c r="AD368" s="78"/>
      <c r="AE368" s="102"/>
      <c r="AF368" s="77" t="s">
        <v>95</v>
      </c>
      <c r="AG368" s="77"/>
      <c r="AH368" s="132">
        <v>42916</v>
      </c>
      <c r="AI368" s="77"/>
      <c r="AJ368" s="77"/>
      <c r="AK368" s="77"/>
      <c r="AL368" s="77"/>
      <c r="AM368" s="77" t="s">
        <v>3973</v>
      </c>
      <c r="AN368" s="77" t="s">
        <v>96</v>
      </c>
      <c r="AO368" s="77"/>
      <c r="AP368" s="77" t="s">
        <v>97</v>
      </c>
      <c r="AQ368" s="77"/>
      <c r="AR368" s="79">
        <v>43361</v>
      </c>
      <c r="AS368" s="102" t="s">
        <v>141</v>
      </c>
      <c r="AT368" s="78">
        <v>476069838</v>
      </c>
      <c r="AU368" s="77" t="s">
        <v>99</v>
      </c>
      <c r="AV368" s="77"/>
      <c r="AW368" s="77" t="s">
        <v>100</v>
      </c>
      <c r="AX368" s="75" t="s">
        <v>2071</v>
      </c>
      <c r="AY368" s="77" t="s">
        <v>440</v>
      </c>
      <c r="AZ368" s="77" t="s">
        <v>639</v>
      </c>
      <c r="BA368" s="77">
        <v>8</v>
      </c>
      <c r="BB368" s="77">
        <v>9</v>
      </c>
      <c r="BC368" s="77">
        <v>90.5</v>
      </c>
      <c r="BD368" s="77">
        <v>0</v>
      </c>
      <c r="BE368" s="77" t="s">
        <v>97</v>
      </c>
      <c r="BF368" s="77"/>
      <c r="BG368" s="77">
        <v>3200</v>
      </c>
      <c r="BH368" s="77"/>
      <c r="BI368" s="77"/>
      <c r="BJ368" s="77"/>
      <c r="BK368" s="77">
        <v>568</v>
      </c>
      <c r="BL368" s="75">
        <f t="shared" si="15"/>
        <v>3768</v>
      </c>
      <c r="BM368" s="103">
        <f t="shared" si="16"/>
        <v>207.24</v>
      </c>
      <c r="BN368" s="103">
        <f t="shared" si="17"/>
        <v>3975.24</v>
      </c>
      <c r="BO368" s="80"/>
      <c r="BP368" s="77" t="s">
        <v>97</v>
      </c>
      <c r="BQ368" s="77"/>
      <c r="BR368" s="77"/>
      <c r="BS368" s="157">
        <v>2018</v>
      </c>
      <c r="BU368" t="s">
        <v>4180</v>
      </c>
    </row>
    <row r="369" spans="1:73" ht="43.15" customHeight="1" x14ac:dyDescent="0.25">
      <c r="A369" s="241" t="s">
        <v>3781</v>
      </c>
      <c r="B369" s="241" t="s">
        <v>640</v>
      </c>
      <c r="C369" s="163">
        <v>400</v>
      </c>
      <c r="D369" s="76">
        <v>43270</v>
      </c>
      <c r="E369" s="76">
        <v>43270</v>
      </c>
      <c r="F369" s="76">
        <v>43299</v>
      </c>
      <c r="G369" s="76">
        <v>43306</v>
      </c>
      <c r="H369" s="76">
        <v>43306</v>
      </c>
      <c r="I369" s="76">
        <v>43306</v>
      </c>
      <c r="J369" s="76">
        <v>43348</v>
      </c>
      <c r="K369" s="76"/>
      <c r="L369" s="76">
        <v>43705</v>
      </c>
      <c r="M369" s="76">
        <v>43420</v>
      </c>
      <c r="N369" s="76" t="s">
        <v>3980</v>
      </c>
      <c r="O369" s="76">
        <v>43803</v>
      </c>
      <c r="P369" s="76">
        <v>43803</v>
      </c>
      <c r="Q369" s="76">
        <v>43809</v>
      </c>
      <c r="R369" s="81"/>
      <c r="S369" s="76"/>
      <c r="T369" s="77"/>
      <c r="U369" s="77"/>
      <c r="V369" s="77"/>
      <c r="W369" s="77">
        <v>5</v>
      </c>
      <c r="X369" s="77">
        <v>46502</v>
      </c>
      <c r="Y369" s="75" t="str">
        <f ca="1">IF(I369="",IF(D369="","",IF(W369+X369&lt;15,"Données Nb pers ou RFR manquantes",IF(COUNTA(INDIRECT("TabRFR["&amp;YEAR(D369)&amp;"]"))&lt;&gt;COUNTA(TabRFR[Recherche RFR]),"Data RFR manquantes", IF(X369&lt;=INDEX(TabRFR[[2021]:[2025]],MATCH(BD!W369&amp;"-Très modestes",TabRFR[Recherche RFR],0),MATCH(TEXT(YEAR(BD!D369),"Standard"),TabRFR[[#Headers],[2021]:[2025]],0)),"Très Modeste",IF(X369&lt;=INDEX(TabRFR[[2021]:[2025]],MATCH(BD!W369&amp;"-modestes",TabRFR[Recherche RFR],0),MATCH(TEXT(YEAR(BD!D369),"Standard"),TabRFR[[#Headers],[2021]:[2025]],0)),"Modeste",IF(X369&lt;=INDEX(TabRFR[[2021]:[2025]],MATCH(BD!W369&amp;"-Intermédiaire",TabRFR[Recherche RFR],0),MATCH(TEXT(YEAR(BD!D369),"Standard"),TabRFR[[#Headers],[2021]:[2025]],0)),"Intermédiaire","Supérieur")))))),IF(D369="","",IF(W369+X369&lt;15,"Données Nb pers ou RFR manquantes",IF(COUNTA(INDIRECT("TabRFR["&amp;YEAR(I369)&amp;"]"))&lt;&gt;COUNTA(TabRFR[Recherche RFR]),"Data RFR manquantes", IF(X369&lt;=INDEX(TabRFR[[2021]:[2025]],MATCH(BD!W369&amp;"-Très modestes",TabRFR[Recherche RFR],0),MATCH(TEXT(YEAR(BD!I369),"Standard"),TabRFR[[#Headers],[2021]:[2025]],0)),"Très Modeste",IF(X369&lt;=INDEX(TabRFR[[2021]:[2025]],MATCH(BD!W369&amp;"-modestes",TabRFR[Recherche RFR],0),MATCH(TEXT(YEAR(BD!I369),"Standard"),TabRFR[[#Headers],[2021]:[2025]],0)),"Modeste",IF(X369&lt;=INDEX(TabRFR[[2021]:[2025]],MATCH(BD!W369&amp;"-Intermédiaire",TabRFR[Recherche RFR],0),MATCH(TEXT(YEAR(BD!I369),"Standard"),TabRFR[[#Headers],[2021]:[2025]],0)),"Intermédiaire","Supérieur")))))))</f>
        <v>Data RFR manquantes</v>
      </c>
      <c r="Z369" s="77"/>
      <c r="AA369" s="77" t="s">
        <v>642</v>
      </c>
      <c r="AB369" s="77">
        <v>38960</v>
      </c>
      <c r="AC369" s="77" t="s">
        <v>2378</v>
      </c>
      <c r="AD369" s="78"/>
      <c r="AE369" s="102"/>
      <c r="AF369" s="77" t="s">
        <v>95</v>
      </c>
      <c r="AG369" s="77"/>
      <c r="AH369" s="77">
        <v>2014</v>
      </c>
      <c r="AI369" s="77"/>
      <c r="AJ369" s="77"/>
      <c r="AK369" s="77"/>
      <c r="AL369" s="77"/>
      <c r="AM369" s="77" t="s">
        <v>4395</v>
      </c>
      <c r="AN369" s="77" t="s">
        <v>3708</v>
      </c>
      <c r="AO369" s="77" t="s">
        <v>643</v>
      </c>
      <c r="AP369" s="77" t="s">
        <v>97</v>
      </c>
      <c r="AQ369" s="77"/>
      <c r="AR369" s="79">
        <v>43564</v>
      </c>
      <c r="AS369" s="102" t="s">
        <v>644</v>
      </c>
      <c r="AT369" s="78" t="s">
        <v>645</v>
      </c>
      <c r="AU369" s="77" t="s">
        <v>100</v>
      </c>
      <c r="AV369" s="77"/>
      <c r="AW369" s="77" t="s">
        <v>100</v>
      </c>
      <c r="AX369" s="77" t="s">
        <v>112</v>
      </c>
      <c r="AY369" s="77" t="s">
        <v>646</v>
      </c>
      <c r="AZ369" s="77" t="s">
        <v>647</v>
      </c>
      <c r="BA369" s="77">
        <v>14</v>
      </c>
      <c r="BB369" s="77">
        <v>7</v>
      </c>
      <c r="BC369" s="77">
        <v>85.4</v>
      </c>
      <c r="BD369" s="77">
        <v>5.6000000000000001E-2</v>
      </c>
      <c r="BE369" s="77" t="s">
        <v>374</v>
      </c>
      <c r="BF369" s="77"/>
      <c r="BG369" s="77">
        <v>5140</v>
      </c>
      <c r="BH369" s="77"/>
      <c r="BI369" s="77"/>
      <c r="BJ369" s="77"/>
      <c r="BK369" s="77">
        <v>3250</v>
      </c>
      <c r="BL369" s="75">
        <f t="shared" si="15"/>
        <v>8390</v>
      </c>
      <c r="BM369" s="103">
        <f t="shared" si="16"/>
        <v>461.45</v>
      </c>
      <c r="BN369" s="103">
        <f t="shared" si="17"/>
        <v>8851.4500000000007</v>
      </c>
      <c r="BO369" s="80">
        <v>8851.77</v>
      </c>
      <c r="BP369" s="77" t="s">
        <v>104</v>
      </c>
      <c r="BQ369" s="77"/>
      <c r="BR369" s="77"/>
      <c r="BS369" s="157">
        <v>2018</v>
      </c>
      <c r="BT369">
        <v>2020</v>
      </c>
      <c r="BU369">
        <v>2018</v>
      </c>
    </row>
    <row r="370" spans="1:73" ht="43.15" customHeight="1" x14ac:dyDescent="0.25">
      <c r="A370" s="242" t="s">
        <v>594</v>
      </c>
      <c r="B370" s="242" t="s">
        <v>648</v>
      </c>
      <c r="C370" s="159">
        <v>400</v>
      </c>
      <c r="D370" s="114">
        <v>43272</v>
      </c>
      <c r="E370" s="114">
        <v>43272</v>
      </c>
      <c r="F370" s="114"/>
      <c r="G370" s="114"/>
      <c r="H370" s="114">
        <v>43299</v>
      </c>
      <c r="I370" s="114">
        <v>43299</v>
      </c>
      <c r="J370" s="114">
        <v>43306</v>
      </c>
      <c r="K370" s="114"/>
      <c r="L370" s="114">
        <v>43355</v>
      </c>
      <c r="M370" s="114">
        <v>43342</v>
      </c>
      <c r="N370" s="114"/>
      <c r="O370" s="114">
        <v>43363</v>
      </c>
      <c r="P370" s="114">
        <v>43363</v>
      </c>
      <c r="Q370" s="114">
        <v>43371</v>
      </c>
      <c r="R370" s="80"/>
      <c r="S370" s="114"/>
      <c r="T370" s="75"/>
      <c r="U370" s="75"/>
      <c r="V370" s="75"/>
      <c r="W370" s="75">
        <v>1</v>
      </c>
      <c r="X370" s="75" t="s">
        <v>649</v>
      </c>
      <c r="Y370" s="75" t="e">
        <f ca="1">IF(I370="",IF(D370="","",IF(W370+X370&lt;15,"Données Nb pers ou RFR manquantes",IF(COUNTA(INDIRECT("TabRFR["&amp;YEAR(D370)&amp;"]"))&lt;&gt;COUNTA(TabRFR[Recherche RFR]),"Data RFR manquantes", IF(X370&lt;=INDEX(TabRFR[[2021]:[2025]],MATCH(BD!W370&amp;"-Très modestes",TabRFR[Recherche RFR],0),MATCH(TEXT(YEAR(BD!D370),"Standard"),TabRFR[[#Headers],[2021]:[2025]],0)),"Très Modeste",IF(X370&lt;=INDEX(TabRFR[[2021]:[2025]],MATCH(BD!W370&amp;"-modestes",TabRFR[Recherche RFR],0),MATCH(TEXT(YEAR(BD!D370),"Standard"),TabRFR[[#Headers],[2021]:[2025]],0)),"Modeste",IF(X370&lt;=INDEX(TabRFR[[2021]:[2025]],MATCH(BD!W370&amp;"-Intermédiaire",TabRFR[Recherche RFR],0),MATCH(TEXT(YEAR(BD!D370),"Standard"),TabRFR[[#Headers],[2021]:[2025]],0)),"Intermédiaire","Supérieur")))))),IF(D370="","",IF(W370+X370&lt;15,"Données Nb pers ou RFR manquantes",IF(COUNTA(INDIRECT("TabRFR["&amp;YEAR(I370)&amp;"]"))&lt;&gt;COUNTA(TabRFR[Recherche RFR]),"Data RFR manquantes", IF(X370&lt;=INDEX(TabRFR[[2021]:[2025]],MATCH(BD!W370&amp;"-Très modestes",TabRFR[Recherche RFR],0),MATCH(TEXT(YEAR(BD!I370),"Standard"),TabRFR[[#Headers],[2021]:[2025]],0)),"Très Modeste",IF(X370&lt;=INDEX(TabRFR[[2021]:[2025]],MATCH(BD!W370&amp;"-modestes",TabRFR[Recherche RFR],0),MATCH(TEXT(YEAR(BD!I370),"Standard"),TabRFR[[#Headers],[2021]:[2025]],0)),"Modeste",IF(X370&lt;=INDEX(TabRFR[[2021]:[2025]],MATCH(BD!W370&amp;"-Intermédiaire",TabRFR[Recherche RFR],0),MATCH(TEXT(YEAR(BD!I370),"Standard"),TabRFR[[#Headers],[2021]:[2025]],0)),"Intermédiaire","Supérieur")))))))</f>
        <v>#VALUE!</v>
      </c>
      <c r="Z370" s="75"/>
      <c r="AA370" s="75" t="s">
        <v>650</v>
      </c>
      <c r="AB370" s="75">
        <v>38850</v>
      </c>
      <c r="AC370" s="75" t="s">
        <v>148</v>
      </c>
      <c r="AD370" s="73"/>
      <c r="AE370" s="102"/>
      <c r="AF370" s="75" t="s">
        <v>95</v>
      </c>
      <c r="AG370" s="75"/>
      <c r="AH370" s="131"/>
      <c r="AI370" s="75"/>
      <c r="AJ370" s="75"/>
      <c r="AK370" s="75"/>
      <c r="AL370" s="75"/>
      <c r="AM370" s="75" t="s">
        <v>4130</v>
      </c>
      <c r="AN370" s="75" t="s">
        <v>4349</v>
      </c>
      <c r="AO370" s="75" t="s">
        <v>336</v>
      </c>
      <c r="AP370" s="75" t="s">
        <v>97</v>
      </c>
      <c r="AQ370" s="75"/>
      <c r="AR370" s="74">
        <v>43545</v>
      </c>
      <c r="AS370" s="102"/>
      <c r="AT370" s="73"/>
      <c r="AU370" s="75" t="s">
        <v>99</v>
      </c>
      <c r="AV370" s="75"/>
      <c r="AW370" s="75" t="s">
        <v>111</v>
      </c>
      <c r="AX370" s="75" t="s">
        <v>112</v>
      </c>
      <c r="AY370" s="75" t="s">
        <v>338</v>
      </c>
      <c r="AZ370" s="75" t="s">
        <v>651</v>
      </c>
      <c r="BA370" s="75">
        <v>33</v>
      </c>
      <c r="BB370" s="75">
        <v>10</v>
      </c>
      <c r="BC370" s="75">
        <v>80.8</v>
      </c>
      <c r="BD370" s="75">
        <v>0.09</v>
      </c>
      <c r="BE370" s="75" t="s">
        <v>97</v>
      </c>
      <c r="BF370" s="77"/>
      <c r="BG370" s="75">
        <v>1528</v>
      </c>
      <c r="BH370" s="75"/>
      <c r="BI370" s="75"/>
      <c r="BJ370" s="75"/>
      <c r="BK370" s="75">
        <f>4261-1528</f>
        <v>2733</v>
      </c>
      <c r="BL370" s="75">
        <f t="shared" si="15"/>
        <v>4261</v>
      </c>
      <c r="BM370" s="103">
        <f t="shared" si="16"/>
        <v>234.35499999999999</v>
      </c>
      <c r="BN370" s="103">
        <f t="shared" si="17"/>
        <v>4495.3549999999996</v>
      </c>
      <c r="BO370" s="103">
        <v>4550</v>
      </c>
      <c r="BP370" s="75" t="s">
        <v>97</v>
      </c>
      <c r="BQ370" s="75"/>
      <c r="BR370" s="74">
        <v>43416</v>
      </c>
      <c r="BS370" s="157">
        <v>2018</v>
      </c>
      <c r="BT370">
        <v>2020</v>
      </c>
      <c r="BU370">
        <v>2018</v>
      </c>
    </row>
    <row r="371" spans="1:73" ht="43.15" customHeight="1" x14ac:dyDescent="0.25">
      <c r="A371" s="242" t="s">
        <v>594</v>
      </c>
      <c r="B371" s="242" t="s">
        <v>652</v>
      </c>
      <c r="C371" s="159">
        <v>400</v>
      </c>
      <c r="D371" s="114">
        <v>43276</v>
      </c>
      <c r="E371" s="114">
        <v>43276</v>
      </c>
      <c r="F371" s="114">
        <v>43299</v>
      </c>
      <c r="G371" s="114" t="s">
        <v>653</v>
      </c>
      <c r="H371" s="114">
        <v>43348</v>
      </c>
      <c r="I371" s="114">
        <v>43348</v>
      </c>
      <c r="J371" s="114">
        <v>43371</v>
      </c>
      <c r="K371" s="114"/>
      <c r="L371" s="114">
        <v>43438</v>
      </c>
      <c r="M371" s="114">
        <v>43427</v>
      </c>
      <c r="N371" s="114"/>
      <c r="O371" s="114">
        <v>43455</v>
      </c>
      <c r="P371" s="114">
        <v>43455</v>
      </c>
      <c r="Q371" s="114">
        <v>43482</v>
      </c>
      <c r="R371" s="80"/>
      <c r="S371" s="114"/>
      <c r="T371" s="75"/>
      <c r="U371" s="75"/>
      <c r="V371" s="75"/>
      <c r="W371" s="75">
        <v>4</v>
      </c>
      <c r="X371" s="75">
        <v>45677</v>
      </c>
      <c r="Y371" s="75" t="str">
        <f ca="1">IF(I371="",IF(D371="","",IF(W371+X371&lt;15,"Données Nb pers ou RFR manquantes",IF(COUNTA(INDIRECT("TabRFR["&amp;YEAR(D371)&amp;"]"))&lt;&gt;COUNTA(TabRFR[Recherche RFR]),"Data RFR manquantes", IF(X371&lt;=INDEX(TabRFR[[2021]:[2025]],MATCH(BD!W371&amp;"-Très modestes",TabRFR[Recherche RFR],0),MATCH(TEXT(YEAR(BD!D371),"Standard"),TabRFR[[#Headers],[2021]:[2025]],0)),"Très Modeste",IF(X371&lt;=INDEX(TabRFR[[2021]:[2025]],MATCH(BD!W371&amp;"-modestes",TabRFR[Recherche RFR],0),MATCH(TEXT(YEAR(BD!D371),"Standard"),TabRFR[[#Headers],[2021]:[2025]],0)),"Modeste",IF(X371&lt;=INDEX(TabRFR[[2021]:[2025]],MATCH(BD!W371&amp;"-Intermédiaire",TabRFR[Recherche RFR],0),MATCH(TEXT(YEAR(BD!D371),"Standard"),TabRFR[[#Headers],[2021]:[2025]],0)),"Intermédiaire","Supérieur")))))),IF(D371="","",IF(W371+X371&lt;15,"Données Nb pers ou RFR manquantes",IF(COUNTA(INDIRECT("TabRFR["&amp;YEAR(I371)&amp;"]"))&lt;&gt;COUNTA(TabRFR[Recherche RFR]),"Data RFR manquantes", IF(X371&lt;=INDEX(TabRFR[[2021]:[2025]],MATCH(BD!W371&amp;"-Très modestes",TabRFR[Recherche RFR],0),MATCH(TEXT(YEAR(BD!I371),"Standard"),TabRFR[[#Headers],[2021]:[2025]],0)),"Très Modeste",IF(X371&lt;=INDEX(TabRFR[[2021]:[2025]],MATCH(BD!W371&amp;"-modestes",TabRFR[Recherche RFR],0),MATCH(TEXT(YEAR(BD!I371),"Standard"),TabRFR[[#Headers],[2021]:[2025]],0)),"Modeste",IF(X371&lt;=INDEX(TabRFR[[2021]:[2025]],MATCH(BD!W371&amp;"-Intermédiaire",TabRFR[Recherche RFR],0),MATCH(TEXT(YEAR(BD!I371),"Standard"),TabRFR[[#Headers],[2021]:[2025]],0)),"Intermédiaire","Supérieur")))))))</f>
        <v>Data RFR manquantes</v>
      </c>
      <c r="Z371" s="75"/>
      <c r="AA371" s="75" t="s">
        <v>654</v>
      </c>
      <c r="AB371" s="75">
        <v>38140</v>
      </c>
      <c r="AC371" s="75" t="s">
        <v>321</v>
      </c>
      <c r="AD371" s="73"/>
      <c r="AE371" s="102"/>
      <c r="AF371" s="75"/>
      <c r="AG371" s="75"/>
      <c r="AH371" s="131">
        <v>42331</v>
      </c>
      <c r="AI371" s="75"/>
      <c r="AJ371" s="75"/>
      <c r="AK371" s="75"/>
      <c r="AL371" s="75"/>
      <c r="AM371" s="75" t="s">
        <v>4035</v>
      </c>
      <c r="AN371" s="75" t="s">
        <v>108</v>
      </c>
      <c r="AO371" s="75"/>
      <c r="AP371" s="75" t="s">
        <v>97</v>
      </c>
      <c r="AQ371" s="75"/>
      <c r="AR371" s="74">
        <v>43644</v>
      </c>
      <c r="AS371" s="102" t="s">
        <v>110</v>
      </c>
      <c r="AT371" s="73">
        <v>476500550</v>
      </c>
      <c r="AU371" s="75" t="s">
        <v>99</v>
      </c>
      <c r="AV371" s="75"/>
      <c r="AW371" s="75" t="s">
        <v>100</v>
      </c>
      <c r="AX371" s="75" t="s">
        <v>112</v>
      </c>
      <c r="AY371" s="75" t="s">
        <v>113</v>
      </c>
      <c r="AZ371" s="75" t="s">
        <v>655</v>
      </c>
      <c r="BA371" s="75">
        <v>32</v>
      </c>
      <c r="BB371" s="75">
        <v>7</v>
      </c>
      <c r="BC371" s="75">
        <v>77.8</v>
      </c>
      <c r="BD371" s="75">
        <v>0.08</v>
      </c>
      <c r="BE371" s="75" t="s">
        <v>97</v>
      </c>
      <c r="BF371" s="84"/>
      <c r="BG371" s="75">
        <v>1991.67</v>
      </c>
      <c r="BH371" s="75"/>
      <c r="BI371" s="75"/>
      <c r="BJ371" s="75"/>
      <c r="BK371" s="75">
        <v>900</v>
      </c>
      <c r="BL371" s="75">
        <f t="shared" si="15"/>
        <v>2891.67</v>
      </c>
      <c r="BM371" s="103">
        <f t="shared" si="16"/>
        <v>159.04185000000001</v>
      </c>
      <c r="BN371" s="103">
        <f t="shared" si="17"/>
        <v>3050.7118500000001</v>
      </c>
      <c r="BO371" s="103"/>
      <c r="BP371" s="75" t="s">
        <v>104</v>
      </c>
      <c r="BQ371" s="75"/>
      <c r="BR371" s="74">
        <v>43416</v>
      </c>
      <c r="BS371" s="157">
        <v>2018</v>
      </c>
      <c r="BT371">
        <v>2020</v>
      </c>
      <c r="BU371">
        <v>2018</v>
      </c>
    </row>
    <row r="372" spans="1:73" ht="43.15" customHeight="1" x14ac:dyDescent="0.25">
      <c r="A372" s="242" t="s">
        <v>594</v>
      </c>
      <c r="B372" s="242" t="s">
        <v>656</v>
      </c>
      <c r="C372" s="159">
        <v>400</v>
      </c>
      <c r="D372" s="114">
        <v>43279</v>
      </c>
      <c r="E372" s="114">
        <v>43279</v>
      </c>
      <c r="F372" s="114"/>
      <c r="G372" s="114"/>
      <c r="H372" s="114">
        <v>43299</v>
      </c>
      <c r="I372" s="114">
        <v>43299</v>
      </c>
      <c r="J372" s="114">
        <v>43306</v>
      </c>
      <c r="K372" s="114"/>
      <c r="L372" s="114">
        <v>43256</v>
      </c>
      <c r="M372" s="114">
        <v>43343</v>
      </c>
      <c r="N372" s="114"/>
      <c r="O372" s="114">
        <v>43350</v>
      </c>
      <c r="P372" s="114">
        <v>43350</v>
      </c>
      <c r="Q372" s="114">
        <v>43371</v>
      </c>
      <c r="R372" s="80"/>
      <c r="S372" s="114"/>
      <c r="T372" s="75"/>
      <c r="U372" s="75"/>
      <c r="V372" s="75"/>
      <c r="W372" s="75">
        <v>2</v>
      </c>
      <c r="X372" s="75">
        <v>55818</v>
      </c>
      <c r="Y372" s="75" t="str">
        <f ca="1">IF(I372="",IF(D372="","",IF(W372+X372&lt;15,"Données Nb pers ou RFR manquantes",IF(COUNTA(INDIRECT("TabRFR["&amp;YEAR(D372)&amp;"]"))&lt;&gt;COUNTA(TabRFR[Recherche RFR]),"Data RFR manquantes", IF(X372&lt;=INDEX(TabRFR[[2021]:[2025]],MATCH(BD!W372&amp;"-Très modestes",TabRFR[Recherche RFR],0),MATCH(TEXT(YEAR(BD!D372),"Standard"),TabRFR[[#Headers],[2021]:[2025]],0)),"Très Modeste",IF(X372&lt;=INDEX(TabRFR[[2021]:[2025]],MATCH(BD!W372&amp;"-modestes",TabRFR[Recherche RFR],0),MATCH(TEXT(YEAR(BD!D372),"Standard"),TabRFR[[#Headers],[2021]:[2025]],0)),"Modeste",IF(X372&lt;=INDEX(TabRFR[[2021]:[2025]],MATCH(BD!W372&amp;"-Intermédiaire",TabRFR[Recherche RFR],0),MATCH(TEXT(YEAR(BD!D372),"Standard"),TabRFR[[#Headers],[2021]:[2025]],0)),"Intermédiaire","Supérieur")))))),IF(D372="","",IF(W372+X372&lt;15,"Données Nb pers ou RFR manquantes",IF(COUNTA(INDIRECT("TabRFR["&amp;YEAR(I372)&amp;"]"))&lt;&gt;COUNTA(TabRFR[Recherche RFR]),"Data RFR manquantes", IF(X372&lt;=INDEX(TabRFR[[2021]:[2025]],MATCH(BD!W372&amp;"-Très modestes",TabRFR[Recherche RFR],0),MATCH(TEXT(YEAR(BD!I372),"Standard"),TabRFR[[#Headers],[2021]:[2025]],0)),"Très Modeste",IF(X372&lt;=INDEX(TabRFR[[2021]:[2025]],MATCH(BD!W372&amp;"-modestes",TabRFR[Recherche RFR],0),MATCH(TEXT(YEAR(BD!I372),"Standard"),TabRFR[[#Headers],[2021]:[2025]],0)),"Modeste",IF(X372&lt;=INDEX(TabRFR[[2021]:[2025]],MATCH(BD!W372&amp;"-Intermédiaire",TabRFR[Recherche RFR],0),MATCH(TEXT(YEAR(BD!I372),"Standard"),TabRFR[[#Headers],[2021]:[2025]],0)),"Intermédiaire","Supérieur")))))))</f>
        <v>Data RFR manquantes</v>
      </c>
      <c r="Z372" s="75"/>
      <c r="AA372" s="75" t="s">
        <v>657</v>
      </c>
      <c r="AB372" s="75">
        <v>38500</v>
      </c>
      <c r="AC372" s="75" t="s">
        <v>2873</v>
      </c>
      <c r="AD372" s="73"/>
      <c r="AE372" s="102"/>
      <c r="AF372" s="75" t="s">
        <v>95</v>
      </c>
      <c r="AG372" s="75"/>
      <c r="AH372" s="131"/>
      <c r="AI372" s="75"/>
      <c r="AJ372" s="75"/>
      <c r="AK372" s="75"/>
      <c r="AL372" s="75"/>
      <c r="AM372" s="75" t="s">
        <v>4356</v>
      </c>
      <c r="AN372" s="75" t="s">
        <v>96</v>
      </c>
      <c r="AO372" s="75" t="s">
        <v>119</v>
      </c>
      <c r="AP372" s="75" t="s">
        <v>97</v>
      </c>
      <c r="AQ372" s="75"/>
      <c r="AR372" s="74">
        <v>43407</v>
      </c>
      <c r="AS372" s="102" t="s">
        <v>120</v>
      </c>
      <c r="AT372" s="73" t="s">
        <v>658</v>
      </c>
      <c r="AU372" s="75" t="s">
        <v>111</v>
      </c>
      <c r="AV372" s="75">
        <v>1993</v>
      </c>
      <c r="AW372" s="75" t="s">
        <v>111</v>
      </c>
      <c r="AX372" s="75" t="s">
        <v>2071</v>
      </c>
      <c r="AY372" s="75" t="s">
        <v>102</v>
      </c>
      <c r="AZ372" s="75" t="s">
        <v>659</v>
      </c>
      <c r="BA372" s="75">
        <v>12</v>
      </c>
      <c r="BB372" s="75">
        <v>10.5</v>
      </c>
      <c r="BC372" s="75">
        <v>93</v>
      </c>
      <c r="BD372" s="75">
        <v>0.01</v>
      </c>
      <c r="BE372" s="75" t="s">
        <v>97</v>
      </c>
      <c r="BF372" s="77"/>
      <c r="BG372" s="75">
        <v>4400</v>
      </c>
      <c r="BH372" s="75"/>
      <c r="BI372" s="75"/>
      <c r="BJ372" s="75"/>
      <c r="BK372" s="75">
        <v>450</v>
      </c>
      <c r="BL372" s="75">
        <f t="shared" si="15"/>
        <v>4850</v>
      </c>
      <c r="BM372" s="103">
        <f t="shared" si="16"/>
        <v>266.75</v>
      </c>
      <c r="BN372" s="103">
        <f t="shared" si="17"/>
        <v>5116.75</v>
      </c>
      <c r="BO372" s="103">
        <f>5000+610.49</f>
        <v>5610.49</v>
      </c>
      <c r="BP372" s="75" t="s">
        <v>104</v>
      </c>
      <c r="BQ372" s="75"/>
      <c r="BR372" s="75"/>
      <c r="BS372" s="157">
        <v>2018</v>
      </c>
      <c r="BU372">
        <v>2018</v>
      </c>
    </row>
    <row r="373" spans="1:73" ht="43.15" customHeight="1" x14ac:dyDescent="0.25">
      <c r="A373" s="29" t="s">
        <v>594</v>
      </c>
      <c r="B373" s="29" t="s">
        <v>660</v>
      </c>
      <c r="C373" s="161" t="s">
        <v>9</v>
      </c>
      <c r="D373" s="110">
        <v>43284</v>
      </c>
      <c r="E373" s="110"/>
      <c r="F373" s="110"/>
      <c r="G373" s="110"/>
      <c r="H373" s="110"/>
      <c r="I373" s="110"/>
      <c r="J373" s="110"/>
      <c r="K373" s="110"/>
      <c r="L373" s="110"/>
      <c r="M373" s="110"/>
      <c r="N373" s="110"/>
      <c r="O373" s="110"/>
      <c r="P373" s="110"/>
      <c r="Q373" s="110"/>
      <c r="R373" s="109"/>
      <c r="S373" s="110">
        <v>43300</v>
      </c>
      <c r="T373" s="110" t="s">
        <v>661</v>
      </c>
      <c r="U373" s="111"/>
      <c r="V373" s="111"/>
      <c r="W373" s="111">
        <v>2</v>
      </c>
      <c r="X373" s="111">
        <v>21712</v>
      </c>
      <c r="Y373" s="75" t="str">
        <f ca="1">IF(I373="",IF(D373="","",IF(W373+X373&lt;15,"Données Nb pers ou RFR manquantes",IF(COUNTA(INDIRECT("TabRFR["&amp;YEAR(D373)&amp;"]"))&lt;&gt;COUNTA(TabRFR[Recherche RFR]),"Data RFR manquantes", IF(X373&lt;=INDEX(TabRFR[[2021]:[2025]],MATCH(BD!W373&amp;"-Très modestes",TabRFR[Recherche RFR],0),MATCH(TEXT(YEAR(BD!D373),"Standard"),TabRFR[[#Headers],[2021]:[2025]],0)),"Très Modeste",IF(X373&lt;=INDEX(TabRFR[[2021]:[2025]],MATCH(BD!W373&amp;"-modestes",TabRFR[Recherche RFR],0),MATCH(TEXT(YEAR(BD!D373),"Standard"),TabRFR[[#Headers],[2021]:[2025]],0)),"Modeste",IF(X373&lt;=INDEX(TabRFR[[2021]:[2025]],MATCH(BD!W373&amp;"-Intermédiaire",TabRFR[Recherche RFR],0),MATCH(TEXT(YEAR(BD!D373),"Standard"),TabRFR[[#Headers],[2021]:[2025]],0)),"Intermédiaire","Supérieur")))))),IF(D373="","",IF(W373+X373&lt;15,"Données Nb pers ou RFR manquantes",IF(COUNTA(INDIRECT("TabRFR["&amp;YEAR(I373)&amp;"]"))&lt;&gt;COUNTA(TabRFR[Recherche RFR]),"Data RFR manquantes", IF(X373&lt;=INDEX(TabRFR[[2021]:[2025]],MATCH(BD!W373&amp;"-Très modestes",TabRFR[Recherche RFR],0),MATCH(TEXT(YEAR(BD!I373),"Standard"),TabRFR[[#Headers],[2021]:[2025]],0)),"Très Modeste",IF(X373&lt;=INDEX(TabRFR[[2021]:[2025]],MATCH(BD!W373&amp;"-modestes",TabRFR[Recherche RFR],0),MATCH(TEXT(YEAR(BD!I373),"Standard"),TabRFR[[#Headers],[2021]:[2025]],0)),"Modeste",IF(X373&lt;=INDEX(TabRFR[[2021]:[2025]],MATCH(BD!W373&amp;"-Intermédiaire",TabRFR[Recherche RFR],0),MATCH(TEXT(YEAR(BD!I373),"Standard"),TabRFR[[#Headers],[2021]:[2025]],0)),"Intermédiaire","Supérieur")))))))</f>
        <v>Data RFR manquantes</v>
      </c>
      <c r="Z373" s="111"/>
      <c r="AA373" s="111" t="s">
        <v>662</v>
      </c>
      <c r="AB373" s="111">
        <v>38500</v>
      </c>
      <c r="AC373" s="111" t="s">
        <v>96</v>
      </c>
      <c r="AD373" s="127"/>
      <c r="AE373" s="102"/>
      <c r="AF373" s="111"/>
      <c r="AG373" s="111"/>
      <c r="AH373" s="111"/>
      <c r="AI373" s="111"/>
      <c r="AJ373" s="111"/>
      <c r="AK373" s="111"/>
      <c r="AL373" s="111"/>
      <c r="AM373" s="111" t="s">
        <v>4396</v>
      </c>
      <c r="AN373" s="111" t="s">
        <v>237</v>
      </c>
      <c r="AO373" s="111" t="s">
        <v>663</v>
      </c>
      <c r="AP373" s="111"/>
      <c r="AQ373" s="111"/>
      <c r="AR373" s="135"/>
      <c r="AS373" s="102" t="s">
        <v>664</v>
      </c>
      <c r="AT373" s="127" t="s">
        <v>665</v>
      </c>
      <c r="AU373" s="111" t="s">
        <v>99</v>
      </c>
      <c r="AV373" s="111">
        <v>2018</v>
      </c>
      <c r="AW373" s="111" t="s">
        <v>111</v>
      </c>
      <c r="AX373" s="111"/>
      <c r="AY373" s="111" t="s">
        <v>666</v>
      </c>
      <c r="AZ373" s="111" t="s">
        <v>667</v>
      </c>
      <c r="BA373" s="111"/>
      <c r="BB373" s="111"/>
      <c r="BC373" s="111"/>
      <c r="BD373" s="111"/>
      <c r="BE373" s="111"/>
      <c r="BF373" s="111"/>
      <c r="BG373" s="111"/>
      <c r="BH373" s="111"/>
      <c r="BI373" s="111"/>
      <c r="BJ373" s="111"/>
      <c r="BK373" s="111"/>
      <c r="BL373" s="75">
        <f t="shared" si="15"/>
        <v>0</v>
      </c>
      <c r="BM373" s="103">
        <f t="shared" si="16"/>
        <v>0</v>
      </c>
      <c r="BN373" s="103">
        <f t="shared" si="17"/>
        <v>0</v>
      </c>
      <c r="BO373" s="113"/>
      <c r="BP373" s="111"/>
      <c r="BQ373" s="111"/>
      <c r="BR373" s="111"/>
      <c r="BS373" s="157">
        <v>2018</v>
      </c>
      <c r="BU373" t="s">
        <v>4180</v>
      </c>
    </row>
    <row r="374" spans="1:73" ht="43.15" customHeight="1" x14ac:dyDescent="0.25">
      <c r="A374" s="242" t="s">
        <v>594</v>
      </c>
      <c r="B374" s="242" t="s">
        <v>668</v>
      </c>
      <c r="C374" s="159">
        <v>400</v>
      </c>
      <c r="D374" s="114">
        <v>43286</v>
      </c>
      <c r="E374" s="114">
        <v>43286</v>
      </c>
      <c r="F374" s="114"/>
      <c r="G374" s="114"/>
      <c r="H374" s="114">
        <v>43299</v>
      </c>
      <c r="I374" s="114">
        <v>43299</v>
      </c>
      <c r="J374" s="114">
        <v>43306</v>
      </c>
      <c r="K374" s="114"/>
      <c r="L374" s="114">
        <v>43256</v>
      </c>
      <c r="M374" s="114">
        <v>43329</v>
      </c>
      <c r="N374" s="114"/>
      <c r="O374" s="114">
        <v>43350</v>
      </c>
      <c r="P374" s="114">
        <v>43350</v>
      </c>
      <c r="Q374" s="114">
        <v>43371</v>
      </c>
      <c r="R374" s="80"/>
      <c r="S374" s="114"/>
      <c r="T374" s="75"/>
      <c r="U374" s="75"/>
      <c r="V374" s="75"/>
      <c r="W374" s="75">
        <v>4</v>
      </c>
      <c r="X374" s="75">
        <v>47731</v>
      </c>
      <c r="Y374" s="75" t="str">
        <f ca="1">IF(I374="",IF(D374="","",IF(W374+X374&lt;15,"Données Nb pers ou RFR manquantes",IF(COUNTA(INDIRECT("TabRFR["&amp;YEAR(D374)&amp;"]"))&lt;&gt;COUNTA(TabRFR[Recherche RFR]),"Data RFR manquantes", IF(X374&lt;=INDEX(TabRFR[[2021]:[2025]],MATCH(BD!W374&amp;"-Très modestes",TabRFR[Recherche RFR],0),MATCH(TEXT(YEAR(BD!D374),"Standard"),TabRFR[[#Headers],[2021]:[2025]],0)),"Très Modeste",IF(X374&lt;=INDEX(TabRFR[[2021]:[2025]],MATCH(BD!W374&amp;"-modestes",TabRFR[Recherche RFR],0),MATCH(TEXT(YEAR(BD!D374),"Standard"),TabRFR[[#Headers],[2021]:[2025]],0)),"Modeste",IF(X374&lt;=INDEX(TabRFR[[2021]:[2025]],MATCH(BD!W374&amp;"-Intermédiaire",TabRFR[Recherche RFR],0),MATCH(TEXT(YEAR(BD!D374),"Standard"),TabRFR[[#Headers],[2021]:[2025]],0)),"Intermédiaire","Supérieur")))))),IF(D374="","",IF(W374+X374&lt;15,"Données Nb pers ou RFR manquantes",IF(COUNTA(INDIRECT("TabRFR["&amp;YEAR(I374)&amp;"]"))&lt;&gt;COUNTA(TabRFR[Recherche RFR]),"Data RFR manquantes", IF(X374&lt;=INDEX(TabRFR[[2021]:[2025]],MATCH(BD!W374&amp;"-Très modestes",TabRFR[Recherche RFR],0),MATCH(TEXT(YEAR(BD!I374),"Standard"),TabRFR[[#Headers],[2021]:[2025]],0)),"Très Modeste",IF(X374&lt;=INDEX(TabRFR[[2021]:[2025]],MATCH(BD!W374&amp;"-modestes",TabRFR[Recherche RFR],0),MATCH(TEXT(YEAR(BD!I374),"Standard"),TabRFR[[#Headers],[2021]:[2025]],0)),"Modeste",IF(X374&lt;=INDEX(TabRFR[[2021]:[2025]],MATCH(BD!W374&amp;"-Intermédiaire",TabRFR[Recherche RFR],0),MATCH(TEXT(YEAR(BD!I374),"Standard"),TabRFR[[#Headers],[2021]:[2025]],0)),"Intermédiaire","Supérieur")))))))</f>
        <v>Data RFR manquantes</v>
      </c>
      <c r="Z374" s="75"/>
      <c r="AA374" s="75" t="s">
        <v>669</v>
      </c>
      <c r="AB374" s="75">
        <v>38340</v>
      </c>
      <c r="AC374" s="75" t="s">
        <v>108</v>
      </c>
      <c r="AD374" s="73"/>
      <c r="AE374" s="102"/>
      <c r="AF374" s="75" t="s">
        <v>95</v>
      </c>
      <c r="AG374" s="75"/>
      <c r="AH374" s="131">
        <v>43168</v>
      </c>
      <c r="AI374" s="75"/>
      <c r="AJ374" s="75"/>
      <c r="AK374" s="75"/>
      <c r="AL374" s="75"/>
      <c r="AM374" s="75" t="s">
        <v>4356</v>
      </c>
      <c r="AN374" s="75" t="s">
        <v>96</v>
      </c>
      <c r="AO374" s="75" t="s">
        <v>119</v>
      </c>
      <c r="AP374" s="75" t="s">
        <v>97</v>
      </c>
      <c r="AQ374" s="75"/>
      <c r="AR374" s="74">
        <v>43407</v>
      </c>
      <c r="AS374" s="102" t="s">
        <v>120</v>
      </c>
      <c r="AT374" s="73" t="s">
        <v>658</v>
      </c>
      <c r="AU374" s="75" t="s">
        <v>111</v>
      </c>
      <c r="AV374" s="75">
        <v>1970</v>
      </c>
      <c r="AW374" s="75" t="s">
        <v>100</v>
      </c>
      <c r="AX374" s="75" t="s">
        <v>112</v>
      </c>
      <c r="AY374" s="75" t="s">
        <v>121</v>
      </c>
      <c r="AZ374" s="75" t="s">
        <v>122</v>
      </c>
      <c r="BA374" s="75">
        <v>31</v>
      </c>
      <c r="BB374" s="75">
        <v>6</v>
      </c>
      <c r="BC374" s="75">
        <v>80</v>
      </c>
      <c r="BD374" s="75">
        <v>0.08</v>
      </c>
      <c r="BE374" s="75" t="s">
        <v>97</v>
      </c>
      <c r="BF374" s="77"/>
      <c r="BG374" s="75">
        <v>1969</v>
      </c>
      <c r="BH374" s="75"/>
      <c r="BI374" s="75"/>
      <c r="BJ374" s="75"/>
      <c r="BK374" s="75">
        <v>300</v>
      </c>
      <c r="BL374" s="75">
        <f t="shared" si="15"/>
        <v>2269</v>
      </c>
      <c r="BM374" s="103">
        <f t="shared" si="16"/>
        <v>124.795</v>
      </c>
      <c r="BN374" s="103">
        <f t="shared" si="17"/>
        <v>2393.7950000000001</v>
      </c>
      <c r="BO374" s="103">
        <f>2000+686.03</f>
        <v>2686.0299999999997</v>
      </c>
      <c r="BP374" s="75" t="s">
        <v>97</v>
      </c>
      <c r="BQ374" s="75"/>
      <c r="BR374" s="74">
        <v>43416</v>
      </c>
      <c r="BS374" s="157">
        <v>2018</v>
      </c>
      <c r="BT374">
        <v>2020</v>
      </c>
      <c r="BU374">
        <v>2018</v>
      </c>
    </row>
    <row r="375" spans="1:73" ht="43.15" customHeight="1" x14ac:dyDescent="0.25">
      <c r="A375" s="242" t="s">
        <v>594</v>
      </c>
      <c r="B375" s="242" t="s">
        <v>670</v>
      </c>
      <c r="C375" s="159">
        <v>400</v>
      </c>
      <c r="D375" s="114">
        <v>43286</v>
      </c>
      <c r="E375" s="114"/>
      <c r="F375" s="114"/>
      <c r="G375" s="114"/>
      <c r="H375" s="114">
        <v>43299</v>
      </c>
      <c r="I375" s="114">
        <v>43299</v>
      </c>
      <c r="J375" s="114">
        <v>43306</v>
      </c>
      <c r="K375" s="114"/>
      <c r="L375" s="114">
        <v>43420</v>
      </c>
      <c r="M375" s="114">
        <v>43393</v>
      </c>
      <c r="N375" s="114"/>
      <c r="O375" s="114">
        <v>43437</v>
      </c>
      <c r="P375" s="114">
        <v>43437</v>
      </c>
      <c r="Q375" s="114">
        <v>43440</v>
      </c>
      <c r="R375" s="80"/>
      <c r="S375" s="114"/>
      <c r="T375" s="75"/>
      <c r="U375" s="75"/>
      <c r="V375" s="75"/>
      <c r="W375" s="75">
        <v>2</v>
      </c>
      <c r="X375" s="75"/>
      <c r="Y375" s="75" t="str">
        <f ca="1">IF(I375="",IF(D375="","",IF(W375+X375&lt;15,"Données Nb pers ou RFR manquantes",IF(COUNTA(INDIRECT("TabRFR["&amp;YEAR(D375)&amp;"]"))&lt;&gt;COUNTA(TabRFR[Recherche RFR]),"Data RFR manquantes", IF(X375&lt;=INDEX(TabRFR[[2021]:[2025]],MATCH(BD!W375&amp;"-Très modestes",TabRFR[Recherche RFR],0),MATCH(TEXT(YEAR(BD!D375),"Standard"),TabRFR[[#Headers],[2021]:[2025]],0)),"Très Modeste",IF(X375&lt;=INDEX(TabRFR[[2021]:[2025]],MATCH(BD!W375&amp;"-modestes",TabRFR[Recherche RFR],0),MATCH(TEXT(YEAR(BD!D375),"Standard"),TabRFR[[#Headers],[2021]:[2025]],0)),"Modeste",IF(X375&lt;=INDEX(TabRFR[[2021]:[2025]],MATCH(BD!W375&amp;"-Intermédiaire",TabRFR[Recherche RFR],0),MATCH(TEXT(YEAR(BD!D375),"Standard"),TabRFR[[#Headers],[2021]:[2025]],0)),"Intermédiaire","Supérieur")))))),IF(D375="","",IF(W375+X375&lt;15,"Données Nb pers ou RFR manquantes",IF(COUNTA(INDIRECT("TabRFR["&amp;YEAR(I375)&amp;"]"))&lt;&gt;COUNTA(TabRFR[Recherche RFR]),"Data RFR manquantes", IF(X375&lt;=INDEX(TabRFR[[2021]:[2025]],MATCH(BD!W375&amp;"-Très modestes",TabRFR[Recherche RFR],0),MATCH(TEXT(YEAR(BD!I375),"Standard"),TabRFR[[#Headers],[2021]:[2025]],0)),"Très Modeste",IF(X375&lt;=INDEX(TabRFR[[2021]:[2025]],MATCH(BD!W375&amp;"-modestes",TabRFR[Recherche RFR],0),MATCH(TEXT(YEAR(BD!I375),"Standard"),TabRFR[[#Headers],[2021]:[2025]],0)),"Modeste",IF(X375&lt;=INDEX(TabRFR[[2021]:[2025]],MATCH(BD!W375&amp;"-Intermédiaire",TabRFR[Recherche RFR],0),MATCH(TEXT(YEAR(BD!I375),"Standard"),TabRFR[[#Headers],[2021]:[2025]],0)),"Intermédiaire","Supérieur")))))))</f>
        <v>Données Nb pers ou RFR manquantes</v>
      </c>
      <c r="Z375" s="75"/>
      <c r="AA375" s="75" t="s">
        <v>672</v>
      </c>
      <c r="AB375" s="75">
        <v>38500</v>
      </c>
      <c r="AC375" s="75" t="s">
        <v>118</v>
      </c>
      <c r="AD375" s="73"/>
      <c r="AE375" s="102"/>
      <c r="AF375" s="75" t="s">
        <v>95</v>
      </c>
      <c r="AG375" s="75"/>
      <c r="AH375" s="75"/>
      <c r="AI375" s="75"/>
      <c r="AJ375" s="75"/>
      <c r="AK375" s="75"/>
      <c r="AL375" s="75"/>
      <c r="AM375" s="75" t="s">
        <v>4356</v>
      </c>
      <c r="AN375" s="75" t="s">
        <v>96</v>
      </c>
      <c r="AO375" s="75" t="s">
        <v>119</v>
      </c>
      <c r="AP375" s="75" t="s">
        <v>97</v>
      </c>
      <c r="AQ375" s="75"/>
      <c r="AR375" s="74">
        <v>43407</v>
      </c>
      <c r="AS375" s="102" t="s">
        <v>120</v>
      </c>
      <c r="AT375" s="73" t="s">
        <v>658</v>
      </c>
      <c r="AU375" s="75" t="s">
        <v>111</v>
      </c>
      <c r="AV375" s="75">
        <v>1992</v>
      </c>
      <c r="AW375" s="75" t="s">
        <v>100</v>
      </c>
      <c r="AX375" s="75" t="s">
        <v>112</v>
      </c>
      <c r="AY375" s="75" t="s">
        <v>121</v>
      </c>
      <c r="AZ375" s="75" t="s">
        <v>673</v>
      </c>
      <c r="BA375" s="75">
        <v>14</v>
      </c>
      <c r="BB375" s="75">
        <v>7.8</v>
      </c>
      <c r="BC375" s="75">
        <v>81</v>
      </c>
      <c r="BD375" s="75">
        <v>0.08</v>
      </c>
      <c r="BE375" s="75" t="s">
        <v>97</v>
      </c>
      <c r="BF375" s="75"/>
      <c r="BG375" s="75">
        <v>2753.55</v>
      </c>
      <c r="BH375" s="75"/>
      <c r="BI375" s="75"/>
      <c r="BJ375" s="75"/>
      <c r="BK375" s="75">
        <v>420</v>
      </c>
      <c r="BL375" s="75">
        <f t="shared" si="15"/>
        <v>3173.55</v>
      </c>
      <c r="BM375" s="103">
        <f t="shared" si="16"/>
        <v>174.54525000000001</v>
      </c>
      <c r="BN375" s="103">
        <f t="shared" si="17"/>
        <v>3348.0952500000003</v>
      </c>
      <c r="BO375" s="103"/>
      <c r="BP375" s="75" t="s">
        <v>674</v>
      </c>
      <c r="BQ375" s="75"/>
      <c r="BR375" s="74">
        <v>43416</v>
      </c>
      <c r="BS375" s="157">
        <v>2018</v>
      </c>
      <c r="BT375">
        <v>2020</v>
      </c>
      <c r="BU375">
        <v>2018</v>
      </c>
    </row>
    <row r="376" spans="1:73" ht="43.15" customHeight="1" x14ac:dyDescent="0.25">
      <c r="A376" s="242" t="s">
        <v>675</v>
      </c>
      <c r="B376" s="242" t="s">
        <v>676</v>
      </c>
      <c r="C376" s="159">
        <v>400</v>
      </c>
      <c r="D376" s="114">
        <v>43287</v>
      </c>
      <c r="E376" s="114">
        <v>43287</v>
      </c>
      <c r="F376" s="114"/>
      <c r="G376" s="114"/>
      <c r="H376" s="114">
        <v>43315</v>
      </c>
      <c r="I376" s="114">
        <v>43315</v>
      </c>
      <c r="J376" s="114">
        <v>43348</v>
      </c>
      <c r="K376" s="114"/>
      <c r="L376" s="114">
        <v>43445</v>
      </c>
      <c r="M376" s="114">
        <v>43370</v>
      </c>
      <c r="N376" s="114" t="s">
        <v>677</v>
      </c>
      <c r="O376" s="114">
        <v>43468</v>
      </c>
      <c r="P376" s="114">
        <v>43482</v>
      </c>
      <c r="Q376" s="114">
        <v>43482</v>
      </c>
      <c r="R376" s="100"/>
      <c r="S376" s="114"/>
      <c r="T376" s="75"/>
      <c r="U376" s="75"/>
      <c r="V376" s="75"/>
      <c r="W376" s="75">
        <v>2</v>
      </c>
      <c r="X376" s="75">
        <v>35952</v>
      </c>
      <c r="Y376" s="75" t="str">
        <f ca="1">IF(I376="",IF(D376="","",IF(W376+X376&lt;15,"Données Nb pers ou RFR manquantes",IF(COUNTA(INDIRECT("TabRFR["&amp;YEAR(D376)&amp;"]"))&lt;&gt;COUNTA(TabRFR[Recherche RFR]),"Data RFR manquantes", IF(X376&lt;=INDEX(TabRFR[[2021]:[2025]],MATCH(BD!W376&amp;"-Très modestes",TabRFR[Recherche RFR],0),MATCH(TEXT(YEAR(BD!D376),"Standard"),TabRFR[[#Headers],[2021]:[2025]],0)),"Très Modeste",IF(X376&lt;=INDEX(TabRFR[[2021]:[2025]],MATCH(BD!W376&amp;"-modestes",TabRFR[Recherche RFR],0),MATCH(TEXT(YEAR(BD!D376),"Standard"),TabRFR[[#Headers],[2021]:[2025]],0)),"Modeste",IF(X376&lt;=INDEX(TabRFR[[2021]:[2025]],MATCH(BD!W376&amp;"-Intermédiaire",TabRFR[Recherche RFR],0),MATCH(TEXT(YEAR(BD!D376),"Standard"),TabRFR[[#Headers],[2021]:[2025]],0)),"Intermédiaire","Supérieur")))))),IF(D376="","",IF(W376+X376&lt;15,"Données Nb pers ou RFR manquantes",IF(COUNTA(INDIRECT("TabRFR["&amp;YEAR(I376)&amp;"]"))&lt;&gt;COUNTA(TabRFR[Recherche RFR]),"Data RFR manquantes", IF(X376&lt;=INDEX(TabRFR[[2021]:[2025]],MATCH(BD!W376&amp;"-Très modestes",TabRFR[Recherche RFR],0),MATCH(TEXT(YEAR(BD!I376),"Standard"),TabRFR[[#Headers],[2021]:[2025]],0)),"Très Modeste",IF(X376&lt;=INDEX(TabRFR[[2021]:[2025]],MATCH(BD!W376&amp;"-modestes",TabRFR[Recherche RFR],0),MATCH(TEXT(YEAR(BD!I376),"Standard"),TabRFR[[#Headers],[2021]:[2025]],0)),"Modeste",IF(X376&lt;=INDEX(TabRFR[[2021]:[2025]],MATCH(BD!W376&amp;"-Intermédiaire",TabRFR[Recherche RFR],0),MATCH(TEXT(YEAR(BD!I376),"Standard"),TabRFR[[#Headers],[2021]:[2025]],0)),"Intermédiaire","Supérieur")))))))</f>
        <v>Data RFR manquantes</v>
      </c>
      <c r="Z376" s="75"/>
      <c r="AA376" s="75" t="s">
        <v>679</v>
      </c>
      <c r="AB376" s="75">
        <v>38500</v>
      </c>
      <c r="AC376" s="75" t="s">
        <v>2873</v>
      </c>
      <c r="AD376" s="73"/>
      <c r="AE376" s="102"/>
      <c r="AF376" s="75" t="s">
        <v>95</v>
      </c>
      <c r="AG376" s="75"/>
      <c r="AH376" s="130">
        <v>42767</v>
      </c>
      <c r="AI376" s="75"/>
      <c r="AJ376" s="75"/>
      <c r="AK376" s="75"/>
      <c r="AL376" s="75"/>
      <c r="AM376" s="75" t="s">
        <v>4395</v>
      </c>
      <c r="AN376" s="75" t="s">
        <v>3708</v>
      </c>
      <c r="AO376" s="75" t="s">
        <v>643</v>
      </c>
      <c r="AP376" s="75" t="s">
        <v>97</v>
      </c>
      <c r="AQ376" s="75"/>
      <c r="AR376" s="74">
        <v>43564</v>
      </c>
      <c r="AS376" s="102" t="s">
        <v>644</v>
      </c>
      <c r="AT376" s="73" t="s">
        <v>680</v>
      </c>
      <c r="AU376" s="75" t="s">
        <v>100</v>
      </c>
      <c r="AV376" s="75">
        <v>2000</v>
      </c>
      <c r="AW376" s="75" t="s">
        <v>100</v>
      </c>
      <c r="AX376" s="75" t="s">
        <v>112</v>
      </c>
      <c r="AY376" s="75" t="s">
        <v>646</v>
      </c>
      <c r="AZ376" s="75" t="s">
        <v>681</v>
      </c>
      <c r="BA376" s="75">
        <v>15</v>
      </c>
      <c r="BB376" s="75">
        <v>5</v>
      </c>
      <c r="BC376" s="75">
        <v>84.4</v>
      </c>
      <c r="BD376" s="75">
        <v>0.09</v>
      </c>
      <c r="BE376" s="75" t="s">
        <v>374</v>
      </c>
      <c r="BF376" s="77"/>
      <c r="BG376" s="75">
        <v>3888.3</v>
      </c>
      <c r="BH376" s="75"/>
      <c r="BI376" s="75"/>
      <c r="BJ376" s="75"/>
      <c r="BK376" s="75">
        <v>2250</v>
      </c>
      <c r="BL376" s="75">
        <f t="shared" si="15"/>
        <v>6138.3</v>
      </c>
      <c r="BM376" s="103">
        <f t="shared" si="16"/>
        <v>337.60650000000004</v>
      </c>
      <c r="BN376" s="103">
        <f t="shared" si="17"/>
        <v>6475.9065000000001</v>
      </c>
      <c r="BO376" s="103">
        <v>8760</v>
      </c>
      <c r="BP376" s="75" t="s">
        <v>97</v>
      </c>
      <c r="BQ376" s="75"/>
      <c r="BR376" s="74">
        <v>43416</v>
      </c>
      <c r="BS376" s="157">
        <v>2018</v>
      </c>
      <c r="BT376">
        <v>2020</v>
      </c>
      <c r="BU376">
        <v>2018</v>
      </c>
    </row>
    <row r="377" spans="1:73" ht="43.15" customHeight="1" x14ac:dyDescent="0.25">
      <c r="A377" s="242" t="s">
        <v>675</v>
      </c>
      <c r="B377" s="242" t="s">
        <v>682</v>
      </c>
      <c r="C377" s="159">
        <v>400</v>
      </c>
      <c r="D377" s="114">
        <v>43290</v>
      </c>
      <c r="E377" s="114">
        <v>43290</v>
      </c>
      <c r="F377" s="114"/>
      <c r="G377" s="114"/>
      <c r="H377" s="114">
        <v>43315</v>
      </c>
      <c r="I377" s="114">
        <v>43315</v>
      </c>
      <c r="J377" s="114">
        <v>43348</v>
      </c>
      <c r="K377" s="114"/>
      <c r="L377" s="114">
        <v>43420</v>
      </c>
      <c r="M377" s="114">
        <v>43332</v>
      </c>
      <c r="N377" s="114" t="s">
        <v>683</v>
      </c>
      <c r="O377" s="114">
        <v>43451</v>
      </c>
      <c r="P377" s="114">
        <v>43451</v>
      </c>
      <c r="Q377" s="114">
        <v>43486</v>
      </c>
      <c r="R377" s="80"/>
      <c r="S377" s="114"/>
      <c r="T377" s="75"/>
      <c r="U377" s="75"/>
      <c r="V377" s="75"/>
      <c r="W377" s="75">
        <v>2</v>
      </c>
      <c r="X377" s="75"/>
      <c r="Y377" s="75" t="str">
        <f ca="1">IF(I377="",IF(D377="","",IF(W377+X377&lt;15,"Données Nb pers ou RFR manquantes",IF(COUNTA(INDIRECT("TabRFR["&amp;YEAR(D377)&amp;"]"))&lt;&gt;COUNTA(TabRFR[Recherche RFR]),"Data RFR manquantes", IF(X377&lt;=INDEX(TabRFR[[2021]:[2025]],MATCH(BD!W377&amp;"-Très modestes",TabRFR[Recherche RFR],0),MATCH(TEXT(YEAR(BD!D377),"Standard"),TabRFR[[#Headers],[2021]:[2025]],0)),"Très Modeste",IF(X377&lt;=INDEX(TabRFR[[2021]:[2025]],MATCH(BD!W377&amp;"-modestes",TabRFR[Recherche RFR],0),MATCH(TEXT(YEAR(BD!D377),"Standard"),TabRFR[[#Headers],[2021]:[2025]],0)),"Modeste",IF(X377&lt;=INDEX(TabRFR[[2021]:[2025]],MATCH(BD!W377&amp;"-Intermédiaire",TabRFR[Recherche RFR],0),MATCH(TEXT(YEAR(BD!D377),"Standard"),TabRFR[[#Headers],[2021]:[2025]],0)),"Intermédiaire","Supérieur")))))),IF(D377="","",IF(W377+X377&lt;15,"Données Nb pers ou RFR manquantes",IF(COUNTA(INDIRECT("TabRFR["&amp;YEAR(I377)&amp;"]"))&lt;&gt;COUNTA(TabRFR[Recherche RFR]),"Data RFR manquantes", IF(X377&lt;=INDEX(TabRFR[[2021]:[2025]],MATCH(BD!W377&amp;"-Très modestes",TabRFR[Recherche RFR],0),MATCH(TEXT(YEAR(BD!I377),"Standard"),TabRFR[[#Headers],[2021]:[2025]],0)),"Très Modeste",IF(X377&lt;=INDEX(TabRFR[[2021]:[2025]],MATCH(BD!W377&amp;"-modestes",TabRFR[Recherche RFR],0),MATCH(TEXT(YEAR(BD!I377),"Standard"),TabRFR[[#Headers],[2021]:[2025]],0)),"Modeste",IF(X377&lt;=INDEX(TabRFR[[2021]:[2025]],MATCH(BD!W377&amp;"-Intermédiaire",TabRFR[Recherche RFR],0),MATCH(TEXT(YEAR(BD!I377),"Standard"),TabRFR[[#Headers],[2021]:[2025]],0)),"Intermédiaire","Supérieur")))))))</f>
        <v>Données Nb pers ou RFR manquantes</v>
      </c>
      <c r="Z377" s="75"/>
      <c r="AA377" s="75" t="s">
        <v>684</v>
      </c>
      <c r="AB377" s="75">
        <v>38620</v>
      </c>
      <c r="AC377" s="75" t="s">
        <v>3833</v>
      </c>
      <c r="AD377" s="73"/>
      <c r="AE377" s="102"/>
      <c r="AF377" s="75" t="s">
        <v>95</v>
      </c>
      <c r="AG377" s="75"/>
      <c r="AH377" s="75"/>
      <c r="AI377" s="75"/>
      <c r="AJ377" s="75"/>
      <c r="AK377" s="75"/>
      <c r="AL377" s="75"/>
      <c r="AM377" s="75" t="s">
        <v>4356</v>
      </c>
      <c r="AN377" s="75" t="s">
        <v>96</v>
      </c>
      <c r="AO377" s="75" t="s">
        <v>119</v>
      </c>
      <c r="AP377" s="75" t="s">
        <v>97</v>
      </c>
      <c r="AQ377" s="75"/>
      <c r="AR377" s="74">
        <v>43407</v>
      </c>
      <c r="AS377" s="102" t="s">
        <v>120</v>
      </c>
      <c r="AT377" s="73" t="s">
        <v>658</v>
      </c>
      <c r="AU377" s="75" t="s">
        <v>111</v>
      </c>
      <c r="AV377" s="75">
        <v>1990</v>
      </c>
      <c r="AW377" s="75" t="s">
        <v>111</v>
      </c>
      <c r="AX377" s="75" t="s">
        <v>112</v>
      </c>
      <c r="AY377" s="75" t="s">
        <v>121</v>
      </c>
      <c r="AZ377" s="75" t="s">
        <v>685</v>
      </c>
      <c r="BA377" s="75">
        <v>31</v>
      </c>
      <c r="BB377" s="75">
        <v>6.6</v>
      </c>
      <c r="BC377" s="75">
        <v>80</v>
      </c>
      <c r="BD377" s="75">
        <v>0.06</v>
      </c>
      <c r="BE377" s="75" t="s">
        <v>97</v>
      </c>
      <c r="BF377" s="75"/>
      <c r="BG377" s="75">
        <v>2238.42</v>
      </c>
      <c r="BH377" s="75"/>
      <c r="BI377" s="75"/>
      <c r="BJ377" s="75"/>
      <c r="BK377" s="75">
        <v>450</v>
      </c>
      <c r="BL377" s="75">
        <f t="shared" si="15"/>
        <v>2688.42</v>
      </c>
      <c r="BM377" s="103">
        <f t="shared" si="16"/>
        <v>147.8631</v>
      </c>
      <c r="BN377" s="103">
        <f t="shared" si="17"/>
        <v>2836.2831000000001</v>
      </c>
      <c r="BO377" s="103"/>
      <c r="BP377" s="75" t="s">
        <v>674</v>
      </c>
      <c r="BQ377" s="75"/>
      <c r="BR377" s="74">
        <v>43416</v>
      </c>
      <c r="BS377" s="157">
        <v>2018</v>
      </c>
      <c r="BT377">
        <v>2020</v>
      </c>
      <c r="BU377">
        <v>2018</v>
      </c>
    </row>
    <row r="378" spans="1:73" ht="43.15" customHeight="1" x14ac:dyDescent="0.25">
      <c r="A378" s="242" t="s">
        <v>686</v>
      </c>
      <c r="B378" s="242" t="s">
        <v>687</v>
      </c>
      <c r="C378" s="159">
        <v>400</v>
      </c>
      <c r="D378" s="114">
        <v>43290</v>
      </c>
      <c r="E378" s="114">
        <v>43290</v>
      </c>
      <c r="F378" s="114">
        <v>43315</v>
      </c>
      <c r="G378" s="114" t="s">
        <v>688</v>
      </c>
      <c r="H378" s="114">
        <v>43322</v>
      </c>
      <c r="I378" s="114">
        <v>43322</v>
      </c>
      <c r="J378" s="114">
        <v>43357</v>
      </c>
      <c r="K378" s="114"/>
      <c r="L378" s="114">
        <v>43384</v>
      </c>
      <c r="M378" s="114">
        <v>43375</v>
      </c>
      <c r="N378" s="114" t="s">
        <v>689</v>
      </c>
      <c r="O378" s="114">
        <v>43403</v>
      </c>
      <c r="P378" s="114">
        <v>43403</v>
      </c>
      <c r="Q378" s="114">
        <v>43431</v>
      </c>
      <c r="R378" s="80"/>
      <c r="S378" s="114"/>
      <c r="T378" s="75"/>
      <c r="U378" s="75"/>
      <c r="V378" s="75"/>
      <c r="W378" s="75">
        <v>2</v>
      </c>
      <c r="X378" s="75">
        <v>35971</v>
      </c>
      <c r="Y378" s="75" t="str">
        <f ca="1">IF(I378="",IF(D378="","",IF(W378+X378&lt;15,"Données Nb pers ou RFR manquantes",IF(COUNTA(INDIRECT("TabRFR["&amp;YEAR(D378)&amp;"]"))&lt;&gt;COUNTA(TabRFR[Recherche RFR]),"Data RFR manquantes", IF(X378&lt;=INDEX(TabRFR[[2021]:[2025]],MATCH(BD!W378&amp;"-Très modestes",TabRFR[Recherche RFR],0),MATCH(TEXT(YEAR(BD!D378),"Standard"),TabRFR[[#Headers],[2021]:[2025]],0)),"Très Modeste",IF(X378&lt;=INDEX(TabRFR[[2021]:[2025]],MATCH(BD!W378&amp;"-modestes",TabRFR[Recherche RFR],0),MATCH(TEXT(YEAR(BD!D378),"Standard"),TabRFR[[#Headers],[2021]:[2025]],0)),"Modeste",IF(X378&lt;=INDEX(TabRFR[[2021]:[2025]],MATCH(BD!W378&amp;"-Intermédiaire",TabRFR[Recherche RFR],0),MATCH(TEXT(YEAR(BD!D378),"Standard"),TabRFR[[#Headers],[2021]:[2025]],0)),"Intermédiaire","Supérieur")))))),IF(D378="","",IF(W378+X378&lt;15,"Données Nb pers ou RFR manquantes",IF(COUNTA(INDIRECT("TabRFR["&amp;YEAR(I378)&amp;"]"))&lt;&gt;COUNTA(TabRFR[Recherche RFR]),"Data RFR manquantes", IF(X378&lt;=INDEX(TabRFR[[2021]:[2025]],MATCH(BD!W378&amp;"-Très modestes",TabRFR[Recherche RFR],0),MATCH(TEXT(YEAR(BD!I378),"Standard"),TabRFR[[#Headers],[2021]:[2025]],0)),"Très Modeste",IF(X378&lt;=INDEX(TabRFR[[2021]:[2025]],MATCH(BD!W378&amp;"-modestes",TabRFR[Recherche RFR],0),MATCH(TEXT(YEAR(BD!I378),"Standard"),TabRFR[[#Headers],[2021]:[2025]],0)),"Modeste",IF(X378&lt;=INDEX(TabRFR[[2021]:[2025]],MATCH(BD!W378&amp;"-Intermédiaire",TabRFR[Recherche RFR],0),MATCH(TEXT(YEAR(BD!I378),"Standard"),TabRFR[[#Headers],[2021]:[2025]],0)),"Intermédiaire","Supérieur")))))))</f>
        <v>Data RFR manquantes</v>
      </c>
      <c r="Z378" s="75"/>
      <c r="AA378" s="75" t="s">
        <v>690</v>
      </c>
      <c r="AB378" s="75">
        <v>38210</v>
      </c>
      <c r="AC378" s="75" t="s">
        <v>195</v>
      </c>
      <c r="AD378" s="73"/>
      <c r="AE378" s="102"/>
      <c r="AF378" s="75" t="s">
        <v>95</v>
      </c>
      <c r="AG378" s="75"/>
      <c r="AH378" s="75"/>
      <c r="AI378" s="75"/>
      <c r="AJ378" s="75"/>
      <c r="AK378" s="75"/>
      <c r="AL378" s="75"/>
      <c r="AM378" s="75" t="s">
        <v>4130</v>
      </c>
      <c r="AN378" s="75" t="s">
        <v>4349</v>
      </c>
      <c r="AO378" s="75"/>
      <c r="AP378" s="75" t="s">
        <v>97</v>
      </c>
      <c r="AQ378" s="75"/>
      <c r="AR378" s="74">
        <v>43545</v>
      </c>
      <c r="AS378" s="102" t="s">
        <v>337</v>
      </c>
      <c r="AT378" s="73" t="s">
        <v>691</v>
      </c>
      <c r="AU378" s="75" t="s">
        <v>99</v>
      </c>
      <c r="AV378" s="75">
        <v>1982</v>
      </c>
      <c r="AW378" s="75" t="s">
        <v>100</v>
      </c>
      <c r="AX378" s="75" t="s">
        <v>112</v>
      </c>
      <c r="AY378" s="75" t="s">
        <v>692</v>
      </c>
      <c r="AZ378" s="75" t="s">
        <v>693</v>
      </c>
      <c r="BA378" s="75">
        <v>29</v>
      </c>
      <c r="BB378" s="75">
        <v>8</v>
      </c>
      <c r="BC378" s="75">
        <v>77</v>
      </c>
      <c r="BD378" s="75">
        <v>0.05</v>
      </c>
      <c r="BE378" s="75" t="s">
        <v>97</v>
      </c>
      <c r="BF378" s="75"/>
      <c r="BG378" s="75">
        <v>2242</v>
      </c>
      <c r="BH378" s="75"/>
      <c r="BI378" s="75"/>
      <c r="BJ378" s="75"/>
      <c r="BK378" s="75">
        <v>600</v>
      </c>
      <c r="BL378" s="75">
        <f t="shared" si="15"/>
        <v>2842</v>
      </c>
      <c r="BM378" s="103">
        <f t="shared" si="16"/>
        <v>156.31</v>
      </c>
      <c r="BN378" s="103">
        <f t="shared" si="17"/>
        <v>2998.31</v>
      </c>
      <c r="BO378" s="103">
        <v>5057</v>
      </c>
      <c r="BP378" s="75" t="s">
        <v>97</v>
      </c>
      <c r="BQ378" s="75"/>
      <c r="BR378" s="74">
        <v>43416</v>
      </c>
      <c r="BS378" s="157">
        <v>2018</v>
      </c>
      <c r="BT378">
        <v>2020</v>
      </c>
      <c r="BU378">
        <v>2018</v>
      </c>
    </row>
    <row r="379" spans="1:73" ht="43.15" customHeight="1" x14ac:dyDescent="0.25">
      <c r="A379" s="242" t="s">
        <v>594</v>
      </c>
      <c r="B379" s="242" t="s">
        <v>694</v>
      </c>
      <c r="C379" s="159">
        <v>400</v>
      </c>
      <c r="D379" s="114">
        <v>43292</v>
      </c>
      <c r="E379" s="114">
        <v>43292</v>
      </c>
      <c r="F379" s="114">
        <v>43315</v>
      </c>
      <c r="G379" s="114" t="s">
        <v>695</v>
      </c>
      <c r="H379" s="114">
        <v>43322</v>
      </c>
      <c r="I379" s="114">
        <v>43322</v>
      </c>
      <c r="J379" s="114">
        <v>43357</v>
      </c>
      <c r="K379" s="76"/>
      <c r="L379" s="114">
        <v>43395</v>
      </c>
      <c r="M379" s="114">
        <v>43364</v>
      </c>
      <c r="N379" s="114"/>
      <c r="O379" s="114">
        <v>43403</v>
      </c>
      <c r="P379" s="114">
        <v>43403</v>
      </c>
      <c r="Q379" s="114">
        <v>43431</v>
      </c>
      <c r="R379" s="80"/>
      <c r="S379" s="114"/>
      <c r="T379" s="75"/>
      <c r="U379" s="75"/>
      <c r="V379" s="75"/>
      <c r="W379" s="75">
        <v>2</v>
      </c>
      <c r="X379" s="75">
        <v>82995</v>
      </c>
      <c r="Y379" s="75" t="str">
        <f ca="1">IF(I379="",IF(D379="","",IF(W379+X379&lt;15,"Données Nb pers ou RFR manquantes",IF(COUNTA(INDIRECT("TabRFR["&amp;YEAR(D379)&amp;"]"))&lt;&gt;COUNTA(TabRFR[Recherche RFR]),"Data RFR manquantes", IF(X379&lt;=INDEX(TabRFR[[2021]:[2025]],MATCH(BD!W379&amp;"-Très modestes",TabRFR[Recherche RFR],0),MATCH(TEXT(YEAR(BD!D379),"Standard"),TabRFR[[#Headers],[2021]:[2025]],0)),"Très Modeste",IF(X379&lt;=INDEX(TabRFR[[2021]:[2025]],MATCH(BD!W379&amp;"-modestes",TabRFR[Recherche RFR],0),MATCH(TEXT(YEAR(BD!D379),"Standard"),TabRFR[[#Headers],[2021]:[2025]],0)),"Modeste",IF(X379&lt;=INDEX(TabRFR[[2021]:[2025]],MATCH(BD!W379&amp;"-Intermédiaire",TabRFR[Recherche RFR],0),MATCH(TEXT(YEAR(BD!D379),"Standard"),TabRFR[[#Headers],[2021]:[2025]],0)),"Intermédiaire","Supérieur")))))),IF(D379="","",IF(W379+X379&lt;15,"Données Nb pers ou RFR manquantes",IF(COUNTA(INDIRECT("TabRFR["&amp;YEAR(I379)&amp;"]"))&lt;&gt;COUNTA(TabRFR[Recherche RFR]),"Data RFR manquantes", IF(X379&lt;=INDEX(TabRFR[[2021]:[2025]],MATCH(BD!W379&amp;"-Très modestes",TabRFR[Recherche RFR],0),MATCH(TEXT(YEAR(BD!I379),"Standard"),TabRFR[[#Headers],[2021]:[2025]],0)),"Très Modeste",IF(X379&lt;=INDEX(TabRFR[[2021]:[2025]],MATCH(BD!W379&amp;"-modestes",TabRFR[Recherche RFR],0),MATCH(TEXT(YEAR(BD!I379),"Standard"),TabRFR[[#Headers],[2021]:[2025]],0)),"Modeste",IF(X379&lt;=INDEX(TabRFR[[2021]:[2025]],MATCH(BD!W379&amp;"-Intermédiaire",TabRFR[Recherche RFR],0),MATCH(TEXT(YEAR(BD!I379),"Standard"),TabRFR[[#Headers],[2021]:[2025]],0)),"Intermédiaire","Supérieur")))))))</f>
        <v>Data RFR manquantes</v>
      </c>
      <c r="Z379" s="75"/>
      <c r="AA379" s="75" t="s">
        <v>696</v>
      </c>
      <c r="AB379" s="75">
        <v>38140</v>
      </c>
      <c r="AC379" s="75" t="s">
        <v>2357</v>
      </c>
      <c r="AD379" s="101"/>
      <c r="AE379" s="102"/>
      <c r="AF379" s="75" t="s">
        <v>95</v>
      </c>
      <c r="AG379" s="75"/>
      <c r="AH379" s="75">
        <v>40609</v>
      </c>
      <c r="AI379" s="75"/>
      <c r="AJ379" s="75"/>
      <c r="AK379" s="75"/>
      <c r="AL379" s="75"/>
      <c r="AM379" s="75" t="s">
        <v>4258</v>
      </c>
      <c r="AN379" s="75" t="s">
        <v>451</v>
      </c>
      <c r="AO379" s="75" t="s">
        <v>697</v>
      </c>
      <c r="AP379" s="75" t="s">
        <v>97</v>
      </c>
      <c r="AQ379" s="75"/>
      <c r="AR379" s="75">
        <v>43678</v>
      </c>
      <c r="AS379" s="102" t="s">
        <v>698</v>
      </c>
      <c r="AT379" s="101" t="s">
        <v>699</v>
      </c>
      <c r="AU379" s="75" t="s">
        <v>111</v>
      </c>
      <c r="AV379" s="75">
        <v>1998</v>
      </c>
      <c r="AW379" s="75" t="s">
        <v>100</v>
      </c>
      <c r="AX379" s="75" t="s">
        <v>2071</v>
      </c>
      <c r="AY379" s="75" t="s">
        <v>700</v>
      </c>
      <c r="AZ379" s="75" t="s">
        <v>701</v>
      </c>
      <c r="BA379" s="75">
        <v>19</v>
      </c>
      <c r="BB379" s="75">
        <v>8.1999999999999993</v>
      </c>
      <c r="BC379" s="75">
        <v>91.1</v>
      </c>
      <c r="BD379" s="75">
        <v>1.0999999999999999E-2</v>
      </c>
      <c r="BE379" s="75" t="s">
        <v>374</v>
      </c>
      <c r="BF379" s="75"/>
      <c r="BG379" s="75">
        <v>3580</v>
      </c>
      <c r="BH379" s="77"/>
      <c r="BI379" s="77"/>
      <c r="BJ379" s="77"/>
      <c r="BK379" s="75">
        <v>730</v>
      </c>
      <c r="BL379" s="75">
        <f t="shared" si="15"/>
        <v>4310</v>
      </c>
      <c r="BM379" s="103">
        <f t="shared" si="16"/>
        <v>237.05</v>
      </c>
      <c r="BN379" s="103">
        <f t="shared" si="17"/>
        <v>4547.05</v>
      </c>
      <c r="BO379" s="103"/>
      <c r="BP379" s="75" t="s">
        <v>97</v>
      </c>
      <c r="BQ379" s="75"/>
      <c r="BR379" s="75"/>
      <c r="BS379" s="157">
        <v>2018</v>
      </c>
      <c r="BU379">
        <v>2018</v>
      </c>
    </row>
    <row r="380" spans="1:73" ht="43.15" customHeight="1" x14ac:dyDescent="0.25">
      <c r="A380" s="242" t="s">
        <v>594</v>
      </c>
      <c r="B380" s="242" t="s">
        <v>702</v>
      </c>
      <c r="C380" s="159">
        <v>800</v>
      </c>
      <c r="D380" s="114">
        <v>43299</v>
      </c>
      <c r="E380" s="114"/>
      <c r="F380" s="114"/>
      <c r="G380" s="114"/>
      <c r="H380" s="114">
        <v>43315</v>
      </c>
      <c r="I380" s="114">
        <v>43315</v>
      </c>
      <c r="J380" s="114">
        <v>43348</v>
      </c>
      <c r="K380" s="76"/>
      <c r="L380" s="114">
        <v>43369</v>
      </c>
      <c r="M380" s="114">
        <v>43364</v>
      </c>
      <c r="N380" s="114"/>
      <c r="O380" s="114">
        <v>43381</v>
      </c>
      <c r="P380" s="114">
        <v>43381</v>
      </c>
      <c r="Q380" s="114">
        <v>43392</v>
      </c>
      <c r="R380" s="81"/>
      <c r="S380" s="114"/>
      <c r="T380" s="75"/>
      <c r="U380" s="75"/>
      <c r="V380" s="75"/>
      <c r="W380" s="75">
        <v>2</v>
      </c>
      <c r="X380" s="75"/>
      <c r="Y380" s="75" t="str">
        <f ca="1">IF(I380="",IF(D380="","",IF(W380+X380&lt;15,"Données Nb pers ou RFR manquantes",IF(COUNTA(INDIRECT("TabRFR["&amp;YEAR(D380)&amp;"]"))&lt;&gt;COUNTA(TabRFR[Recherche RFR]),"Data RFR manquantes", IF(X380&lt;=INDEX(TabRFR[[2021]:[2025]],MATCH(BD!W380&amp;"-Très modestes",TabRFR[Recherche RFR],0),MATCH(TEXT(YEAR(BD!D380),"Standard"),TabRFR[[#Headers],[2021]:[2025]],0)),"Très Modeste",IF(X380&lt;=INDEX(TabRFR[[2021]:[2025]],MATCH(BD!W380&amp;"-modestes",TabRFR[Recherche RFR],0),MATCH(TEXT(YEAR(BD!D380),"Standard"),TabRFR[[#Headers],[2021]:[2025]],0)),"Modeste",IF(X380&lt;=INDEX(TabRFR[[2021]:[2025]],MATCH(BD!W380&amp;"-Intermédiaire",TabRFR[Recherche RFR],0),MATCH(TEXT(YEAR(BD!D380),"Standard"),TabRFR[[#Headers],[2021]:[2025]],0)),"Intermédiaire","Supérieur")))))),IF(D380="","",IF(W380+X380&lt;15,"Données Nb pers ou RFR manquantes",IF(COUNTA(INDIRECT("TabRFR["&amp;YEAR(I380)&amp;"]"))&lt;&gt;COUNTA(TabRFR[Recherche RFR]),"Data RFR manquantes", IF(X380&lt;=INDEX(TabRFR[[2021]:[2025]],MATCH(BD!W380&amp;"-Très modestes",TabRFR[Recherche RFR],0),MATCH(TEXT(YEAR(BD!I380),"Standard"),TabRFR[[#Headers],[2021]:[2025]],0)),"Très Modeste",IF(X380&lt;=INDEX(TabRFR[[2021]:[2025]],MATCH(BD!W380&amp;"-modestes",TabRFR[Recherche RFR],0),MATCH(TEXT(YEAR(BD!I380),"Standard"),TabRFR[[#Headers],[2021]:[2025]],0)),"Modeste",IF(X380&lt;=INDEX(TabRFR[[2021]:[2025]],MATCH(BD!W380&amp;"-Intermédiaire",TabRFR[Recherche RFR],0),MATCH(TEXT(YEAR(BD!I380),"Standard"),TabRFR[[#Headers],[2021]:[2025]],0)),"Intermédiaire","Supérieur")))))))</f>
        <v>Données Nb pers ou RFR manquantes</v>
      </c>
      <c r="Z380" s="75"/>
      <c r="AA380" s="75" t="s">
        <v>704</v>
      </c>
      <c r="AB380" s="75">
        <v>38210</v>
      </c>
      <c r="AC380" s="75" t="s">
        <v>445</v>
      </c>
      <c r="AD380" s="101"/>
      <c r="AE380" s="102"/>
      <c r="AF380" s="75" t="s">
        <v>95</v>
      </c>
      <c r="AG380" s="75"/>
      <c r="AH380" s="75"/>
      <c r="AI380" s="75"/>
      <c r="AJ380" s="75"/>
      <c r="AK380" s="75"/>
      <c r="AL380" s="75"/>
      <c r="AM380" s="75" t="s">
        <v>218</v>
      </c>
      <c r="AN380" s="75" t="s">
        <v>217</v>
      </c>
      <c r="AO380" s="75" t="s">
        <v>219</v>
      </c>
      <c r="AP380" s="75" t="s">
        <v>97</v>
      </c>
      <c r="AQ380" s="75"/>
      <c r="AR380" s="75">
        <v>43399</v>
      </c>
      <c r="AS380" s="102" t="s">
        <v>220</v>
      </c>
      <c r="AT380" s="101">
        <v>476355605</v>
      </c>
      <c r="AU380" s="75" t="s">
        <v>99</v>
      </c>
      <c r="AV380" s="75">
        <v>1987</v>
      </c>
      <c r="AW380" s="75" t="s">
        <v>100</v>
      </c>
      <c r="AX380" s="75" t="s">
        <v>2071</v>
      </c>
      <c r="AY380" s="75" t="s">
        <v>121</v>
      </c>
      <c r="AZ380" s="75" t="s">
        <v>705</v>
      </c>
      <c r="BA380" s="75">
        <v>11</v>
      </c>
      <c r="BB380" s="75">
        <v>12</v>
      </c>
      <c r="BC380" s="75">
        <v>89</v>
      </c>
      <c r="BD380" s="75">
        <v>0.01</v>
      </c>
      <c r="BE380" s="75" t="s">
        <v>97</v>
      </c>
      <c r="BF380" s="75"/>
      <c r="BG380" s="75">
        <v>4774.21</v>
      </c>
      <c r="BH380" s="77"/>
      <c r="BI380" s="77"/>
      <c r="BJ380" s="77"/>
      <c r="BK380" s="75">
        <v>775</v>
      </c>
      <c r="BL380" s="75">
        <f t="shared" si="15"/>
        <v>5549.21</v>
      </c>
      <c r="BM380" s="103">
        <f t="shared" si="16"/>
        <v>305.20654999999999</v>
      </c>
      <c r="BN380" s="103">
        <f t="shared" si="17"/>
        <v>5854.4165499999999</v>
      </c>
      <c r="BO380" s="103">
        <f>3754.42+2100</f>
        <v>5854.42</v>
      </c>
      <c r="BP380" s="75" t="s">
        <v>104</v>
      </c>
      <c r="BQ380" s="75"/>
      <c r="BR380" s="75"/>
      <c r="BS380" s="157">
        <v>2018</v>
      </c>
      <c r="BU380">
        <v>2018</v>
      </c>
    </row>
    <row r="381" spans="1:73" ht="43.15" customHeight="1" x14ac:dyDescent="0.25">
      <c r="A381" s="242" t="s">
        <v>594</v>
      </c>
      <c r="B381" s="242" t="s">
        <v>706</v>
      </c>
      <c r="C381" s="159">
        <v>400</v>
      </c>
      <c r="D381" s="114">
        <v>43300</v>
      </c>
      <c r="E381" s="114">
        <v>43300</v>
      </c>
      <c r="F381" s="114">
        <v>43315</v>
      </c>
      <c r="G381" s="114" t="s">
        <v>707</v>
      </c>
      <c r="H381" s="114">
        <v>43333</v>
      </c>
      <c r="I381" s="114">
        <v>43333</v>
      </c>
      <c r="J381" s="114">
        <v>43357</v>
      </c>
      <c r="K381" s="76"/>
      <c r="L381" s="114">
        <v>43364</v>
      </c>
      <c r="M381" s="114">
        <v>43360</v>
      </c>
      <c r="N381" s="114"/>
      <c r="O381" s="114">
        <v>43403</v>
      </c>
      <c r="P381" s="114">
        <v>43403</v>
      </c>
      <c r="Q381" s="114">
        <v>43431</v>
      </c>
      <c r="R381" s="80"/>
      <c r="S381" s="114"/>
      <c r="T381" s="75"/>
      <c r="U381" s="75"/>
      <c r="V381" s="75"/>
      <c r="W381" s="75">
        <v>2</v>
      </c>
      <c r="X381" s="75">
        <v>29131</v>
      </c>
      <c r="Y381" s="75" t="str">
        <f ca="1">IF(I381="",IF(D381="","",IF(W381+X381&lt;15,"Données Nb pers ou RFR manquantes",IF(COUNTA(INDIRECT("TabRFR["&amp;YEAR(D381)&amp;"]"))&lt;&gt;COUNTA(TabRFR[Recherche RFR]),"Data RFR manquantes", IF(X381&lt;=INDEX(TabRFR[[2021]:[2025]],MATCH(BD!W381&amp;"-Très modestes",TabRFR[Recherche RFR],0),MATCH(TEXT(YEAR(BD!D381),"Standard"),TabRFR[[#Headers],[2021]:[2025]],0)),"Très Modeste",IF(X381&lt;=INDEX(TabRFR[[2021]:[2025]],MATCH(BD!W381&amp;"-modestes",TabRFR[Recherche RFR],0),MATCH(TEXT(YEAR(BD!D381),"Standard"),TabRFR[[#Headers],[2021]:[2025]],0)),"Modeste",IF(X381&lt;=INDEX(TabRFR[[2021]:[2025]],MATCH(BD!W381&amp;"-Intermédiaire",TabRFR[Recherche RFR],0),MATCH(TEXT(YEAR(BD!D381),"Standard"),TabRFR[[#Headers],[2021]:[2025]],0)),"Intermédiaire","Supérieur")))))),IF(D381="","",IF(W381+X381&lt;15,"Données Nb pers ou RFR manquantes",IF(COUNTA(INDIRECT("TabRFR["&amp;YEAR(I381)&amp;"]"))&lt;&gt;COUNTA(TabRFR[Recherche RFR]),"Data RFR manquantes", IF(X381&lt;=INDEX(TabRFR[[2021]:[2025]],MATCH(BD!W381&amp;"-Très modestes",TabRFR[Recherche RFR],0),MATCH(TEXT(YEAR(BD!I381),"Standard"),TabRFR[[#Headers],[2021]:[2025]],0)),"Très Modeste",IF(X381&lt;=INDEX(TabRFR[[2021]:[2025]],MATCH(BD!W381&amp;"-modestes",TabRFR[Recherche RFR],0),MATCH(TEXT(YEAR(BD!I381),"Standard"),TabRFR[[#Headers],[2021]:[2025]],0)),"Modeste",IF(X381&lt;=INDEX(TabRFR[[2021]:[2025]],MATCH(BD!W381&amp;"-Intermédiaire",TabRFR[Recherche RFR],0),MATCH(TEXT(YEAR(BD!I381),"Standard"),TabRFR[[#Headers],[2021]:[2025]],0)),"Intermédiaire","Supérieur")))))))</f>
        <v>Data RFR manquantes</v>
      </c>
      <c r="Z381" s="75"/>
      <c r="AA381" s="75" t="s">
        <v>709</v>
      </c>
      <c r="AB381" s="75">
        <v>38430</v>
      </c>
      <c r="AC381" s="75" t="s">
        <v>217</v>
      </c>
      <c r="AD381" s="101"/>
      <c r="AE381" s="102"/>
      <c r="AF381" s="75" t="s">
        <v>95</v>
      </c>
      <c r="AG381" s="75"/>
      <c r="AH381" s="75"/>
      <c r="AI381" s="75"/>
      <c r="AJ381" s="75"/>
      <c r="AK381" s="75"/>
      <c r="AL381" s="75"/>
      <c r="AM381" s="75" t="s">
        <v>4397</v>
      </c>
      <c r="AN381" s="75" t="s">
        <v>710</v>
      </c>
      <c r="AO381" s="75" t="s">
        <v>711</v>
      </c>
      <c r="AP381" s="75" t="s">
        <v>712</v>
      </c>
      <c r="AQ381" s="75"/>
      <c r="AR381" s="75">
        <v>43383</v>
      </c>
      <c r="AS381" s="102" t="s">
        <v>713</v>
      </c>
      <c r="AT381" s="101" t="s">
        <v>714</v>
      </c>
      <c r="AU381" s="75" t="s">
        <v>100</v>
      </c>
      <c r="AV381" s="75"/>
      <c r="AW381" s="75" t="s">
        <v>100</v>
      </c>
      <c r="AX381" s="75" t="s">
        <v>112</v>
      </c>
      <c r="AY381" s="75" t="s">
        <v>715</v>
      </c>
      <c r="AZ381" s="75" t="s">
        <v>716</v>
      </c>
      <c r="BA381" s="75">
        <v>16</v>
      </c>
      <c r="BB381" s="75">
        <v>9.1</v>
      </c>
      <c r="BC381" s="75">
        <v>86</v>
      </c>
      <c r="BD381" s="75">
        <v>7.0000000000000007E-2</v>
      </c>
      <c r="BE381" s="75" t="s">
        <v>97</v>
      </c>
      <c r="BF381" s="75"/>
      <c r="BG381" s="75">
        <f>235.9+2510</f>
        <v>2745.9</v>
      </c>
      <c r="BH381" s="77"/>
      <c r="BI381" s="77"/>
      <c r="BJ381" s="77"/>
      <c r="BK381" s="75">
        <v>500</v>
      </c>
      <c r="BL381" s="75">
        <f t="shared" si="15"/>
        <v>3245.9</v>
      </c>
      <c r="BM381" s="103">
        <f t="shared" si="16"/>
        <v>178.52450000000002</v>
      </c>
      <c r="BN381" s="103">
        <f t="shared" si="17"/>
        <v>3424.4245000000001</v>
      </c>
      <c r="BO381" s="103">
        <v>3300</v>
      </c>
      <c r="BP381" s="75"/>
      <c r="BQ381" s="75"/>
      <c r="BR381" s="75">
        <v>43416</v>
      </c>
      <c r="BS381" s="157">
        <v>2018</v>
      </c>
      <c r="BT381">
        <v>2020</v>
      </c>
      <c r="BU381">
        <v>2018</v>
      </c>
    </row>
    <row r="382" spans="1:73" ht="43.15" customHeight="1" x14ac:dyDescent="0.25">
      <c r="A382" s="29" t="s">
        <v>717</v>
      </c>
      <c r="B382" s="29" t="s">
        <v>718</v>
      </c>
      <c r="C382" s="161" t="s">
        <v>9</v>
      </c>
      <c r="D382" s="110">
        <v>43273</v>
      </c>
      <c r="E382" s="110">
        <v>43273</v>
      </c>
      <c r="F382" s="110"/>
      <c r="G382" s="110"/>
      <c r="H382" s="110">
        <v>43307</v>
      </c>
      <c r="I382" s="110">
        <v>43307</v>
      </c>
      <c r="J382" s="110">
        <v>43348</v>
      </c>
      <c r="K382" s="110"/>
      <c r="L382" s="110">
        <v>43374</v>
      </c>
      <c r="M382" s="214">
        <v>43279</v>
      </c>
      <c r="N382" s="110" t="s">
        <v>719</v>
      </c>
      <c r="O382" s="110"/>
      <c r="P382" s="110"/>
      <c r="Q382" s="110"/>
      <c r="R382" s="109"/>
      <c r="S382" s="232">
        <v>43482</v>
      </c>
      <c r="T382" s="141" t="s">
        <v>3898</v>
      </c>
      <c r="U382" s="111"/>
      <c r="V382" s="111"/>
      <c r="W382" s="111">
        <v>4</v>
      </c>
      <c r="X382" s="111">
        <v>104322</v>
      </c>
      <c r="Y382" s="75" t="str">
        <f ca="1">IF(I382="",IF(D382="","",IF(W382+X382&lt;15,"Données Nb pers ou RFR manquantes",IF(COUNTA(INDIRECT("TabRFR["&amp;YEAR(D382)&amp;"]"))&lt;&gt;COUNTA(TabRFR[Recherche RFR]),"Data RFR manquantes", IF(X382&lt;=INDEX(TabRFR[[2021]:[2025]],MATCH(BD!W382&amp;"-Très modestes",TabRFR[Recherche RFR],0),MATCH(TEXT(YEAR(BD!D382),"Standard"),TabRFR[[#Headers],[2021]:[2025]],0)),"Très Modeste",IF(X382&lt;=INDEX(TabRFR[[2021]:[2025]],MATCH(BD!W382&amp;"-modestes",TabRFR[Recherche RFR],0),MATCH(TEXT(YEAR(BD!D382),"Standard"),TabRFR[[#Headers],[2021]:[2025]],0)),"Modeste",IF(X382&lt;=INDEX(TabRFR[[2021]:[2025]],MATCH(BD!W382&amp;"-Intermédiaire",TabRFR[Recherche RFR],0),MATCH(TEXT(YEAR(BD!D382),"Standard"),TabRFR[[#Headers],[2021]:[2025]],0)),"Intermédiaire","Supérieur")))))),IF(D382="","",IF(W382+X382&lt;15,"Données Nb pers ou RFR manquantes",IF(COUNTA(INDIRECT("TabRFR["&amp;YEAR(I382)&amp;"]"))&lt;&gt;COUNTA(TabRFR[Recherche RFR]),"Data RFR manquantes", IF(X382&lt;=INDEX(TabRFR[[2021]:[2025]],MATCH(BD!W382&amp;"-Très modestes",TabRFR[Recherche RFR],0),MATCH(TEXT(YEAR(BD!I382),"Standard"),TabRFR[[#Headers],[2021]:[2025]],0)),"Très Modeste",IF(X382&lt;=INDEX(TabRFR[[2021]:[2025]],MATCH(BD!W382&amp;"-modestes",TabRFR[Recherche RFR],0),MATCH(TEXT(YEAR(BD!I382),"Standard"),TabRFR[[#Headers],[2021]:[2025]],0)),"Modeste",IF(X382&lt;=INDEX(TabRFR[[2021]:[2025]],MATCH(BD!W382&amp;"-Intermédiaire",TabRFR[Recherche RFR],0),MATCH(TEXT(YEAR(BD!I382),"Standard"),TabRFR[[#Headers],[2021]:[2025]],0)),"Intermédiaire","Supérieur")))))))</f>
        <v>Data RFR manquantes</v>
      </c>
      <c r="Z382" s="111"/>
      <c r="AA382" s="111" t="s">
        <v>720</v>
      </c>
      <c r="AB382" s="111">
        <v>38430</v>
      </c>
      <c r="AC382" s="111" t="s">
        <v>217</v>
      </c>
      <c r="AD382" s="127"/>
      <c r="AE382" s="102"/>
      <c r="AF382" s="111"/>
      <c r="AG382" s="111"/>
      <c r="AH382" s="111"/>
      <c r="AI382" s="111"/>
      <c r="AJ382" s="111"/>
      <c r="AK382" s="111"/>
      <c r="AL382" s="111"/>
      <c r="AM382" s="111" t="s">
        <v>4031</v>
      </c>
      <c r="AN382" s="111" t="s">
        <v>4109</v>
      </c>
      <c r="AO382" s="111" t="s">
        <v>721</v>
      </c>
      <c r="AP382" s="111" t="s">
        <v>97</v>
      </c>
      <c r="AQ382" s="111"/>
      <c r="AR382" s="135">
        <v>43537</v>
      </c>
      <c r="AS382" s="102" t="s">
        <v>156</v>
      </c>
      <c r="AT382" s="127" t="s">
        <v>722</v>
      </c>
      <c r="AU382" s="111" t="s">
        <v>99</v>
      </c>
      <c r="AV382" s="111">
        <v>1980</v>
      </c>
      <c r="AW382" s="111" t="s">
        <v>100</v>
      </c>
      <c r="AX382" s="111" t="s">
        <v>112</v>
      </c>
      <c r="AY382" s="111" t="s">
        <v>258</v>
      </c>
      <c r="AZ382" s="142" t="s">
        <v>723</v>
      </c>
      <c r="BA382" s="111">
        <v>21</v>
      </c>
      <c r="BB382" s="111">
        <v>6.5</v>
      </c>
      <c r="BC382" s="111">
        <v>78</v>
      </c>
      <c r="BD382" s="111">
        <v>7.0000000000000007E-2</v>
      </c>
      <c r="BE382" s="111" t="s">
        <v>724</v>
      </c>
      <c r="BF382" s="111">
        <v>2255.9299999999998</v>
      </c>
      <c r="BG382" s="111">
        <v>1392.94</v>
      </c>
      <c r="BH382" s="111"/>
      <c r="BI382" s="111"/>
      <c r="BJ382" s="111"/>
      <c r="BK382" s="111"/>
      <c r="BL382" s="75">
        <f t="shared" si="15"/>
        <v>1392.94</v>
      </c>
      <c r="BM382" s="103">
        <f t="shared" si="16"/>
        <v>76.611699999999999</v>
      </c>
      <c r="BN382" s="103">
        <f t="shared" si="17"/>
        <v>1469.5517</v>
      </c>
      <c r="BO382" s="113"/>
      <c r="BP382" s="111"/>
      <c r="BQ382" s="111"/>
      <c r="BR382" s="135">
        <v>43416</v>
      </c>
      <c r="BS382" s="157">
        <v>2018</v>
      </c>
      <c r="BU382" t="s">
        <v>4180</v>
      </c>
    </row>
    <row r="383" spans="1:73" ht="43.15" customHeight="1" x14ac:dyDescent="0.25">
      <c r="A383" s="242" t="s">
        <v>594</v>
      </c>
      <c r="B383" s="242" t="s">
        <v>725</v>
      </c>
      <c r="C383" s="159">
        <v>400</v>
      </c>
      <c r="D383" s="114">
        <v>43304</v>
      </c>
      <c r="E383" s="114"/>
      <c r="F383" s="114"/>
      <c r="G383" s="114"/>
      <c r="H383" s="114">
        <v>43315</v>
      </c>
      <c r="I383" s="114">
        <v>43315</v>
      </c>
      <c r="J383" s="114">
        <v>43348</v>
      </c>
      <c r="K383" s="114"/>
      <c r="L383" s="114">
        <v>43390</v>
      </c>
      <c r="M383" s="114">
        <v>43375</v>
      </c>
      <c r="N383" s="114"/>
      <c r="O383" s="114">
        <v>43403</v>
      </c>
      <c r="P383" s="114">
        <v>43403</v>
      </c>
      <c r="Q383" s="114">
        <v>43431</v>
      </c>
      <c r="R383" s="80"/>
      <c r="S383" s="114"/>
      <c r="T383" s="75"/>
      <c r="U383" s="75"/>
      <c r="V383" s="75"/>
      <c r="W383" s="75">
        <v>2</v>
      </c>
      <c r="X383" s="75">
        <v>61250</v>
      </c>
      <c r="Y383" s="75" t="str">
        <f ca="1">IF(I383="",IF(D383="","",IF(W383+X383&lt;15,"Données Nb pers ou RFR manquantes",IF(COUNTA(INDIRECT("TabRFR["&amp;YEAR(D383)&amp;"]"))&lt;&gt;COUNTA(TabRFR[Recherche RFR]),"Data RFR manquantes", IF(X383&lt;=INDEX(TabRFR[[2021]:[2025]],MATCH(BD!W383&amp;"-Très modestes",TabRFR[Recherche RFR],0),MATCH(TEXT(YEAR(BD!D383),"Standard"),TabRFR[[#Headers],[2021]:[2025]],0)),"Très Modeste",IF(X383&lt;=INDEX(TabRFR[[2021]:[2025]],MATCH(BD!W383&amp;"-modestes",TabRFR[Recherche RFR],0),MATCH(TEXT(YEAR(BD!D383),"Standard"),TabRFR[[#Headers],[2021]:[2025]],0)),"Modeste",IF(X383&lt;=INDEX(TabRFR[[2021]:[2025]],MATCH(BD!W383&amp;"-Intermédiaire",TabRFR[Recherche RFR],0),MATCH(TEXT(YEAR(BD!D383),"Standard"),TabRFR[[#Headers],[2021]:[2025]],0)),"Intermédiaire","Supérieur")))))),IF(D383="","",IF(W383+X383&lt;15,"Données Nb pers ou RFR manquantes",IF(COUNTA(INDIRECT("TabRFR["&amp;YEAR(I383)&amp;"]"))&lt;&gt;COUNTA(TabRFR[Recherche RFR]),"Data RFR manquantes", IF(X383&lt;=INDEX(TabRFR[[2021]:[2025]],MATCH(BD!W383&amp;"-Très modestes",TabRFR[Recherche RFR],0),MATCH(TEXT(YEAR(BD!I383),"Standard"),TabRFR[[#Headers],[2021]:[2025]],0)),"Très Modeste",IF(X383&lt;=INDEX(TabRFR[[2021]:[2025]],MATCH(BD!W383&amp;"-modestes",TabRFR[Recherche RFR],0),MATCH(TEXT(YEAR(BD!I383),"Standard"),TabRFR[[#Headers],[2021]:[2025]],0)),"Modeste",IF(X383&lt;=INDEX(TabRFR[[2021]:[2025]],MATCH(BD!W383&amp;"-Intermédiaire",TabRFR[Recherche RFR],0),MATCH(TEXT(YEAR(BD!I383),"Standard"),TabRFR[[#Headers],[2021]:[2025]],0)),"Intermédiaire","Supérieur")))))))</f>
        <v>Data RFR manquantes</v>
      </c>
      <c r="Z383" s="75"/>
      <c r="AA383" s="75" t="s">
        <v>726</v>
      </c>
      <c r="AB383" s="75">
        <v>38500</v>
      </c>
      <c r="AC383" s="75" t="s">
        <v>2572</v>
      </c>
      <c r="AD383" s="73"/>
      <c r="AE383" s="102"/>
      <c r="AF383" s="75" t="s">
        <v>95</v>
      </c>
      <c r="AG383" s="75"/>
      <c r="AH383" s="75"/>
      <c r="AI383" s="75"/>
      <c r="AJ383" s="75"/>
      <c r="AK383" s="75"/>
      <c r="AL383" s="75"/>
      <c r="AM383" s="75" t="s">
        <v>218</v>
      </c>
      <c r="AN383" s="75" t="s">
        <v>217</v>
      </c>
      <c r="AO383" s="75" t="s">
        <v>219</v>
      </c>
      <c r="AP383" s="75" t="s">
        <v>97</v>
      </c>
      <c r="AQ383" s="75"/>
      <c r="AR383" s="74">
        <v>43399</v>
      </c>
      <c r="AS383" s="102" t="s">
        <v>220</v>
      </c>
      <c r="AT383" s="73" t="s">
        <v>620</v>
      </c>
      <c r="AU383" s="75" t="s">
        <v>172</v>
      </c>
      <c r="AV383" s="75">
        <v>1980</v>
      </c>
      <c r="AW383" s="75" t="s">
        <v>100</v>
      </c>
      <c r="AX383" s="75" t="s">
        <v>112</v>
      </c>
      <c r="AY383" s="75" t="s">
        <v>121</v>
      </c>
      <c r="AZ383" s="75" t="s">
        <v>412</v>
      </c>
      <c r="BA383" s="75">
        <v>31</v>
      </c>
      <c r="BB383" s="75">
        <v>6</v>
      </c>
      <c r="BC383" s="75">
        <v>80</v>
      </c>
      <c r="BD383" s="75">
        <v>0.08</v>
      </c>
      <c r="BE383" s="75" t="s">
        <v>97</v>
      </c>
      <c r="BF383" s="75"/>
      <c r="BG383" s="75">
        <v>4911.22</v>
      </c>
      <c r="BH383" s="75"/>
      <c r="BI383" s="75"/>
      <c r="BJ383" s="75"/>
      <c r="BK383" s="75">
        <v>1407.45</v>
      </c>
      <c r="BL383" s="75">
        <f t="shared" si="15"/>
        <v>6318.67</v>
      </c>
      <c r="BM383" s="103">
        <f t="shared" si="16"/>
        <v>347.52685000000002</v>
      </c>
      <c r="BN383" s="103">
        <f t="shared" si="17"/>
        <v>6666.1968500000003</v>
      </c>
      <c r="BO383" s="103">
        <v>6666.2</v>
      </c>
      <c r="BP383" s="75" t="s">
        <v>97</v>
      </c>
      <c r="BQ383" s="75"/>
      <c r="BR383" s="74">
        <v>43416</v>
      </c>
      <c r="BS383" s="157">
        <v>2018</v>
      </c>
      <c r="BT383">
        <v>2020</v>
      </c>
      <c r="BU383">
        <v>2018</v>
      </c>
    </row>
    <row r="384" spans="1:73" ht="43.15" customHeight="1" x14ac:dyDescent="0.25">
      <c r="A384" s="242" t="s">
        <v>594</v>
      </c>
      <c r="B384" s="242" t="s">
        <v>728</v>
      </c>
      <c r="C384" s="159">
        <v>800</v>
      </c>
      <c r="D384" s="114">
        <v>43308</v>
      </c>
      <c r="E384" s="114"/>
      <c r="F384" s="114">
        <v>43315</v>
      </c>
      <c r="G384" s="114" t="s">
        <v>729</v>
      </c>
      <c r="H384" s="114">
        <v>43322</v>
      </c>
      <c r="I384" s="114">
        <v>43322</v>
      </c>
      <c r="J384" s="114">
        <v>43357</v>
      </c>
      <c r="K384" s="114"/>
      <c r="L384" s="114">
        <v>43367</v>
      </c>
      <c r="M384" s="114">
        <v>43363</v>
      </c>
      <c r="N384" s="114">
        <v>43389</v>
      </c>
      <c r="O384" s="114">
        <v>43389</v>
      </c>
      <c r="P384" s="114">
        <v>43389</v>
      </c>
      <c r="Q384" s="114">
        <v>43435</v>
      </c>
      <c r="R384" s="100"/>
      <c r="S384" s="114"/>
      <c r="T384" s="75"/>
      <c r="U384" s="75"/>
      <c r="V384" s="75"/>
      <c r="W384" s="75">
        <v>1</v>
      </c>
      <c r="X384" s="75">
        <v>13212</v>
      </c>
      <c r="Y384" s="75" t="str">
        <f ca="1">IF(I384="",IF(D384="","",IF(W384+X384&lt;15,"Données Nb pers ou RFR manquantes",IF(COUNTA(INDIRECT("TabRFR["&amp;YEAR(D384)&amp;"]"))&lt;&gt;COUNTA(TabRFR[Recherche RFR]),"Data RFR manquantes", IF(X384&lt;=INDEX(TabRFR[[2021]:[2025]],MATCH(BD!W384&amp;"-Très modestes",TabRFR[Recherche RFR],0),MATCH(TEXT(YEAR(BD!D384),"Standard"),TabRFR[[#Headers],[2021]:[2025]],0)),"Très Modeste",IF(X384&lt;=INDEX(TabRFR[[2021]:[2025]],MATCH(BD!W384&amp;"-modestes",TabRFR[Recherche RFR],0),MATCH(TEXT(YEAR(BD!D384),"Standard"),TabRFR[[#Headers],[2021]:[2025]],0)),"Modeste",IF(X384&lt;=INDEX(TabRFR[[2021]:[2025]],MATCH(BD!W384&amp;"-Intermédiaire",TabRFR[Recherche RFR],0),MATCH(TEXT(YEAR(BD!D384),"Standard"),TabRFR[[#Headers],[2021]:[2025]],0)),"Intermédiaire","Supérieur")))))),IF(D384="","",IF(W384+X384&lt;15,"Données Nb pers ou RFR manquantes",IF(COUNTA(INDIRECT("TabRFR["&amp;YEAR(I384)&amp;"]"))&lt;&gt;COUNTA(TabRFR[Recherche RFR]),"Data RFR manquantes", IF(X384&lt;=INDEX(TabRFR[[2021]:[2025]],MATCH(BD!W384&amp;"-Très modestes",TabRFR[Recherche RFR],0),MATCH(TEXT(YEAR(BD!I384),"Standard"),TabRFR[[#Headers],[2021]:[2025]],0)),"Très Modeste",IF(X384&lt;=INDEX(TabRFR[[2021]:[2025]],MATCH(BD!W384&amp;"-modestes",TabRFR[Recherche RFR],0),MATCH(TEXT(YEAR(BD!I384),"Standard"),TabRFR[[#Headers],[2021]:[2025]],0)),"Modeste",IF(X384&lt;=INDEX(TabRFR[[2021]:[2025]],MATCH(BD!W384&amp;"-Intermédiaire",TabRFR[Recherche RFR],0),MATCH(TEXT(YEAR(BD!I384),"Standard"),TabRFR[[#Headers],[2021]:[2025]],0)),"Intermédiaire","Supérieur")))))))</f>
        <v>Data RFR manquantes</v>
      </c>
      <c r="Z384" s="75"/>
      <c r="AA384" s="75" t="s">
        <v>731</v>
      </c>
      <c r="AB384" s="75">
        <v>38620</v>
      </c>
      <c r="AC384" s="75" t="s">
        <v>851</v>
      </c>
      <c r="AD384" s="73"/>
      <c r="AE384" s="102"/>
      <c r="AF384" s="75" t="s">
        <v>95</v>
      </c>
      <c r="AG384" s="75"/>
      <c r="AH384" s="131">
        <v>42823</v>
      </c>
      <c r="AI384" s="75"/>
      <c r="AJ384" s="75"/>
      <c r="AK384" s="75"/>
      <c r="AL384" s="75"/>
      <c r="AM384" s="75" t="s">
        <v>4167</v>
      </c>
      <c r="AN384" s="75" t="s">
        <v>3996</v>
      </c>
      <c r="AO384" s="75" t="s">
        <v>535</v>
      </c>
      <c r="AP384" s="75" t="s">
        <v>97</v>
      </c>
      <c r="AQ384" s="75"/>
      <c r="AR384" s="74">
        <v>43517</v>
      </c>
      <c r="AS384" s="102" t="s">
        <v>536</v>
      </c>
      <c r="AT384" s="73" t="s">
        <v>733</v>
      </c>
      <c r="AU384" s="75" t="s">
        <v>100</v>
      </c>
      <c r="AV384" s="75" t="s">
        <v>9</v>
      </c>
      <c r="AW384" s="75" t="s">
        <v>100</v>
      </c>
      <c r="AX384" s="75" t="s">
        <v>2071</v>
      </c>
      <c r="AY384" s="75" t="s">
        <v>734</v>
      </c>
      <c r="AZ384" s="75" t="s">
        <v>735</v>
      </c>
      <c r="BA384" s="75">
        <v>20</v>
      </c>
      <c r="BB384" s="75">
        <v>9.1</v>
      </c>
      <c r="BC384" s="75">
        <v>92</v>
      </c>
      <c r="BD384" s="75">
        <v>0.01</v>
      </c>
      <c r="BE384" s="75" t="s">
        <v>97</v>
      </c>
      <c r="BF384" s="77"/>
      <c r="BG384" s="75">
        <v>1917.54</v>
      </c>
      <c r="BH384" s="75"/>
      <c r="BI384" s="75"/>
      <c r="BJ384" s="75"/>
      <c r="BK384" s="75">
        <v>400</v>
      </c>
      <c r="BL384" s="75">
        <f t="shared" si="15"/>
        <v>2317.54</v>
      </c>
      <c r="BM384" s="103">
        <f t="shared" si="16"/>
        <v>127.46469999999999</v>
      </c>
      <c r="BN384" s="103">
        <f t="shared" si="17"/>
        <v>2445.0047</v>
      </c>
      <c r="BO384" s="103">
        <v>2445</v>
      </c>
      <c r="BP384" s="75" t="s">
        <v>104</v>
      </c>
      <c r="BQ384" s="75"/>
      <c r="BR384" s="75"/>
      <c r="BS384" s="157">
        <v>2018</v>
      </c>
      <c r="BU384">
        <v>2018</v>
      </c>
    </row>
    <row r="385" spans="1:73" ht="43.15" customHeight="1" x14ac:dyDescent="0.25">
      <c r="A385" s="242" t="s">
        <v>594</v>
      </c>
      <c r="B385" s="242" t="s">
        <v>736</v>
      </c>
      <c r="C385" s="159">
        <v>400</v>
      </c>
      <c r="D385" s="114">
        <v>43311</v>
      </c>
      <c r="E385" s="114">
        <v>43311</v>
      </c>
      <c r="F385" s="114"/>
      <c r="G385" s="114"/>
      <c r="H385" s="114">
        <v>43315</v>
      </c>
      <c r="I385" s="114">
        <v>43315</v>
      </c>
      <c r="J385" s="114">
        <v>43348</v>
      </c>
      <c r="K385" s="114"/>
      <c r="L385" s="114">
        <v>43392</v>
      </c>
      <c r="M385" s="114">
        <v>43388</v>
      </c>
      <c r="N385" s="114">
        <v>43403</v>
      </c>
      <c r="O385" s="114">
        <v>43403</v>
      </c>
      <c r="P385" s="114">
        <v>43403</v>
      </c>
      <c r="Q385" s="114">
        <v>43431</v>
      </c>
      <c r="R385" s="80"/>
      <c r="S385" s="114"/>
      <c r="T385" s="75"/>
      <c r="U385" s="75"/>
      <c r="V385" s="75"/>
      <c r="W385" s="75">
        <v>2</v>
      </c>
      <c r="X385" s="75">
        <v>45956</v>
      </c>
      <c r="Y385" s="75" t="str">
        <f ca="1">IF(I385="",IF(D385="","",IF(W385+X385&lt;15,"Données Nb pers ou RFR manquantes",IF(COUNTA(INDIRECT("TabRFR["&amp;YEAR(D385)&amp;"]"))&lt;&gt;COUNTA(TabRFR[Recherche RFR]),"Data RFR manquantes", IF(X385&lt;=INDEX(TabRFR[[2021]:[2025]],MATCH(BD!W385&amp;"-Très modestes",TabRFR[Recherche RFR],0),MATCH(TEXT(YEAR(BD!D385),"Standard"),TabRFR[[#Headers],[2021]:[2025]],0)),"Très Modeste",IF(X385&lt;=INDEX(TabRFR[[2021]:[2025]],MATCH(BD!W385&amp;"-modestes",TabRFR[Recherche RFR],0),MATCH(TEXT(YEAR(BD!D385),"Standard"),TabRFR[[#Headers],[2021]:[2025]],0)),"Modeste",IF(X385&lt;=INDEX(TabRFR[[2021]:[2025]],MATCH(BD!W385&amp;"-Intermédiaire",TabRFR[Recherche RFR],0),MATCH(TEXT(YEAR(BD!D385),"Standard"),TabRFR[[#Headers],[2021]:[2025]],0)),"Intermédiaire","Supérieur")))))),IF(D385="","",IF(W385+X385&lt;15,"Données Nb pers ou RFR manquantes",IF(COUNTA(INDIRECT("TabRFR["&amp;YEAR(I385)&amp;"]"))&lt;&gt;COUNTA(TabRFR[Recherche RFR]),"Data RFR manquantes", IF(X385&lt;=INDEX(TabRFR[[2021]:[2025]],MATCH(BD!W385&amp;"-Très modestes",TabRFR[Recherche RFR],0),MATCH(TEXT(YEAR(BD!I385),"Standard"),TabRFR[[#Headers],[2021]:[2025]],0)),"Très Modeste",IF(X385&lt;=INDEX(TabRFR[[2021]:[2025]],MATCH(BD!W385&amp;"-modestes",TabRFR[Recherche RFR],0),MATCH(TEXT(YEAR(BD!I385),"Standard"),TabRFR[[#Headers],[2021]:[2025]],0)),"Modeste",IF(X385&lt;=INDEX(TabRFR[[2021]:[2025]],MATCH(BD!W385&amp;"-Intermédiaire",TabRFR[Recherche RFR],0),MATCH(TEXT(YEAR(BD!I385),"Standard"),TabRFR[[#Headers],[2021]:[2025]],0)),"Intermédiaire","Supérieur")))))))</f>
        <v>Data RFR manquantes</v>
      </c>
      <c r="Z385" s="75"/>
      <c r="AA385" s="75" t="s">
        <v>411</v>
      </c>
      <c r="AB385" s="75">
        <v>38430</v>
      </c>
      <c r="AC385" s="75" t="s">
        <v>217</v>
      </c>
      <c r="AD385" s="73"/>
      <c r="AE385" s="102"/>
      <c r="AF385" s="75" t="s">
        <v>95</v>
      </c>
      <c r="AG385" s="75"/>
      <c r="AH385" s="75"/>
      <c r="AI385" s="75"/>
      <c r="AJ385" s="75"/>
      <c r="AK385" s="75"/>
      <c r="AL385" s="75"/>
      <c r="AM385" s="75" t="s">
        <v>4356</v>
      </c>
      <c r="AN385" s="75" t="s">
        <v>96</v>
      </c>
      <c r="AO385" s="75" t="s">
        <v>119</v>
      </c>
      <c r="AP385" s="75" t="s">
        <v>97</v>
      </c>
      <c r="AQ385" s="75"/>
      <c r="AR385" s="74">
        <v>43407</v>
      </c>
      <c r="AS385" s="102" t="s">
        <v>120</v>
      </c>
      <c r="AT385" s="73" t="s">
        <v>658</v>
      </c>
      <c r="AU385" s="75" t="s">
        <v>99</v>
      </c>
      <c r="AV385" s="75">
        <v>1980</v>
      </c>
      <c r="AW385" s="75" t="s">
        <v>111</v>
      </c>
      <c r="AX385" s="75" t="s">
        <v>112</v>
      </c>
      <c r="AY385" s="75" t="s">
        <v>121</v>
      </c>
      <c r="AZ385" s="75" t="s">
        <v>738</v>
      </c>
      <c r="BA385" s="75">
        <v>24</v>
      </c>
      <c r="BB385" s="75">
        <v>6.1</v>
      </c>
      <c r="BC385" s="75">
        <v>81</v>
      </c>
      <c r="BD385" s="75">
        <v>0.08</v>
      </c>
      <c r="BE385" s="75" t="s">
        <v>97</v>
      </c>
      <c r="BF385" s="75"/>
      <c r="BG385" s="75">
        <v>2781.99</v>
      </c>
      <c r="BH385" s="75"/>
      <c r="BI385" s="75"/>
      <c r="BJ385" s="75"/>
      <c r="BK385" s="75">
        <v>450</v>
      </c>
      <c r="BL385" s="75">
        <f t="shared" si="15"/>
        <v>3231.99</v>
      </c>
      <c r="BM385" s="103">
        <f t="shared" si="16"/>
        <v>177.75944999999999</v>
      </c>
      <c r="BN385" s="103">
        <f t="shared" si="17"/>
        <v>3409.7494499999998</v>
      </c>
      <c r="BO385" s="103">
        <v>3700</v>
      </c>
      <c r="BP385" s="75" t="s">
        <v>97</v>
      </c>
      <c r="BQ385" s="75"/>
      <c r="BR385" s="74">
        <v>43416</v>
      </c>
      <c r="BS385" s="157">
        <v>2018</v>
      </c>
      <c r="BT385">
        <v>2020</v>
      </c>
      <c r="BU385">
        <v>2018</v>
      </c>
    </row>
    <row r="386" spans="1:73" ht="43.15" customHeight="1" x14ac:dyDescent="0.25">
      <c r="A386" s="242" t="s">
        <v>739</v>
      </c>
      <c r="B386" s="242" t="s">
        <v>740</v>
      </c>
      <c r="C386" s="159">
        <v>800</v>
      </c>
      <c r="D386" s="114">
        <v>43313</v>
      </c>
      <c r="E386" s="114"/>
      <c r="F386" s="114">
        <v>43320</v>
      </c>
      <c r="G386" s="114"/>
      <c r="H386" s="114">
        <v>43368</v>
      </c>
      <c r="I386" s="114">
        <v>43368</v>
      </c>
      <c r="J386" s="114">
        <v>43374</v>
      </c>
      <c r="K386" s="114"/>
      <c r="L386" s="114">
        <v>43467</v>
      </c>
      <c r="M386" s="114">
        <v>43397</v>
      </c>
      <c r="N386" s="114">
        <v>43468</v>
      </c>
      <c r="O386" s="114">
        <v>43508</v>
      </c>
      <c r="P386" s="114">
        <v>43508</v>
      </c>
      <c r="Q386" s="114">
        <v>43515</v>
      </c>
      <c r="R386" s="100"/>
      <c r="S386" s="114"/>
      <c r="T386" s="75"/>
      <c r="U386" s="75"/>
      <c r="V386" s="75"/>
      <c r="W386" s="75">
        <v>1</v>
      </c>
      <c r="X386" s="75">
        <v>17894</v>
      </c>
      <c r="Y386" s="75" t="str">
        <f ca="1">IF(I386="",IF(D386="","",IF(W386+X386&lt;15,"Données Nb pers ou RFR manquantes",IF(COUNTA(INDIRECT("TabRFR["&amp;YEAR(D386)&amp;"]"))&lt;&gt;COUNTA(TabRFR[Recherche RFR]),"Data RFR manquantes", IF(X386&lt;=INDEX(TabRFR[[2021]:[2025]],MATCH(BD!W386&amp;"-Très modestes",TabRFR[Recherche RFR],0),MATCH(TEXT(YEAR(BD!D386),"Standard"),TabRFR[[#Headers],[2021]:[2025]],0)),"Très Modeste",IF(X386&lt;=INDEX(TabRFR[[2021]:[2025]],MATCH(BD!W386&amp;"-modestes",TabRFR[Recherche RFR],0),MATCH(TEXT(YEAR(BD!D386),"Standard"),TabRFR[[#Headers],[2021]:[2025]],0)),"Modeste",IF(X386&lt;=INDEX(TabRFR[[2021]:[2025]],MATCH(BD!W386&amp;"-Intermédiaire",TabRFR[Recherche RFR],0),MATCH(TEXT(YEAR(BD!D386),"Standard"),TabRFR[[#Headers],[2021]:[2025]],0)),"Intermédiaire","Supérieur")))))),IF(D386="","",IF(W386+X386&lt;15,"Données Nb pers ou RFR manquantes",IF(COUNTA(INDIRECT("TabRFR["&amp;YEAR(I386)&amp;"]"))&lt;&gt;COUNTA(TabRFR[Recherche RFR]),"Data RFR manquantes", IF(X386&lt;=INDEX(TabRFR[[2021]:[2025]],MATCH(BD!W386&amp;"-Très modestes",TabRFR[Recherche RFR],0),MATCH(TEXT(YEAR(BD!I386),"Standard"),TabRFR[[#Headers],[2021]:[2025]],0)),"Très Modeste",IF(X386&lt;=INDEX(TabRFR[[2021]:[2025]],MATCH(BD!W386&amp;"-modestes",TabRFR[Recherche RFR],0),MATCH(TEXT(YEAR(BD!I386),"Standard"),TabRFR[[#Headers],[2021]:[2025]],0)),"Modeste",IF(X386&lt;=INDEX(TabRFR[[2021]:[2025]],MATCH(BD!W386&amp;"-Intermédiaire",TabRFR[Recherche RFR],0),MATCH(TEXT(YEAR(BD!I386),"Standard"),TabRFR[[#Headers],[2021]:[2025]],0)),"Intermédiaire","Supérieur")))))))</f>
        <v>Data RFR manquantes</v>
      </c>
      <c r="Z386" s="75"/>
      <c r="AA386" s="75" t="s">
        <v>741</v>
      </c>
      <c r="AB386" s="75">
        <v>38140</v>
      </c>
      <c r="AC386" s="75" t="s">
        <v>3048</v>
      </c>
      <c r="AD386" s="73"/>
      <c r="AE386" s="102"/>
      <c r="AF386" s="75" t="s">
        <v>95</v>
      </c>
      <c r="AG386" s="75"/>
      <c r="AH386" s="75"/>
      <c r="AI386" s="75"/>
      <c r="AJ386" s="75"/>
      <c r="AK386" s="75"/>
      <c r="AL386" s="75"/>
      <c r="AM386" s="75" t="s">
        <v>4384</v>
      </c>
      <c r="AN386" s="75" t="s">
        <v>96</v>
      </c>
      <c r="AO386" s="75" t="s">
        <v>743</v>
      </c>
      <c r="AP386" s="75" t="s">
        <v>97</v>
      </c>
      <c r="AQ386" s="75"/>
      <c r="AR386" s="74">
        <v>43545</v>
      </c>
      <c r="AS386" s="102" t="s">
        <v>744</v>
      </c>
      <c r="AT386" s="73" t="s">
        <v>745</v>
      </c>
      <c r="AU386" s="75" t="s">
        <v>746</v>
      </c>
      <c r="AV386" s="75">
        <v>1990</v>
      </c>
      <c r="AW386" s="75" t="s">
        <v>746</v>
      </c>
      <c r="AX386" s="75" t="s">
        <v>2071</v>
      </c>
      <c r="AY386" s="75" t="s">
        <v>747</v>
      </c>
      <c r="AZ386" s="75" t="s">
        <v>748</v>
      </c>
      <c r="BA386" s="75">
        <v>20</v>
      </c>
      <c r="BB386" s="75">
        <v>25</v>
      </c>
      <c r="BC386" s="75">
        <v>95.1</v>
      </c>
      <c r="BD386" s="75">
        <v>21</v>
      </c>
      <c r="BE386" s="75" t="s">
        <v>97</v>
      </c>
      <c r="BF386" s="75"/>
      <c r="BG386" s="75">
        <v>14600</v>
      </c>
      <c r="BH386" s="75"/>
      <c r="BI386" s="75"/>
      <c r="BJ386" s="75"/>
      <c r="BK386" s="75">
        <f>14220-460</f>
        <v>13760</v>
      </c>
      <c r="BL386" s="75">
        <f t="shared" si="15"/>
        <v>28360</v>
      </c>
      <c r="BM386" s="103">
        <f t="shared" si="16"/>
        <v>1559.8</v>
      </c>
      <c r="BN386" s="103">
        <f t="shared" si="17"/>
        <v>29919.8</v>
      </c>
      <c r="BO386" s="103"/>
      <c r="BP386" s="75"/>
      <c r="BQ386" s="75"/>
      <c r="BR386" s="75"/>
      <c r="BS386" s="157">
        <v>2018</v>
      </c>
      <c r="BU386">
        <v>2018</v>
      </c>
    </row>
    <row r="387" spans="1:73" ht="43.15" customHeight="1" x14ac:dyDescent="0.25">
      <c r="A387" s="242" t="s">
        <v>749</v>
      </c>
      <c r="B387" s="242" t="s">
        <v>750</v>
      </c>
      <c r="C387" s="159">
        <v>800</v>
      </c>
      <c r="D387" s="114">
        <v>43314</v>
      </c>
      <c r="E387" s="114"/>
      <c r="F387" s="114">
        <v>43320</v>
      </c>
      <c r="G387" s="114" t="s">
        <v>751</v>
      </c>
      <c r="H387" s="114">
        <v>43348</v>
      </c>
      <c r="I387" s="114">
        <v>43348</v>
      </c>
      <c r="J387" s="114">
        <v>43371</v>
      </c>
      <c r="K387" s="114"/>
      <c r="L387" s="114">
        <v>43391</v>
      </c>
      <c r="M387" s="114">
        <v>43382</v>
      </c>
      <c r="N387" s="114"/>
      <c r="O387" s="114">
        <v>43403</v>
      </c>
      <c r="P387" s="114">
        <v>43403</v>
      </c>
      <c r="Q387" s="114">
        <v>43431</v>
      </c>
      <c r="R387" s="100"/>
      <c r="S387" s="114"/>
      <c r="T387" s="75"/>
      <c r="U387" s="75"/>
      <c r="V387" s="75"/>
      <c r="W387" s="75">
        <v>1</v>
      </c>
      <c r="X387" s="75">
        <v>7627</v>
      </c>
      <c r="Y387" s="75" t="str">
        <f ca="1">IF(I387="",IF(D387="","",IF(W387+X387&lt;15,"Données Nb pers ou RFR manquantes",IF(COUNTA(INDIRECT("TabRFR["&amp;YEAR(D387)&amp;"]"))&lt;&gt;COUNTA(TabRFR[Recherche RFR]),"Data RFR manquantes", IF(X387&lt;=INDEX(TabRFR[[2021]:[2025]],MATCH(BD!W387&amp;"-Très modestes",TabRFR[Recherche RFR],0),MATCH(TEXT(YEAR(BD!D387),"Standard"),TabRFR[[#Headers],[2021]:[2025]],0)),"Très Modeste",IF(X387&lt;=INDEX(TabRFR[[2021]:[2025]],MATCH(BD!W387&amp;"-modestes",TabRFR[Recherche RFR],0),MATCH(TEXT(YEAR(BD!D387),"Standard"),TabRFR[[#Headers],[2021]:[2025]],0)),"Modeste",IF(X387&lt;=INDEX(TabRFR[[2021]:[2025]],MATCH(BD!W387&amp;"-Intermédiaire",TabRFR[Recherche RFR],0),MATCH(TEXT(YEAR(BD!D387),"Standard"),TabRFR[[#Headers],[2021]:[2025]],0)),"Intermédiaire","Supérieur")))))),IF(D387="","",IF(W387+X387&lt;15,"Données Nb pers ou RFR manquantes",IF(COUNTA(INDIRECT("TabRFR["&amp;YEAR(I387)&amp;"]"))&lt;&gt;COUNTA(TabRFR[Recherche RFR]),"Data RFR manquantes", IF(X387&lt;=INDEX(TabRFR[[2021]:[2025]],MATCH(BD!W387&amp;"-Très modestes",TabRFR[Recherche RFR],0),MATCH(TEXT(YEAR(BD!I387),"Standard"),TabRFR[[#Headers],[2021]:[2025]],0)),"Très Modeste",IF(X387&lt;=INDEX(TabRFR[[2021]:[2025]],MATCH(BD!W387&amp;"-modestes",TabRFR[Recherche RFR],0),MATCH(TEXT(YEAR(BD!I387),"Standard"),TabRFR[[#Headers],[2021]:[2025]],0)),"Modeste",IF(X387&lt;=INDEX(TabRFR[[2021]:[2025]],MATCH(BD!W387&amp;"-Intermédiaire",TabRFR[Recherche RFR],0),MATCH(TEXT(YEAR(BD!I387),"Standard"),TabRFR[[#Headers],[2021]:[2025]],0)),"Intermédiaire","Supérieur")))))))</f>
        <v>Data RFR manquantes</v>
      </c>
      <c r="Z387" s="75"/>
      <c r="AA387" s="75" t="s">
        <v>752</v>
      </c>
      <c r="AB387" s="75">
        <v>38210</v>
      </c>
      <c r="AC387" s="75" t="s">
        <v>195</v>
      </c>
      <c r="AD387" s="73"/>
      <c r="AE387" s="102"/>
      <c r="AF387" s="75"/>
      <c r="AG387" s="75"/>
      <c r="AH387" s="75"/>
      <c r="AI387" s="75"/>
      <c r="AJ387" s="75"/>
      <c r="AK387" s="75"/>
      <c r="AL387" s="75"/>
      <c r="AM387" s="75" t="s">
        <v>218</v>
      </c>
      <c r="AN387" s="75" t="s">
        <v>217</v>
      </c>
      <c r="AO387" s="75" t="s">
        <v>219</v>
      </c>
      <c r="AP387" s="75" t="s">
        <v>97</v>
      </c>
      <c r="AQ387" s="75"/>
      <c r="AR387" s="74">
        <v>43399</v>
      </c>
      <c r="AS387" s="102" t="s">
        <v>220</v>
      </c>
      <c r="AT387" s="73" t="s">
        <v>620</v>
      </c>
      <c r="AU387" s="75" t="s">
        <v>100</v>
      </c>
      <c r="AV387" s="75" t="s">
        <v>231</v>
      </c>
      <c r="AW387" s="75" t="s">
        <v>111</v>
      </c>
      <c r="AX387" s="75" t="s">
        <v>112</v>
      </c>
      <c r="AY387" s="75" t="s">
        <v>121</v>
      </c>
      <c r="AZ387" s="75" t="s">
        <v>753</v>
      </c>
      <c r="BA387" s="75">
        <v>26</v>
      </c>
      <c r="BB387" s="75">
        <v>8</v>
      </c>
      <c r="BC387" s="75">
        <v>81</v>
      </c>
      <c r="BD387" s="75">
        <v>7.0000000000000007E-2</v>
      </c>
      <c r="BE387" s="75" t="s">
        <v>97</v>
      </c>
      <c r="BF387" s="75"/>
      <c r="BG387" s="75">
        <v>4630.18</v>
      </c>
      <c r="BH387" s="75"/>
      <c r="BI387" s="75"/>
      <c r="BJ387" s="75"/>
      <c r="BK387" s="75">
        <v>1742.74</v>
      </c>
      <c r="BL387" s="75">
        <f t="shared" si="15"/>
        <v>6372.92</v>
      </c>
      <c r="BM387" s="103">
        <f t="shared" si="16"/>
        <v>350.51060000000001</v>
      </c>
      <c r="BN387" s="103">
        <f t="shared" si="17"/>
        <v>6723.4305999999997</v>
      </c>
      <c r="BO387" s="103">
        <v>6723.43</v>
      </c>
      <c r="BP387" s="75" t="s">
        <v>97</v>
      </c>
      <c r="BQ387" s="75"/>
      <c r="BR387" s="74">
        <v>43416</v>
      </c>
      <c r="BS387" s="157">
        <v>2018</v>
      </c>
      <c r="BT387">
        <v>2020</v>
      </c>
      <c r="BU387">
        <v>2018</v>
      </c>
    </row>
    <row r="388" spans="1:73" ht="43.15" customHeight="1" x14ac:dyDescent="0.25">
      <c r="A388" s="242" t="s">
        <v>749</v>
      </c>
      <c r="B388" s="242" t="s">
        <v>754</v>
      </c>
      <c r="C388" s="159">
        <v>400</v>
      </c>
      <c r="D388" s="114">
        <v>43315</v>
      </c>
      <c r="E388" s="114">
        <v>43316</v>
      </c>
      <c r="F388" s="114"/>
      <c r="G388" s="114" t="s">
        <v>755</v>
      </c>
      <c r="H388" s="114">
        <v>43320</v>
      </c>
      <c r="I388" s="114">
        <v>43320</v>
      </c>
      <c r="J388" s="114">
        <v>43343</v>
      </c>
      <c r="K388" s="114"/>
      <c r="L388" s="114">
        <v>43433</v>
      </c>
      <c r="M388" s="114">
        <v>43398</v>
      </c>
      <c r="N388" s="114"/>
      <c r="O388" s="114">
        <v>43438</v>
      </c>
      <c r="P388" s="114">
        <v>43438</v>
      </c>
      <c r="Q388" s="114">
        <v>43440</v>
      </c>
      <c r="R388" s="80"/>
      <c r="S388" s="114"/>
      <c r="T388" s="75"/>
      <c r="U388" s="75"/>
      <c r="V388" s="75"/>
      <c r="W388" s="75">
        <v>2</v>
      </c>
      <c r="X388" s="75">
        <v>40869</v>
      </c>
      <c r="Y388" s="75" t="str">
        <f ca="1">IF(I388="",IF(D388="","",IF(W388+X388&lt;15,"Données Nb pers ou RFR manquantes",IF(COUNTA(INDIRECT("TabRFR["&amp;YEAR(D388)&amp;"]"))&lt;&gt;COUNTA(TabRFR[Recherche RFR]),"Data RFR manquantes", IF(X388&lt;=INDEX(TabRFR[[2021]:[2025]],MATCH(BD!W388&amp;"-Très modestes",TabRFR[Recherche RFR],0),MATCH(TEXT(YEAR(BD!D388),"Standard"),TabRFR[[#Headers],[2021]:[2025]],0)),"Très Modeste",IF(X388&lt;=INDEX(TabRFR[[2021]:[2025]],MATCH(BD!W388&amp;"-modestes",TabRFR[Recherche RFR],0),MATCH(TEXT(YEAR(BD!D388),"Standard"),TabRFR[[#Headers],[2021]:[2025]],0)),"Modeste",IF(X388&lt;=INDEX(TabRFR[[2021]:[2025]],MATCH(BD!W388&amp;"-Intermédiaire",TabRFR[Recherche RFR],0),MATCH(TEXT(YEAR(BD!D388),"Standard"),TabRFR[[#Headers],[2021]:[2025]],0)),"Intermédiaire","Supérieur")))))),IF(D388="","",IF(W388+X388&lt;15,"Données Nb pers ou RFR manquantes",IF(COUNTA(INDIRECT("TabRFR["&amp;YEAR(I388)&amp;"]"))&lt;&gt;COUNTA(TabRFR[Recherche RFR]),"Data RFR manquantes", IF(X388&lt;=INDEX(TabRFR[[2021]:[2025]],MATCH(BD!W388&amp;"-Très modestes",TabRFR[Recherche RFR],0),MATCH(TEXT(YEAR(BD!I388),"Standard"),TabRFR[[#Headers],[2021]:[2025]],0)),"Très Modeste",IF(X388&lt;=INDEX(TabRFR[[2021]:[2025]],MATCH(BD!W388&amp;"-modestes",TabRFR[Recherche RFR],0),MATCH(TEXT(YEAR(BD!I388),"Standard"),TabRFR[[#Headers],[2021]:[2025]],0)),"Modeste",IF(X388&lt;=INDEX(TabRFR[[2021]:[2025]],MATCH(BD!W388&amp;"-Intermédiaire",TabRFR[Recherche RFR],0),MATCH(TEXT(YEAR(BD!I388),"Standard"),TabRFR[[#Headers],[2021]:[2025]],0)),"Intermédiaire","Supérieur")))))))</f>
        <v>Data RFR manquantes</v>
      </c>
      <c r="Z388" s="75"/>
      <c r="AA388" s="75" t="s">
        <v>756</v>
      </c>
      <c r="AB388" s="75">
        <v>38500</v>
      </c>
      <c r="AC388" s="75" t="s">
        <v>2873</v>
      </c>
      <c r="AD388" s="73"/>
      <c r="AE388" s="102"/>
      <c r="AF388" s="75"/>
      <c r="AG388" s="75"/>
      <c r="AH388" s="75"/>
      <c r="AI388" s="75"/>
      <c r="AJ388" s="75"/>
      <c r="AK388" s="75"/>
      <c r="AL388" s="75"/>
      <c r="AM388" s="75" t="s">
        <v>4348</v>
      </c>
      <c r="AN388" s="75" t="s">
        <v>96</v>
      </c>
      <c r="AO388" s="75" t="s">
        <v>238</v>
      </c>
      <c r="AP388" s="75" t="s">
        <v>97</v>
      </c>
      <c r="AQ388" s="75"/>
      <c r="AR388" s="74">
        <v>43333</v>
      </c>
      <c r="AS388" s="102" t="s">
        <v>98</v>
      </c>
      <c r="AT388" s="75">
        <v>476323235</v>
      </c>
      <c r="AU388" s="75" t="s">
        <v>111</v>
      </c>
      <c r="AV388" s="75" t="s">
        <v>173</v>
      </c>
      <c r="AW388" s="75" t="s">
        <v>100</v>
      </c>
      <c r="AX388" s="75" t="s">
        <v>112</v>
      </c>
      <c r="AY388" s="75" t="s">
        <v>499</v>
      </c>
      <c r="AZ388" s="75" t="s">
        <v>251</v>
      </c>
      <c r="BA388" s="75">
        <v>23</v>
      </c>
      <c r="BB388" s="75">
        <v>5.8</v>
      </c>
      <c r="BC388" s="75">
        <v>79</v>
      </c>
      <c r="BD388" s="75">
        <v>7.0000000000000007E-2</v>
      </c>
      <c r="BE388" s="75" t="s">
        <v>97</v>
      </c>
      <c r="BF388" s="75"/>
      <c r="BG388" s="75">
        <v>3538</v>
      </c>
      <c r="BH388" s="75"/>
      <c r="BI388" s="75"/>
      <c r="BJ388" s="75"/>
      <c r="BK388" s="75">
        <v>941</v>
      </c>
      <c r="BL388" s="75">
        <f t="shared" si="15"/>
        <v>4479</v>
      </c>
      <c r="BM388" s="103">
        <f t="shared" si="16"/>
        <v>246.345</v>
      </c>
      <c r="BN388" s="103">
        <f t="shared" si="17"/>
        <v>4725.3450000000003</v>
      </c>
      <c r="BO388" s="103"/>
      <c r="BP388" s="75" t="s">
        <v>97</v>
      </c>
      <c r="BQ388" s="75"/>
      <c r="BR388" s="74">
        <v>43416</v>
      </c>
      <c r="BS388" s="157">
        <v>2018</v>
      </c>
      <c r="BT388">
        <v>2020</v>
      </c>
      <c r="BU388">
        <v>2018</v>
      </c>
    </row>
    <row r="389" spans="1:73" ht="43.15" customHeight="1" x14ac:dyDescent="0.25">
      <c r="A389" s="242" t="s">
        <v>749</v>
      </c>
      <c r="B389" s="242" t="s">
        <v>757</v>
      </c>
      <c r="C389" s="159">
        <v>400</v>
      </c>
      <c r="D389" s="114">
        <v>43318</v>
      </c>
      <c r="E389" s="114">
        <v>43318</v>
      </c>
      <c r="F389" s="114">
        <v>43320</v>
      </c>
      <c r="G389" s="114" t="s">
        <v>758</v>
      </c>
      <c r="H389" s="114">
        <v>43341</v>
      </c>
      <c r="I389" s="114">
        <v>43341</v>
      </c>
      <c r="J389" s="114"/>
      <c r="K389" s="114"/>
      <c r="L389" s="114">
        <v>43433</v>
      </c>
      <c r="M389" s="114">
        <v>43425</v>
      </c>
      <c r="N389" s="114" t="s">
        <v>759</v>
      </c>
      <c r="O389" s="114">
        <v>43438</v>
      </c>
      <c r="P389" s="114">
        <v>43438</v>
      </c>
      <c r="Q389" s="114">
        <v>43440</v>
      </c>
      <c r="R389" s="80"/>
      <c r="S389" s="114"/>
      <c r="T389" s="75"/>
      <c r="U389" s="75"/>
      <c r="V389" s="75"/>
      <c r="W389" s="75">
        <v>2</v>
      </c>
      <c r="X389" s="75">
        <v>53508</v>
      </c>
      <c r="Y389" s="75" t="str">
        <f ca="1">IF(I389="",IF(D389="","",IF(W389+X389&lt;15,"Données Nb pers ou RFR manquantes",IF(COUNTA(INDIRECT("TabRFR["&amp;YEAR(D389)&amp;"]"))&lt;&gt;COUNTA(TabRFR[Recherche RFR]),"Data RFR manquantes", IF(X389&lt;=INDEX(TabRFR[[2021]:[2025]],MATCH(BD!W389&amp;"-Très modestes",TabRFR[Recherche RFR],0),MATCH(TEXT(YEAR(BD!D389),"Standard"),TabRFR[[#Headers],[2021]:[2025]],0)),"Très Modeste",IF(X389&lt;=INDEX(TabRFR[[2021]:[2025]],MATCH(BD!W389&amp;"-modestes",TabRFR[Recherche RFR],0),MATCH(TEXT(YEAR(BD!D389),"Standard"),TabRFR[[#Headers],[2021]:[2025]],0)),"Modeste",IF(X389&lt;=INDEX(TabRFR[[2021]:[2025]],MATCH(BD!W389&amp;"-Intermédiaire",TabRFR[Recherche RFR],0),MATCH(TEXT(YEAR(BD!D389),"Standard"),TabRFR[[#Headers],[2021]:[2025]],0)),"Intermédiaire","Supérieur")))))),IF(D389="","",IF(W389+X389&lt;15,"Données Nb pers ou RFR manquantes",IF(COUNTA(INDIRECT("TabRFR["&amp;YEAR(I389)&amp;"]"))&lt;&gt;COUNTA(TabRFR[Recherche RFR]),"Data RFR manquantes", IF(X389&lt;=INDEX(TabRFR[[2021]:[2025]],MATCH(BD!W389&amp;"-Très modestes",TabRFR[Recherche RFR],0),MATCH(TEXT(YEAR(BD!I389),"Standard"),TabRFR[[#Headers],[2021]:[2025]],0)),"Très Modeste",IF(X389&lt;=INDEX(TabRFR[[2021]:[2025]],MATCH(BD!W389&amp;"-modestes",TabRFR[Recherche RFR],0),MATCH(TEXT(YEAR(BD!I389),"Standard"),TabRFR[[#Headers],[2021]:[2025]],0)),"Modeste",IF(X389&lt;=INDEX(TabRFR[[2021]:[2025]],MATCH(BD!W389&amp;"-Intermédiaire",TabRFR[Recherche RFR],0),MATCH(TEXT(YEAR(BD!I389),"Standard"),TabRFR[[#Headers],[2021]:[2025]],0)),"Intermédiaire","Supérieur")))))))</f>
        <v>Data RFR manquantes</v>
      </c>
      <c r="Z389" s="75"/>
      <c r="AA389" s="75" t="s">
        <v>760</v>
      </c>
      <c r="AB389" s="75">
        <v>38960</v>
      </c>
      <c r="AC389" s="75" t="s">
        <v>2378</v>
      </c>
      <c r="AD389" s="73"/>
      <c r="AE389" s="102"/>
      <c r="AF389" s="75"/>
      <c r="AG389" s="75"/>
      <c r="AH389" s="75"/>
      <c r="AI389" s="75"/>
      <c r="AJ389" s="75"/>
      <c r="AK389" s="75"/>
      <c r="AL389" s="75"/>
      <c r="AM389" s="75" t="s">
        <v>3973</v>
      </c>
      <c r="AN389" s="75" t="s">
        <v>96</v>
      </c>
      <c r="AO389" s="75"/>
      <c r="AP389" s="75" t="s">
        <v>97</v>
      </c>
      <c r="AQ389" s="75"/>
      <c r="AR389" s="74">
        <v>43361</v>
      </c>
      <c r="AS389" s="102" t="s">
        <v>141</v>
      </c>
      <c r="AT389" s="73">
        <v>476069938</v>
      </c>
      <c r="AU389" s="75" t="s">
        <v>111</v>
      </c>
      <c r="AV389" s="75">
        <v>1985</v>
      </c>
      <c r="AW389" s="75" t="s">
        <v>111</v>
      </c>
      <c r="AX389" s="75" t="s">
        <v>112</v>
      </c>
      <c r="AY389" s="75" t="s">
        <v>440</v>
      </c>
      <c r="AZ389" s="75" t="s">
        <v>761</v>
      </c>
      <c r="BA389" s="75">
        <v>24</v>
      </c>
      <c r="BB389" s="75">
        <v>12.2</v>
      </c>
      <c r="BC389" s="143">
        <v>0.77500000000000002</v>
      </c>
      <c r="BD389" s="75">
        <v>0.15</v>
      </c>
      <c r="BE389" s="75"/>
      <c r="BF389" s="75"/>
      <c r="BG389" s="75">
        <v>2328</v>
      </c>
      <c r="BH389" s="75"/>
      <c r="BI389" s="75"/>
      <c r="BJ389" s="75"/>
      <c r="BK389" s="75">
        <v>640</v>
      </c>
      <c r="BL389" s="75">
        <f t="shared" si="15"/>
        <v>2968</v>
      </c>
      <c r="BM389" s="103">
        <f t="shared" si="16"/>
        <v>163.24</v>
      </c>
      <c r="BN389" s="103">
        <f t="shared" si="17"/>
        <v>3131.24</v>
      </c>
      <c r="BO389" s="103"/>
      <c r="BP389" s="75"/>
      <c r="BQ389" s="75"/>
      <c r="BR389" s="74">
        <v>43416</v>
      </c>
      <c r="BS389" s="157">
        <v>2018</v>
      </c>
      <c r="BT389">
        <v>2020</v>
      </c>
      <c r="BU389">
        <v>2018</v>
      </c>
    </row>
    <row r="390" spans="1:73" ht="43.15" customHeight="1" x14ac:dyDescent="0.25">
      <c r="A390" s="242" t="s">
        <v>186</v>
      </c>
      <c r="B390" s="242" t="s">
        <v>762</v>
      </c>
      <c r="C390" s="159">
        <v>400</v>
      </c>
      <c r="D390" s="114">
        <v>43318</v>
      </c>
      <c r="E390" s="114">
        <v>43318</v>
      </c>
      <c r="F390" s="114">
        <v>43320</v>
      </c>
      <c r="G390" s="114" t="s">
        <v>763</v>
      </c>
      <c r="H390" s="114">
        <v>43348</v>
      </c>
      <c r="I390" s="114">
        <v>43348</v>
      </c>
      <c r="J390" s="114">
        <v>43371</v>
      </c>
      <c r="K390" s="114"/>
      <c r="L390" s="114">
        <v>43397</v>
      </c>
      <c r="M390" s="114">
        <v>43377</v>
      </c>
      <c r="N390" s="114"/>
      <c r="O390" s="114">
        <v>43403</v>
      </c>
      <c r="P390" s="114">
        <v>43403</v>
      </c>
      <c r="Q390" s="114">
        <v>43431</v>
      </c>
      <c r="R390" s="80"/>
      <c r="S390" s="114"/>
      <c r="T390" s="75"/>
      <c r="U390" s="75"/>
      <c r="V390" s="75"/>
      <c r="W390" s="75">
        <v>1</v>
      </c>
      <c r="X390" s="75">
        <v>25220</v>
      </c>
      <c r="Y390" s="75" t="str">
        <f ca="1">IF(I390="",IF(D390="","",IF(W390+X390&lt;15,"Données Nb pers ou RFR manquantes",IF(COUNTA(INDIRECT("TabRFR["&amp;YEAR(D390)&amp;"]"))&lt;&gt;COUNTA(TabRFR[Recherche RFR]),"Data RFR manquantes", IF(X390&lt;=INDEX(TabRFR[[2021]:[2025]],MATCH(BD!W390&amp;"-Très modestes",TabRFR[Recherche RFR],0),MATCH(TEXT(YEAR(BD!D390),"Standard"),TabRFR[[#Headers],[2021]:[2025]],0)),"Très Modeste",IF(X390&lt;=INDEX(TabRFR[[2021]:[2025]],MATCH(BD!W390&amp;"-modestes",TabRFR[Recherche RFR],0),MATCH(TEXT(YEAR(BD!D390),"Standard"),TabRFR[[#Headers],[2021]:[2025]],0)),"Modeste",IF(X390&lt;=INDEX(TabRFR[[2021]:[2025]],MATCH(BD!W390&amp;"-Intermédiaire",TabRFR[Recherche RFR],0),MATCH(TEXT(YEAR(BD!D390),"Standard"),TabRFR[[#Headers],[2021]:[2025]],0)),"Intermédiaire","Supérieur")))))),IF(D390="","",IF(W390+X390&lt;15,"Données Nb pers ou RFR manquantes",IF(COUNTA(INDIRECT("TabRFR["&amp;YEAR(I390)&amp;"]"))&lt;&gt;COUNTA(TabRFR[Recherche RFR]),"Data RFR manquantes", IF(X390&lt;=INDEX(TabRFR[[2021]:[2025]],MATCH(BD!W390&amp;"-Très modestes",TabRFR[Recherche RFR],0),MATCH(TEXT(YEAR(BD!I390),"Standard"),TabRFR[[#Headers],[2021]:[2025]],0)),"Très Modeste",IF(X390&lt;=INDEX(TabRFR[[2021]:[2025]],MATCH(BD!W390&amp;"-modestes",TabRFR[Recherche RFR],0),MATCH(TEXT(YEAR(BD!I390),"Standard"),TabRFR[[#Headers],[2021]:[2025]],0)),"Modeste",IF(X390&lt;=INDEX(TabRFR[[2021]:[2025]],MATCH(BD!W390&amp;"-Intermédiaire",TabRFR[Recherche RFR],0),MATCH(TEXT(YEAR(BD!I390),"Standard"),TabRFR[[#Headers],[2021]:[2025]],0)),"Intermédiaire","Supérieur")))))))</f>
        <v>Data RFR manquantes</v>
      </c>
      <c r="Z390" s="75"/>
      <c r="AA390" s="75" t="s">
        <v>764</v>
      </c>
      <c r="AB390" s="75">
        <v>38850</v>
      </c>
      <c r="AC390" s="75" t="s">
        <v>4304</v>
      </c>
      <c r="AD390" s="73"/>
      <c r="AE390" s="102"/>
      <c r="AF390" s="75"/>
      <c r="AG390" s="75"/>
      <c r="AH390" s="75"/>
      <c r="AI390" s="75"/>
      <c r="AJ390" s="75"/>
      <c r="AK390" s="75"/>
      <c r="AL390" s="75"/>
      <c r="AM390" s="75" t="s">
        <v>3973</v>
      </c>
      <c r="AN390" s="75" t="s">
        <v>96</v>
      </c>
      <c r="AO390" s="75"/>
      <c r="AP390" s="75" t="s">
        <v>97</v>
      </c>
      <c r="AQ390" s="75"/>
      <c r="AR390" s="74">
        <v>43361</v>
      </c>
      <c r="AS390" s="102" t="s">
        <v>141</v>
      </c>
      <c r="AT390" s="73">
        <v>476069938</v>
      </c>
      <c r="AU390" s="75" t="s">
        <v>765</v>
      </c>
      <c r="AV390" s="75">
        <v>1970</v>
      </c>
      <c r="AW390" s="75" t="s">
        <v>111</v>
      </c>
      <c r="AX390" s="75" t="s">
        <v>112</v>
      </c>
      <c r="AY390" s="75" t="s">
        <v>144</v>
      </c>
      <c r="AZ390" s="75" t="s">
        <v>766</v>
      </c>
      <c r="BA390" s="75">
        <v>17</v>
      </c>
      <c r="BB390" s="75">
        <v>9</v>
      </c>
      <c r="BC390" s="75">
        <v>84.9</v>
      </c>
      <c r="BD390" s="75">
        <v>7.0000000000000007E-2</v>
      </c>
      <c r="BE390" s="75" t="s">
        <v>97</v>
      </c>
      <c r="BF390" s="139"/>
      <c r="BG390" s="75">
        <v>5379</v>
      </c>
      <c r="BH390" s="75"/>
      <c r="BI390" s="75"/>
      <c r="BJ390" s="75"/>
      <c r="BK390" s="75">
        <v>1280</v>
      </c>
      <c r="BL390" s="75">
        <f t="shared" ref="BL390:BL453" si="18">BG390+BK390</f>
        <v>6659</v>
      </c>
      <c r="BM390" s="103">
        <f t="shared" ref="BM390:BM453" si="19">BL390*0.055</f>
        <v>366.245</v>
      </c>
      <c r="BN390" s="103">
        <f t="shared" ref="BN390:BN453" si="20">BL390+BM390</f>
        <v>7025.2449999999999</v>
      </c>
      <c r="BO390" s="103">
        <v>7025.25</v>
      </c>
      <c r="BP390" s="75" t="s">
        <v>97</v>
      </c>
      <c r="BQ390" s="75"/>
      <c r="BR390" s="74">
        <v>43416</v>
      </c>
      <c r="BS390" s="157">
        <v>2018</v>
      </c>
      <c r="BT390">
        <v>2020</v>
      </c>
      <c r="BU390">
        <v>2018</v>
      </c>
    </row>
    <row r="391" spans="1:73" ht="43.15" customHeight="1" x14ac:dyDescent="0.25">
      <c r="A391" s="242" t="s">
        <v>749</v>
      </c>
      <c r="B391" s="242" t="s">
        <v>767</v>
      </c>
      <c r="C391" s="159">
        <v>400</v>
      </c>
      <c r="D391" s="114">
        <v>43318</v>
      </c>
      <c r="E391" s="114">
        <v>43318</v>
      </c>
      <c r="F391" s="114">
        <v>43320</v>
      </c>
      <c r="G391" s="114" t="s">
        <v>768</v>
      </c>
      <c r="H391" s="114">
        <v>43322</v>
      </c>
      <c r="I391" s="114">
        <v>43322</v>
      </c>
      <c r="J391" s="114">
        <v>43357</v>
      </c>
      <c r="K391" s="114"/>
      <c r="L391" s="114">
        <v>43420</v>
      </c>
      <c r="M391" s="114">
        <v>43379</v>
      </c>
      <c r="N391" s="114"/>
      <c r="O391" s="114">
        <v>43437</v>
      </c>
      <c r="P391" s="114">
        <v>43437</v>
      </c>
      <c r="Q391" s="114">
        <v>43440</v>
      </c>
      <c r="R391" s="80"/>
      <c r="S391" s="114"/>
      <c r="T391" s="75"/>
      <c r="U391" s="75"/>
      <c r="V391" s="75"/>
      <c r="W391" s="75">
        <v>2</v>
      </c>
      <c r="X391" s="75">
        <v>45047</v>
      </c>
      <c r="Y391" s="75" t="str">
        <f ca="1">IF(I391="",IF(D391="","",IF(W391+X391&lt;15,"Données Nb pers ou RFR manquantes",IF(COUNTA(INDIRECT("TabRFR["&amp;YEAR(D391)&amp;"]"))&lt;&gt;COUNTA(TabRFR[Recherche RFR]),"Data RFR manquantes", IF(X391&lt;=INDEX(TabRFR[[2021]:[2025]],MATCH(BD!W391&amp;"-Très modestes",TabRFR[Recherche RFR],0),MATCH(TEXT(YEAR(BD!D391),"Standard"),TabRFR[[#Headers],[2021]:[2025]],0)),"Très Modeste",IF(X391&lt;=INDEX(TabRFR[[2021]:[2025]],MATCH(BD!W391&amp;"-modestes",TabRFR[Recherche RFR],0),MATCH(TEXT(YEAR(BD!D391),"Standard"),TabRFR[[#Headers],[2021]:[2025]],0)),"Modeste",IF(X391&lt;=INDEX(TabRFR[[2021]:[2025]],MATCH(BD!W391&amp;"-Intermédiaire",TabRFR[Recherche RFR],0),MATCH(TEXT(YEAR(BD!D391),"Standard"),TabRFR[[#Headers],[2021]:[2025]],0)),"Intermédiaire","Supérieur")))))),IF(D391="","",IF(W391+X391&lt;15,"Données Nb pers ou RFR manquantes",IF(COUNTA(INDIRECT("TabRFR["&amp;YEAR(I391)&amp;"]"))&lt;&gt;COUNTA(TabRFR[Recherche RFR]),"Data RFR manquantes", IF(X391&lt;=INDEX(TabRFR[[2021]:[2025]],MATCH(BD!W391&amp;"-Très modestes",TabRFR[Recherche RFR],0),MATCH(TEXT(YEAR(BD!I391),"Standard"),TabRFR[[#Headers],[2021]:[2025]],0)),"Très Modeste",IF(X391&lt;=INDEX(TabRFR[[2021]:[2025]],MATCH(BD!W391&amp;"-modestes",TabRFR[Recherche RFR],0),MATCH(TEXT(YEAR(BD!I391),"Standard"),TabRFR[[#Headers],[2021]:[2025]],0)),"Modeste",IF(X391&lt;=INDEX(TabRFR[[2021]:[2025]],MATCH(BD!W391&amp;"-Intermédiaire",TabRFR[Recherche RFR],0),MATCH(TEXT(YEAR(BD!I391),"Standard"),TabRFR[[#Headers],[2021]:[2025]],0)),"Intermédiaire","Supérieur")))))))</f>
        <v>Data RFR manquantes</v>
      </c>
      <c r="Z391" s="75"/>
      <c r="AA391" s="75" t="s">
        <v>769</v>
      </c>
      <c r="AB391" s="75">
        <v>38500</v>
      </c>
      <c r="AC391" s="75" t="s">
        <v>118</v>
      </c>
      <c r="AD391" s="73"/>
      <c r="AE391" s="102"/>
      <c r="AF391" s="75"/>
      <c r="AG391" s="75"/>
      <c r="AH391" s="75"/>
      <c r="AI391" s="75"/>
      <c r="AJ391" s="75"/>
      <c r="AK391" s="75"/>
      <c r="AL391" s="75"/>
      <c r="AM391" s="75" t="s">
        <v>4356</v>
      </c>
      <c r="AN391" s="75" t="s">
        <v>96</v>
      </c>
      <c r="AO391" s="75"/>
      <c r="AP391" s="75" t="s">
        <v>97</v>
      </c>
      <c r="AQ391" s="75"/>
      <c r="AR391" s="74">
        <v>43407</v>
      </c>
      <c r="AS391" s="102" t="s">
        <v>770</v>
      </c>
      <c r="AT391" s="73" t="s">
        <v>658</v>
      </c>
      <c r="AU391" s="75" t="s">
        <v>99</v>
      </c>
      <c r="AV391" s="75">
        <v>1984</v>
      </c>
      <c r="AW391" s="75" t="s">
        <v>111</v>
      </c>
      <c r="AX391" s="75" t="s">
        <v>112</v>
      </c>
      <c r="AY391" s="75" t="s">
        <v>771</v>
      </c>
      <c r="AZ391" s="75" t="s">
        <v>772</v>
      </c>
      <c r="BA391" s="75">
        <v>31</v>
      </c>
      <c r="BB391" s="75">
        <v>6</v>
      </c>
      <c r="BC391" s="75">
        <v>80</v>
      </c>
      <c r="BD391" s="75">
        <v>0.08</v>
      </c>
      <c r="BE391" s="75" t="s">
        <v>97</v>
      </c>
      <c r="BF391" s="75"/>
      <c r="BG391" s="75">
        <v>2935</v>
      </c>
      <c r="BH391" s="75"/>
      <c r="BI391" s="75"/>
      <c r="BJ391" s="75"/>
      <c r="BK391" s="75">
        <v>420</v>
      </c>
      <c r="BL391" s="75">
        <f t="shared" si="18"/>
        <v>3355</v>
      </c>
      <c r="BM391" s="103">
        <f t="shared" si="19"/>
        <v>184.52500000000001</v>
      </c>
      <c r="BN391" s="103">
        <f t="shared" si="20"/>
        <v>3539.5250000000001</v>
      </c>
      <c r="BO391" s="103"/>
      <c r="BP391" s="75"/>
      <c r="BQ391" s="75"/>
      <c r="BR391" s="74">
        <v>43416</v>
      </c>
      <c r="BS391" s="157">
        <v>2018</v>
      </c>
      <c r="BT391">
        <v>2020</v>
      </c>
      <c r="BU391">
        <v>2018</v>
      </c>
    </row>
    <row r="392" spans="1:73" ht="43.15" customHeight="1" x14ac:dyDescent="0.25">
      <c r="A392" s="242" t="s">
        <v>749</v>
      </c>
      <c r="B392" s="242" t="s">
        <v>773</v>
      </c>
      <c r="C392" s="159">
        <v>400</v>
      </c>
      <c r="D392" s="114">
        <v>43319</v>
      </c>
      <c r="E392" s="114">
        <v>43319</v>
      </c>
      <c r="F392" s="114">
        <v>43322</v>
      </c>
      <c r="G392" s="114"/>
      <c r="H392" s="114">
        <v>43322</v>
      </c>
      <c r="I392" s="114">
        <v>43323</v>
      </c>
      <c r="J392" s="114">
        <v>43357</v>
      </c>
      <c r="K392" s="114"/>
      <c r="L392" s="114">
        <v>43524</v>
      </c>
      <c r="M392" s="114">
        <v>43465</v>
      </c>
      <c r="N392" s="114"/>
      <c r="O392" s="114">
        <v>43537</v>
      </c>
      <c r="P392" s="114">
        <v>43537</v>
      </c>
      <c r="Q392" s="114">
        <v>43543</v>
      </c>
      <c r="R392" s="80"/>
      <c r="S392" s="114"/>
      <c r="T392" s="75"/>
      <c r="U392" s="75"/>
      <c r="V392" s="75"/>
      <c r="W392" s="75">
        <v>4</v>
      </c>
      <c r="X392" s="75">
        <v>44135</v>
      </c>
      <c r="Y392" s="75" t="str">
        <f ca="1">IF(I392="",IF(D392="","",IF(W392+X392&lt;15,"Données Nb pers ou RFR manquantes",IF(COUNTA(INDIRECT("TabRFR["&amp;YEAR(D392)&amp;"]"))&lt;&gt;COUNTA(TabRFR[Recherche RFR]),"Data RFR manquantes", IF(X392&lt;=INDEX(TabRFR[[2021]:[2025]],MATCH(BD!W392&amp;"-Très modestes",TabRFR[Recherche RFR],0),MATCH(TEXT(YEAR(BD!D392),"Standard"),TabRFR[[#Headers],[2021]:[2025]],0)),"Très Modeste",IF(X392&lt;=INDEX(TabRFR[[2021]:[2025]],MATCH(BD!W392&amp;"-modestes",TabRFR[Recherche RFR],0),MATCH(TEXT(YEAR(BD!D392),"Standard"),TabRFR[[#Headers],[2021]:[2025]],0)),"Modeste",IF(X392&lt;=INDEX(TabRFR[[2021]:[2025]],MATCH(BD!W392&amp;"-Intermédiaire",TabRFR[Recherche RFR],0),MATCH(TEXT(YEAR(BD!D392),"Standard"),TabRFR[[#Headers],[2021]:[2025]],0)),"Intermédiaire","Supérieur")))))),IF(D392="","",IF(W392+X392&lt;15,"Données Nb pers ou RFR manquantes",IF(COUNTA(INDIRECT("TabRFR["&amp;YEAR(I392)&amp;"]"))&lt;&gt;COUNTA(TabRFR[Recherche RFR]),"Data RFR manquantes", IF(X392&lt;=INDEX(TabRFR[[2021]:[2025]],MATCH(BD!W392&amp;"-Très modestes",TabRFR[Recherche RFR],0),MATCH(TEXT(YEAR(BD!I392),"Standard"),TabRFR[[#Headers],[2021]:[2025]],0)),"Très Modeste",IF(X392&lt;=INDEX(TabRFR[[2021]:[2025]],MATCH(BD!W392&amp;"-modestes",TabRFR[Recherche RFR],0),MATCH(TEXT(YEAR(BD!I392),"Standard"),TabRFR[[#Headers],[2021]:[2025]],0)),"Modeste",IF(X392&lt;=INDEX(TabRFR[[2021]:[2025]],MATCH(BD!W392&amp;"-Intermédiaire",TabRFR[Recherche RFR],0),MATCH(TEXT(YEAR(BD!I392),"Standard"),TabRFR[[#Headers],[2021]:[2025]],0)),"Intermédiaire","Supérieur")))))))</f>
        <v>Data RFR manquantes</v>
      </c>
      <c r="Z392" s="75"/>
      <c r="AA392" s="75" t="s">
        <v>775</v>
      </c>
      <c r="AB392" s="75">
        <v>38140</v>
      </c>
      <c r="AC392" s="75" t="s">
        <v>2357</v>
      </c>
      <c r="AD392" s="73"/>
      <c r="AE392" s="102"/>
      <c r="AF392" s="75"/>
      <c r="AG392" s="75"/>
      <c r="AH392" s="75"/>
      <c r="AI392" s="75"/>
      <c r="AJ392" s="75"/>
      <c r="AK392" s="75"/>
      <c r="AL392" s="75"/>
      <c r="AM392" s="75" t="s">
        <v>1886</v>
      </c>
      <c r="AN392" s="75" t="s">
        <v>195</v>
      </c>
      <c r="AO392" s="75"/>
      <c r="AP392" s="75" t="s">
        <v>97</v>
      </c>
      <c r="AQ392" s="75"/>
      <c r="AR392" s="74">
        <v>43674</v>
      </c>
      <c r="AS392" s="102" t="s">
        <v>516</v>
      </c>
      <c r="AT392" s="73" t="s">
        <v>776</v>
      </c>
      <c r="AU392" s="75" t="s">
        <v>111</v>
      </c>
      <c r="AV392" s="75">
        <v>1982</v>
      </c>
      <c r="AW392" s="75" t="s">
        <v>777</v>
      </c>
      <c r="AX392" s="75" t="s">
        <v>2071</v>
      </c>
      <c r="AY392" s="75" t="s">
        <v>440</v>
      </c>
      <c r="AZ392" s="75" t="s">
        <v>778</v>
      </c>
      <c r="BA392" s="75">
        <v>14</v>
      </c>
      <c r="BB392" s="75">
        <v>6.1</v>
      </c>
      <c r="BC392" s="75">
        <v>94.3</v>
      </c>
      <c r="BD392" s="75">
        <v>3.0000000000000001E-3</v>
      </c>
      <c r="BE392" s="75" t="s">
        <v>97</v>
      </c>
      <c r="BF392" s="75"/>
      <c r="BG392" s="75">
        <v>2719</v>
      </c>
      <c r="BH392" s="75"/>
      <c r="BI392" s="75"/>
      <c r="BJ392" s="75"/>
      <c r="BK392" s="75">
        <v>672</v>
      </c>
      <c r="BL392" s="75">
        <f t="shared" si="18"/>
        <v>3391</v>
      </c>
      <c r="BM392" s="103">
        <f t="shared" si="19"/>
        <v>186.505</v>
      </c>
      <c r="BN392" s="103">
        <f t="shared" si="20"/>
        <v>3577.5050000000001</v>
      </c>
      <c r="BO392" s="103">
        <v>5275</v>
      </c>
      <c r="BP392" s="75"/>
      <c r="BQ392" s="75"/>
      <c r="BR392" s="74"/>
      <c r="BS392" s="157">
        <v>2018</v>
      </c>
      <c r="BU392">
        <v>2018</v>
      </c>
    </row>
    <row r="393" spans="1:73" ht="43.15" customHeight="1" x14ac:dyDescent="0.25">
      <c r="A393" s="242" t="s">
        <v>749</v>
      </c>
      <c r="B393" s="242" t="s">
        <v>779</v>
      </c>
      <c r="C393" s="159">
        <v>400</v>
      </c>
      <c r="D393" s="114">
        <v>43321</v>
      </c>
      <c r="E393" s="114">
        <v>43321</v>
      </c>
      <c r="F393" s="114">
        <v>43322</v>
      </c>
      <c r="G393" s="114" t="s">
        <v>780</v>
      </c>
      <c r="H393" s="114">
        <v>43332</v>
      </c>
      <c r="I393" s="114">
        <v>43334</v>
      </c>
      <c r="J393" s="114">
        <v>43357</v>
      </c>
      <c r="K393" s="114"/>
      <c r="L393" s="114">
        <v>43402</v>
      </c>
      <c r="M393" s="114">
        <v>43357</v>
      </c>
      <c r="N393" s="140" t="s">
        <v>781</v>
      </c>
      <c r="O393" s="114">
        <v>43515</v>
      </c>
      <c r="P393" s="114">
        <v>43515</v>
      </c>
      <c r="Q393" s="114">
        <v>43515</v>
      </c>
      <c r="R393" s="80"/>
      <c r="S393" s="114"/>
      <c r="T393" s="75"/>
      <c r="U393" s="75"/>
      <c r="V393" s="75"/>
      <c r="W393" s="75">
        <v>2</v>
      </c>
      <c r="X393" s="75">
        <v>29490</v>
      </c>
      <c r="Y393" s="75" t="str">
        <f ca="1">IF(I393="",IF(D393="","",IF(W393+X393&lt;15,"Données Nb pers ou RFR manquantes",IF(COUNTA(INDIRECT("TabRFR["&amp;YEAR(D393)&amp;"]"))&lt;&gt;COUNTA(TabRFR[Recherche RFR]),"Data RFR manquantes", IF(X393&lt;=INDEX(TabRFR[[2021]:[2025]],MATCH(BD!W393&amp;"-Très modestes",TabRFR[Recherche RFR],0),MATCH(TEXT(YEAR(BD!D393),"Standard"),TabRFR[[#Headers],[2021]:[2025]],0)),"Très Modeste",IF(X393&lt;=INDEX(TabRFR[[2021]:[2025]],MATCH(BD!W393&amp;"-modestes",TabRFR[Recherche RFR],0),MATCH(TEXT(YEAR(BD!D393),"Standard"),TabRFR[[#Headers],[2021]:[2025]],0)),"Modeste",IF(X393&lt;=INDEX(TabRFR[[2021]:[2025]],MATCH(BD!W393&amp;"-Intermédiaire",TabRFR[Recherche RFR],0),MATCH(TEXT(YEAR(BD!D393),"Standard"),TabRFR[[#Headers],[2021]:[2025]],0)),"Intermédiaire","Supérieur")))))),IF(D393="","",IF(W393+X393&lt;15,"Données Nb pers ou RFR manquantes",IF(COUNTA(INDIRECT("TabRFR["&amp;YEAR(I393)&amp;"]"))&lt;&gt;COUNTA(TabRFR[Recherche RFR]),"Data RFR manquantes", IF(X393&lt;=INDEX(TabRFR[[2021]:[2025]],MATCH(BD!W393&amp;"-Très modestes",TabRFR[Recherche RFR],0),MATCH(TEXT(YEAR(BD!I393),"Standard"),TabRFR[[#Headers],[2021]:[2025]],0)),"Très Modeste",IF(X393&lt;=INDEX(TabRFR[[2021]:[2025]],MATCH(BD!W393&amp;"-modestes",TabRFR[Recherche RFR],0),MATCH(TEXT(YEAR(BD!I393),"Standard"),TabRFR[[#Headers],[2021]:[2025]],0)),"Modeste",IF(X393&lt;=INDEX(TabRFR[[2021]:[2025]],MATCH(BD!W393&amp;"-Intermédiaire",TabRFR[Recherche RFR],0),MATCH(TEXT(YEAR(BD!I393),"Standard"),TabRFR[[#Headers],[2021]:[2025]],0)),"Intermédiaire","Supérieur")))))))</f>
        <v>Data RFR manquantes</v>
      </c>
      <c r="Z393" s="75"/>
      <c r="AA393" s="75" t="s">
        <v>782</v>
      </c>
      <c r="AB393" s="75">
        <v>38620</v>
      </c>
      <c r="AC393" s="75" t="s">
        <v>783</v>
      </c>
      <c r="AD393" s="73"/>
      <c r="AE393" s="102"/>
      <c r="AF393" s="75"/>
      <c r="AG393" s="75"/>
      <c r="AH393" s="75"/>
      <c r="AI393" s="75"/>
      <c r="AJ393" s="75"/>
      <c r="AK393" s="75"/>
      <c r="AL393" s="75"/>
      <c r="AM393" s="75" t="s">
        <v>4236</v>
      </c>
      <c r="AN393" s="75" t="s">
        <v>4091</v>
      </c>
      <c r="AO393" s="75"/>
      <c r="AP393" s="75" t="s">
        <v>97</v>
      </c>
      <c r="AQ393" s="75"/>
      <c r="AR393" s="74">
        <v>43360</v>
      </c>
      <c r="AS393" s="102" t="s">
        <v>164</v>
      </c>
      <c r="AT393" s="73" t="s">
        <v>608</v>
      </c>
      <c r="AU393" s="75" t="s">
        <v>785</v>
      </c>
      <c r="AV393" s="75">
        <v>2000</v>
      </c>
      <c r="AW393" s="75" t="s">
        <v>777</v>
      </c>
      <c r="AX393" s="75" t="s">
        <v>2071</v>
      </c>
      <c r="AY393" s="75" t="s">
        <v>440</v>
      </c>
      <c r="AZ393" s="75" t="s">
        <v>786</v>
      </c>
      <c r="BA393" s="75">
        <v>11</v>
      </c>
      <c r="BB393" s="75">
        <v>12</v>
      </c>
      <c r="BC393" s="75">
        <v>88.5</v>
      </c>
      <c r="BD393" s="75">
        <v>0.01</v>
      </c>
      <c r="BE393" s="75" t="s">
        <v>97</v>
      </c>
      <c r="BF393" s="75"/>
      <c r="BG393" s="75">
        <v>5021</v>
      </c>
      <c r="BH393" s="75"/>
      <c r="BI393" s="75"/>
      <c r="BJ393" s="75"/>
      <c r="BK393" s="75">
        <v>590</v>
      </c>
      <c r="BL393" s="75">
        <f t="shared" si="18"/>
        <v>5611</v>
      </c>
      <c r="BM393" s="103">
        <f t="shared" si="19"/>
        <v>308.60500000000002</v>
      </c>
      <c r="BN393" s="103">
        <f t="shared" si="20"/>
        <v>5919.6049999999996</v>
      </c>
      <c r="BO393" s="103">
        <v>5919</v>
      </c>
      <c r="BP393" s="75"/>
      <c r="BQ393" s="75"/>
      <c r="BR393" s="75"/>
      <c r="BS393" s="157">
        <v>2018</v>
      </c>
      <c r="BU393">
        <v>2018</v>
      </c>
    </row>
    <row r="394" spans="1:73" ht="43.15" customHeight="1" x14ac:dyDescent="0.25">
      <c r="A394" s="242" t="s">
        <v>749</v>
      </c>
      <c r="B394" s="242" t="s">
        <v>787</v>
      </c>
      <c r="C394" s="159">
        <v>400</v>
      </c>
      <c r="D394" s="114">
        <v>43321</v>
      </c>
      <c r="E394" s="114">
        <v>43321</v>
      </c>
      <c r="F394" s="114"/>
      <c r="G394" s="114"/>
      <c r="H394" s="114">
        <v>43332</v>
      </c>
      <c r="I394" s="114">
        <v>43334</v>
      </c>
      <c r="J394" s="114">
        <v>43357</v>
      </c>
      <c r="K394" s="114"/>
      <c r="L394" s="114">
        <v>43502</v>
      </c>
      <c r="M394" s="114">
        <v>43363</v>
      </c>
      <c r="N394" s="114"/>
      <c r="O394" s="114">
        <v>43508</v>
      </c>
      <c r="P394" s="114">
        <v>43508</v>
      </c>
      <c r="Q394" s="114">
        <v>43515</v>
      </c>
      <c r="R394" s="80"/>
      <c r="S394" s="114"/>
      <c r="T394" s="75"/>
      <c r="U394" s="75"/>
      <c r="V394" s="75"/>
      <c r="W394" s="75">
        <v>4</v>
      </c>
      <c r="X394" s="75">
        <v>44662</v>
      </c>
      <c r="Y394" s="75" t="str">
        <f ca="1">IF(I394="",IF(D394="","",IF(W394+X394&lt;15,"Données Nb pers ou RFR manquantes",IF(COUNTA(INDIRECT("TabRFR["&amp;YEAR(D394)&amp;"]"))&lt;&gt;COUNTA(TabRFR[Recherche RFR]),"Data RFR manquantes", IF(X394&lt;=INDEX(TabRFR[[2021]:[2025]],MATCH(BD!W394&amp;"-Très modestes",TabRFR[Recherche RFR],0),MATCH(TEXT(YEAR(BD!D394),"Standard"),TabRFR[[#Headers],[2021]:[2025]],0)),"Très Modeste",IF(X394&lt;=INDEX(TabRFR[[2021]:[2025]],MATCH(BD!W394&amp;"-modestes",TabRFR[Recherche RFR],0),MATCH(TEXT(YEAR(BD!D394),"Standard"),TabRFR[[#Headers],[2021]:[2025]],0)),"Modeste",IF(X394&lt;=INDEX(TabRFR[[2021]:[2025]],MATCH(BD!W394&amp;"-Intermédiaire",TabRFR[Recherche RFR],0),MATCH(TEXT(YEAR(BD!D394),"Standard"),TabRFR[[#Headers],[2021]:[2025]],0)),"Intermédiaire","Supérieur")))))),IF(D394="","",IF(W394+X394&lt;15,"Données Nb pers ou RFR manquantes",IF(COUNTA(INDIRECT("TabRFR["&amp;YEAR(I394)&amp;"]"))&lt;&gt;COUNTA(TabRFR[Recherche RFR]),"Data RFR manquantes", IF(X394&lt;=INDEX(TabRFR[[2021]:[2025]],MATCH(BD!W394&amp;"-Très modestes",TabRFR[Recherche RFR],0),MATCH(TEXT(YEAR(BD!I394),"Standard"),TabRFR[[#Headers],[2021]:[2025]],0)),"Très Modeste",IF(X394&lt;=INDEX(TabRFR[[2021]:[2025]],MATCH(BD!W394&amp;"-modestes",TabRFR[Recherche RFR],0),MATCH(TEXT(YEAR(BD!I394),"Standard"),TabRFR[[#Headers],[2021]:[2025]],0)),"Modeste",IF(X394&lt;=INDEX(TabRFR[[2021]:[2025]],MATCH(BD!W394&amp;"-Intermédiaire",TabRFR[Recherche RFR],0),MATCH(TEXT(YEAR(BD!I394),"Standard"),TabRFR[[#Headers],[2021]:[2025]],0)),"Intermédiaire","Supérieur")))))))</f>
        <v>Data RFR manquantes</v>
      </c>
      <c r="Z394" s="75"/>
      <c r="AA394" s="75" t="s">
        <v>161</v>
      </c>
      <c r="AB394" s="75">
        <v>38620</v>
      </c>
      <c r="AC394" s="75" t="s">
        <v>3833</v>
      </c>
      <c r="AD394" s="73"/>
      <c r="AE394" s="102"/>
      <c r="AF394" s="75"/>
      <c r="AG394" s="75"/>
      <c r="AH394" s="75"/>
      <c r="AI394" s="75"/>
      <c r="AJ394" s="75"/>
      <c r="AK394" s="75"/>
      <c r="AL394" s="75"/>
      <c r="AM394" s="75" t="s">
        <v>3973</v>
      </c>
      <c r="AN394" s="75" t="s">
        <v>96</v>
      </c>
      <c r="AO394" s="75" t="s">
        <v>789</v>
      </c>
      <c r="AP394" s="75" t="s">
        <v>97</v>
      </c>
      <c r="AQ394" s="75"/>
      <c r="AR394" s="74">
        <v>43361</v>
      </c>
      <c r="AS394" s="102" t="s">
        <v>141</v>
      </c>
      <c r="AT394" s="73" t="s">
        <v>788</v>
      </c>
      <c r="AU394" s="75" t="s">
        <v>111</v>
      </c>
      <c r="AV394" s="75">
        <v>1963</v>
      </c>
      <c r="AW394" s="75" t="s">
        <v>777</v>
      </c>
      <c r="AX394" s="75" t="s">
        <v>2071</v>
      </c>
      <c r="AY394" s="75" t="s">
        <v>440</v>
      </c>
      <c r="AZ394" s="75" t="s">
        <v>790</v>
      </c>
      <c r="BA394" s="75">
        <v>11</v>
      </c>
      <c r="BB394" s="75">
        <v>12</v>
      </c>
      <c r="BC394" s="75">
        <v>88.5</v>
      </c>
      <c r="BD394" s="75">
        <v>0.01</v>
      </c>
      <c r="BE394" s="75" t="s">
        <v>97</v>
      </c>
      <c r="BF394" s="75"/>
      <c r="BG394" s="75">
        <v>3981</v>
      </c>
      <c r="BH394" s="75"/>
      <c r="BI394" s="75"/>
      <c r="BJ394" s="75"/>
      <c r="BK394" s="75">
        <v>390</v>
      </c>
      <c r="BL394" s="75">
        <f t="shared" si="18"/>
        <v>4371</v>
      </c>
      <c r="BM394" s="103">
        <f t="shared" si="19"/>
        <v>240.405</v>
      </c>
      <c r="BN394" s="103">
        <f t="shared" si="20"/>
        <v>4611.4049999999997</v>
      </c>
      <c r="BO394" s="103">
        <v>4611.9399999999996</v>
      </c>
      <c r="BP394" s="75" t="s">
        <v>97</v>
      </c>
      <c r="BQ394" s="75"/>
      <c r="BR394" s="75"/>
      <c r="BS394" s="157">
        <v>2018</v>
      </c>
      <c r="BU394">
        <v>2018</v>
      </c>
    </row>
    <row r="395" spans="1:73" ht="43.15" customHeight="1" x14ac:dyDescent="0.25">
      <c r="A395" s="242" t="s">
        <v>749</v>
      </c>
      <c r="B395" s="242" t="s">
        <v>791</v>
      </c>
      <c r="C395" s="159">
        <v>400</v>
      </c>
      <c r="D395" s="114">
        <v>43322</v>
      </c>
      <c r="E395" s="114">
        <v>43322</v>
      </c>
      <c r="F395" s="114"/>
      <c r="G395" s="114" t="s">
        <v>792</v>
      </c>
      <c r="H395" s="114">
        <v>43334</v>
      </c>
      <c r="I395" s="114">
        <v>43334</v>
      </c>
      <c r="J395" s="114">
        <v>43343</v>
      </c>
      <c r="K395" s="114"/>
      <c r="L395" s="114">
        <v>43425</v>
      </c>
      <c r="M395" s="114">
        <v>43404</v>
      </c>
      <c r="N395" s="114"/>
      <c r="O395" s="114">
        <v>43438</v>
      </c>
      <c r="P395" s="114">
        <v>43438</v>
      </c>
      <c r="Q395" s="114">
        <v>43440</v>
      </c>
      <c r="R395" s="80"/>
      <c r="S395" s="114"/>
      <c r="T395" s="75"/>
      <c r="U395" s="75"/>
      <c r="V395" s="75"/>
      <c r="W395" s="75">
        <v>4</v>
      </c>
      <c r="X395" s="75">
        <f>17776+22796</f>
        <v>40572</v>
      </c>
      <c r="Y395" s="75" t="str">
        <f ca="1">IF(I395="",IF(D395="","",IF(W395+X395&lt;15,"Données Nb pers ou RFR manquantes",IF(COUNTA(INDIRECT("TabRFR["&amp;YEAR(D395)&amp;"]"))&lt;&gt;COUNTA(TabRFR[Recherche RFR]),"Data RFR manquantes", IF(X395&lt;=INDEX(TabRFR[[2021]:[2025]],MATCH(BD!W395&amp;"-Très modestes",TabRFR[Recherche RFR],0),MATCH(TEXT(YEAR(BD!D395),"Standard"),TabRFR[[#Headers],[2021]:[2025]],0)),"Très Modeste",IF(X395&lt;=INDEX(TabRFR[[2021]:[2025]],MATCH(BD!W395&amp;"-modestes",TabRFR[Recherche RFR],0),MATCH(TEXT(YEAR(BD!D395),"Standard"),TabRFR[[#Headers],[2021]:[2025]],0)),"Modeste",IF(X395&lt;=INDEX(TabRFR[[2021]:[2025]],MATCH(BD!W395&amp;"-Intermédiaire",TabRFR[Recherche RFR],0),MATCH(TEXT(YEAR(BD!D395),"Standard"),TabRFR[[#Headers],[2021]:[2025]],0)),"Intermédiaire","Supérieur")))))),IF(D395="","",IF(W395+X395&lt;15,"Données Nb pers ou RFR manquantes",IF(COUNTA(INDIRECT("TabRFR["&amp;YEAR(I395)&amp;"]"))&lt;&gt;COUNTA(TabRFR[Recherche RFR]),"Data RFR manquantes", IF(X395&lt;=INDEX(TabRFR[[2021]:[2025]],MATCH(BD!W395&amp;"-Très modestes",TabRFR[Recherche RFR],0),MATCH(TEXT(YEAR(BD!I395),"Standard"),TabRFR[[#Headers],[2021]:[2025]],0)),"Très Modeste",IF(X395&lt;=INDEX(TabRFR[[2021]:[2025]],MATCH(BD!W395&amp;"-modestes",TabRFR[Recherche RFR],0),MATCH(TEXT(YEAR(BD!I395),"Standard"),TabRFR[[#Headers],[2021]:[2025]],0)),"Modeste",IF(X395&lt;=INDEX(TabRFR[[2021]:[2025]],MATCH(BD!W395&amp;"-Intermédiaire",TabRFR[Recherche RFR],0),MATCH(TEXT(YEAR(BD!I395),"Standard"),TabRFR[[#Headers],[2021]:[2025]],0)),"Intermédiaire","Supérieur")))))))</f>
        <v>Data RFR manquantes</v>
      </c>
      <c r="Z395" s="75"/>
      <c r="AA395" s="75" t="s">
        <v>793</v>
      </c>
      <c r="AB395" s="75">
        <v>38850</v>
      </c>
      <c r="AC395" s="75" t="s">
        <v>148</v>
      </c>
      <c r="AD395" s="73"/>
      <c r="AE395" s="102"/>
      <c r="AF395" s="75"/>
      <c r="AG395" s="75"/>
      <c r="AH395" s="75"/>
      <c r="AI395" s="75"/>
      <c r="AJ395" s="75"/>
      <c r="AK395" s="75"/>
      <c r="AL395" s="75"/>
      <c r="AM395" s="75" t="s">
        <v>4356</v>
      </c>
      <c r="AN395" s="75" t="s">
        <v>96</v>
      </c>
      <c r="AO395" s="75"/>
      <c r="AP395" s="75" t="s">
        <v>97</v>
      </c>
      <c r="AQ395" s="75"/>
      <c r="AR395" s="74">
        <v>43407</v>
      </c>
      <c r="AS395" s="102" t="s">
        <v>120</v>
      </c>
      <c r="AT395" s="73" t="s">
        <v>658</v>
      </c>
      <c r="AU395" s="75" t="s">
        <v>111</v>
      </c>
      <c r="AV395" s="75">
        <v>1985</v>
      </c>
      <c r="AW395" s="75" t="s">
        <v>777</v>
      </c>
      <c r="AX395" s="75" t="s">
        <v>2071</v>
      </c>
      <c r="AY395" s="75" t="s">
        <v>102</v>
      </c>
      <c r="AZ395" s="75" t="s">
        <v>794</v>
      </c>
      <c r="BA395" s="75">
        <v>18</v>
      </c>
      <c r="BB395" s="75">
        <v>10</v>
      </c>
      <c r="BC395" s="75">
        <v>90.4</v>
      </c>
      <c r="BD395" s="75">
        <v>3.0000000000000001E-3</v>
      </c>
      <c r="BE395" s="75" t="s">
        <v>97</v>
      </c>
      <c r="BF395" s="75"/>
      <c r="BG395" s="75">
        <v>3355</v>
      </c>
      <c r="BH395" s="75"/>
      <c r="BI395" s="75"/>
      <c r="BJ395" s="75"/>
      <c r="BK395" s="75">
        <v>380</v>
      </c>
      <c r="BL395" s="75">
        <f t="shared" si="18"/>
        <v>3735</v>
      </c>
      <c r="BM395" s="103">
        <f t="shared" si="19"/>
        <v>205.42500000000001</v>
      </c>
      <c r="BN395" s="103">
        <f t="shared" si="20"/>
        <v>3940.4250000000002</v>
      </c>
      <c r="BO395" s="103">
        <v>4589</v>
      </c>
      <c r="BP395" s="75"/>
      <c r="BQ395" s="75"/>
      <c r="BR395" s="75"/>
      <c r="BS395" s="157">
        <v>2018</v>
      </c>
      <c r="BU395">
        <v>2018</v>
      </c>
    </row>
    <row r="396" spans="1:73" ht="43.15" customHeight="1" x14ac:dyDescent="0.25">
      <c r="A396" s="242" t="s">
        <v>749</v>
      </c>
      <c r="B396" s="242" t="s">
        <v>795</v>
      </c>
      <c r="C396" s="159">
        <v>800</v>
      </c>
      <c r="D396" s="114">
        <v>43325</v>
      </c>
      <c r="E396" s="114">
        <v>43325</v>
      </c>
      <c r="F396" s="114"/>
      <c r="G396" s="114"/>
      <c r="H396" s="114">
        <v>43332</v>
      </c>
      <c r="I396" s="114">
        <v>43334</v>
      </c>
      <c r="J396" s="114">
        <v>43343</v>
      </c>
      <c r="K396" s="114"/>
      <c r="L396" s="114">
        <v>43391</v>
      </c>
      <c r="M396" s="114">
        <v>43360</v>
      </c>
      <c r="N396" s="114"/>
      <c r="O396" s="114">
        <v>43403</v>
      </c>
      <c r="P396" s="114">
        <v>43403</v>
      </c>
      <c r="Q396" s="114">
        <v>43431</v>
      </c>
      <c r="R396" s="100"/>
      <c r="S396" s="114"/>
      <c r="T396" s="75"/>
      <c r="U396" s="75"/>
      <c r="V396" s="75"/>
      <c r="W396" s="75">
        <v>5</v>
      </c>
      <c r="X396" s="75">
        <v>36487</v>
      </c>
      <c r="Y396" s="75" t="str">
        <f ca="1">IF(I396="",IF(D396="","",IF(W396+X396&lt;15,"Données Nb pers ou RFR manquantes",IF(COUNTA(INDIRECT("TabRFR["&amp;YEAR(D396)&amp;"]"))&lt;&gt;COUNTA(TabRFR[Recherche RFR]),"Data RFR manquantes", IF(X396&lt;=INDEX(TabRFR[[2021]:[2025]],MATCH(BD!W396&amp;"-Très modestes",TabRFR[Recherche RFR],0),MATCH(TEXT(YEAR(BD!D396),"Standard"),TabRFR[[#Headers],[2021]:[2025]],0)),"Très Modeste",IF(X396&lt;=INDEX(TabRFR[[2021]:[2025]],MATCH(BD!W396&amp;"-modestes",TabRFR[Recherche RFR],0),MATCH(TEXT(YEAR(BD!D396),"Standard"),TabRFR[[#Headers],[2021]:[2025]],0)),"Modeste",IF(X396&lt;=INDEX(TabRFR[[2021]:[2025]],MATCH(BD!W396&amp;"-Intermédiaire",TabRFR[Recherche RFR],0),MATCH(TEXT(YEAR(BD!D396),"Standard"),TabRFR[[#Headers],[2021]:[2025]],0)),"Intermédiaire","Supérieur")))))),IF(D396="","",IF(W396+X396&lt;15,"Données Nb pers ou RFR manquantes",IF(COUNTA(INDIRECT("TabRFR["&amp;YEAR(I396)&amp;"]"))&lt;&gt;COUNTA(TabRFR[Recherche RFR]),"Data RFR manquantes", IF(X396&lt;=INDEX(TabRFR[[2021]:[2025]],MATCH(BD!W396&amp;"-Très modestes",TabRFR[Recherche RFR],0),MATCH(TEXT(YEAR(BD!I396),"Standard"),TabRFR[[#Headers],[2021]:[2025]],0)),"Très Modeste",IF(X396&lt;=INDEX(TabRFR[[2021]:[2025]],MATCH(BD!W396&amp;"-modestes",TabRFR[Recherche RFR],0),MATCH(TEXT(YEAR(BD!I396),"Standard"),TabRFR[[#Headers],[2021]:[2025]],0)),"Modeste",IF(X396&lt;=INDEX(TabRFR[[2021]:[2025]],MATCH(BD!W396&amp;"-Intermédiaire",TabRFR[Recherche RFR],0),MATCH(TEXT(YEAR(BD!I396),"Standard"),TabRFR[[#Headers],[2021]:[2025]],0)),"Intermédiaire","Supérieur")))))))</f>
        <v>Data RFR manquantes</v>
      </c>
      <c r="Z396" s="75"/>
      <c r="AA396" s="75" t="s">
        <v>130</v>
      </c>
      <c r="AB396" s="75">
        <v>38340</v>
      </c>
      <c r="AC396" s="75" t="s">
        <v>108</v>
      </c>
      <c r="AD396" s="73"/>
      <c r="AE396" s="102"/>
      <c r="AF396" s="75"/>
      <c r="AG396" s="75"/>
      <c r="AH396" s="75"/>
      <c r="AI396" s="75"/>
      <c r="AJ396" s="75"/>
      <c r="AK396" s="75"/>
      <c r="AL396" s="75"/>
      <c r="AM396" s="75" t="s">
        <v>350</v>
      </c>
      <c r="AN396" s="75" t="s">
        <v>451</v>
      </c>
      <c r="AO396" s="75" t="s">
        <v>351</v>
      </c>
      <c r="AP396" s="75" t="s">
        <v>97</v>
      </c>
      <c r="AQ396" s="75"/>
      <c r="AR396" s="74">
        <v>43572</v>
      </c>
      <c r="AS396" s="102" t="s">
        <v>352</v>
      </c>
      <c r="AT396" s="73">
        <v>438920220</v>
      </c>
      <c r="AU396" s="75" t="s">
        <v>111</v>
      </c>
      <c r="AV396" s="75">
        <v>1993</v>
      </c>
      <c r="AW396" s="75" t="s">
        <v>777</v>
      </c>
      <c r="AX396" s="75" t="s">
        <v>112</v>
      </c>
      <c r="AY396" s="75" t="s">
        <v>251</v>
      </c>
      <c r="AZ396" s="75" t="s">
        <v>474</v>
      </c>
      <c r="BA396" s="75">
        <v>30</v>
      </c>
      <c r="BB396" s="75">
        <v>6</v>
      </c>
      <c r="BC396" s="75">
        <v>76</v>
      </c>
      <c r="BD396" s="75">
        <v>0.08</v>
      </c>
      <c r="BE396" s="75" t="s">
        <v>97</v>
      </c>
      <c r="BF396" s="75"/>
      <c r="BG396" s="75">
        <f>2247+1453</f>
        <v>3700</v>
      </c>
      <c r="BH396" s="75"/>
      <c r="BI396" s="75"/>
      <c r="BJ396" s="75"/>
      <c r="BK396" s="75">
        <v>803</v>
      </c>
      <c r="BL396" s="75">
        <f t="shared" si="18"/>
        <v>4503</v>
      </c>
      <c r="BM396" s="103">
        <f t="shared" si="19"/>
        <v>247.66499999999999</v>
      </c>
      <c r="BN396" s="103">
        <f t="shared" si="20"/>
        <v>4750.665</v>
      </c>
      <c r="BO396" s="103">
        <v>4752</v>
      </c>
      <c r="BP396" s="75"/>
      <c r="BQ396" s="75"/>
      <c r="BR396" s="74">
        <v>43416</v>
      </c>
      <c r="BS396" s="157">
        <v>2018</v>
      </c>
      <c r="BT396">
        <v>2020</v>
      </c>
      <c r="BU396">
        <v>2018</v>
      </c>
    </row>
    <row r="397" spans="1:73" ht="43.15" customHeight="1" x14ac:dyDescent="0.25">
      <c r="A397" s="242" t="s">
        <v>90</v>
      </c>
      <c r="B397" s="242" t="s">
        <v>797</v>
      </c>
      <c r="C397" s="159">
        <v>400</v>
      </c>
      <c r="D397" s="114">
        <v>43335</v>
      </c>
      <c r="E397" s="114">
        <v>43335</v>
      </c>
      <c r="F397" s="114"/>
      <c r="G397" s="114"/>
      <c r="H397" s="114">
        <v>43350</v>
      </c>
      <c r="I397" s="114">
        <v>43350</v>
      </c>
      <c r="J397" s="114">
        <v>43371</v>
      </c>
      <c r="K397" s="114"/>
      <c r="L397" s="114">
        <v>43388</v>
      </c>
      <c r="M397" s="114">
        <v>43382</v>
      </c>
      <c r="N397" s="114"/>
      <c r="O397" s="114">
        <v>43389</v>
      </c>
      <c r="P397" s="114">
        <v>43389</v>
      </c>
      <c r="Q397" s="114">
        <v>43435</v>
      </c>
      <c r="R397" s="80"/>
      <c r="S397" s="114"/>
      <c r="T397" s="75"/>
      <c r="U397" s="75"/>
      <c r="V397" s="75"/>
      <c r="W397" s="75">
        <v>2</v>
      </c>
      <c r="X397" s="75">
        <v>60319</v>
      </c>
      <c r="Y397" s="75" t="str">
        <f ca="1">IF(I397="",IF(D397="","",IF(W397+X397&lt;15,"Données Nb pers ou RFR manquantes",IF(COUNTA(INDIRECT("TabRFR["&amp;YEAR(D397)&amp;"]"))&lt;&gt;COUNTA(TabRFR[Recherche RFR]),"Data RFR manquantes", IF(X397&lt;=INDEX(TabRFR[[2021]:[2025]],MATCH(BD!W397&amp;"-Très modestes",TabRFR[Recherche RFR],0),MATCH(TEXT(YEAR(BD!D397),"Standard"),TabRFR[[#Headers],[2021]:[2025]],0)),"Très Modeste",IF(X397&lt;=INDEX(TabRFR[[2021]:[2025]],MATCH(BD!W397&amp;"-modestes",TabRFR[Recherche RFR],0),MATCH(TEXT(YEAR(BD!D397),"Standard"),TabRFR[[#Headers],[2021]:[2025]],0)),"Modeste",IF(X397&lt;=INDEX(TabRFR[[2021]:[2025]],MATCH(BD!W397&amp;"-Intermédiaire",TabRFR[Recherche RFR],0),MATCH(TEXT(YEAR(BD!D397),"Standard"),TabRFR[[#Headers],[2021]:[2025]],0)),"Intermédiaire","Supérieur")))))),IF(D397="","",IF(W397+X397&lt;15,"Données Nb pers ou RFR manquantes",IF(COUNTA(INDIRECT("TabRFR["&amp;YEAR(I397)&amp;"]"))&lt;&gt;COUNTA(TabRFR[Recherche RFR]),"Data RFR manquantes", IF(X397&lt;=INDEX(TabRFR[[2021]:[2025]],MATCH(BD!W397&amp;"-Très modestes",TabRFR[Recherche RFR],0),MATCH(TEXT(YEAR(BD!I397),"Standard"),TabRFR[[#Headers],[2021]:[2025]],0)),"Très Modeste",IF(X397&lt;=INDEX(TabRFR[[2021]:[2025]],MATCH(BD!W397&amp;"-modestes",TabRFR[Recherche RFR],0),MATCH(TEXT(YEAR(BD!I397),"Standard"),TabRFR[[#Headers],[2021]:[2025]],0)),"Modeste",IF(X397&lt;=INDEX(TabRFR[[2021]:[2025]],MATCH(BD!W397&amp;"-Intermédiaire",TabRFR[Recherche RFR],0),MATCH(TEXT(YEAR(BD!I397),"Standard"),TabRFR[[#Headers],[2021]:[2025]],0)),"Intermédiaire","Supérieur")))))))</f>
        <v>Data RFR manquantes</v>
      </c>
      <c r="Z397" s="75"/>
      <c r="AA397" s="75" t="s">
        <v>684</v>
      </c>
      <c r="AB397" s="75">
        <v>38210</v>
      </c>
      <c r="AC397" s="75" t="s">
        <v>445</v>
      </c>
      <c r="AD397" s="73"/>
      <c r="AE397" s="102"/>
      <c r="AF397" s="75" t="s">
        <v>95</v>
      </c>
      <c r="AG397" s="75"/>
      <c r="AH397" s="75"/>
      <c r="AI397" s="75"/>
      <c r="AJ397" s="75"/>
      <c r="AK397" s="75"/>
      <c r="AL397" s="75"/>
      <c r="AM397" s="75" t="s">
        <v>4035</v>
      </c>
      <c r="AN397" s="75" t="s">
        <v>108</v>
      </c>
      <c r="AO397" s="75" t="s">
        <v>109</v>
      </c>
      <c r="AP397" s="75" t="s">
        <v>97</v>
      </c>
      <c r="AQ397" s="75"/>
      <c r="AR397" s="74">
        <v>43644</v>
      </c>
      <c r="AS397" s="102" t="s">
        <v>110</v>
      </c>
      <c r="AT397" s="73" t="s">
        <v>616</v>
      </c>
      <c r="AU397" s="75" t="s">
        <v>99</v>
      </c>
      <c r="AV397" s="75">
        <v>1994</v>
      </c>
      <c r="AW397" s="75" t="s">
        <v>777</v>
      </c>
      <c r="AX397" s="75" t="s">
        <v>112</v>
      </c>
      <c r="AY397" s="75" t="s">
        <v>113</v>
      </c>
      <c r="AZ397" s="75" t="s">
        <v>798</v>
      </c>
      <c r="BA397" s="75">
        <v>35</v>
      </c>
      <c r="BB397" s="75">
        <v>5.9</v>
      </c>
      <c r="BC397" s="75">
        <v>80.2</v>
      </c>
      <c r="BD397" s="75">
        <v>0.09</v>
      </c>
      <c r="BE397" s="75" t="s">
        <v>97</v>
      </c>
      <c r="BF397" s="77"/>
      <c r="BG397" s="75">
        <v>3624.79</v>
      </c>
      <c r="BH397" s="75"/>
      <c r="BI397" s="75"/>
      <c r="BJ397" s="75"/>
      <c r="BK397" s="75">
        <v>700</v>
      </c>
      <c r="BL397" s="75">
        <f t="shared" si="18"/>
        <v>4324.79</v>
      </c>
      <c r="BM397" s="103">
        <f t="shared" si="19"/>
        <v>237.86345</v>
      </c>
      <c r="BN397" s="103">
        <f t="shared" si="20"/>
        <v>4562.6534499999998</v>
      </c>
      <c r="BO397" s="103">
        <f>3062+1500</f>
        <v>4562</v>
      </c>
      <c r="BP397" s="75" t="s">
        <v>97</v>
      </c>
      <c r="BQ397" s="75"/>
      <c r="BR397" s="74">
        <v>43416</v>
      </c>
      <c r="BS397" s="157">
        <v>2018</v>
      </c>
      <c r="BT397">
        <v>2020</v>
      </c>
      <c r="BU397">
        <v>2018</v>
      </c>
    </row>
    <row r="398" spans="1:73" ht="43.15" customHeight="1" x14ac:dyDescent="0.25">
      <c r="A398" s="242" t="s">
        <v>90</v>
      </c>
      <c r="B398" s="242" t="s">
        <v>799</v>
      </c>
      <c r="C398" s="159">
        <v>400</v>
      </c>
      <c r="D398" s="114">
        <v>43341</v>
      </c>
      <c r="E398" s="114">
        <v>43341</v>
      </c>
      <c r="F398" s="114"/>
      <c r="G398" s="114"/>
      <c r="H398" s="114">
        <v>43350</v>
      </c>
      <c r="I398" s="114">
        <v>43350</v>
      </c>
      <c r="J398" s="114">
        <v>43371</v>
      </c>
      <c r="K398" s="114"/>
      <c r="L398" s="114">
        <v>43425</v>
      </c>
      <c r="M398" s="114">
        <v>43383</v>
      </c>
      <c r="N398" s="114" t="s">
        <v>800</v>
      </c>
      <c r="O398" s="114">
        <v>43511</v>
      </c>
      <c r="P398" s="114">
        <v>43517</v>
      </c>
      <c r="Q398" s="114">
        <v>43515</v>
      </c>
      <c r="R398" s="80"/>
      <c r="S398" s="114"/>
      <c r="T398" s="75"/>
      <c r="U398" s="75"/>
      <c r="V398" s="75"/>
      <c r="W398" s="75">
        <v>3</v>
      </c>
      <c r="X398" s="75">
        <v>19620</v>
      </c>
      <c r="Y398" s="75" t="str">
        <f ca="1">IF(I398="",IF(D398="","",IF(W398+X398&lt;15,"Données Nb pers ou RFR manquantes",IF(COUNTA(INDIRECT("TabRFR["&amp;YEAR(D398)&amp;"]"))&lt;&gt;COUNTA(TabRFR[Recherche RFR]),"Data RFR manquantes", IF(X398&lt;=INDEX(TabRFR[[2021]:[2025]],MATCH(BD!W398&amp;"-Très modestes",TabRFR[Recherche RFR],0),MATCH(TEXT(YEAR(BD!D398),"Standard"),TabRFR[[#Headers],[2021]:[2025]],0)),"Très Modeste",IF(X398&lt;=INDEX(TabRFR[[2021]:[2025]],MATCH(BD!W398&amp;"-modestes",TabRFR[Recherche RFR],0),MATCH(TEXT(YEAR(BD!D398),"Standard"),TabRFR[[#Headers],[2021]:[2025]],0)),"Modeste",IF(X398&lt;=INDEX(TabRFR[[2021]:[2025]],MATCH(BD!W398&amp;"-Intermédiaire",TabRFR[Recherche RFR],0),MATCH(TEXT(YEAR(BD!D398),"Standard"),TabRFR[[#Headers],[2021]:[2025]],0)),"Intermédiaire","Supérieur")))))),IF(D398="","",IF(W398+X398&lt;15,"Données Nb pers ou RFR manquantes",IF(COUNTA(INDIRECT("TabRFR["&amp;YEAR(I398)&amp;"]"))&lt;&gt;COUNTA(TabRFR[Recherche RFR]),"Data RFR manquantes", IF(X398&lt;=INDEX(TabRFR[[2021]:[2025]],MATCH(BD!W398&amp;"-Très modestes",TabRFR[Recherche RFR],0),MATCH(TEXT(YEAR(BD!I398),"Standard"),TabRFR[[#Headers],[2021]:[2025]],0)),"Très Modeste",IF(X398&lt;=INDEX(TabRFR[[2021]:[2025]],MATCH(BD!W398&amp;"-modestes",TabRFR[Recherche RFR],0),MATCH(TEXT(YEAR(BD!I398),"Standard"),TabRFR[[#Headers],[2021]:[2025]],0)),"Modeste",IF(X398&lt;=INDEX(TabRFR[[2021]:[2025]],MATCH(BD!W398&amp;"-Intermédiaire",TabRFR[Recherche RFR],0),MATCH(TEXT(YEAR(BD!I398),"Standard"),TabRFR[[#Headers],[2021]:[2025]],0)),"Intermédiaire","Supérieur")))))))</f>
        <v>Data RFR manquantes</v>
      </c>
      <c r="Z398" s="75"/>
      <c r="AA398" s="75" t="s">
        <v>801</v>
      </c>
      <c r="AB398" s="75">
        <v>38500</v>
      </c>
      <c r="AC398" s="75" t="s">
        <v>94</v>
      </c>
      <c r="AD398" s="73"/>
      <c r="AE398" s="102"/>
      <c r="AF398" s="75"/>
      <c r="AG398" s="75"/>
      <c r="AH398" s="75"/>
      <c r="AI398" s="75"/>
      <c r="AJ398" s="75"/>
      <c r="AK398" s="75"/>
      <c r="AL398" s="75"/>
      <c r="AM398" s="75" t="s">
        <v>4348</v>
      </c>
      <c r="AN398" s="75" t="s">
        <v>96</v>
      </c>
      <c r="AO398" s="75"/>
      <c r="AP398" s="75" t="s">
        <v>97</v>
      </c>
      <c r="AQ398" s="75"/>
      <c r="AR398" s="74">
        <v>43698</v>
      </c>
      <c r="AS398" s="102" t="s">
        <v>98</v>
      </c>
      <c r="AT398" s="73" t="s">
        <v>802</v>
      </c>
      <c r="AU398" s="75" t="s">
        <v>99</v>
      </c>
      <c r="AV398" s="75">
        <v>1981</v>
      </c>
      <c r="AW398" s="75" t="s">
        <v>100</v>
      </c>
      <c r="AX398" s="75" t="s">
        <v>112</v>
      </c>
      <c r="AY398" s="75" t="s">
        <v>251</v>
      </c>
      <c r="AZ398" s="75" t="s">
        <v>803</v>
      </c>
      <c r="BA398" s="75">
        <v>14</v>
      </c>
      <c r="BB398" s="75">
        <v>7.9</v>
      </c>
      <c r="BC398" s="75">
        <v>77</v>
      </c>
      <c r="BD398" s="75">
        <v>7.0000000000000007E-2</v>
      </c>
      <c r="BE398" s="75" t="s">
        <v>97</v>
      </c>
      <c r="BF398" s="75"/>
      <c r="BG398" s="75">
        <v>2750</v>
      </c>
      <c r="BH398" s="75"/>
      <c r="BI398" s="75"/>
      <c r="BJ398" s="75"/>
      <c r="BK398" s="75">
        <v>480</v>
      </c>
      <c r="BL398" s="75">
        <f t="shared" si="18"/>
        <v>3230</v>
      </c>
      <c r="BM398" s="103">
        <f t="shared" si="19"/>
        <v>177.65</v>
      </c>
      <c r="BN398" s="103">
        <f t="shared" si="20"/>
        <v>3407.65</v>
      </c>
      <c r="BO398" s="103">
        <v>3536</v>
      </c>
      <c r="BP398" s="75" t="s">
        <v>97</v>
      </c>
      <c r="BQ398" s="75"/>
      <c r="BR398" s="74">
        <v>43416</v>
      </c>
      <c r="BS398" s="157">
        <v>2018</v>
      </c>
      <c r="BT398">
        <v>2020</v>
      </c>
      <c r="BU398">
        <v>2018</v>
      </c>
    </row>
    <row r="399" spans="1:73" ht="43.15" customHeight="1" x14ac:dyDescent="0.25">
      <c r="A399" s="242" t="s">
        <v>90</v>
      </c>
      <c r="B399" s="242" t="s">
        <v>804</v>
      </c>
      <c r="C399" s="159">
        <v>400</v>
      </c>
      <c r="D399" s="114">
        <v>43346</v>
      </c>
      <c r="E399" s="114">
        <v>43346</v>
      </c>
      <c r="F399" s="114">
        <v>43319</v>
      </c>
      <c r="G399" s="114">
        <v>43381</v>
      </c>
      <c r="H399" s="114">
        <v>43381</v>
      </c>
      <c r="I399" s="114">
        <v>43381</v>
      </c>
      <c r="J399" s="114">
        <v>43392</v>
      </c>
      <c r="K399" s="114"/>
      <c r="L399" s="114">
        <v>43479</v>
      </c>
      <c r="M399" s="114">
        <v>43452</v>
      </c>
      <c r="N399" s="114"/>
      <c r="O399" s="114">
        <v>43481</v>
      </c>
      <c r="P399" s="114">
        <v>43481</v>
      </c>
      <c r="Q399" s="114">
        <v>43482</v>
      </c>
      <c r="R399" s="80"/>
      <c r="S399" s="114"/>
      <c r="T399" s="75"/>
      <c r="U399" s="75"/>
      <c r="V399" s="75"/>
      <c r="W399" s="75">
        <v>1</v>
      </c>
      <c r="X399" s="75">
        <v>19899</v>
      </c>
      <c r="Y399" s="75" t="str">
        <f ca="1">IF(I399="",IF(D399="","",IF(W399+X399&lt;15,"Données Nb pers ou RFR manquantes",IF(COUNTA(INDIRECT("TabRFR["&amp;YEAR(D399)&amp;"]"))&lt;&gt;COUNTA(TabRFR[Recherche RFR]),"Data RFR manquantes", IF(X399&lt;=INDEX(TabRFR[[2021]:[2025]],MATCH(BD!W399&amp;"-Très modestes",TabRFR[Recherche RFR],0),MATCH(TEXT(YEAR(BD!D399),"Standard"),TabRFR[[#Headers],[2021]:[2025]],0)),"Très Modeste",IF(X399&lt;=INDEX(TabRFR[[2021]:[2025]],MATCH(BD!W399&amp;"-modestes",TabRFR[Recherche RFR],0),MATCH(TEXT(YEAR(BD!D399),"Standard"),TabRFR[[#Headers],[2021]:[2025]],0)),"Modeste",IF(X399&lt;=INDEX(TabRFR[[2021]:[2025]],MATCH(BD!W399&amp;"-Intermédiaire",TabRFR[Recherche RFR],0),MATCH(TEXT(YEAR(BD!D399),"Standard"),TabRFR[[#Headers],[2021]:[2025]],0)),"Intermédiaire","Supérieur")))))),IF(D399="","",IF(W399+X399&lt;15,"Données Nb pers ou RFR manquantes",IF(COUNTA(INDIRECT("TabRFR["&amp;YEAR(I399)&amp;"]"))&lt;&gt;COUNTA(TabRFR[Recherche RFR]),"Data RFR manquantes", IF(X399&lt;=INDEX(TabRFR[[2021]:[2025]],MATCH(BD!W399&amp;"-Très modestes",TabRFR[Recherche RFR],0),MATCH(TEXT(YEAR(BD!I399),"Standard"),TabRFR[[#Headers],[2021]:[2025]],0)),"Très Modeste",IF(X399&lt;=INDEX(TabRFR[[2021]:[2025]],MATCH(BD!W399&amp;"-modestes",TabRFR[Recherche RFR],0),MATCH(TEXT(YEAR(BD!I399),"Standard"),TabRFR[[#Headers],[2021]:[2025]],0)),"Modeste",IF(X399&lt;=INDEX(TabRFR[[2021]:[2025]],MATCH(BD!W399&amp;"-Intermédiaire",TabRFR[Recherche RFR],0),MATCH(TEXT(YEAR(BD!I399),"Standard"),TabRFR[[#Headers],[2021]:[2025]],0)),"Intermédiaire","Supérieur")))))))</f>
        <v>Data RFR manquantes</v>
      </c>
      <c r="Z399" s="75"/>
      <c r="AA399" s="75" t="s">
        <v>805</v>
      </c>
      <c r="AB399" s="75">
        <v>38500</v>
      </c>
      <c r="AC399" s="75" t="s">
        <v>96</v>
      </c>
      <c r="AD399" s="73"/>
      <c r="AE399" s="102"/>
      <c r="AF399" s="75"/>
      <c r="AG399" s="75"/>
      <c r="AH399" s="75"/>
      <c r="AI399" s="75"/>
      <c r="AJ399" s="75"/>
      <c r="AK399" s="75"/>
      <c r="AL399" s="75"/>
      <c r="AM399" s="75" t="s">
        <v>4191</v>
      </c>
      <c r="AN399" s="75" t="s">
        <v>96</v>
      </c>
      <c r="AO399" s="75" t="s">
        <v>229</v>
      </c>
      <c r="AP399" s="75" t="s">
        <v>97</v>
      </c>
      <c r="AQ399" s="75"/>
      <c r="AR399" s="74">
        <v>43681</v>
      </c>
      <c r="AS399" s="102" t="s">
        <v>230</v>
      </c>
      <c r="AT399" s="73" t="s">
        <v>563</v>
      </c>
      <c r="AU399" s="75" t="s">
        <v>100</v>
      </c>
      <c r="AV399" s="75">
        <v>1974</v>
      </c>
      <c r="AW399" s="75" t="s">
        <v>100</v>
      </c>
      <c r="AX399" s="75" t="s">
        <v>2071</v>
      </c>
      <c r="AY399" s="75" t="s">
        <v>806</v>
      </c>
      <c r="AZ399" s="75" t="s">
        <v>807</v>
      </c>
      <c r="BA399" s="75">
        <v>13.5</v>
      </c>
      <c r="BB399" s="75">
        <v>9</v>
      </c>
      <c r="BC399" s="75">
        <v>90.8</v>
      </c>
      <c r="BD399" s="75">
        <v>4.0000000000000001E-3</v>
      </c>
      <c r="BE399" s="75" t="s">
        <v>374</v>
      </c>
      <c r="BF399" s="77"/>
      <c r="BG399" s="75">
        <v>5150</v>
      </c>
      <c r="BH399" s="75"/>
      <c r="BI399" s="75"/>
      <c r="BJ399" s="75"/>
      <c r="BK399" s="75"/>
      <c r="BL399" s="75">
        <f t="shared" si="18"/>
        <v>5150</v>
      </c>
      <c r="BM399" s="103">
        <f t="shared" si="19"/>
        <v>283.25</v>
      </c>
      <c r="BN399" s="103">
        <f t="shared" si="20"/>
        <v>5433.25</v>
      </c>
      <c r="BO399" s="103">
        <v>5893</v>
      </c>
      <c r="BP399" s="75" t="s">
        <v>97</v>
      </c>
      <c r="BQ399" s="75"/>
      <c r="BR399" s="75"/>
      <c r="BS399" s="157">
        <v>2018</v>
      </c>
      <c r="BU399">
        <v>2018</v>
      </c>
    </row>
    <row r="400" spans="1:73" ht="43.15" customHeight="1" x14ac:dyDescent="0.25">
      <c r="A400" s="242" t="s">
        <v>749</v>
      </c>
      <c r="B400" s="242" t="s">
        <v>808</v>
      </c>
      <c r="C400" s="159">
        <v>400</v>
      </c>
      <c r="D400" s="114">
        <v>43348</v>
      </c>
      <c r="E400" s="114">
        <v>43348</v>
      </c>
      <c r="F400" s="114">
        <v>43361</v>
      </c>
      <c r="G400" s="114"/>
      <c r="H400" s="114">
        <v>43368</v>
      </c>
      <c r="I400" s="114">
        <v>43368</v>
      </c>
      <c r="J400" s="114">
        <v>43392</v>
      </c>
      <c r="K400" s="114"/>
      <c r="L400" s="114">
        <v>43423</v>
      </c>
      <c r="M400" s="114">
        <v>43402</v>
      </c>
      <c r="N400" s="114"/>
      <c r="O400" s="114">
        <v>43438</v>
      </c>
      <c r="P400" s="114">
        <v>43438</v>
      </c>
      <c r="Q400" s="114">
        <v>43440</v>
      </c>
      <c r="R400" s="80"/>
      <c r="S400" s="114"/>
      <c r="T400" s="75"/>
      <c r="U400" s="75"/>
      <c r="V400" s="75"/>
      <c r="W400" s="75">
        <v>1</v>
      </c>
      <c r="X400" s="75">
        <v>30615</v>
      </c>
      <c r="Y400" s="75" t="str">
        <f ca="1">IF(I400="",IF(D400="","",IF(W400+X400&lt;15,"Données Nb pers ou RFR manquantes",IF(COUNTA(INDIRECT("TabRFR["&amp;YEAR(D400)&amp;"]"))&lt;&gt;COUNTA(TabRFR[Recherche RFR]),"Data RFR manquantes", IF(X400&lt;=INDEX(TabRFR[[2021]:[2025]],MATCH(BD!W400&amp;"-Très modestes",TabRFR[Recherche RFR],0),MATCH(TEXT(YEAR(BD!D400),"Standard"),TabRFR[[#Headers],[2021]:[2025]],0)),"Très Modeste",IF(X400&lt;=INDEX(TabRFR[[2021]:[2025]],MATCH(BD!W400&amp;"-modestes",TabRFR[Recherche RFR],0),MATCH(TEXT(YEAR(BD!D400),"Standard"),TabRFR[[#Headers],[2021]:[2025]],0)),"Modeste",IF(X400&lt;=INDEX(TabRFR[[2021]:[2025]],MATCH(BD!W400&amp;"-Intermédiaire",TabRFR[Recherche RFR],0),MATCH(TEXT(YEAR(BD!D400),"Standard"),TabRFR[[#Headers],[2021]:[2025]],0)),"Intermédiaire","Supérieur")))))),IF(D400="","",IF(W400+X400&lt;15,"Données Nb pers ou RFR manquantes",IF(COUNTA(INDIRECT("TabRFR["&amp;YEAR(I400)&amp;"]"))&lt;&gt;COUNTA(TabRFR[Recherche RFR]),"Data RFR manquantes", IF(X400&lt;=INDEX(TabRFR[[2021]:[2025]],MATCH(BD!W400&amp;"-Très modestes",TabRFR[Recherche RFR],0),MATCH(TEXT(YEAR(BD!I400),"Standard"),TabRFR[[#Headers],[2021]:[2025]],0)),"Très Modeste",IF(X400&lt;=INDEX(TabRFR[[2021]:[2025]],MATCH(BD!W400&amp;"-modestes",TabRFR[Recherche RFR],0),MATCH(TEXT(YEAR(BD!I400),"Standard"),TabRFR[[#Headers],[2021]:[2025]],0)),"Modeste",IF(X400&lt;=INDEX(TabRFR[[2021]:[2025]],MATCH(BD!W400&amp;"-Intermédiaire",TabRFR[Recherche RFR],0),MATCH(TEXT(YEAR(BD!I400),"Standard"),TabRFR[[#Headers],[2021]:[2025]],0)),"Intermédiaire","Supérieur")))))))</f>
        <v>Data RFR manquantes</v>
      </c>
      <c r="Z400" s="75"/>
      <c r="AA400" s="75" t="s">
        <v>809</v>
      </c>
      <c r="AB400" s="75">
        <v>38850</v>
      </c>
      <c r="AC400" s="75" t="s">
        <v>148</v>
      </c>
      <c r="AD400" s="73"/>
      <c r="AE400" s="102"/>
      <c r="AF400" s="75" t="s">
        <v>95</v>
      </c>
      <c r="AG400" s="75"/>
      <c r="AH400" s="75"/>
      <c r="AI400" s="75"/>
      <c r="AJ400" s="75"/>
      <c r="AK400" s="75"/>
      <c r="AL400" s="75"/>
      <c r="AM400" s="75" t="s">
        <v>4236</v>
      </c>
      <c r="AN400" s="75" t="s">
        <v>4091</v>
      </c>
      <c r="AO400" s="75" t="s">
        <v>163</v>
      </c>
      <c r="AP400" s="75" t="s">
        <v>97</v>
      </c>
      <c r="AQ400" s="75"/>
      <c r="AR400" s="74">
        <v>43725</v>
      </c>
      <c r="AS400" s="102" t="s">
        <v>164</v>
      </c>
      <c r="AT400" s="73" t="s">
        <v>608</v>
      </c>
      <c r="AU400" s="75" t="s">
        <v>100</v>
      </c>
      <c r="AV400" s="75" t="s">
        <v>810</v>
      </c>
      <c r="AW400" s="75" t="s">
        <v>100</v>
      </c>
      <c r="AX400" s="75" t="s">
        <v>112</v>
      </c>
      <c r="AY400" s="75" t="s">
        <v>440</v>
      </c>
      <c r="AZ400" s="75" t="s">
        <v>811</v>
      </c>
      <c r="BA400" s="75">
        <v>16</v>
      </c>
      <c r="BB400" s="75">
        <v>9.1</v>
      </c>
      <c r="BC400" s="75">
        <v>91.8</v>
      </c>
      <c r="BD400" s="75">
        <v>3.0000000000000001E-3</v>
      </c>
      <c r="BE400" s="75" t="s">
        <v>97</v>
      </c>
      <c r="BF400" s="75"/>
      <c r="BG400" s="75">
        <v>3700</v>
      </c>
      <c r="BH400" s="75"/>
      <c r="BI400" s="75"/>
      <c r="BJ400" s="75"/>
      <c r="BK400" s="75"/>
      <c r="BL400" s="75">
        <f t="shared" si="18"/>
        <v>3700</v>
      </c>
      <c r="BM400" s="103">
        <f t="shared" si="19"/>
        <v>203.5</v>
      </c>
      <c r="BN400" s="103">
        <f t="shared" si="20"/>
        <v>3903.5</v>
      </c>
      <c r="BO400" s="103">
        <v>5586</v>
      </c>
      <c r="BP400" s="75"/>
      <c r="BQ400" s="75"/>
      <c r="BR400" s="74">
        <v>43416</v>
      </c>
      <c r="BS400" s="157">
        <v>2018</v>
      </c>
      <c r="BT400">
        <v>2020</v>
      </c>
      <c r="BU400">
        <v>2018</v>
      </c>
    </row>
    <row r="401" spans="1:73" ht="43.15" customHeight="1" x14ac:dyDescent="0.25">
      <c r="A401" s="242" t="s">
        <v>749</v>
      </c>
      <c r="B401" s="242" t="s">
        <v>812</v>
      </c>
      <c r="C401" s="159">
        <v>400</v>
      </c>
      <c r="D401" s="114">
        <v>43350</v>
      </c>
      <c r="E401" s="114">
        <v>43350</v>
      </c>
      <c r="F401" s="114"/>
      <c r="G401" s="114"/>
      <c r="H401" s="114">
        <v>43361</v>
      </c>
      <c r="I401" s="114">
        <v>43362</v>
      </c>
      <c r="J401" s="114">
        <v>43371</v>
      </c>
      <c r="K401" s="114"/>
      <c r="L401" s="114">
        <v>43384</v>
      </c>
      <c r="M401" s="114">
        <v>43378</v>
      </c>
      <c r="N401" s="114" t="s">
        <v>813</v>
      </c>
      <c r="O401" s="114">
        <v>43403</v>
      </c>
      <c r="P401" s="114">
        <v>43403</v>
      </c>
      <c r="Q401" s="114">
        <v>43431</v>
      </c>
      <c r="R401" s="80"/>
      <c r="S401" s="114"/>
      <c r="T401" s="75"/>
      <c r="U401" s="75"/>
      <c r="V401" s="75"/>
      <c r="W401" s="75">
        <v>2</v>
      </c>
      <c r="X401" s="75">
        <v>98081</v>
      </c>
      <c r="Y401" s="75" t="str">
        <f ca="1">IF(I401="",IF(D401="","",IF(W401+X401&lt;15,"Données Nb pers ou RFR manquantes",IF(COUNTA(INDIRECT("TabRFR["&amp;YEAR(D401)&amp;"]"))&lt;&gt;COUNTA(TabRFR[Recherche RFR]),"Data RFR manquantes", IF(X401&lt;=INDEX(TabRFR[[2021]:[2025]],MATCH(BD!W401&amp;"-Très modestes",TabRFR[Recherche RFR],0),MATCH(TEXT(YEAR(BD!D401),"Standard"),TabRFR[[#Headers],[2021]:[2025]],0)),"Très Modeste",IF(X401&lt;=INDEX(TabRFR[[2021]:[2025]],MATCH(BD!W401&amp;"-modestes",TabRFR[Recherche RFR],0),MATCH(TEXT(YEAR(BD!D401),"Standard"),TabRFR[[#Headers],[2021]:[2025]],0)),"Modeste",IF(X401&lt;=INDEX(TabRFR[[2021]:[2025]],MATCH(BD!W401&amp;"-Intermédiaire",TabRFR[Recherche RFR],0),MATCH(TEXT(YEAR(BD!D401),"Standard"),TabRFR[[#Headers],[2021]:[2025]],0)),"Intermédiaire","Supérieur")))))),IF(D401="","",IF(W401+X401&lt;15,"Données Nb pers ou RFR manquantes",IF(COUNTA(INDIRECT("TabRFR["&amp;YEAR(I401)&amp;"]"))&lt;&gt;COUNTA(TabRFR[Recherche RFR]),"Data RFR manquantes", IF(X401&lt;=INDEX(TabRFR[[2021]:[2025]],MATCH(BD!W401&amp;"-Très modestes",TabRFR[Recherche RFR],0),MATCH(TEXT(YEAR(BD!I401),"Standard"),TabRFR[[#Headers],[2021]:[2025]],0)),"Très Modeste",IF(X401&lt;=INDEX(TabRFR[[2021]:[2025]],MATCH(BD!W401&amp;"-modestes",TabRFR[Recherche RFR],0),MATCH(TEXT(YEAR(BD!I401),"Standard"),TabRFR[[#Headers],[2021]:[2025]],0)),"Modeste",IF(X401&lt;=INDEX(TabRFR[[2021]:[2025]],MATCH(BD!W401&amp;"-Intermédiaire",TabRFR[Recherche RFR],0),MATCH(TEXT(YEAR(BD!I401),"Standard"),TabRFR[[#Headers],[2021]:[2025]],0)),"Intermédiaire","Supérieur")))))))</f>
        <v>Data RFR manquantes</v>
      </c>
      <c r="Z401" s="75"/>
      <c r="AA401" s="75" t="s">
        <v>814</v>
      </c>
      <c r="AB401" s="75">
        <v>38140</v>
      </c>
      <c r="AC401" s="75" t="s">
        <v>321</v>
      </c>
      <c r="AD401" s="73"/>
      <c r="AE401" s="102"/>
      <c r="AF401" s="75" t="s">
        <v>95</v>
      </c>
      <c r="AG401" s="75"/>
      <c r="AH401" s="75"/>
      <c r="AI401" s="75"/>
      <c r="AJ401" s="75"/>
      <c r="AK401" s="75"/>
      <c r="AL401" s="75"/>
      <c r="AM401" s="75" t="s">
        <v>4258</v>
      </c>
      <c r="AN401" s="75" t="s">
        <v>451</v>
      </c>
      <c r="AO401" s="75"/>
      <c r="AP401" s="75" t="s">
        <v>97</v>
      </c>
      <c r="AQ401" s="75"/>
      <c r="AR401" s="74">
        <v>43678</v>
      </c>
      <c r="AS401" s="102" t="s">
        <v>815</v>
      </c>
      <c r="AT401" s="73" t="s">
        <v>699</v>
      </c>
      <c r="AU401" s="75" t="s">
        <v>111</v>
      </c>
      <c r="AV401" s="75">
        <v>1985</v>
      </c>
      <c r="AW401" s="75" t="s">
        <v>100</v>
      </c>
      <c r="AX401" s="75" t="s">
        <v>2071</v>
      </c>
      <c r="AY401" s="75" t="s">
        <v>174</v>
      </c>
      <c r="AZ401" s="75" t="s">
        <v>816</v>
      </c>
      <c r="BA401" s="75">
        <v>17</v>
      </c>
      <c r="BB401" s="75" t="s">
        <v>817</v>
      </c>
      <c r="BC401" s="75">
        <v>91.6</v>
      </c>
      <c r="BD401" s="75">
        <v>0.02</v>
      </c>
      <c r="BE401" s="75" t="s">
        <v>97</v>
      </c>
      <c r="BF401" s="75"/>
      <c r="BG401" s="75">
        <v>3784</v>
      </c>
      <c r="BH401" s="75"/>
      <c r="BI401" s="75"/>
      <c r="BJ401" s="75"/>
      <c r="BK401" s="75"/>
      <c r="BL401" s="75">
        <f t="shared" si="18"/>
        <v>3784</v>
      </c>
      <c r="BM401" s="103">
        <f t="shared" si="19"/>
        <v>208.12</v>
      </c>
      <c r="BN401" s="103">
        <f t="shared" si="20"/>
        <v>3992.12</v>
      </c>
      <c r="BO401" s="103">
        <f>1440+3759</f>
        <v>5199</v>
      </c>
      <c r="BP401" s="75"/>
      <c r="BQ401" s="75"/>
      <c r="BR401" s="75"/>
      <c r="BS401" s="157">
        <v>2018</v>
      </c>
      <c r="BU401">
        <v>2018</v>
      </c>
    </row>
    <row r="402" spans="1:73" ht="43.15" customHeight="1" x14ac:dyDescent="0.25">
      <c r="A402" s="242" t="s">
        <v>749</v>
      </c>
      <c r="B402" s="242" t="s">
        <v>818</v>
      </c>
      <c r="C402" s="159">
        <v>400</v>
      </c>
      <c r="D402" s="114">
        <v>43355</v>
      </c>
      <c r="E402" s="114">
        <v>43355</v>
      </c>
      <c r="F402" s="114"/>
      <c r="G402" s="114"/>
      <c r="H402" s="114">
        <v>43362</v>
      </c>
      <c r="I402" s="114">
        <v>43362</v>
      </c>
      <c r="J402" s="114">
        <v>43371</v>
      </c>
      <c r="K402" s="114"/>
      <c r="L402" s="114">
        <v>43426</v>
      </c>
      <c r="M402" s="114">
        <v>43397</v>
      </c>
      <c r="N402" s="114"/>
      <c r="O402" s="114">
        <v>43468</v>
      </c>
      <c r="P402" s="114">
        <v>43468</v>
      </c>
      <c r="Q402" s="114">
        <v>43482</v>
      </c>
      <c r="R402" s="80"/>
      <c r="S402" s="114"/>
      <c r="T402" s="75"/>
      <c r="U402" s="75"/>
      <c r="V402" s="75"/>
      <c r="W402" s="75">
        <v>3</v>
      </c>
      <c r="X402" s="75">
        <v>43171</v>
      </c>
      <c r="Y402" s="75" t="str">
        <f ca="1">IF(I402="",IF(D402="","",IF(W402+X402&lt;15,"Données Nb pers ou RFR manquantes",IF(COUNTA(INDIRECT("TabRFR["&amp;YEAR(D402)&amp;"]"))&lt;&gt;COUNTA(TabRFR[Recherche RFR]),"Data RFR manquantes", IF(X402&lt;=INDEX(TabRFR[[2021]:[2025]],MATCH(BD!W402&amp;"-Très modestes",TabRFR[Recherche RFR],0),MATCH(TEXT(YEAR(BD!D402),"Standard"),TabRFR[[#Headers],[2021]:[2025]],0)),"Très Modeste",IF(X402&lt;=INDEX(TabRFR[[2021]:[2025]],MATCH(BD!W402&amp;"-modestes",TabRFR[Recherche RFR],0),MATCH(TEXT(YEAR(BD!D402),"Standard"),TabRFR[[#Headers],[2021]:[2025]],0)),"Modeste",IF(X402&lt;=INDEX(TabRFR[[2021]:[2025]],MATCH(BD!W402&amp;"-Intermédiaire",TabRFR[Recherche RFR],0),MATCH(TEXT(YEAR(BD!D402),"Standard"),TabRFR[[#Headers],[2021]:[2025]],0)),"Intermédiaire","Supérieur")))))),IF(D402="","",IF(W402+X402&lt;15,"Données Nb pers ou RFR manquantes",IF(COUNTA(INDIRECT("TabRFR["&amp;YEAR(I402)&amp;"]"))&lt;&gt;COUNTA(TabRFR[Recherche RFR]),"Data RFR manquantes", IF(X402&lt;=INDEX(TabRFR[[2021]:[2025]],MATCH(BD!W402&amp;"-Très modestes",TabRFR[Recherche RFR],0),MATCH(TEXT(YEAR(BD!I402),"Standard"),TabRFR[[#Headers],[2021]:[2025]],0)),"Très Modeste",IF(X402&lt;=INDEX(TabRFR[[2021]:[2025]],MATCH(BD!W402&amp;"-modestes",TabRFR[Recherche RFR],0),MATCH(TEXT(YEAR(BD!I402),"Standard"),TabRFR[[#Headers],[2021]:[2025]],0)),"Modeste",IF(X402&lt;=INDEX(TabRFR[[2021]:[2025]],MATCH(BD!W402&amp;"-Intermédiaire",TabRFR[Recherche RFR],0),MATCH(TEXT(YEAR(BD!I402),"Standard"),TabRFR[[#Headers],[2021]:[2025]],0)),"Intermédiaire","Supérieur")))))))</f>
        <v>Data RFR manquantes</v>
      </c>
      <c r="Z402" s="75"/>
      <c r="AA402" s="75" t="s">
        <v>819</v>
      </c>
      <c r="AB402" s="75">
        <v>38430</v>
      </c>
      <c r="AC402" s="75" t="s">
        <v>3202</v>
      </c>
      <c r="AD402" s="73"/>
      <c r="AE402" s="102"/>
      <c r="AF402" s="75" t="s">
        <v>95</v>
      </c>
      <c r="AG402" s="75"/>
      <c r="AH402" s="75"/>
      <c r="AI402" s="75"/>
      <c r="AJ402" s="75"/>
      <c r="AK402" s="75"/>
      <c r="AL402" s="75"/>
      <c r="AM402" s="75" t="s">
        <v>3973</v>
      </c>
      <c r="AN402" s="75" t="s">
        <v>96</v>
      </c>
      <c r="AO402" s="75"/>
      <c r="AP402" s="75" t="s">
        <v>97</v>
      </c>
      <c r="AQ402" s="75"/>
      <c r="AR402" s="74">
        <v>43726</v>
      </c>
      <c r="AS402" s="102" t="s">
        <v>141</v>
      </c>
      <c r="AT402" s="73" t="s">
        <v>820</v>
      </c>
      <c r="AU402" s="75" t="s">
        <v>100</v>
      </c>
      <c r="AV402" s="75">
        <v>2000</v>
      </c>
      <c r="AW402" s="75" t="s">
        <v>100</v>
      </c>
      <c r="AX402" s="75" t="s">
        <v>2071</v>
      </c>
      <c r="AY402" s="75" t="s">
        <v>440</v>
      </c>
      <c r="AZ402" s="75" t="s">
        <v>821</v>
      </c>
      <c r="BA402" s="75">
        <v>11</v>
      </c>
      <c r="BB402" s="75">
        <v>12</v>
      </c>
      <c r="BC402" s="75">
        <v>88.5</v>
      </c>
      <c r="BD402" s="75">
        <v>0.01</v>
      </c>
      <c r="BE402" s="75" t="s">
        <v>97</v>
      </c>
      <c r="BF402" s="77"/>
      <c r="BG402" s="75">
        <v>2900</v>
      </c>
      <c r="BH402" s="75"/>
      <c r="BI402" s="75"/>
      <c r="BJ402" s="75"/>
      <c r="BK402" s="75">
        <v>590</v>
      </c>
      <c r="BL402" s="75">
        <f t="shared" si="18"/>
        <v>3490</v>
      </c>
      <c r="BM402" s="103">
        <f t="shared" si="19"/>
        <v>191.95</v>
      </c>
      <c r="BN402" s="103">
        <f t="shared" si="20"/>
        <v>3681.95</v>
      </c>
      <c r="BO402" s="103">
        <v>4282</v>
      </c>
      <c r="BP402" s="75"/>
      <c r="BQ402" s="75"/>
      <c r="BR402" s="75"/>
      <c r="BS402" s="157">
        <v>2018</v>
      </c>
      <c r="BU402">
        <v>2018</v>
      </c>
    </row>
    <row r="403" spans="1:73" ht="43.15" customHeight="1" x14ac:dyDescent="0.25">
      <c r="A403" s="242" t="s">
        <v>749</v>
      </c>
      <c r="B403" s="242" t="s">
        <v>822</v>
      </c>
      <c r="C403" s="159">
        <v>400</v>
      </c>
      <c r="D403" s="114">
        <v>43354</v>
      </c>
      <c r="E403" s="114">
        <v>43356</v>
      </c>
      <c r="F403" s="114"/>
      <c r="G403" s="114"/>
      <c r="H403" s="114">
        <v>43362</v>
      </c>
      <c r="I403" s="114">
        <v>43362</v>
      </c>
      <c r="J403" s="114">
        <v>43371</v>
      </c>
      <c r="K403" s="114"/>
      <c r="L403" s="114">
        <v>43403</v>
      </c>
      <c r="M403" s="114">
        <v>43390</v>
      </c>
      <c r="N403" s="114" t="s">
        <v>823</v>
      </c>
      <c r="O403" s="114">
        <v>43418</v>
      </c>
      <c r="P403" s="114">
        <v>43418</v>
      </c>
      <c r="Q403" s="114">
        <v>43440</v>
      </c>
      <c r="R403" s="80"/>
      <c r="S403" s="114"/>
      <c r="T403" s="75"/>
      <c r="U403" s="75"/>
      <c r="V403" s="75"/>
      <c r="W403" s="75">
        <v>2</v>
      </c>
      <c r="X403" s="75">
        <v>29637</v>
      </c>
      <c r="Y403" s="75" t="str">
        <f ca="1">IF(I403="",IF(D403="","",IF(W403+X403&lt;15,"Données Nb pers ou RFR manquantes",IF(COUNTA(INDIRECT("TabRFR["&amp;YEAR(D403)&amp;"]"))&lt;&gt;COUNTA(TabRFR[Recherche RFR]),"Data RFR manquantes", IF(X403&lt;=INDEX(TabRFR[[2021]:[2025]],MATCH(BD!W403&amp;"-Très modestes",TabRFR[Recherche RFR],0),MATCH(TEXT(YEAR(BD!D403),"Standard"),TabRFR[[#Headers],[2021]:[2025]],0)),"Très Modeste",IF(X403&lt;=INDEX(TabRFR[[2021]:[2025]],MATCH(BD!W403&amp;"-modestes",TabRFR[Recherche RFR],0),MATCH(TEXT(YEAR(BD!D403),"Standard"),TabRFR[[#Headers],[2021]:[2025]],0)),"Modeste",IF(X403&lt;=INDEX(TabRFR[[2021]:[2025]],MATCH(BD!W403&amp;"-Intermédiaire",TabRFR[Recherche RFR],0),MATCH(TEXT(YEAR(BD!D403),"Standard"),TabRFR[[#Headers],[2021]:[2025]],0)),"Intermédiaire","Supérieur")))))),IF(D403="","",IF(W403+X403&lt;15,"Données Nb pers ou RFR manquantes",IF(COUNTA(INDIRECT("TabRFR["&amp;YEAR(I403)&amp;"]"))&lt;&gt;COUNTA(TabRFR[Recherche RFR]),"Data RFR manquantes", IF(X403&lt;=INDEX(TabRFR[[2021]:[2025]],MATCH(BD!W403&amp;"-Très modestes",TabRFR[Recherche RFR],0),MATCH(TEXT(YEAR(BD!I403),"Standard"),TabRFR[[#Headers],[2021]:[2025]],0)),"Très Modeste",IF(X403&lt;=INDEX(TabRFR[[2021]:[2025]],MATCH(BD!W403&amp;"-modestes",TabRFR[Recherche RFR],0),MATCH(TEXT(YEAR(BD!I403),"Standard"),TabRFR[[#Headers],[2021]:[2025]],0)),"Modeste",IF(X403&lt;=INDEX(TabRFR[[2021]:[2025]],MATCH(BD!W403&amp;"-Intermédiaire",TabRFR[Recherche RFR],0),MATCH(TEXT(YEAR(BD!I403),"Standard"),TabRFR[[#Headers],[2021]:[2025]],0)),"Intermédiaire","Supérieur")))))))</f>
        <v>Data RFR manquantes</v>
      </c>
      <c r="Z403" s="75"/>
      <c r="AA403" s="75" t="s">
        <v>825</v>
      </c>
      <c r="AB403" s="75">
        <v>38850</v>
      </c>
      <c r="AC403" s="75" t="s">
        <v>4304</v>
      </c>
      <c r="AD403" s="73"/>
      <c r="AE403" s="102"/>
      <c r="AF403" s="75" t="s">
        <v>95</v>
      </c>
      <c r="AG403" s="75"/>
      <c r="AH403" s="75"/>
      <c r="AI403" s="75"/>
      <c r="AJ403" s="75"/>
      <c r="AK403" s="75"/>
      <c r="AL403" s="75"/>
      <c r="AM403" s="75" t="s">
        <v>3973</v>
      </c>
      <c r="AN403" s="75" t="s">
        <v>96</v>
      </c>
      <c r="AO403" s="75"/>
      <c r="AP403" s="75" t="s">
        <v>97</v>
      </c>
      <c r="AQ403" s="75"/>
      <c r="AR403" s="74">
        <v>43726</v>
      </c>
      <c r="AS403" s="102" t="s">
        <v>141</v>
      </c>
      <c r="AT403" s="73" t="s">
        <v>820</v>
      </c>
      <c r="AU403" s="75" t="s">
        <v>399</v>
      </c>
      <c r="AV403" s="75">
        <v>1996</v>
      </c>
      <c r="AW403" s="75" t="s">
        <v>143</v>
      </c>
      <c r="AX403" s="75" t="s">
        <v>112</v>
      </c>
      <c r="AY403" s="75" t="s">
        <v>440</v>
      </c>
      <c r="AZ403" s="75" t="s">
        <v>761</v>
      </c>
      <c r="BA403" s="75">
        <v>0.8</v>
      </c>
      <c r="BB403" s="75">
        <v>10</v>
      </c>
      <c r="BC403" s="75">
        <v>78</v>
      </c>
      <c r="BD403" s="75">
        <v>0.12</v>
      </c>
      <c r="BE403" s="75" t="s">
        <v>97</v>
      </c>
      <c r="BF403" s="75"/>
      <c r="BG403" s="75">
        <v>1512</v>
      </c>
      <c r="BH403" s="75"/>
      <c r="BI403" s="75"/>
      <c r="BJ403" s="75"/>
      <c r="BK403" s="75">
        <v>480</v>
      </c>
      <c r="BL403" s="75">
        <f t="shared" si="18"/>
        <v>1992</v>
      </c>
      <c r="BM403" s="103">
        <f t="shared" si="19"/>
        <v>109.56</v>
      </c>
      <c r="BN403" s="103">
        <f t="shared" si="20"/>
        <v>2101.56</v>
      </c>
      <c r="BO403" s="103"/>
      <c r="BP403" s="75"/>
      <c r="BQ403" s="75"/>
      <c r="BR403" s="74">
        <v>43416</v>
      </c>
      <c r="BS403" s="157">
        <v>2018</v>
      </c>
      <c r="BT403">
        <v>2020</v>
      </c>
      <c r="BU403">
        <v>2018</v>
      </c>
    </row>
    <row r="404" spans="1:73" ht="43.15" customHeight="1" x14ac:dyDescent="0.25">
      <c r="A404" s="242" t="s">
        <v>90</v>
      </c>
      <c r="B404" s="242" t="s">
        <v>826</v>
      </c>
      <c r="C404" s="159">
        <v>400</v>
      </c>
      <c r="D404" s="114">
        <v>43360</v>
      </c>
      <c r="E404" s="114">
        <v>43360</v>
      </c>
      <c r="F404" s="114">
        <v>43370</v>
      </c>
      <c r="G404" s="114" t="s">
        <v>827</v>
      </c>
      <c r="H404" s="114">
        <v>43427</v>
      </c>
      <c r="I404" s="114">
        <v>43427</v>
      </c>
      <c r="J404" s="114">
        <v>43434</v>
      </c>
      <c r="K404" s="114"/>
      <c r="L404" s="114">
        <v>43455</v>
      </c>
      <c r="M404" s="114">
        <v>43448</v>
      </c>
      <c r="N404" s="114"/>
      <c r="O404" s="114">
        <v>43455</v>
      </c>
      <c r="P404" s="114">
        <v>43455</v>
      </c>
      <c r="Q404" s="114">
        <v>43482</v>
      </c>
      <c r="R404" s="80"/>
      <c r="S404" s="114"/>
      <c r="T404" s="75"/>
      <c r="U404" s="75"/>
      <c r="V404" s="75"/>
      <c r="W404" s="75">
        <v>4</v>
      </c>
      <c r="X404" s="75">
        <v>65599</v>
      </c>
      <c r="Y404" s="75" t="str">
        <f ca="1">IF(I404="",IF(D404="","",IF(W404+X404&lt;15,"Données Nb pers ou RFR manquantes",IF(COUNTA(INDIRECT("TabRFR["&amp;YEAR(D404)&amp;"]"))&lt;&gt;COUNTA(TabRFR[Recherche RFR]),"Data RFR manquantes", IF(X404&lt;=INDEX(TabRFR[[2021]:[2025]],MATCH(BD!W404&amp;"-Très modestes",TabRFR[Recherche RFR],0),MATCH(TEXT(YEAR(BD!D404),"Standard"),TabRFR[[#Headers],[2021]:[2025]],0)),"Très Modeste",IF(X404&lt;=INDEX(TabRFR[[2021]:[2025]],MATCH(BD!W404&amp;"-modestes",TabRFR[Recherche RFR],0),MATCH(TEXT(YEAR(BD!D404),"Standard"),TabRFR[[#Headers],[2021]:[2025]],0)),"Modeste",IF(X404&lt;=INDEX(TabRFR[[2021]:[2025]],MATCH(BD!W404&amp;"-Intermédiaire",TabRFR[Recherche RFR],0),MATCH(TEXT(YEAR(BD!D404),"Standard"),TabRFR[[#Headers],[2021]:[2025]],0)),"Intermédiaire","Supérieur")))))),IF(D404="","",IF(W404+X404&lt;15,"Données Nb pers ou RFR manquantes",IF(COUNTA(INDIRECT("TabRFR["&amp;YEAR(I404)&amp;"]"))&lt;&gt;COUNTA(TabRFR[Recherche RFR]),"Data RFR manquantes", IF(X404&lt;=INDEX(TabRFR[[2021]:[2025]],MATCH(BD!W404&amp;"-Très modestes",TabRFR[Recherche RFR],0),MATCH(TEXT(YEAR(BD!I404),"Standard"),TabRFR[[#Headers],[2021]:[2025]],0)),"Très Modeste",IF(X404&lt;=INDEX(TabRFR[[2021]:[2025]],MATCH(BD!W404&amp;"-modestes",TabRFR[Recherche RFR],0),MATCH(TEXT(YEAR(BD!I404),"Standard"),TabRFR[[#Headers],[2021]:[2025]],0)),"Modeste",IF(X404&lt;=INDEX(TabRFR[[2021]:[2025]],MATCH(BD!W404&amp;"-Intermédiaire",TabRFR[Recherche RFR],0),MATCH(TEXT(YEAR(BD!I404),"Standard"),TabRFR[[#Headers],[2021]:[2025]],0)),"Intermédiaire","Supérieur")))))))</f>
        <v>Data RFR manquantes</v>
      </c>
      <c r="Z404" s="75"/>
      <c r="AA404" s="75" t="s">
        <v>828</v>
      </c>
      <c r="AB404" s="75">
        <v>38500</v>
      </c>
      <c r="AC404" s="75" t="s">
        <v>2873</v>
      </c>
      <c r="AD404" s="73"/>
      <c r="AE404" s="102"/>
      <c r="AF404" s="75" t="s">
        <v>95</v>
      </c>
      <c r="AG404" s="75"/>
      <c r="AH404" s="75"/>
      <c r="AI404" s="75"/>
      <c r="AJ404" s="75"/>
      <c r="AK404" s="75"/>
      <c r="AL404" s="75"/>
      <c r="AM404" s="75" t="s">
        <v>4233</v>
      </c>
      <c r="AN404" s="75" t="s">
        <v>829</v>
      </c>
      <c r="AO404" s="75" t="s">
        <v>210</v>
      </c>
      <c r="AP404" s="75" t="s">
        <v>97</v>
      </c>
      <c r="AQ404" s="75"/>
      <c r="AR404" s="74">
        <v>43686</v>
      </c>
      <c r="AS404" s="102" t="s">
        <v>211</v>
      </c>
      <c r="AT404" s="73" t="s">
        <v>634</v>
      </c>
      <c r="AU404" s="75" t="s">
        <v>99</v>
      </c>
      <c r="AV404" s="75">
        <v>1992</v>
      </c>
      <c r="AW404" s="75" t="s">
        <v>100</v>
      </c>
      <c r="AX404" s="77" t="s">
        <v>112</v>
      </c>
      <c r="AY404" s="75" t="s">
        <v>830</v>
      </c>
      <c r="AZ404" s="75" t="s">
        <v>831</v>
      </c>
      <c r="BA404" s="75">
        <v>37</v>
      </c>
      <c r="BB404" s="75">
        <v>6.4</v>
      </c>
      <c r="BC404" s="75">
        <v>77</v>
      </c>
      <c r="BD404" s="75">
        <v>0.09</v>
      </c>
      <c r="BE404" s="75" t="s">
        <v>104</v>
      </c>
      <c r="BF404" s="77"/>
      <c r="BG404" s="75">
        <v>3100.5</v>
      </c>
      <c r="BH404" s="75"/>
      <c r="BI404" s="75"/>
      <c r="BJ404" s="75"/>
      <c r="BK404" s="75">
        <v>1399.5</v>
      </c>
      <c r="BL404" s="75">
        <f t="shared" si="18"/>
        <v>4500</v>
      </c>
      <c r="BM404" s="103">
        <f t="shared" si="19"/>
        <v>247.5</v>
      </c>
      <c r="BN404" s="103">
        <f t="shared" si="20"/>
        <v>4747.5</v>
      </c>
      <c r="BO404" s="103">
        <v>4500</v>
      </c>
      <c r="BP404" s="75" t="s">
        <v>97</v>
      </c>
      <c r="BQ404" s="75"/>
      <c r="BR404" s="74">
        <v>43416</v>
      </c>
      <c r="BS404" s="157">
        <v>2018</v>
      </c>
      <c r="BT404">
        <v>2020</v>
      </c>
      <c r="BU404">
        <v>2018</v>
      </c>
    </row>
    <row r="405" spans="1:73" ht="43.15" customHeight="1" x14ac:dyDescent="0.25">
      <c r="A405" s="242" t="s">
        <v>90</v>
      </c>
      <c r="B405" s="242" t="s">
        <v>832</v>
      </c>
      <c r="C405" s="159">
        <v>400</v>
      </c>
      <c r="D405" s="114">
        <v>43360</v>
      </c>
      <c r="E405" s="114">
        <v>43360</v>
      </c>
      <c r="F405" s="114"/>
      <c r="G405" s="114"/>
      <c r="H405" s="114">
        <v>43370</v>
      </c>
      <c r="I405" s="114">
        <v>43370</v>
      </c>
      <c r="J405" s="114">
        <v>43392</v>
      </c>
      <c r="K405" s="114"/>
      <c r="L405" s="114">
        <v>43440</v>
      </c>
      <c r="M405" s="114">
        <v>43409</v>
      </c>
      <c r="N405" s="114" t="s">
        <v>683</v>
      </c>
      <c r="O405" s="114">
        <v>43481</v>
      </c>
      <c r="P405" s="114">
        <v>43481</v>
      </c>
      <c r="Q405" s="114">
        <v>43482</v>
      </c>
      <c r="R405" s="80"/>
      <c r="S405" s="114"/>
      <c r="T405" s="75"/>
      <c r="U405" s="75"/>
      <c r="V405" s="75"/>
      <c r="W405" s="75">
        <v>2</v>
      </c>
      <c r="X405" s="75">
        <v>21698</v>
      </c>
      <c r="Y405" s="75" t="str">
        <f ca="1">IF(I405="",IF(D405="","",IF(W405+X405&lt;15,"Données Nb pers ou RFR manquantes",IF(COUNTA(INDIRECT("TabRFR["&amp;YEAR(D405)&amp;"]"))&lt;&gt;COUNTA(TabRFR[Recherche RFR]),"Data RFR manquantes", IF(X405&lt;=INDEX(TabRFR[[2021]:[2025]],MATCH(BD!W405&amp;"-Très modestes",TabRFR[Recherche RFR],0),MATCH(TEXT(YEAR(BD!D405),"Standard"),TabRFR[[#Headers],[2021]:[2025]],0)),"Très Modeste",IF(X405&lt;=INDEX(TabRFR[[2021]:[2025]],MATCH(BD!W405&amp;"-modestes",TabRFR[Recherche RFR],0),MATCH(TEXT(YEAR(BD!D405),"Standard"),TabRFR[[#Headers],[2021]:[2025]],0)),"Modeste",IF(X405&lt;=INDEX(TabRFR[[2021]:[2025]],MATCH(BD!W405&amp;"-Intermédiaire",TabRFR[Recherche RFR],0),MATCH(TEXT(YEAR(BD!D405),"Standard"),TabRFR[[#Headers],[2021]:[2025]],0)),"Intermédiaire","Supérieur")))))),IF(D405="","",IF(W405+X405&lt;15,"Données Nb pers ou RFR manquantes",IF(COUNTA(INDIRECT("TabRFR["&amp;YEAR(I405)&amp;"]"))&lt;&gt;COUNTA(TabRFR[Recherche RFR]),"Data RFR manquantes", IF(X405&lt;=INDEX(TabRFR[[2021]:[2025]],MATCH(BD!W405&amp;"-Très modestes",TabRFR[Recherche RFR],0),MATCH(TEXT(YEAR(BD!I405),"Standard"),TabRFR[[#Headers],[2021]:[2025]],0)),"Très Modeste",IF(X405&lt;=INDEX(TabRFR[[2021]:[2025]],MATCH(BD!W405&amp;"-modestes",TabRFR[Recherche RFR],0),MATCH(TEXT(YEAR(BD!I405),"Standard"),TabRFR[[#Headers],[2021]:[2025]],0)),"Modeste",IF(X405&lt;=INDEX(TabRFR[[2021]:[2025]],MATCH(BD!W405&amp;"-Intermédiaire",TabRFR[Recherche RFR],0),MATCH(TEXT(YEAR(BD!I405),"Standard"),TabRFR[[#Headers],[2021]:[2025]],0)),"Intermédiaire","Supérieur")))))))</f>
        <v>Data RFR manquantes</v>
      </c>
      <c r="Z405" s="75"/>
      <c r="AA405" s="75" t="s">
        <v>833</v>
      </c>
      <c r="AB405" s="75">
        <v>38960</v>
      </c>
      <c r="AC405" s="75" t="s">
        <v>2378</v>
      </c>
      <c r="AD405" s="73"/>
      <c r="AE405" s="102"/>
      <c r="AF405" s="75" t="s">
        <v>95</v>
      </c>
      <c r="AG405" s="75"/>
      <c r="AH405" s="75"/>
      <c r="AI405" s="75"/>
      <c r="AJ405" s="75"/>
      <c r="AK405" s="75"/>
      <c r="AL405" s="75"/>
      <c r="AM405" s="75" t="s">
        <v>4348</v>
      </c>
      <c r="AN405" s="75" t="s">
        <v>96</v>
      </c>
      <c r="AO405" s="75"/>
      <c r="AP405" s="75" t="s">
        <v>97</v>
      </c>
      <c r="AQ405" s="75"/>
      <c r="AR405" s="74">
        <v>43698</v>
      </c>
      <c r="AS405" s="102" t="s">
        <v>98</v>
      </c>
      <c r="AT405" s="73" t="s">
        <v>802</v>
      </c>
      <c r="AU405" s="75" t="s">
        <v>99</v>
      </c>
      <c r="AV405" s="75">
        <v>2000</v>
      </c>
      <c r="AW405" s="75" t="s">
        <v>100</v>
      </c>
      <c r="AX405" s="75" t="s">
        <v>2071</v>
      </c>
      <c r="AY405" s="75" t="s">
        <v>102</v>
      </c>
      <c r="AZ405" s="75" t="s">
        <v>834</v>
      </c>
      <c r="BA405" s="75">
        <v>17</v>
      </c>
      <c r="BB405" s="75">
        <v>8</v>
      </c>
      <c r="BC405" s="75">
        <v>90.9</v>
      </c>
      <c r="BD405" s="75">
        <v>3.0000000000000001E-3</v>
      </c>
      <c r="BE405" s="75" t="s">
        <v>97</v>
      </c>
      <c r="BF405" s="77"/>
      <c r="BG405" s="75">
        <v>2880</v>
      </c>
      <c r="BH405" s="75"/>
      <c r="BI405" s="75"/>
      <c r="BJ405" s="75"/>
      <c r="BK405" s="75">
        <v>235</v>
      </c>
      <c r="BL405" s="75">
        <f t="shared" si="18"/>
        <v>3115</v>
      </c>
      <c r="BM405" s="103">
        <f t="shared" si="19"/>
        <v>171.32499999999999</v>
      </c>
      <c r="BN405" s="103">
        <f t="shared" si="20"/>
        <v>3286.3249999999998</v>
      </c>
      <c r="BO405" s="103">
        <f>3039+1138</f>
        <v>4177</v>
      </c>
      <c r="BP405" s="75" t="s">
        <v>104</v>
      </c>
      <c r="BQ405" s="75"/>
      <c r="BR405" s="75"/>
      <c r="BS405" s="157">
        <v>2018</v>
      </c>
      <c r="BU405">
        <v>2018</v>
      </c>
    </row>
    <row r="406" spans="1:73" ht="43.15" customHeight="1" x14ac:dyDescent="0.25">
      <c r="A406" s="242" t="s">
        <v>90</v>
      </c>
      <c r="B406" s="242" t="s">
        <v>835</v>
      </c>
      <c r="C406" s="159">
        <v>800</v>
      </c>
      <c r="D406" s="114">
        <v>43357</v>
      </c>
      <c r="E406" s="114">
        <v>43360</v>
      </c>
      <c r="F406" s="114"/>
      <c r="G406" s="114"/>
      <c r="H406" s="114">
        <v>43370</v>
      </c>
      <c r="I406" s="114">
        <v>43370</v>
      </c>
      <c r="J406" s="114">
        <v>43392</v>
      </c>
      <c r="K406" s="114"/>
      <c r="L406" s="114">
        <v>43437</v>
      </c>
      <c r="M406" s="114">
        <v>43417</v>
      </c>
      <c r="N406" s="114" t="s">
        <v>836</v>
      </c>
      <c r="O406" s="114">
        <v>43438</v>
      </c>
      <c r="P406" s="114">
        <v>43438</v>
      </c>
      <c r="Q406" s="114">
        <v>43440</v>
      </c>
      <c r="R406" s="100"/>
      <c r="S406" s="114"/>
      <c r="T406" s="75"/>
      <c r="U406" s="75"/>
      <c r="V406" s="75"/>
      <c r="W406" s="75">
        <v>2</v>
      </c>
      <c r="X406" s="75">
        <f>6474+15608</f>
        <v>22082</v>
      </c>
      <c r="Y406" s="75" t="str">
        <f ca="1">IF(I406="",IF(D406="","",IF(W406+X406&lt;15,"Données Nb pers ou RFR manquantes",IF(COUNTA(INDIRECT("TabRFR["&amp;YEAR(D406)&amp;"]"))&lt;&gt;COUNTA(TabRFR[Recherche RFR]),"Data RFR manquantes", IF(X406&lt;=INDEX(TabRFR[[2021]:[2025]],MATCH(BD!W406&amp;"-Très modestes",TabRFR[Recherche RFR],0),MATCH(TEXT(YEAR(BD!D406),"Standard"),TabRFR[[#Headers],[2021]:[2025]],0)),"Très Modeste",IF(X406&lt;=INDEX(TabRFR[[2021]:[2025]],MATCH(BD!W406&amp;"-modestes",TabRFR[Recherche RFR],0),MATCH(TEXT(YEAR(BD!D406),"Standard"),TabRFR[[#Headers],[2021]:[2025]],0)),"Modeste",IF(X406&lt;=INDEX(TabRFR[[2021]:[2025]],MATCH(BD!W406&amp;"-Intermédiaire",TabRFR[Recherche RFR],0),MATCH(TEXT(YEAR(BD!D406),"Standard"),TabRFR[[#Headers],[2021]:[2025]],0)),"Intermédiaire","Supérieur")))))),IF(D406="","",IF(W406+X406&lt;15,"Données Nb pers ou RFR manquantes",IF(COUNTA(INDIRECT("TabRFR["&amp;YEAR(I406)&amp;"]"))&lt;&gt;COUNTA(TabRFR[Recherche RFR]),"Data RFR manquantes", IF(X406&lt;=INDEX(TabRFR[[2021]:[2025]],MATCH(BD!W406&amp;"-Très modestes",TabRFR[Recherche RFR],0),MATCH(TEXT(YEAR(BD!I406),"Standard"),TabRFR[[#Headers],[2021]:[2025]],0)),"Très Modeste",IF(X406&lt;=INDEX(TabRFR[[2021]:[2025]],MATCH(BD!W406&amp;"-modestes",TabRFR[Recherche RFR],0),MATCH(TEXT(YEAR(BD!I406),"Standard"),TabRFR[[#Headers],[2021]:[2025]],0)),"Modeste",IF(X406&lt;=INDEX(TabRFR[[2021]:[2025]],MATCH(BD!W406&amp;"-Intermédiaire",TabRFR[Recherche RFR],0),MATCH(TEXT(YEAR(BD!I406),"Standard"),TabRFR[[#Headers],[2021]:[2025]],0)),"Intermédiaire","Supérieur")))))))</f>
        <v>Data RFR manquantes</v>
      </c>
      <c r="Z406" s="75"/>
      <c r="AA406" s="75" t="s">
        <v>838</v>
      </c>
      <c r="AB406" s="75">
        <v>38140</v>
      </c>
      <c r="AC406" s="75" t="s">
        <v>321</v>
      </c>
      <c r="AD406" s="73"/>
      <c r="AE406" s="102"/>
      <c r="AF406" s="75" t="s">
        <v>95</v>
      </c>
      <c r="AG406" s="75"/>
      <c r="AH406" s="75"/>
      <c r="AI406" s="75"/>
      <c r="AJ406" s="75"/>
      <c r="AK406" s="75"/>
      <c r="AL406" s="75"/>
      <c r="AM406" s="75" t="s">
        <v>4233</v>
      </c>
      <c r="AN406" s="75" t="s">
        <v>829</v>
      </c>
      <c r="AO406" s="75" t="s">
        <v>839</v>
      </c>
      <c r="AP406" s="75" t="s">
        <v>97</v>
      </c>
      <c r="AQ406" s="75"/>
      <c r="AR406" s="74">
        <v>43686</v>
      </c>
      <c r="AS406" s="102" t="s">
        <v>211</v>
      </c>
      <c r="AT406" s="73" t="s">
        <v>634</v>
      </c>
      <c r="AU406" s="75" t="s">
        <v>100</v>
      </c>
      <c r="AV406" s="75">
        <v>2002</v>
      </c>
      <c r="AW406" s="75" t="s">
        <v>100</v>
      </c>
      <c r="AX406" s="75" t="s">
        <v>2071</v>
      </c>
      <c r="AY406" s="75" t="s">
        <v>272</v>
      </c>
      <c r="AZ406" s="75" t="s">
        <v>840</v>
      </c>
      <c r="BA406" s="75">
        <v>29</v>
      </c>
      <c r="BB406" s="75">
        <v>9</v>
      </c>
      <c r="BC406" s="75">
        <v>87.1</v>
      </c>
      <c r="BD406" s="75">
        <v>0.02</v>
      </c>
      <c r="BE406" s="75" t="s">
        <v>97</v>
      </c>
      <c r="BF406" s="75"/>
      <c r="BG406" s="75">
        <v>3648.34</v>
      </c>
      <c r="BH406" s="75"/>
      <c r="BI406" s="75"/>
      <c r="BJ406" s="75"/>
      <c r="BK406" s="75">
        <v>710</v>
      </c>
      <c r="BL406" s="75">
        <f t="shared" si="18"/>
        <v>4358.34</v>
      </c>
      <c r="BM406" s="103">
        <f t="shared" si="19"/>
        <v>239.70870000000002</v>
      </c>
      <c r="BN406" s="103">
        <f t="shared" si="20"/>
        <v>4598.0487000000003</v>
      </c>
      <c r="BO406" s="103"/>
      <c r="BP406" s="75" t="s">
        <v>104</v>
      </c>
      <c r="BQ406" s="75"/>
      <c r="BR406" s="75"/>
      <c r="BS406" s="157">
        <v>2018</v>
      </c>
      <c r="BU406">
        <v>2018</v>
      </c>
    </row>
    <row r="407" spans="1:73" ht="43.15" customHeight="1" x14ac:dyDescent="0.25">
      <c r="A407" s="242" t="s">
        <v>90</v>
      </c>
      <c r="B407" s="242" t="s">
        <v>841</v>
      </c>
      <c r="C407" s="159">
        <v>400</v>
      </c>
      <c r="D407" s="114">
        <v>43364</v>
      </c>
      <c r="E407" s="114">
        <v>43364</v>
      </c>
      <c r="F407" s="114">
        <v>43370</v>
      </c>
      <c r="G407" s="114" t="s">
        <v>9</v>
      </c>
      <c r="H407" s="114">
        <v>43370</v>
      </c>
      <c r="I407" s="114">
        <v>43370</v>
      </c>
      <c r="J407" s="114">
        <v>43392</v>
      </c>
      <c r="K407" s="114"/>
      <c r="L407" s="114">
        <v>43447</v>
      </c>
      <c r="M407" s="114">
        <v>43462</v>
      </c>
      <c r="N407" s="114" t="s">
        <v>842</v>
      </c>
      <c r="O407" s="114">
        <v>43497</v>
      </c>
      <c r="P407" s="114">
        <v>43497</v>
      </c>
      <c r="Q407" s="114">
        <v>43500</v>
      </c>
      <c r="R407" s="80"/>
      <c r="S407" s="114"/>
      <c r="T407" s="75"/>
      <c r="U407" s="75"/>
      <c r="V407" s="75"/>
      <c r="W407" s="75">
        <v>1</v>
      </c>
      <c r="X407" s="75">
        <v>21345</v>
      </c>
      <c r="Y407" s="75" t="str">
        <f ca="1">IF(I407="",IF(D407="","",IF(W407+X407&lt;15,"Données Nb pers ou RFR manquantes",IF(COUNTA(INDIRECT("TabRFR["&amp;YEAR(D407)&amp;"]"))&lt;&gt;COUNTA(TabRFR[Recherche RFR]),"Data RFR manquantes", IF(X407&lt;=INDEX(TabRFR[[2021]:[2025]],MATCH(BD!W407&amp;"-Très modestes",TabRFR[Recherche RFR],0),MATCH(TEXT(YEAR(BD!D407),"Standard"),TabRFR[[#Headers],[2021]:[2025]],0)),"Très Modeste",IF(X407&lt;=INDEX(TabRFR[[2021]:[2025]],MATCH(BD!W407&amp;"-modestes",TabRFR[Recherche RFR],0),MATCH(TEXT(YEAR(BD!D407),"Standard"),TabRFR[[#Headers],[2021]:[2025]],0)),"Modeste",IF(X407&lt;=INDEX(TabRFR[[2021]:[2025]],MATCH(BD!W407&amp;"-Intermédiaire",TabRFR[Recherche RFR],0),MATCH(TEXT(YEAR(BD!D407),"Standard"),TabRFR[[#Headers],[2021]:[2025]],0)),"Intermédiaire","Supérieur")))))),IF(D407="","",IF(W407+X407&lt;15,"Données Nb pers ou RFR manquantes",IF(COUNTA(INDIRECT("TabRFR["&amp;YEAR(I407)&amp;"]"))&lt;&gt;COUNTA(TabRFR[Recherche RFR]),"Data RFR manquantes", IF(X407&lt;=INDEX(TabRFR[[2021]:[2025]],MATCH(BD!W407&amp;"-Très modestes",TabRFR[Recherche RFR],0),MATCH(TEXT(YEAR(BD!I407),"Standard"),TabRFR[[#Headers],[2021]:[2025]],0)),"Très Modeste",IF(X407&lt;=INDEX(TabRFR[[2021]:[2025]],MATCH(BD!W407&amp;"-modestes",TabRFR[Recherche RFR],0),MATCH(TEXT(YEAR(BD!I407),"Standard"),TabRFR[[#Headers],[2021]:[2025]],0)),"Modeste",IF(X407&lt;=INDEX(TabRFR[[2021]:[2025]],MATCH(BD!W407&amp;"-Intermédiaire",TabRFR[Recherche RFR],0),MATCH(TEXT(YEAR(BD!I407),"Standard"),TabRFR[[#Headers],[2021]:[2025]],0)),"Intermédiaire","Supérieur")))))))</f>
        <v>Data RFR manquantes</v>
      </c>
      <c r="Z407" s="75"/>
      <c r="AA407" s="75" t="s">
        <v>843</v>
      </c>
      <c r="AB407" s="75">
        <v>38500</v>
      </c>
      <c r="AC407" s="75" t="s">
        <v>96</v>
      </c>
      <c r="AD407" s="73"/>
      <c r="AE407" s="102"/>
      <c r="AF407" s="75" t="s">
        <v>95</v>
      </c>
      <c r="AG407" s="75"/>
      <c r="AH407" s="75"/>
      <c r="AI407" s="75"/>
      <c r="AJ407" s="75"/>
      <c r="AK407" s="75"/>
      <c r="AL407" s="75"/>
      <c r="AM407" s="75" t="s">
        <v>4130</v>
      </c>
      <c r="AN407" s="75" t="s">
        <v>4349</v>
      </c>
      <c r="AO407" s="75" t="s">
        <v>9</v>
      </c>
      <c r="AP407" s="75" t="s">
        <v>97</v>
      </c>
      <c r="AQ407" s="75"/>
      <c r="AR407" s="74">
        <v>43545</v>
      </c>
      <c r="AS407" s="102" t="s">
        <v>337</v>
      </c>
      <c r="AT407" s="73">
        <v>474934316</v>
      </c>
      <c r="AU407" s="75" t="s">
        <v>111</v>
      </c>
      <c r="AV407" s="75">
        <v>1996</v>
      </c>
      <c r="AW407" s="75" t="s">
        <v>111</v>
      </c>
      <c r="AX407" s="75" t="s">
        <v>112</v>
      </c>
      <c r="AY407" s="75" t="s">
        <v>338</v>
      </c>
      <c r="AZ407" s="75" t="s">
        <v>844</v>
      </c>
      <c r="BA407" s="75">
        <v>24</v>
      </c>
      <c r="BB407" s="75">
        <v>13.2</v>
      </c>
      <c r="BC407" s="75">
        <v>76</v>
      </c>
      <c r="BD407" s="75">
        <v>0.09</v>
      </c>
      <c r="BE407" s="75" t="s">
        <v>97</v>
      </c>
      <c r="BF407" s="75"/>
      <c r="BG407" s="75">
        <v>4308</v>
      </c>
      <c r="BH407" s="75"/>
      <c r="BI407" s="75"/>
      <c r="BJ407" s="75"/>
      <c r="BK407" s="75">
        <v>1000</v>
      </c>
      <c r="BL407" s="75">
        <f t="shared" si="18"/>
        <v>5308</v>
      </c>
      <c r="BM407" s="103">
        <f t="shared" si="19"/>
        <v>291.94</v>
      </c>
      <c r="BN407" s="103">
        <f t="shared" si="20"/>
        <v>5599.94</v>
      </c>
      <c r="BO407" s="103">
        <v>5542</v>
      </c>
      <c r="BP407" s="75" t="s">
        <v>97</v>
      </c>
      <c r="BQ407" s="75"/>
      <c r="BR407" s="74">
        <v>43416</v>
      </c>
      <c r="BS407" s="157">
        <v>2018</v>
      </c>
      <c r="BT407">
        <v>2020</v>
      </c>
      <c r="BU407">
        <v>2018</v>
      </c>
    </row>
    <row r="408" spans="1:73" ht="43.15" customHeight="1" x14ac:dyDescent="0.25">
      <c r="A408" s="242" t="s">
        <v>90</v>
      </c>
      <c r="B408" s="242" t="s">
        <v>845</v>
      </c>
      <c r="C408" s="159">
        <v>400</v>
      </c>
      <c r="D408" s="114">
        <v>43367</v>
      </c>
      <c r="E408" s="114">
        <v>43367</v>
      </c>
      <c r="F408" s="114"/>
      <c r="G408" s="114"/>
      <c r="H408" s="114">
        <v>43370</v>
      </c>
      <c r="I408" s="114">
        <v>43370</v>
      </c>
      <c r="J408" s="114">
        <v>43383</v>
      </c>
      <c r="K408" s="114"/>
      <c r="L408" s="114">
        <v>43423</v>
      </c>
      <c r="M408" s="114">
        <v>43409</v>
      </c>
      <c r="N408" s="114" t="s">
        <v>846</v>
      </c>
      <c r="O408" s="114">
        <v>43438</v>
      </c>
      <c r="P408" s="114">
        <v>43438</v>
      </c>
      <c r="Q408" s="114">
        <v>43440</v>
      </c>
      <c r="R408" s="80"/>
      <c r="S408" s="114"/>
      <c r="T408" s="75"/>
      <c r="U408" s="75"/>
      <c r="V408" s="75"/>
      <c r="W408" s="75">
        <v>3</v>
      </c>
      <c r="X408" s="75">
        <v>29236</v>
      </c>
      <c r="Y408" s="75" t="str">
        <f ca="1">IF(I408="",IF(D408="","",IF(W408+X408&lt;15,"Données Nb pers ou RFR manquantes",IF(COUNTA(INDIRECT("TabRFR["&amp;YEAR(D408)&amp;"]"))&lt;&gt;COUNTA(TabRFR[Recherche RFR]),"Data RFR manquantes", IF(X408&lt;=INDEX(TabRFR[[2021]:[2025]],MATCH(BD!W408&amp;"-Très modestes",TabRFR[Recherche RFR],0),MATCH(TEXT(YEAR(BD!D408),"Standard"),TabRFR[[#Headers],[2021]:[2025]],0)),"Très Modeste",IF(X408&lt;=INDEX(TabRFR[[2021]:[2025]],MATCH(BD!W408&amp;"-modestes",TabRFR[Recherche RFR],0),MATCH(TEXT(YEAR(BD!D408),"Standard"),TabRFR[[#Headers],[2021]:[2025]],0)),"Modeste",IF(X408&lt;=INDEX(TabRFR[[2021]:[2025]],MATCH(BD!W408&amp;"-Intermédiaire",TabRFR[Recherche RFR],0),MATCH(TEXT(YEAR(BD!D408),"Standard"),TabRFR[[#Headers],[2021]:[2025]],0)),"Intermédiaire","Supérieur")))))),IF(D408="","",IF(W408+X408&lt;15,"Données Nb pers ou RFR manquantes",IF(COUNTA(INDIRECT("TabRFR["&amp;YEAR(I408)&amp;"]"))&lt;&gt;COUNTA(TabRFR[Recherche RFR]),"Data RFR manquantes", IF(X408&lt;=INDEX(TabRFR[[2021]:[2025]],MATCH(BD!W408&amp;"-Très modestes",TabRFR[Recherche RFR],0),MATCH(TEXT(YEAR(BD!I408),"Standard"),TabRFR[[#Headers],[2021]:[2025]],0)),"Très Modeste",IF(X408&lt;=INDEX(TabRFR[[2021]:[2025]],MATCH(BD!W408&amp;"-modestes",TabRFR[Recherche RFR],0),MATCH(TEXT(YEAR(BD!I408),"Standard"),TabRFR[[#Headers],[2021]:[2025]],0)),"Modeste",IF(X408&lt;=INDEX(TabRFR[[2021]:[2025]],MATCH(BD!W408&amp;"-Intermédiaire",TabRFR[Recherche RFR],0),MATCH(TEXT(YEAR(BD!I408),"Standard"),TabRFR[[#Headers],[2021]:[2025]],0)),"Intermédiaire","Supérieur")))))))</f>
        <v>Data RFR manquantes</v>
      </c>
      <c r="Z408" s="75"/>
      <c r="AA408" s="75" t="s">
        <v>847</v>
      </c>
      <c r="AB408" s="75">
        <v>38500</v>
      </c>
      <c r="AC408" s="75" t="s">
        <v>2873</v>
      </c>
      <c r="AD408" s="73"/>
      <c r="AE408" s="102"/>
      <c r="AF408" s="75" t="s">
        <v>95</v>
      </c>
      <c r="AG408" s="75"/>
      <c r="AH408" s="75"/>
      <c r="AI408" s="75"/>
      <c r="AJ408" s="75"/>
      <c r="AK408" s="75"/>
      <c r="AL408" s="75"/>
      <c r="AM408" s="75" t="s">
        <v>4031</v>
      </c>
      <c r="AN408" s="75" t="s">
        <v>4109</v>
      </c>
      <c r="AO408" s="75" t="s">
        <v>155</v>
      </c>
      <c r="AP408" s="75" t="s">
        <v>97</v>
      </c>
      <c r="AQ408" s="75"/>
      <c r="AR408" s="74">
        <v>43537</v>
      </c>
      <c r="AS408" s="102" t="s">
        <v>156</v>
      </c>
      <c r="AT408" s="73">
        <v>698193037</v>
      </c>
      <c r="AU408" s="75" t="s">
        <v>111</v>
      </c>
      <c r="AV408" s="75">
        <v>1987</v>
      </c>
      <c r="AW408" s="75" t="s">
        <v>100</v>
      </c>
      <c r="AX408" s="75" t="s">
        <v>112</v>
      </c>
      <c r="AY408" s="75" t="s">
        <v>258</v>
      </c>
      <c r="AZ408" s="75" t="s">
        <v>848</v>
      </c>
      <c r="BA408" s="75">
        <v>28</v>
      </c>
      <c r="BB408" s="75">
        <v>6</v>
      </c>
      <c r="BC408" s="75">
        <v>81.3</v>
      </c>
      <c r="BD408" s="75">
        <v>0.1</v>
      </c>
      <c r="BE408" s="75" t="s">
        <v>97</v>
      </c>
      <c r="BF408" s="75"/>
      <c r="BG408" s="75">
        <v>1154</v>
      </c>
      <c r="BH408" s="75"/>
      <c r="BI408" s="75"/>
      <c r="BJ408" s="75"/>
      <c r="BK408" s="75">
        <v>768.27</v>
      </c>
      <c r="BL408" s="75">
        <f t="shared" si="18"/>
        <v>1922.27</v>
      </c>
      <c r="BM408" s="103">
        <f t="shared" si="19"/>
        <v>105.72485</v>
      </c>
      <c r="BN408" s="103">
        <f t="shared" si="20"/>
        <v>2027.99485</v>
      </c>
      <c r="BO408" s="103"/>
      <c r="BP408" s="75" t="s">
        <v>97</v>
      </c>
      <c r="BQ408" s="75"/>
      <c r="BR408" s="74">
        <v>43416</v>
      </c>
      <c r="BS408" s="157">
        <v>2018</v>
      </c>
      <c r="BT408">
        <v>2020</v>
      </c>
      <c r="BU408">
        <v>2018</v>
      </c>
    </row>
    <row r="409" spans="1:73" ht="43.15" customHeight="1" x14ac:dyDescent="0.25">
      <c r="A409" s="242" t="s">
        <v>90</v>
      </c>
      <c r="B409" s="242" t="s">
        <v>849</v>
      </c>
      <c r="C409" s="159">
        <v>400</v>
      </c>
      <c r="D409" s="114">
        <v>43367</v>
      </c>
      <c r="E409" s="114">
        <v>43367</v>
      </c>
      <c r="F409" s="114"/>
      <c r="G409" s="114"/>
      <c r="H409" s="114">
        <v>43370</v>
      </c>
      <c r="I409" s="114">
        <v>43370</v>
      </c>
      <c r="J409" s="114">
        <v>43383</v>
      </c>
      <c r="K409" s="114"/>
      <c r="L409" s="114">
        <v>43474</v>
      </c>
      <c r="M409" s="114">
        <v>43433</v>
      </c>
      <c r="N409" s="114"/>
      <c r="O409" s="114">
        <v>43481</v>
      </c>
      <c r="P409" s="114">
        <v>43481</v>
      </c>
      <c r="Q409" s="114">
        <v>43482</v>
      </c>
      <c r="R409" s="80"/>
      <c r="S409" s="114"/>
      <c r="T409" s="75"/>
      <c r="U409" s="75"/>
      <c r="V409" s="75"/>
      <c r="W409" s="75">
        <v>1</v>
      </c>
      <c r="X409" s="75">
        <v>21089</v>
      </c>
      <c r="Y409" s="75" t="str">
        <f ca="1">IF(I409="",IF(D409="","",IF(W409+X409&lt;15,"Données Nb pers ou RFR manquantes",IF(COUNTA(INDIRECT("TabRFR["&amp;YEAR(D409)&amp;"]"))&lt;&gt;COUNTA(TabRFR[Recherche RFR]),"Data RFR manquantes", IF(X409&lt;=INDEX(TabRFR[[2021]:[2025]],MATCH(BD!W409&amp;"-Très modestes",TabRFR[Recherche RFR],0),MATCH(TEXT(YEAR(BD!D409),"Standard"),TabRFR[[#Headers],[2021]:[2025]],0)),"Très Modeste",IF(X409&lt;=INDEX(TabRFR[[2021]:[2025]],MATCH(BD!W409&amp;"-modestes",TabRFR[Recherche RFR],0),MATCH(TEXT(YEAR(BD!D409),"Standard"),TabRFR[[#Headers],[2021]:[2025]],0)),"Modeste",IF(X409&lt;=INDEX(TabRFR[[2021]:[2025]],MATCH(BD!W409&amp;"-Intermédiaire",TabRFR[Recherche RFR],0),MATCH(TEXT(YEAR(BD!D409),"Standard"),TabRFR[[#Headers],[2021]:[2025]],0)),"Intermédiaire","Supérieur")))))),IF(D409="","",IF(W409+X409&lt;15,"Données Nb pers ou RFR manquantes",IF(COUNTA(INDIRECT("TabRFR["&amp;YEAR(I409)&amp;"]"))&lt;&gt;COUNTA(TabRFR[Recherche RFR]),"Data RFR manquantes", IF(X409&lt;=INDEX(TabRFR[[2021]:[2025]],MATCH(BD!W409&amp;"-Très modestes",TabRFR[Recherche RFR],0),MATCH(TEXT(YEAR(BD!I409),"Standard"),TabRFR[[#Headers],[2021]:[2025]],0)),"Très Modeste",IF(X409&lt;=INDEX(TabRFR[[2021]:[2025]],MATCH(BD!W409&amp;"-modestes",TabRFR[Recherche RFR],0),MATCH(TEXT(YEAR(BD!I409),"Standard"),TabRFR[[#Headers],[2021]:[2025]],0)),"Modeste",IF(X409&lt;=INDEX(TabRFR[[2021]:[2025]],MATCH(BD!W409&amp;"-Intermédiaire",TabRFR[Recherche RFR],0),MATCH(TEXT(YEAR(BD!I409),"Standard"),TabRFR[[#Headers],[2021]:[2025]],0)),"Intermédiaire","Supérieur")))))))</f>
        <v>Data RFR manquantes</v>
      </c>
      <c r="Z409" s="75"/>
      <c r="AA409" s="75" t="s">
        <v>850</v>
      </c>
      <c r="AB409" s="75">
        <v>38620</v>
      </c>
      <c r="AC409" s="75" t="s">
        <v>851</v>
      </c>
      <c r="AD409" s="73"/>
      <c r="AE409" s="102"/>
      <c r="AF409" s="75" t="s">
        <v>95</v>
      </c>
      <c r="AG409" s="75"/>
      <c r="AH409" s="75"/>
      <c r="AI409" s="75"/>
      <c r="AJ409" s="75"/>
      <c r="AK409" s="75"/>
      <c r="AL409" s="75"/>
      <c r="AM409" s="75" t="s">
        <v>4236</v>
      </c>
      <c r="AN409" s="75" t="s">
        <v>4091</v>
      </c>
      <c r="AO409" s="75" t="s">
        <v>163</v>
      </c>
      <c r="AP409" s="75" t="s">
        <v>97</v>
      </c>
      <c r="AQ409" s="75"/>
      <c r="AR409" s="74">
        <v>43725</v>
      </c>
      <c r="AS409" s="102" t="s">
        <v>164</v>
      </c>
      <c r="AT409" s="73" t="s">
        <v>608</v>
      </c>
      <c r="AU409" s="75" t="s">
        <v>111</v>
      </c>
      <c r="AV409" s="75">
        <v>1989</v>
      </c>
      <c r="AW409" s="75" t="s">
        <v>100</v>
      </c>
      <c r="AX409" s="75" t="s">
        <v>2071</v>
      </c>
      <c r="AY409" s="75" t="s">
        <v>440</v>
      </c>
      <c r="AZ409" s="75" t="s">
        <v>811</v>
      </c>
      <c r="BA409" s="75">
        <v>16</v>
      </c>
      <c r="BB409" s="75">
        <v>9.1</v>
      </c>
      <c r="BC409" s="75">
        <v>91.8</v>
      </c>
      <c r="BD409" s="75">
        <v>3.0000000000000001E-3</v>
      </c>
      <c r="BE409" s="75" t="s">
        <v>97</v>
      </c>
      <c r="BF409" s="77"/>
      <c r="BG409" s="75">
        <v>4515</v>
      </c>
      <c r="BH409" s="75"/>
      <c r="BI409" s="75"/>
      <c r="BJ409" s="75"/>
      <c r="BK409" s="75">
        <v>590</v>
      </c>
      <c r="BL409" s="75">
        <f t="shared" si="18"/>
        <v>5105</v>
      </c>
      <c r="BM409" s="103">
        <f t="shared" si="19"/>
        <v>280.77499999999998</v>
      </c>
      <c r="BN409" s="103">
        <f t="shared" si="20"/>
        <v>5385.7749999999996</v>
      </c>
      <c r="BO409" s="103">
        <v>5385</v>
      </c>
      <c r="BP409" s="75" t="s">
        <v>97</v>
      </c>
      <c r="BQ409" s="75"/>
      <c r="BR409" s="75"/>
      <c r="BS409" s="157">
        <v>2018</v>
      </c>
      <c r="BU409">
        <v>2018</v>
      </c>
    </row>
    <row r="410" spans="1:73" ht="43.15" customHeight="1" x14ac:dyDescent="0.25">
      <c r="A410" s="242" t="s">
        <v>90</v>
      </c>
      <c r="B410" s="242" t="s">
        <v>852</v>
      </c>
      <c r="C410" s="159">
        <v>400</v>
      </c>
      <c r="D410" s="114">
        <v>43369</v>
      </c>
      <c r="E410" s="114">
        <v>43370</v>
      </c>
      <c r="F410" s="114"/>
      <c r="G410" s="114"/>
      <c r="H410" s="114">
        <v>43381</v>
      </c>
      <c r="I410" s="114">
        <v>43381</v>
      </c>
      <c r="J410" s="114">
        <v>43392</v>
      </c>
      <c r="K410" s="114"/>
      <c r="L410" s="114">
        <v>43423</v>
      </c>
      <c r="M410" s="114">
        <v>43410</v>
      </c>
      <c r="N410" s="114"/>
      <c r="O410" s="114">
        <v>43438</v>
      </c>
      <c r="P410" s="114">
        <v>43438</v>
      </c>
      <c r="Q410" s="114">
        <v>43440</v>
      </c>
      <c r="R410" s="80"/>
      <c r="S410" s="114"/>
      <c r="T410" s="75"/>
      <c r="U410" s="75"/>
      <c r="V410" s="75"/>
      <c r="W410" s="75">
        <v>3</v>
      </c>
      <c r="X410" s="75">
        <f>16087+18712</f>
        <v>34799</v>
      </c>
      <c r="Y410" s="75" t="str">
        <f ca="1">IF(I410="",IF(D410="","",IF(W410+X410&lt;15,"Données Nb pers ou RFR manquantes",IF(COUNTA(INDIRECT("TabRFR["&amp;YEAR(D410)&amp;"]"))&lt;&gt;COUNTA(TabRFR[Recherche RFR]),"Data RFR manquantes", IF(X410&lt;=INDEX(TabRFR[[2021]:[2025]],MATCH(BD!W410&amp;"-Très modestes",TabRFR[Recherche RFR],0),MATCH(TEXT(YEAR(BD!D410),"Standard"),TabRFR[[#Headers],[2021]:[2025]],0)),"Très Modeste",IF(X410&lt;=INDEX(TabRFR[[2021]:[2025]],MATCH(BD!W410&amp;"-modestes",TabRFR[Recherche RFR],0),MATCH(TEXT(YEAR(BD!D410),"Standard"),TabRFR[[#Headers],[2021]:[2025]],0)),"Modeste",IF(X410&lt;=INDEX(TabRFR[[2021]:[2025]],MATCH(BD!W410&amp;"-Intermédiaire",TabRFR[Recherche RFR],0),MATCH(TEXT(YEAR(BD!D410),"Standard"),TabRFR[[#Headers],[2021]:[2025]],0)),"Intermédiaire","Supérieur")))))),IF(D410="","",IF(W410+X410&lt;15,"Données Nb pers ou RFR manquantes",IF(COUNTA(INDIRECT("TabRFR["&amp;YEAR(I410)&amp;"]"))&lt;&gt;COUNTA(TabRFR[Recherche RFR]),"Data RFR manquantes", IF(X410&lt;=INDEX(TabRFR[[2021]:[2025]],MATCH(BD!W410&amp;"-Très modestes",TabRFR[Recherche RFR],0),MATCH(TEXT(YEAR(BD!I410),"Standard"),TabRFR[[#Headers],[2021]:[2025]],0)),"Très Modeste",IF(X410&lt;=INDEX(TabRFR[[2021]:[2025]],MATCH(BD!W410&amp;"-modestes",TabRFR[Recherche RFR],0),MATCH(TEXT(YEAR(BD!I410),"Standard"),TabRFR[[#Headers],[2021]:[2025]],0)),"Modeste",IF(X410&lt;=INDEX(TabRFR[[2021]:[2025]],MATCH(BD!W410&amp;"-Intermédiaire",TabRFR[Recherche RFR],0),MATCH(TEXT(YEAR(BD!I410),"Standard"),TabRFR[[#Headers],[2021]:[2025]],0)),"Intermédiaire","Supérieur")))))))</f>
        <v>Data RFR manquantes</v>
      </c>
      <c r="Z410" s="75"/>
      <c r="AA410" s="75" t="s">
        <v>853</v>
      </c>
      <c r="AB410" s="75">
        <v>38340</v>
      </c>
      <c r="AC410" s="75" t="s">
        <v>108</v>
      </c>
      <c r="AD410" s="73"/>
      <c r="AE410" s="102"/>
      <c r="AF410" s="75" t="s">
        <v>95</v>
      </c>
      <c r="AG410" s="75"/>
      <c r="AH410" s="75"/>
      <c r="AI410" s="75"/>
      <c r="AJ410" s="75"/>
      <c r="AK410" s="75"/>
      <c r="AL410" s="75"/>
      <c r="AM410" s="75" t="s">
        <v>3973</v>
      </c>
      <c r="AN410" s="75" t="s">
        <v>96</v>
      </c>
      <c r="AO410" s="75" t="s">
        <v>9</v>
      </c>
      <c r="AP410" s="75" t="s">
        <v>97</v>
      </c>
      <c r="AQ410" s="75"/>
      <c r="AR410" s="74">
        <v>43726</v>
      </c>
      <c r="AS410" s="102" t="s">
        <v>141</v>
      </c>
      <c r="AT410" s="73" t="s">
        <v>820</v>
      </c>
      <c r="AU410" s="75" t="s">
        <v>100</v>
      </c>
      <c r="AV410" s="75">
        <v>1983</v>
      </c>
      <c r="AW410" s="75" t="s">
        <v>100</v>
      </c>
      <c r="AX410" s="75" t="s">
        <v>2071</v>
      </c>
      <c r="AY410" s="75" t="s">
        <v>440</v>
      </c>
      <c r="AZ410" s="75" t="s">
        <v>854</v>
      </c>
      <c r="BA410" s="75">
        <v>16</v>
      </c>
      <c r="BB410" s="75">
        <v>9.1</v>
      </c>
      <c r="BC410" s="75">
        <v>91.8</v>
      </c>
      <c r="BD410" s="75">
        <v>0</v>
      </c>
      <c r="BE410" s="75" t="s">
        <v>97</v>
      </c>
      <c r="BF410" s="75"/>
      <c r="BG410" s="75">
        <f>3090+590</f>
        <v>3680</v>
      </c>
      <c r="BH410" s="75"/>
      <c r="BI410" s="75"/>
      <c r="BJ410" s="75"/>
      <c r="BK410" s="75">
        <v>580</v>
      </c>
      <c r="BL410" s="75">
        <f t="shared" si="18"/>
        <v>4260</v>
      </c>
      <c r="BM410" s="103">
        <f t="shared" si="19"/>
        <v>234.3</v>
      </c>
      <c r="BN410" s="103">
        <f t="shared" si="20"/>
        <v>4494.3</v>
      </c>
      <c r="BO410" s="103"/>
      <c r="BP410" s="75" t="s">
        <v>97</v>
      </c>
      <c r="BQ410" s="75"/>
      <c r="BR410" s="75"/>
      <c r="BS410" s="157">
        <v>2018</v>
      </c>
      <c r="BU410">
        <v>2018</v>
      </c>
    </row>
    <row r="411" spans="1:73" ht="43.15" customHeight="1" x14ac:dyDescent="0.25">
      <c r="A411" s="242" t="s">
        <v>90</v>
      </c>
      <c r="B411" s="242" t="s">
        <v>855</v>
      </c>
      <c r="C411" s="159">
        <v>400</v>
      </c>
      <c r="D411" s="114">
        <v>43370</v>
      </c>
      <c r="E411" s="114">
        <v>43370</v>
      </c>
      <c r="F411" s="114"/>
      <c r="G411" s="114"/>
      <c r="H411" s="114">
        <v>43381</v>
      </c>
      <c r="I411" s="114">
        <v>43381</v>
      </c>
      <c r="J411" s="114">
        <v>43392</v>
      </c>
      <c r="K411" s="114"/>
      <c r="L411" s="114">
        <v>43508</v>
      </c>
      <c r="M411" s="114">
        <v>43412</v>
      </c>
      <c r="N411" s="114"/>
      <c r="O411" s="114">
        <v>43532</v>
      </c>
      <c r="P411" s="114">
        <v>43532</v>
      </c>
      <c r="Q411" s="114">
        <v>43532</v>
      </c>
      <c r="R411" s="80"/>
      <c r="S411" s="114"/>
      <c r="T411" s="75"/>
      <c r="U411" s="75"/>
      <c r="V411" s="75"/>
      <c r="W411" s="75">
        <v>2</v>
      </c>
      <c r="X411" s="75">
        <v>102608</v>
      </c>
      <c r="Y411" s="75" t="str">
        <f ca="1">IF(I411="",IF(D411="","",IF(W411+X411&lt;15,"Données Nb pers ou RFR manquantes",IF(COUNTA(INDIRECT("TabRFR["&amp;YEAR(D411)&amp;"]"))&lt;&gt;COUNTA(TabRFR[Recherche RFR]),"Data RFR manquantes", IF(X411&lt;=INDEX(TabRFR[[2021]:[2025]],MATCH(BD!W411&amp;"-Très modestes",TabRFR[Recherche RFR],0),MATCH(TEXT(YEAR(BD!D411),"Standard"),TabRFR[[#Headers],[2021]:[2025]],0)),"Très Modeste",IF(X411&lt;=INDEX(TabRFR[[2021]:[2025]],MATCH(BD!W411&amp;"-modestes",TabRFR[Recherche RFR],0),MATCH(TEXT(YEAR(BD!D411),"Standard"),TabRFR[[#Headers],[2021]:[2025]],0)),"Modeste",IF(X411&lt;=INDEX(TabRFR[[2021]:[2025]],MATCH(BD!W411&amp;"-Intermédiaire",TabRFR[Recherche RFR],0),MATCH(TEXT(YEAR(BD!D411),"Standard"),TabRFR[[#Headers],[2021]:[2025]],0)),"Intermédiaire","Supérieur")))))),IF(D411="","",IF(W411+X411&lt;15,"Données Nb pers ou RFR manquantes",IF(COUNTA(INDIRECT("TabRFR["&amp;YEAR(I411)&amp;"]"))&lt;&gt;COUNTA(TabRFR[Recherche RFR]),"Data RFR manquantes", IF(X411&lt;=INDEX(TabRFR[[2021]:[2025]],MATCH(BD!W411&amp;"-Très modestes",TabRFR[Recherche RFR],0),MATCH(TEXT(YEAR(BD!I411),"Standard"),TabRFR[[#Headers],[2021]:[2025]],0)),"Très Modeste",IF(X411&lt;=INDEX(TabRFR[[2021]:[2025]],MATCH(BD!W411&amp;"-modestes",TabRFR[Recherche RFR],0),MATCH(TEXT(YEAR(BD!I411),"Standard"),TabRFR[[#Headers],[2021]:[2025]],0)),"Modeste",IF(X411&lt;=INDEX(TabRFR[[2021]:[2025]],MATCH(BD!W411&amp;"-Intermédiaire",TabRFR[Recherche RFR],0),MATCH(TEXT(YEAR(BD!I411),"Standard"),TabRFR[[#Headers],[2021]:[2025]],0)),"Intermédiaire","Supérieur")))))))</f>
        <v>Data RFR manquantes</v>
      </c>
      <c r="Z411" s="75"/>
      <c r="AA411" s="75" t="s">
        <v>856</v>
      </c>
      <c r="AB411" s="75">
        <v>38620</v>
      </c>
      <c r="AC411" s="75" t="s">
        <v>857</v>
      </c>
      <c r="AD411" s="73"/>
      <c r="AE411" s="102"/>
      <c r="AF411" s="75" t="s">
        <v>95</v>
      </c>
      <c r="AG411" s="75"/>
      <c r="AH411" s="75"/>
      <c r="AI411" s="75"/>
      <c r="AJ411" s="75"/>
      <c r="AK411" s="75"/>
      <c r="AL411" s="75"/>
      <c r="AM411" s="75" t="s">
        <v>4191</v>
      </c>
      <c r="AN411" s="75" t="s">
        <v>96</v>
      </c>
      <c r="AO411" s="75" t="s">
        <v>229</v>
      </c>
      <c r="AP411" s="75" t="s">
        <v>97</v>
      </c>
      <c r="AQ411" s="75"/>
      <c r="AR411" s="74">
        <v>43681</v>
      </c>
      <c r="AS411" s="102" t="s">
        <v>230</v>
      </c>
      <c r="AT411" s="73" t="s">
        <v>563</v>
      </c>
      <c r="AU411" s="75" t="s">
        <v>99</v>
      </c>
      <c r="AV411" s="75">
        <v>1990</v>
      </c>
      <c r="AW411" s="75" t="s">
        <v>100</v>
      </c>
      <c r="AX411" s="75" t="s">
        <v>2071</v>
      </c>
      <c r="AY411" s="75" t="s">
        <v>232</v>
      </c>
      <c r="AZ411" s="75" t="s">
        <v>564</v>
      </c>
      <c r="BA411" s="75">
        <v>14.5</v>
      </c>
      <c r="BB411" s="75">
        <v>8</v>
      </c>
      <c r="BC411" s="75">
        <v>91.5</v>
      </c>
      <c r="BD411" s="75">
        <v>4.0000000000000001E-3</v>
      </c>
      <c r="BE411" s="75" t="s">
        <v>374</v>
      </c>
      <c r="BF411" s="75"/>
      <c r="BG411" s="75">
        <v>3950</v>
      </c>
      <c r="BH411" s="75"/>
      <c r="BI411" s="75"/>
      <c r="BJ411" s="75"/>
      <c r="BK411" s="75">
        <f>680+390</f>
        <v>1070</v>
      </c>
      <c r="BL411" s="75">
        <f t="shared" si="18"/>
        <v>5020</v>
      </c>
      <c r="BM411" s="103">
        <f t="shared" si="19"/>
        <v>276.10000000000002</v>
      </c>
      <c r="BN411" s="103">
        <f t="shared" si="20"/>
        <v>5296.1</v>
      </c>
      <c r="BO411" s="103">
        <v>6251</v>
      </c>
      <c r="BP411" s="75" t="s">
        <v>104</v>
      </c>
      <c r="BQ411" s="75"/>
      <c r="BR411" s="75"/>
      <c r="BS411" s="157">
        <v>2018</v>
      </c>
      <c r="BU411">
        <v>2018</v>
      </c>
    </row>
    <row r="412" spans="1:73" ht="43.15" customHeight="1" x14ac:dyDescent="0.25">
      <c r="A412" s="242" t="s">
        <v>90</v>
      </c>
      <c r="B412" s="242" t="s">
        <v>858</v>
      </c>
      <c r="C412" s="159">
        <v>400</v>
      </c>
      <c r="D412" s="114">
        <v>43371</v>
      </c>
      <c r="E412" s="114">
        <v>43371</v>
      </c>
      <c r="F412" s="114">
        <v>43381</v>
      </c>
      <c r="G412" s="114">
        <v>43382</v>
      </c>
      <c r="H412" s="114">
        <v>43382</v>
      </c>
      <c r="I412" s="114">
        <v>43382</v>
      </c>
      <c r="J412" s="114">
        <v>43390</v>
      </c>
      <c r="K412" s="114"/>
      <c r="L412" s="114">
        <v>43467</v>
      </c>
      <c r="M412" s="114">
        <v>43396</v>
      </c>
      <c r="N412" s="114"/>
      <c r="O412" s="114">
        <v>43481</v>
      </c>
      <c r="P412" s="114">
        <v>43481</v>
      </c>
      <c r="Q412" s="114">
        <v>43482</v>
      </c>
      <c r="R412" s="80"/>
      <c r="S412" s="114"/>
      <c r="T412" s="75"/>
      <c r="U412" s="75"/>
      <c r="V412" s="75"/>
      <c r="W412" s="75">
        <v>2</v>
      </c>
      <c r="X412" s="75">
        <v>75849</v>
      </c>
      <c r="Y412" s="75" t="str">
        <f ca="1">IF(I412="",IF(D412="","",IF(W412+X412&lt;15,"Données Nb pers ou RFR manquantes",IF(COUNTA(INDIRECT("TabRFR["&amp;YEAR(D412)&amp;"]"))&lt;&gt;COUNTA(TabRFR[Recherche RFR]),"Data RFR manquantes", IF(X412&lt;=INDEX(TabRFR[[2021]:[2025]],MATCH(BD!W412&amp;"-Très modestes",TabRFR[Recherche RFR],0),MATCH(TEXT(YEAR(BD!D412),"Standard"),TabRFR[[#Headers],[2021]:[2025]],0)),"Très Modeste",IF(X412&lt;=INDEX(TabRFR[[2021]:[2025]],MATCH(BD!W412&amp;"-modestes",TabRFR[Recherche RFR],0),MATCH(TEXT(YEAR(BD!D412),"Standard"),TabRFR[[#Headers],[2021]:[2025]],0)),"Modeste",IF(X412&lt;=INDEX(TabRFR[[2021]:[2025]],MATCH(BD!W412&amp;"-Intermédiaire",TabRFR[Recherche RFR],0),MATCH(TEXT(YEAR(BD!D412),"Standard"),TabRFR[[#Headers],[2021]:[2025]],0)),"Intermédiaire","Supérieur")))))),IF(D412="","",IF(W412+X412&lt;15,"Données Nb pers ou RFR manquantes",IF(COUNTA(INDIRECT("TabRFR["&amp;YEAR(I412)&amp;"]"))&lt;&gt;COUNTA(TabRFR[Recherche RFR]),"Data RFR manquantes", IF(X412&lt;=INDEX(TabRFR[[2021]:[2025]],MATCH(BD!W412&amp;"-Très modestes",TabRFR[Recherche RFR],0),MATCH(TEXT(YEAR(BD!I412),"Standard"),TabRFR[[#Headers],[2021]:[2025]],0)),"Très Modeste",IF(X412&lt;=INDEX(TabRFR[[2021]:[2025]],MATCH(BD!W412&amp;"-modestes",TabRFR[Recherche RFR],0),MATCH(TEXT(YEAR(BD!I412),"Standard"),TabRFR[[#Headers],[2021]:[2025]],0)),"Modeste",IF(X412&lt;=INDEX(TabRFR[[2021]:[2025]],MATCH(BD!W412&amp;"-Intermédiaire",TabRFR[Recherche RFR],0),MATCH(TEXT(YEAR(BD!I412),"Standard"),TabRFR[[#Headers],[2021]:[2025]],0)),"Intermédiaire","Supérieur")))))))</f>
        <v>Data RFR manquantes</v>
      </c>
      <c r="Z412" s="75"/>
      <c r="AA412" s="75" t="s">
        <v>860</v>
      </c>
      <c r="AB412" s="75">
        <v>38960</v>
      </c>
      <c r="AC412" s="75" t="s">
        <v>2378</v>
      </c>
      <c r="AD412" s="73"/>
      <c r="AE412" s="102"/>
      <c r="AF412" s="75" t="s">
        <v>95</v>
      </c>
      <c r="AG412" s="75"/>
      <c r="AH412" s="75"/>
      <c r="AI412" s="75"/>
      <c r="AJ412" s="75"/>
      <c r="AK412" s="75"/>
      <c r="AL412" s="75"/>
      <c r="AM412" s="75" t="s">
        <v>4348</v>
      </c>
      <c r="AN412" s="75" t="s">
        <v>96</v>
      </c>
      <c r="AO412" s="75" t="s">
        <v>861</v>
      </c>
      <c r="AP412" s="75" t="s">
        <v>97</v>
      </c>
      <c r="AQ412" s="75"/>
      <c r="AR412" s="74">
        <v>43698</v>
      </c>
      <c r="AS412" s="102" t="s">
        <v>98</v>
      </c>
      <c r="AT412" s="73" t="s">
        <v>802</v>
      </c>
      <c r="AU412" s="75" t="s">
        <v>99</v>
      </c>
      <c r="AV412" s="75">
        <v>1978</v>
      </c>
      <c r="AW412" s="75" t="s">
        <v>111</v>
      </c>
      <c r="AX412" s="75" t="s">
        <v>112</v>
      </c>
      <c r="AY412" s="75" t="s">
        <v>862</v>
      </c>
      <c r="AZ412" s="75" t="s">
        <v>863</v>
      </c>
      <c r="BA412" s="75">
        <v>32</v>
      </c>
      <c r="BB412" s="75">
        <v>12</v>
      </c>
      <c r="BC412" s="75">
        <v>84</v>
      </c>
      <c r="BD412" s="75">
        <v>0.09</v>
      </c>
      <c r="BE412" s="75" t="s">
        <v>97</v>
      </c>
      <c r="BF412" s="77"/>
      <c r="BG412" s="75">
        <v>3950</v>
      </c>
      <c r="BH412" s="75"/>
      <c r="BI412" s="75"/>
      <c r="BJ412" s="75"/>
      <c r="BK412" s="75">
        <v>2055</v>
      </c>
      <c r="BL412" s="75">
        <f t="shared" si="18"/>
        <v>6005</v>
      </c>
      <c r="BM412" s="103">
        <f t="shared" si="19"/>
        <v>330.27499999999998</v>
      </c>
      <c r="BN412" s="103">
        <f t="shared" si="20"/>
        <v>6335.2749999999996</v>
      </c>
      <c r="BO412" s="103">
        <v>6335</v>
      </c>
      <c r="BP412" s="75" t="s">
        <v>104</v>
      </c>
      <c r="BQ412" s="75"/>
      <c r="BR412" s="74">
        <v>43416</v>
      </c>
      <c r="BS412" s="157">
        <v>2018</v>
      </c>
      <c r="BT412">
        <v>2020</v>
      </c>
      <c r="BU412">
        <v>2018</v>
      </c>
    </row>
    <row r="413" spans="1:73" ht="43.15" customHeight="1" x14ac:dyDescent="0.25">
      <c r="A413" s="242" t="s">
        <v>90</v>
      </c>
      <c r="B413" s="242" t="s">
        <v>864</v>
      </c>
      <c r="C413" s="159">
        <v>400</v>
      </c>
      <c r="D413" s="114">
        <v>43374</v>
      </c>
      <c r="E413" s="114">
        <v>43374</v>
      </c>
      <c r="F413" s="114"/>
      <c r="G413" s="114"/>
      <c r="H413" s="114">
        <v>43381</v>
      </c>
      <c r="I413" s="114">
        <v>43381</v>
      </c>
      <c r="J413" s="114">
        <v>43392</v>
      </c>
      <c r="K413" s="114"/>
      <c r="L413" s="114">
        <v>43493</v>
      </c>
      <c r="M413" s="114">
        <v>43446</v>
      </c>
      <c r="N413" s="114"/>
      <c r="O413" s="114">
        <v>43497</v>
      </c>
      <c r="P413" s="114">
        <v>43497</v>
      </c>
      <c r="Q413" s="114">
        <v>43500</v>
      </c>
      <c r="R413" s="80"/>
      <c r="S413" s="114"/>
      <c r="T413" s="75"/>
      <c r="U413" s="75"/>
      <c r="V413" s="75"/>
      <c r="W413" s="75">
        <v>4</v>
      </c>
      <c r="X413" s="75">
        <v>45676</v>
      </c>
      <c r="Y413" s="75" t="str">
        <f ca="1">IF(I413="",IF(D413="","",IF(W413+X413&lt;15,"Données Nb pers ou RFR manquantes",IF(COUNTA(INDIRECT("TabRFR["&amp;YEAR(D413)&amp;"]"))&lt;&gt;COUNTA(TabRFR[Recherche RFR]),"Data RFR manquantes", IF(X413&lt;=INDEX(TabRFR[[2021]:[2025]],MATCH(BD!W413&amp;"-Très modestes",TabRFR[Recherche RFR],0),MATCH(TEXT(YEAR(BD!D413),"Standard"),TabRFR[[#Headers],[2021]:[2025]],0)),"Très Modeste",IF(X413&lt;=INDEX(TabRFR[[2021]:[2025]],MATCH(BD!W413&amp;"-modestes",TabRFR[Recherche RFR],0),MATCH(TEXT(YEAR(BD!D413),"Standard"),TabRFR[[#Headers],[2021]:[2025]],0)),"Modeste",IF(X413&lt;=INDEX(TabRFR[[2021]:[2025]],MATCH(BD!W413&amp;"-Intermédiaire",TabRFR[Recherche RFR],0),MATCH(TEXT(YEAR(BD!D413),"Standard"),TabRFR[[#Headers],[2021]:[2025]],0)),"Intermédiaire","Supérieur")))))),IF(D413="","",IF(W413+X413&lt;15,"Données Nb pers ou RFR manquantes",IF(COUNTA(INDIRECT("TabRFR["&amp;YEAR(I413)&amp;"]"))&lt;&gt;COUNTA(TabRFR[Recherche RFR]),"Data RFR manquantes", IF(X413&lt;=INDEX(TabRFR[[2021]:[2025]],MATCH(BD!W413&amp;"-Très modestes",TabRFR[Recherche RFR],0),MATCH(TEXT(YEAR(BD!I413),"Standard"),TabRFR[[#Headers],[2021]:[2025]],0)),"Très Modeste",IF(X413&lt;=INDEX(TabRFR[[2021]:[2025]],MATCH(BD!W413&amp;"-modestes",TabRFR[Recherche RFR],0),MATCH(TEXT(YEAR(BD!I413),"Standard"),TabRFR[[#Headers],[2021]:[2025]],0)),"Modeste",IF(X413&lt;=INDEX(TabRFR[[2021]:[2025]],MATCH(BD!W413&amp;"-Intermédiaire",TabRFR[Recherche RFR],0),MATCH(TEXT(YEAR(BD!I413),"Standard"),TabRFR[[#Headers],[2021]:[2025]],0)),"Intermédiaire","Supérieur")))))))</f>
        <v>Data RFR manquantes</v>
      </c>
      <c r="Z413" s="75"/>
      <c r="AA413" s="75" t="s">
        <v>865</v>
      </c>
      <c r="AB413" s="75">
        <v>38140</v>
      </c>
      <c r="AC413" s="75" t="s">
        <v>2357</v>
      </c>
      <c r="AD413" s="73"/>
      <c r="AE413" s="102"/>
      <c r="AF413" s="75" t="s">
        <v>95</v>
      </c>
      <c r="AG413" s="75"/>
      <c r="AH413" s="75">
        <v>2005</v>
      </c>
      <c r="AI413" s="75"/>
      <c r="AJ413" s="75"/>
      <c r="AK413" s="75"/>
      <c r="AL413" s="75"/>
      <c r="AM413" s="75" t="s">
        <v>4348</v>
      </c>
      <c r="AN413" s="75" t="s">
        <v>96</v>
      </c>
      <c r="AO413" s="75" t="s">
        <v>861</v>
      </c>
      <c r="AP413" s="75" t="s">
        <v>97</v>
      </c>
      <c r="AQ413" s="75"/>
      <c r="AR413" s="74">
        <v>43699</v>
      </c>
      <c r="AS413" s="102" t="s">
        <v>98</v>
      </c>
      <c r="AT413" s="73" t="s">
        <v>866</v>
      </c>
      <c r="AU413" s="75" t="s">
        <v>111</v>
      </c>
      <c r="AV413" s="75">
        <v>1991</v>
      </c>
      <c r="AW413" s="75" t="s">
        <v>100</v>
      </c>
      <c r="AX413" s="75" t="s">
        <v>2071</v>
      </c>
      <c r="AY413" s="75" t="s">
        <v>251</v>
      </c>
      <c r="AZ413" s="75" t="s">
        <v>867</v>
      </c>
      <c r="BA413" s="75">
        <v>16</v>
      </c>
      <c r="BB413" s="75">
        <v>9.1</v>
      </c>
      <c r="BC413" s="75">
        <v>91.8</v>
      </c>
      <c r="BD413" s="75">
        <v>4.0000000000000001E-3</v>
      </c>
      <c r="BE413" s="75" t="s">
        <v>97</v>
      </c>
      <c r="BF413" s="77"/>
      <c r="BG413" s="75">
        <v>3889</v>
      </c>
      <c r="BH413" s="75"/>
      <c r="BI413" s="75"/>
      <c r="BJ413" s="75"/>
      <c r="BK413" s="75">
        <v>722</v>
      </c>
      <c r="BL413" s="75">
        <f t="shared" si="18"/>
        <v>4611</v>
      </c>
      <c r="BM413" s="103">
        <f t="shared" si="19"/>
        <v>253.60499999999999</v>
      </c>
      <c r="BN413" s="103">
        <f t="shared" si="20"/>
        <v>4864.6049999999996</v>
      </c>
      <c r="BO413" s="103">
        <f>1295+3986</f>
        <v>5281</v>
      </c>
      <c r="BP413" s="75" t="s">
        <v>97</v>
      </c>
      <c r="BQ413" s="75"/>
      <c r="BR413" s="75"/>
      <c r="BS413" s="157">
        <v>2018</v>
      </c>
      <c r="BU413">
        <v>2018</v>
      </c>
    </row>
    <row r="414" spans="1:73" ht="43.15" customHeight="1" x14ac:dyDescent="0.25">
      <c r="A414" s="242" t="s">
        <v>90</v>
      </c>
      <c r="B414" s="242" t="s">
        <v>868</v>
      </c>
      <c r="C414" s="159">
        <v>800</v>
      </c>
      <c r="D414" s="114">
        <v>43381</v>
      </c>
      <c r="E414" s="114">
        <v>43381</v>
      </c>
      <c r="F414" s="114"/>
      <c r="G414" s="114"/>
      <c r="H414" s="114">
        <v>43389</v>
      </c>
      <c r="I414" s="114">
        <v>43389</v>
      </c>
      <c r="J414" s="114">
        <v>43398</v>
      </c>
      <c r="K414" s="114"/>
      <c r="L414" s="114">
        <v>43472</v>
      </c>
      <c r="M414" s="114">
        <v>43453</v>
      </c>
      <c r="N414" s="114"/>
      <c r="O414" s="114">
        <v>43481</v>
      </c>
      <c r="P414" s="114">
        <v>43481</v>
      </c>
      <c r="Q414" s="114">
        <v>43482</v>
      </c>
      <c r="R414" s="100"/>
      <c r="S414" s="114"/>
      <c r="T414" s="75"/>
      <c r="U414" s="75"/>
      <c r="V414" s="75"/>
      <c r="W414" s="75">
        <v>4</v>
      </c>
      <c r="X414" s="75">
        <v>37143</v>
      </c>
      <c r="Y414" s="75" t="str">
        <f ca="1">IF(I414="",IF(D414="","",IF(W414+X414&lt;15,"Données Nb pers ou RFR manquantes",IF(COUNTA(INDIRECT("TabRFR["&amp;YEAR(D414)&amp;"]"))&lt;&gt;COUNTA(TabRFR[Recherche RFR]),"Data RFR manquantes", IF(X414&lt;=INDEX(TabRFR[[2021]:[2025]],MATCH(BD!W414&amp;"-Très modestes",TabRFR[Recherche RFR],0),MATCH(TEXT(YEAR(BD!D414),"Standard"),TabRFR[[#Headers],[2021]:[2025]],0)),"Très Modeste",IF(X414&lt;=INDEX(TabRFR[[2021]:[2025]],MATCH(BD!W414&amp;"-modestes",TabRFR[Recherche RFR],0),MATCH(TEXT(YEAR(BD!D414),"Standard"),TabRFR[[#Headers],[2021]:[2025]],0)),"Modeste",IF(X414&lt;=INDEX(TabRFR[[2021]:[2025]],MATCH(BD!W414&amp;"-Intermédiaire",TabRFR[Recherche RFR],0),MATCH(TEXT(YEAR(BD!D414),"Standard"),TabRFR[[#Headers],[2021]:[2025]],0)),"Intermédiaire","Supérieur")))))),IF(D414="","",IF(W414+X414&lt;15,"Données Nb pers ou RFR manquantes",IF(COUNTA(INDIRECT("TabRFR["&amp;YEAR(I414)&amp;"]"))&lt;&gt;COUNTA(TabRFR[Recherche RFR]),"Data RFR manquantes", IF(X414&lt;=INDEX(TabRFR[[2021]:[2025]],MATCH(BD!W414&amp;"-Très modestes",TabRFR[Recherche RFR],0),MATCH(TEXT(YEAR(BD!I414),"Standard"),TabRFR[[#Headers],[2021]:[2025]],0)),"Très Modeste",IF(X414&lt;=INDEX(TabRFR[[2021]:[2025]],MATCH(BD!W414&amp;"-modestes",TabRFR[Recherche RFR],0),MATCH(TEXT(YEAR(BD!I414),"Standard"),TabRFR[[#Headers],[2021]:[2025]],0)),"Modeste",IF(X414&lt;=INDEX(TabRFR[[2021]:[2025]],MATCH(BD!W414&amp;"-Intermédiaire",TabRFR[Recherche RFR],0),MATCH(TEXT(YEAR(BD!I414),"Standard"),TabRFR[[#Headers],[2021]:[2025]],0)),"Intermédiaire","Supérieur")))))))</f>
        <v>Data RFR manquantes</v>
      </c>
      <c r="Z414" s="75"/>
      <c r="AA414" s="75" t="s">
        <v>194</v>
      </c>
      <c r="AB414" s="75">
        <v>38210</v>
      </c>
      <c r="AC414" s="75" t="s">
        <v>195</v>
      </c>
      <c r="AD414" s="73"/>
      <c r="AE414" s="102"/>
      <c r="AF414" s="75" t="s">
        <v>95</v>
      </c>
      <c r="AG414" s="75"/>
      <c r="AH414" s="75">
        <v>2012</v>
      </c>
      <c r="AI414" s="75"/>
      <c r="AJ414" s="75"/>
      <c r="AK414" s="75"/>
      <c r="AL414" s="75"/>
      <c r="AM414" s="75" t="s">
        <v>4356</v>
      </c>
      <c r="AN414" s="75" t="s">
        <v>96</v>
      </c>
      <c r="AO414" s="75" t="s">
        <v>119</v>
      </c>
      <c r="AP414" s="75" t="s">
        <v>97</v>
      </c>
      <c r="AQ414" s="75"/>
      <c r="AR414" s="74">
        <v>43772</v>
      </c>
      <c r="AS414" s="102" t="s">
        <v>770</v>
      </c>
      <c r="AT414" s="73" t="s">
        <v>658</v>
      </c>
      <c r="AU414" s="75" t="s">
        <v>100</v>
      </c>
      <c r="AV414" s="75">
        <v>2000</v>
      </c>
      <c r="AW414" s="75" t="s">
        <v>100</v>
      </c>
      <c r="AX414" s="75" t="s">
        <v>2071</v>
      </c>
      <c r="AY414" s="75" t="s">
        <v>102</v>
      </c>
      <c r="AZ414" s="75" t="s">
        <v>870</v>
      </c>
      <c r="BA414" s="75">
        <v>17</v>
      </c>
      <c r="BB414" s="75">
        <v>10.1</v>
      </c>
      <c r="BC414" s="75">
        <v>90</v>
      </c>
      <c r="BD414" s="75">
        <v>0.02</v>
      </c>
      <c r="BE414" s="75" t="s">
        <v>97</v>
      </c>
      <c r="BF414" s="77"/>
      <c r="BG414" s="75">
        <v>2988</v>
      </c>
      <c r="BH414" s="75"/>
      <c r="BI414" s="75"/>
      <c r="BJ414" s="75"/>
      <c r="BK414" s="75">
        <v>500</v>
      </c>
      <c r="BL414" s="75">
        <f t="shared" si="18"/>
        <v>3488</v>
      </c>
      <c r="BM414" s="103">
        <f t="shared" si="19"/>
        <v>191.84</v>
      </c>
      <c r="BN414" s="103">
        <f t="shared" si="20"/>
        <v>3679.84</v>
      </c>
      <c r="BO414" s="103">
        <f>4200+600</f>
        <v>4800</v>
      </c>
      <c r="BP414" s="75" t="s">
        <v>97</v>
      </c>
      <c r="BQ414" s="75"/>
      <c r="BR414" s="75"/>
      <c r="BS414" s="157">
        <v>2018</v>
      </c>
      <c r="BU414">
        <v>2018</v>
      </c>
    </row>
    <row r="415" spans="1:73" ht="43.15" customHeight="1" x14ac:dyDescent="0.25">
      <c r="A415" s="242" t="s">
        <v>90</v>
      </c>
      <c r="B415" s="242" t="s">
        <v>871</v>
      </c>
      <c r="C415" s="159">
        <v>400</v>
      </c>
      <c r="D415" s="114">
        <v>43383</v>
      </c>
      <c r="E415" s="114">
        <v>43383</v>
      </c>
      <c r="F415" s="114"/>
      <c r="G415" s="114"/>
      <c r="H415" s="114">
        <v>43389</v>
      </c>
      <c r="I415" s="114">
        <v>43389</v>
      </c>
      <c r="J415" s="114">
        <v>43398</v>
      </c>
      <c r="K415" s="114"/>
      <c r="L415" s="114">
        <v>43598</v>
      </c>
      <c r="M415" s="114">
        <v>43551</v>
      </c>
      <c r="N415" s="114"/>
      <c r="O415" s="114">
        <v>43608</v>
      </c>
      <c r="P415" s="114">
        <v>43608</v>
      </c>
      <c r="Q415" s="114">
        <v>43612</v>
      </c>
      <c r="R415" s="80"/>
      <c r="S415" s="114"/>
      <c r="T415" s="75"/>
      <c r="U415" s="75"/>
      <c r="V415" s="75"/>
      <c r="W415" s="75">
        <v>2</v>
      </c>
      <c r="X415" s="75">
        <v>42351</v>
      </c>
      <c r="Y415" s="75" t="str">
        <f ca="1">IF(I415="",IF(D415="","",IF(W415+X415&lt;15,"Données Nb pers ou RFR manquantes",IF(COUNTA(INDIRECT("TabRFR["&amp;YEAR(D415)&amp;"]"))&lt;&gt;COUNTA(TabRFR[Recherche RFR]),"Data RFR manquantes", IF(X415&lt;=INDEX(TabRFR[[2021]:[2025]],MATCH(BD!W415&amp;"-Très modestes",TabRFR[Recherche RFR],0),MATCH(TEXT(YEAR(BD!D415),"Standard"),TabRFR[[#Headers],[2021]:[2025]],0)),"Très Modeste",IF(X415&lt;=INDEX(TabRFR[[2021]:[2025]],MATCH(BD!W415&amp;"-modestes",TabRFR[Recherche RFR],0),MATCH(TEXT(YEAR(BD!D415),"Standard"),TabRFR[[#Headers],[2021]:[2025]],0)),"Modeste",IF(X415&lt;=INDEX(TabRFR[[2021]:[2025]],MATCH(BD!W415&amp;"-Intermédiaire",TabRFR[Recherche RFR],0),MATCH(TEXT(YEAR(BD!D415),"Standard"),TabRFR[[#Headers],[2021]:[2025]],0)),"Intermédiaire","Supérieur")))))),IF(D415="","",IF(W415+X415&lt;15,"Données Nb pers ou RFR manquantes",IF(COUNTA(INDIRECT("TabRFR["&amp;YEAR(I415)&amp;"]"))&lt;&gt;COUNTA(TabRFR[Recherche RFR]),"Data RFR manquantes", IF(X415&lt;=INDEX(TabRFR[[2021]:[2025]],MATCH(BD!W415&amp;"-Très modestes",TabRFR[Recherche RFR],0),MATCH(TEXT(YEAR(BD!I415),"Standard"),TabRFR[[#Headers],[2021]:[2025]],0)),"Très Modeste",IF(X415&lt;=INDEX(TabRFR[[2021]:[2025]],MATCH(BD!W415&amp;"-modestes",TabRFR[Recherche RFR],0),MATCH(TEXT(YEAR(BD!I415),"Standard"),TabRFR[[#Headers],[2021]:[2025]],0)),"Modeste",IF(X415&lt;=INDEX(TabRFR[[2021]:[2025]],MATCH(BD!W415&amp;"-Intermédiaire",TabRFR[Recherche RFR],0),MATCH(TEXT(YEAR(BD!I415),"Standard"),TabRFR[[#Headers],[2021]:[2025]],0)),"Intermédiaire","Supérieur")))))))</f>
        <v>Data RFR manquantes</v>
      </c>
      <c r="Z415" s="75"/>
      <c r="AA415" s="75" t="s">
        <v>872</v>
      </c>
      <c r="AB415" s="75">
        <v>38960</v>
      </c>
      <c r="AC415" s="75" t="s">
        <v>2378</v>
      </c>
      <c r="AD415" s="73"/>
      <c r="AE415" s="102"/>
      <c r="AF415" s="75" t="s">
        <v>95</v>
      </c>
      <c r="AG415" s="75"/>
      <c r="AH415" s="75">
        <v>1993</v>
      </c>
      <c r="AI415" s="75"/>
      <c r="AJ415" s="75"/>
      <c r="AK415" s="75"/>
      <c r="AL415" s="75"/>
      <c r="AM415" s="75" t="s">
        <v>4348</v>
      </c>
      <c r="AN415" s="75" t="s">
        <v>96</v>
      </c>
      <c r="AO415" s="75" t="s">
        <v>238</v>
      </c>
      <c r="AP415" s="75" t="s">
        <v>97</v>
      </c>
      <c r="AQ415" s="75"/>
      <c r="AR415" s="74">
        <v>43698</v>
      </c>
      <c r="AS415" s="102" t="s">
        <v>98</v>
      </c>
      <c r="AT415" s="73" t="s">
        <v>802</v>
      </c>
      <c r="AU415" s="75" t="s">
        <v>99</v>
      </c>
      <c r="AV415" s="75">
        <v>1993</v>
      </c>
      <c r="AW415" s="75" t="s">
        <v>100</v>
      </c>
      <c r="AX415" s="75" t="s">
        <v>112</v>
      </c>
      <c r="AY415" s="75" t="s">
        <v>873</v>
      </c>
      <c r="AZ415" s="75" t="s">
        <v>874</v>
      </c>
      <c r="BA415" s="75">
        <v>12</v>
      </c>
      <c r="BB415" s="75">
        <v>9.1999999999999993</v>
      </c>
      <c r="BC415" s="75">
        <v>77</v>
      </c>
      <c r="BD415" s="75">
        <v>0.04</v>
      </c>
      <c r="BE415" s="75" t="s">
        <v>97</v>
      </c>
      <c r="BF415" s="77"/>
      <c r="BG415" s="75">
        <v>3694</v>
      </c>
      <c r="BH415" s="75"/>
      <c r="BI415" s="75"/>
      <c r="BJ415" s="75"/>
      <c r="BK415" s="75">
        <v>1025</v>
      </c>
      <c r="BL415" s="75">
        <f t="shared" si="18"/>
        <v>4719</v>
      </c>
      <c r="BM415" s="103">
        <f t="shared" si="19"/>
        <v>259.54500000000002</v>
      </c>
      <c r="BN415" s="103">
        <f t="shared" si="20"/>
        <v>4978.5450000000001</v>
      </c>
      <c r="BO415" s="103">
        <f>3130+1694</f>
        <v>4824</v>
      </c>
      <c r="BP415" s="75" t="s">
        <v>97</v>
      </c>
      <c r="BQ415" s="75"/>
      <c r="BR415" s="75">
        <v>43416</v>
      </c>
      <c r="BS415" s="157">
        <v>2018</v>
      </c>
      <c r="BT415">
        <v>2020</v>
      </c>
      <c r="BU415">
        <v>2018</v>
      </c>
    </row>
    <row r="416" spans="1:73" ht="43.15" customHeight="1" x14ac:dyDescent="0.25">
      <c r="A416" s="242" t="s">
        <v>90</v>
      </c>
      <c r="B416" s="242" t="s">
        <v>875</v>
      </c>
      <c r="C416" s="159">
        <v>800</v>
      </c>
      <c r="D416" s="114">
        <v>43383</v>
      </c>
      <c r="E416" s="114">
        <v>43384</v>
      </c>
      <c r="F416" s="114">
        <v>43389</v>
      </c>
      <c r="G416" s="114" t="s">
        <v>876</v>
      </c>
      <c r="H416" s="114">
        <v>43412</v>
      </c>
      <c r="I416" s="114">
        <v>43497</v>
      </c>
      <c r="J416" s="114">
        <v>43437</v>
      </c>
      <c r="K416" s="114"/>
      <c r="L416" s="114">
        <v>43511</v>
      </c>
      <c r="M416" s="114">
        <v>43502</v>
      </c>
      <c r="N416" s="114"/>
      <c r="O416" s="114">
        <v>43532</v>
      </c>
      <c r="P416" s="114">
        <v>43532</v>
      </c>
      <c r="Q416" s="114">
        <v>43532</v>
      </c>
      <c r="R416" s="100"/>
      <c r="S416" s="114"/>
      <c r="T416" s="75"/>
      <c r="U416" s="75"/>
      <c r="V416" s="75"/>
      <c r="W416" s="75">
        <v>3</v>
      </c>
      <c r="X416" s="75">
        <v>29627</v>
      </c>
      <c r="Y416" s="75" t="str">
        <f ca="1">IF(I416="",IF(D416="","",IF(W416+X416&lt;15,"Données Nb pers ou RFR manquantes",IF(COUNTA(INDIRECT("TabRFR["&amp;YEAR(D416)&amp;"]"))&lt;&gt;COUNTA(TabRFR[Recherche RFR]),"Data RFR manquantes", IF(X416&lt;=INDEX(TabRFR[[2021]:[2025]],MATCH(BD!W416&amp;"-Très modestes",TabRFR[Recherche RFR],0),MATCH(TEXT(YEAR(BD!D416),"Standard"),TabRFR[[#Headers],[2021]:[2025]],0)),"Très Modeste",IF(X416&lt;=INDEX(TabRFR[[2021]:[2025]],MATCH(BD!W416&amp;"-modestes",TabRFR[Recherche RFR],0),MATCH(TEXT(YEAR(BD!D416),"Standard"),TabRFR[[#Headers],[2021]:[2025]],0)),"Modeste",IF(X416&lt;=INDEX(TabRFR[[2021]:[2025]],MATCH(BD!W416&amp;"-Intermédiaire",TabRFR[Recherche RFR],0),MATCH(TEXT(YEAR(BD!D416),"Standard"),TabRFR[[#Headers],[2021]:[2025]],0)),"Intermédiaire","Supérieur")))))),IF(D416="","",IF(W416+X416&lt;15,"Données Nb pers ou RFR manquantes",IF(COUNTA(INDIRECT("TabRFR["&amp;YEAR(I416)&amp;"]"))&lt;&gt;COUNTA(TabRFR[Recherche RFR]),"Data RFR manquantes", IF(X416&lt;=INDEX(TabRFR[[2021]:[2025]],MATCH(BD!W416&amp;"-Très modestes",TabRFR[Recherche RFR],0),MATCH(TEXT(YEAR(BD!I416),"Standard"),TabRFR[[#Headers],[2021]:[2025]],0)),"Très Modeste",IF(X416&lt;=INDEX(TabRFR[[2021]:[2025]],MATCH(BD!W416&amp;"-modestes",TabRFR[Recherche RFR],0),MATCH(TEXT(YEAR(BD!I416),"Standard"),TabRFR[[#Headers],[2021]:[2025]],0)),"Modeste",IF(X416&lt;=INDEX(TabRFR[[2021]:[2025]],MATCH(BD!W416&amp;"-Intermédiaire",TabRFR[Recherche RFR],0),MATCH(TEXT(YEAR(BD!I416),"Standard"),TabRFR[[#Headers],[2021]:[2025]],0)),"Intermédiaire","Supérieur")))))))</f>
        <v>Data RFR manquantes</v>
      </c>
      <c r="Z416" s="75"/>
      <c r="AA416" s="75" t="s">
        <v>877</v>
      </c>
      <c r="AB416" s="75">
        <v>38430</v>
      </c>
      <c r="AC416" s="75" t="s">
        <v>217</v>
      </c>
      <c r="AD416" s="73"/>
      <c r="AE416" s="102"/>
      <c r="AF416" s="75" t="s">
        <v>95</v>
      </c>
      <c r="AG416" s="75"/>
      <c r="AH416" s="131">
        <v>37910</v>
      </c>
      <c r="AI416" s="75"/>
      <c r="AJ416" s="75"/>
      <c r="AK416" s="75"/>
      <c r="AL416" s="75"/>
      <c r="AM416" s="75" t="s">
        <v>218</v>
      </c>
      <c r="AN416" s="75" t="s">
        <v>217</v>
      </c>
      <c r="AO416" s="75" t="s">
        <v>219</v>
      </c>
      <c r="AP416" s="75" t="s">
        <v>97</v>
      </c>
      <c r="AQ416" s="75"/>
      <c r="AR416" s="74">
        <v>43764</v>
      </c>
      <c r="AS416" s="102" t="s">
        <v>220</v>
      </c>
      <c r="AT416" s="73" t="s">
        <v>620</v>
      </c>
      <c r="AU416" s="75" t="s">
        <v>99</v>
      </c>
      <c r="AV416" s="75" t="s">
        <v>9</v>
      </c>
      <c r="AW416" s="75" t="s">
        <v>111</v>
      </c>
      <c r="AX416" s="75" t="s">
        <v>112</v>
      </c>
      <c r="AY416" s="75" t="s">
        <v>878</v>
      </c>
      <c r="AZ416" s="75" t="s">
        <v>879</v>
      </c>
      <c r="BA416" s="75">
        <v>30</v>
      </c>
      <c r="BB416" s="75">
        <v>8</v>
      </c>
      <c r="BC416" s="75">
        <v>75</v>
      </c>
      <c r="BD416" s="75">
        <v>0.1</v>
      </c>
      <c r="BE416" s="75" t="s">
        <v>97</v>
      </c>
      <c r="BF416" s="75"/>
      <c r="BG416" s="75">
        <v>2222</v>
      </c>
      <c r="BH416" s="75"/>
      <c r="BI416" s="75"/>
      <c r="BJ416" s="75"/>
      <c r="BK416" s="75">
        <v>125</v>
      </c>
      <c r="BL416" s="75">
        <f t="shared" si="18"/>
        <v>2347</v>
      </c>
      <c r="BM416" s="103">
        <f t="shared" si="19"/>
        <v>129.08500000000001</v>
      </c>
      <c r="BN416" s="103">
        <f t="shared" si="20"/>
        <v>2476.085</v>
      </c>
      <c r="BO416" s="103">
        <v>2476</v>
      </c>
      <c r="BP416" s="75" t="s">
        <v>104</v>
      </c>
      <c r="BQ416" s="75"/>
      <c r="BR416" s="74">
        <v>43416</v>
      </c>
      <c r="BS416" s="157">
        <v>2018</v>
      </c>
      <c r="BT416">
        <v>2020</v>
      </c>
      <c r="BU416">
        <v>2018</v>
      </c>
    </row>
    <row r="417" spans="1:73" ht="43.15" customHeight="1" x14ac:dyDescent="0.25">
      <c r="A417" s="242" t="s">
        <v>749</v>
      </c>
      <c r="B417" s="242" t="s">
        <v>880</v>
      </c>
      <c r="C417" s="159">
        <v>800</v>
      </c>
      <c r="D417" s="114">
        <v>43385</v>
      </c>
      <c r="E417" s="114">
        <v>43392</v>
      </c>
      <c r="F417" s="114"/>
      <c r="G417" s="114" t="s">
        <v>881</v>
      </c>
      <c r="H417" s="114">
        <v>43392</v>
      </c>
      <c r="I417" s="114">
        <v>43392</v>
      </c>
      <c r="J417" s="114">
        <v>43403</v>
      </c>
      <c r="K417" s="114"/>
      <c r="L417" s="114">
        <v>43472</v>
      </c>
      <c r="M417" s="114">
        <v>43447</v>
      </c>
      <c r="N417" s="114"/>
      <c r="O417" s="114">
        <v>43476</v>
      </c>
      <c r="P417" s="114">
        <v>43476</v>
      </c>
      <c r="Q417" s="114">
        <v>43482</v>
      </c>
      <c r="R417" s="100"/>
      <c r="S417" s="114"/>
      <c r="T417" s="75"/>
      <c r="U417" s="75"/>
      <c r="V417" s="75"/>
      <c r="W417" s="75">
        <v>2</v>
      </c>
      <c r="X417" s="75">
        <v>22725</v>
      </c>
      <c r="Y417" s="75" t="str">
        <f ca="1">IF(I417="",IF(D417="","",IF(W417+X417&lt;15,"Données Nb pers ou RFR manquantes",IF(COUNTA(INDIRECT("TabRFR["&amp;YEAR(D417)&amp;"]"))&lt;&gt;COUNTA(TabRFR[Recherche RFR]),"Data RFR manquantes", IF(X417&lt;=INDEX(TabRFR[[2021]:[2025]],MATCH(BD!W417&amp;"-Très modestes",TabRFR[Recherche RFR],0),MATCH(TEXT(YEAR(BD!D417),"Standard"),TabRFR[[#Headers],[2021]:[2025]],0)),"Très Modeste",IF(X417&lt;=INDEX(TabRFR[[2021]:[2025]],MATCH(BD!W417&amp;"-modestes",TabRFR[Recherche RFR],0),MATCH(TEXT(YEAR(BD!D417),"Standard"),TabRFR[[#Headers],[2021]:[2025]],0)),"Modeste",IF(X417&lt;=INDEX(TabRFR[[2021]:[2025]],MATCH(BD!W417&amp;"-Intermédiaire",TabRFR[Recherche RFR],0),MATCH(TEXT(YEAR(BD!D417),"Standard"),TabRFR[[#Headers],[2021]:[2025]],0)),"Intermédiaire","Supérieur")))))),IF(D417="","",IF(W417+X417&lt;15,"Données Nb pers ou RFR manquantes",IF(COUNTA(INDIRECT("TabRFR["&amp;YEAR(I417)&amp;"]"))&lt;&gt;COUNTA(TabRFR[Recherche RFR]),"Data RFR manquantes", IF(X417&lt;=INDEX(TabRFR[[2021]:[2025]],MATCH(BD!W417&amp;"-Très modestes",TabRFR[Recherche RFR],0),MATCH(TEXT(YEAR(BD!I417),"Standard"),TabRFR[[#Headers],[2021]:[2025]],0)),"Très Modeste",IF(X417&lt;=INDEX(TabRFR[[2021]:[2025]],MATCH(BD!W417&amp;"-modestes",TabRFR[Recherche RFR],0),MATCH(TEXT(YEAR(BD!I417),"Standard"),TabRFR[[#Headers],[2021]:[2025]],0)),"Modeste",IF(X417&lt;=INDEX(TabRFR[[2021]:[2025]],MATCH(BD!W417&amp;"-Intermédiaire",TabRFR[Recherche RFR],0),MATCH(TEXT(YEAR(BD!I417),"Standard"),TabRFR[[#Headers],[2021]:[2025]],0)),"Intermédiaire","Supérieur")))))))</f>
        <v>Data RFR manquantes</v>
      </c>
      <c r="Z417" s="75"/>
      <c r="AA417" s="75" t="s">
        <v>223</v>
      </c>
      <c r="AB417" s="75">
        <v>38430</v>
      </c>
      <c r="AC417" s="75" t="s">
        <v>217</v>
      </c>
      <c r="AD417" s="73"/>
      <c r="AE417" s="102"/>
      <c r="AF417" s="75" t="s">
        <v>95</v>
      </c>
      <c r="AG417" s="75"/>
      <c r="AH417" s="75">
        <v>1978</v>
      </c>
      <c r="AI417" s="75"/>
      <c r="AJ417" s="75"/>
      <c r="AK417" s="75"/>
      <c r="AL417" s="75"/>
      <c r="AM417" s="75" t="s">
        <v>4130</v>
      </c>
      <c r="AN417" s="75" t="s">
        <v>4349</v>
      </c>
      <c r="AO417" s="75" t="str">
        <f>AM417</f>
        <v>ATRE DECORATION</v>
      </c>
      <c r="AP417" s="75" t="s">
        <v>97</v>
      </c>
      <c r="AQ417" s="75"/>
      <c r="AR417" s="74">
        <v>43545</v>
      </c>
      <c r="AS417" s="102" t="s">
        <v>337</v>
      </c>
      <c r="AT417" s="73" t="s">
        <v>691</v>
      </c>
      <c r="AU417" s="75" t="s">
        <v>100</v>
      </c>
      <c r="AV417" s="75">
        <v>1980</v>
      </c>
      <c r="AW417" s="75" t="s">
        <v>100</v>
      </c>
      <c r="AX417" s="75" t="s">
        <v>112</v>
      </c>
      <c r="AY417" s="75" t="s">
        <v>338</v>
      </c>
      <c r="AZ417" s="75" t="s">
        <v>882</v>
      </c>
      <c r="BA417" s="75">
        <v>27</v>
      </c>
      <c r="BB417" s="75">
        <v>8</v>
      </c>
      <c r="BC417" s="75">
        <v>76.3</v>
      </c>
      <c r="BD417" s="75">
        <v>0.1</v>
      </c>
      <c r="BE417" s="75" t="s">
        <v>97</v>
      </c>
      <c r="BF417" s="77"/>
      <c r="BG417" s="75">
        <v>4491</v>
      </c>
      <c r="BH417" s="75"/>
      <c r="BI417" s="75"/>
      <c r="BJ417" s="75"/>
      <c r="BK417" s="75">
        <v>900</v>
      </c>
      <c r="BL417" s="75">
        <f t="shared" si="18"/>
        <v>5391</v>
      </c>
      <c r="BM417" s="103">
        <f t="shared" si="19"/>
        <v>296.505</v>
      </c>
      <c r="BN417" s="103">
        <f t="shared" si="20"/>
        <v>5687.5050000000001</v>
      </c>
      <c r="BO417" s="103">
        <v>5400</v>
      </c>
      <c r="BP417" s="75" t="s">
        <v>97</v>
      </c>
      <c r="BQ417" s="75"/>
      <c r="BR417" s="74">
        <v>43416</v>
      </c>
      <c r="BS417" s="157">
        <v>2018</v>
      </c>
      <c r="BT417">
        <v>2020</v>
      </c>
      <c r="BU417">
        <v>2018</v>
      </c>
    </row>
    <row r="418" spans="1:73" ht="43.15" customHeight="1" x14ac:dyDescent="0.25">
      <c r="A418" s="242" t="s">
        <v>749</v>
      </c>
      <c r="B418" s="242" t="s">
        <v>883</v>
      </c>
      <c r="C418" s="159">
        <v>800</v>
      </c>
      <c r="D418" s="114">
        <v>43385</v>
      </c>
      <c r="E418" s="114">
        <v>43385</v>
      </c>
      <c r="F418" s="114"/>
      <c r="G418" s="114" t="s">
        <v>884</v>
      </c>
      <c r="H418" s="114">
        <v>43392</v>
      </c>
      <c r="I418" s="114">
        <v>43392</v>
      </c>
      <c r="J418" s="114">
        <v>43403</v>
      </c>
      <c r="K418" s="114"/>
      <c r="L418" s="114">
        <v>43496</v>
      </c>
      <c r="M418" s="114">
        <v>43462</v>
      </c>
      <c r="N418" s="114"/>
      <c r="O418" s="114">
        <v>43508</v>
      </c>
      <c r="P418" s="114">
        <v>43508</v>
      </c>
      <c r="Q418" s="114">
        <v>43515</v>
      </c>
      <c r="R418" s="100"/>
      <c r="S418" s="114"/>
      <c r="T418" s="75"/>
      <c r="U418" s="75"/>
      <c r="V418" s="75"/>
      <c r="W418" s="75">
        <v>3</v>
      </c>
      <c r="X418" s="75">
        <v>29936</v>
      </c>
      <c r="Y418" s="75" t="str">
        <f ca="1">IF(I418="",IF(D418="","",IF(W418+X418&lt;15,"Données Nb pers ou RFR manquantes",IF(COUNTA(INDIRECT("TabRFR["&amp;YEAR(D418)&amp;"]"))&lt;&gt;COUNTA(TabRFR[Recherche RFR]),"Data RFR manquantes", IF(X418&lt;=INDEX(TabRFR[[2021]:[2025]],MATCH(BD!W418&amp;"-Très modestes",TabRFR[Recherche RFR],0),MATCH(TEXT(YEAR(BD!D418),"Standard"),TabRFR[[#Headers],[2021]:[2025]],0)),"Très Modeste",IF(X418&lt;=INDEX(TabRFR[[2021]:[2025]],MATCH(BD!W418&amp;"-modestes",TabRFR[Recherche RFR],0),MATCH(TEXT(YEAR(BD!D418),"Standard"),TabRFR[[#Headers],[2021]:[2025]],0)),"Modeste",IF(X418&lt;=INDEX(TabRFR[[2021]:[2025]],MATCH(BD!W418&amp;"-Intermédiaire",TabRFR[Recherche RFR],0),MATCH(TEXT(YEAR(BD!D418),"Standard"),TabRFR[[#Headers],[2021]:[2025]],0)),"Intermédiaire","Supérieur")))))),IF(D418="","",IF(W418+X418&lt;15,"Données Nb pers ou RFR manquantes",IF(COUNTA(INDIRECT("TabRFR["&amp;YEAR(I418)&amp;"]"))&lt;&gt;COUNTA(TabRFR[Recherche RFR]),"Data RFR manquantes", IF(X418&lt;=INDEX(TabRFR[[2021]:[2025]],MATCH(BD!W418&amp;"-Très modestes",TabRFR[Recherche RFR],0),MATCH(TEXT(YEAR(BD!I418),"Standard"),TabRFR[[#Headers],[2021]:[2025]],0)),"Très Modeste",IF(X418&lt;=INDEX(TabRFR[[2021]:[2025]],MATCH(BD!W418&amp;"-modestes",TabRFR[Recherche RFR],0),MATCH(TEXT(YEAR(BD!I418),"Standard"),TabRFR[[#Headers],[2021]:[2025]],0)),"Modeste",IF(X418&lt;=INDEX(TabRFR[[2021]:[2025]],MATCH(BD!W418&amp;"-Intermédiaire",TabRFR[Recherche RFR],0),MATCH(TEXT(YEAR(BD!I418),"Standard"),TabRFR[[#Headers],[2021]:[2025]],0)),"Intermédiaire","Supérieur")))))))</f>
        <v>Data RFR manquantes</v>
      </c>
      <c r="Z418" s="75"/>
      <c r="AA418" s="75" t="s">
        <v>885</v>
      </c>
      <c r="AB418" s="75">
        <v>38340</v>
      </c>
      <c r="AC418" s="75" t="s">
        <v>108</v>
      </c>
      <c r="AD418" s="73"/>
      <c r="AE418" s="102"/>
      <c r="AF418" s="75" t="s">
        <v>95</v>
      </c>
      <c r="AG418" s="75"/>
      <c r="AH418" s="75">
        <v>1993</v>
      </c>
      <c r="AI418" s="75"/>
      <c r="AJ418" s="75"/>
      <c r="AK418" s="75"/>
      <c r="AL418" s="75"/>
      <c r="AM418" s="75" t="s">
        <v>4398</v>
      </c>
      <c r="AN418" s="75" t="s">
        <v>4399</v>
      </c>
      <c r="AO418" s="75" t="s">
        <v>886</v>
      </c>
      <c r="AP418" s="75" t="s">
        <v>97</v>
      </c>
      <c r="AQ418" s="75"/>
      <c r="AR418" s="74">
        <v>43408</v>
      </c>
      <c r="AS418" s="102" t="s">
        <v>887</v>
      </c>
      <c r="AT418" s="73" t="s">
        <v>888</v>
      </c>
      <c r="AU418" s="75" t="s">
        <v>100</v>
      </c>
      <c r="AV418" s="75">
        <v>1992</v>
      </c>
      <c r="AW418" s="75" t="s">
        <v>100</v>
      </c>
      <c r="AX418" s="75" t="s">
        <v>112</v>
      </c>
      <c r="AY418" s="75" t="s">
        <v>344</v>
      </c>
      <c r="AZ418" s="75" t="s">
        <v>889</v>
      </c>
      <c r="BA418" s="75">
        <v>30</v>
      </c>
      <c r="BB418" s="75">
        <v>9.5</v>
      </c>
      <c r="BC418" s="75">
        <v>77</v>
      </c>
      <c r="BD418" s="75">
        <v>0.09</v>
      </c>
      <c r="BE418" s="75" t="s">
        <v>97</v>
      </c>
      <c r="BF418" s="75"/>
      <c r="BG418" s="75">
        <v>1698.6</v>
      </c>
      <c r="BH418" s="75"/>
      <c r="BI418" s="75"/>
      <c r="BJ418" s="75"/>
      <c r="BK418" s="75">
        <v>505</v>
      </c>
      <c r="BL418" s="75">
        <f t="shared" si="18"/>
        <v>2203.6</v>
      </c>
      <c r="BM418" s="103">
        <f t="shared" si="19"/>
        <v>121.19799999999999</v>
      </c>
      <c r="BN418" s="103">
        <f t="shared" si="20"/>
        <v>2324.7979999999998</v>
      </c>
      <c r="BO418" s="103"/>
      <c r="BP418" s="75"/>
      <c r="BQ418" s="75"/>
      <c r="BR418" s="74">
        <v>43416</v>
      </c>
      <c r="BS418" s="157">
        <v>2018</v>
      </c>
      <c r="BT418">
        <v>2020</v>
      </c>
      <c r="BU418">
        <v>2018</v>
      </c>
    </row>
    <row r="419" spans="1:73" ht="43.15" customHeight="1" x14ac:dyDescent="0.25">
      <c r="A419" s="242" t="s">
        <v>749</v>
      </c>
      <c r="B419" s="242" t="s">
        <v>890</v>
      </c>
      <c r="C419" s="159">
        <v>400</v>
      </c>
      <c r="D419" s="114">
        <v>43388</v>
      </c>
      <c r="E419" s="114">
        <v>43388</v>
      </c>
      <c r="F419" s="114">
        <v>43392</v>
      </c>
      <c r="G419" s="114" t="s">
        <v>891</v>
      </c>
      <c r="H419" s="114">
        <v>43398</v>
      </c>
      <c r="I419" s="114">
        <v>43398</v>
      </c>
      <c r="J419" s="114">
        <v>43409</v>
      </c>
      <c r="K419" s="114"/>
      <c r="L419" s="114">
        <v>43452</v>
      </c>
      <c r="M419" s="114">
        <v>43446</v>
      </c>
      <c r="N419" s="114"/>
      <c r="O419" s="114">
        <v>43455</v>
      </c>
      <c r="P419" s="114">
        <v>43455</v>
      </c>
      <c r="Q419" s="114">
        <v>43482</v>
      </c>
      <c r="R419" s="80"/>
      <c r="S419" s="114"/>
      <c r="T419" s="75"/>
      <c r="U419" s="75"/>
      <c r="V419" s="75"/>
      <c r="W419" s="75">
        <v>2</v>
      </c>
      <c r="X419" s="75">
        <v>105220</v>
      </c>
      <c r="Y419" s="75" t="str">
        <f ca="1">IF(I419="",IF(D419="","",IF(W419+X419&lt;15,"Données Nb pers ou RFR manquantes",IF(COUNTA(INDIRECT("TabRFR["&amp;YEAR(D419)&amp;"]"))&lt;&gt;COUNTA(TabRFR[Recherche RFR]),"Data RFR manquantes", IF(X419&lt;=INDEX(TabRFR[[2021]:[2025]],MATCH(BD!W419&amp;"-Très modestes",TabRFR[Recherche RFR],0),MATCH(TEXT(YEAR(BD!D419),"Standard"),TabRFR[[#Headers],[2021]:[2025]],0)),"Très Modeste",IF(X419&lt;=INDEX(TabRFR[[2021]:[2025]],MATCH(BD!W419&amp;"-modestes",TabRFR[Recherche RFR],0),MATCH(TEXT(YEAR(BD!D419),"Standard"),TabRFR[[#Headers],[2021]:[2025]],0)),"Modeste",IF(X419&lt;=INDEX(TabRFR[[2021]:[2025]],MATCH(BD!W419&amp;"-Intermédiaire",TabRFR[Recherche RFR],0),MATCH(TEXT(YEAR(BD!D419),"Standard"),TabRFR[[#Headers],[2021]:[2025]],0)),"Intermédiaire","Supérieur")))))),IF(D419="","",IF(W419+X419&lt;15,"Données Nb pers ou RFR manquantes",IF(COUNTA(INDIRECT("TabRFR["&amp;YEAR(I419)&amp;"]"))&lt;&gt;COUNTA(TabRFR[Recherche RFR]),"Data RFR manquantes", IF(X419&lt;=INDEX(TabRFR[[2021]:[2025]],MATCH(BD!W419&amp;"-Très modestes",TabRFR[Recherche RFR],0),MATCH(TEXT(YEAR(BD!I419),"Standard"),TabRFR[[#Headers],[2021]:[2025]],0)),"Très Modeste",IF(X419&lt;=INDEX(TabRFR[[2021]:[2025]],MATCH(BD!W419&amp;"-modestes",TabRFR[Recherche RFR],0),MATCH(TEXT(YEAR(BD!I419),"Standard"),TabRFR[[#Headers],[2021]:[2025]],0)),"Modeste",IF(X419&lt;=INDEX(TabRFR[[2021]:[2025]],MATCH(BD!W419&amp;"-Intermédiaire",TabRFR[Recherche RFR],0),MATCH(TEXT(YEAR(BD!I419),"Standard"),TabRFR[[#Headers],[2021]:[2025]],0)),"Intermédiaire","Supérieur")))))))</f>
        <v>Data RFR manquantes</v>
      </c>
      <c r="Z419" s="75"/>
      <c r="AA419" s="75" t="s">
        <v>542</v>
      </c>
      <c r="AB419" s="75">
        <v>38500</v>
      </c>
      <c r="AC419" s="75" t="s">
        <v>2873</v>
      </c>
      <c r="AD419" s="73"/>
      <c r="AE419" s="102"/>
      <c r="AF419" s="75" t="s">
        <v>95</v>
      </c>
      <c r="AG419" s="75"/>
      <c r="AH419" s="75">
        <v>1984</v>
      </c>
      <c r="AI419" s="75"/>
      <c r="AJ419" s="75"/>
      <c r="AK419" s="75"/>
      <c r="AL419" s="75"/>
      <c r="AM419" s="75" t="s">
        <v>4400</v>
      </c>
      <c r="AN419" s="75" t="s">
        <v>892</v>
      </c>
      <c r="AO419" s="75" t="s">
        <v>893</v>
      </c>
      <c r="AP419" s="75" t="s">
        <v>97</v>
      </c>
      <c r="AQ419" s="75"/>
      <c r="AR419" s="74">
        <v>43244</v>
      </c>
      <c r="AS419" s="102" t="s">
        <v>894</v>
      </c>
      <c r="AT419" s="73" t="s">
        <v>895</v>
      </c>
      <c r="AU419" s="75" t="s">
        <v>100</v>
      </c>
      <c r="AV419" s="75">
        <v>1998</v>
      </c>
      <c r="AW419" s="75" t="s">
        <v>100</v>
      </c>
      <c r="AX419" s="75" t="s">
        <v>112</v>
      </c>
      <c r="AY419" s="75" t="s">
        <v>190</v>
      </c>
      <c r="AZ419" s="75" t="s">
        <v>896</v>
      </c>
      <c r="BA419" s="75">
        <v>34</v>
      </c>
      <c r="BB419" s="75">
        <v>8</v>
      </c>
      <c r="BC419" s="75">
        <v>80.099999999999994</v>
      </c>
      <c r="BD419" s="75">
        <v>0.09</v>
      </c>
      <c r="BE419" s="75" t="s">
        <v>97</v>
      </c>
      <c r="BF419" s="77"/>
      <c r="BG419" s="75">
        <v>4931</v>
      </c>
      <c r="BH419" s="75"/>
      <c r="BI419" s="75"/>
      <c r="BJ419" s="75"/>
      <c r="BK419" s="75">
        <v>907</v>
      </c>
      <c r="BL419" s="75">
        <f t="shared" si="18"/>
        <v>5838</v>
      </c>
      <c r="BM419" s="103">
        <f t="shared" si="19"/>
        <v>321.08999999999997</v>
      </c>
      <c r="BN419" s="103">
        <f t="shared" si="20"/>
        <v>6159.09</v>
      </c>
      <c r="BO419" s="103">
        <v>6181</v>
      </c>
      <c r="BP419" s="75"/>
      <c r="BQ419" s="75"/>
      <c r="BR419" s="74">
        <v>43416</v>
      </c>
      <c r="BS419" s="157">
        <v>2018</v>
      </c>
      <c r="BT419">
        <v>2020</v>
      </c>
      <c r="BU419">
        <v>2018</v>
      </c>
    </row>
    <row r="420" spans="1:73" ht="43.15" customHeight="1" x14ac:dyDescent="0.25">
      <c r="A420" s="244" t="s">
        <v>749</v>
      </c>
      <c r="B420" s="242" t="s">
        <v>897</v>
      </c>
      <c r="C420" s="159">
        <v>400</v>
      </c>
      <c r="D420" s="114">
        <v>43390</v>
      </c>
      <c r="E420" s="114">
        <v>43392</v>
      </c>
      <c r="F420" s="114">
        <v>43398</v>
      </c>
      <c r="G420" s="114" t="s">
        <v>898</v>
      </c>
      <c r="H420" s="114">
        <v>43447</v>
      </c>
      <c r="I420" s="114">
        <v>43447</v>
      </c>
      <c r="J420" s="114">
        <v>43454</v>
      </c>
      <c r="K420" s="114"/>
      <c r="L420" s="114">
        <v>43517</v>
      </c>
      <c r="M420" s="114">
        <v>43501</v>
      </c>
      <c r="N420" s="114"/>
      <c r="O420" s="114">
        <v>43532</v>
      </c>
      <c r="P420" s="114">
        <v>43532</v>
      </c>
      <c r="Q420" s="114">
        <v>43532</v>
      </c>
      <c r="R420" s="80"/>
      <c r="S420" s="114"/>
      <c r="T420" s="75"/>
      <c r="U420" s="75"/>
      <c r="V420" s="75"/>
      <c r="W420" s="75">
        <v>3</v>
      </c>
      <c r="X420" s="75">
        <v>47245</v>
      </c>
      <c r="Y420" s="75" t="str">
        <f ca="1">IF(I420="",IF(D420="","",IF(W420+X420&lt;15,"Données Nb pers ou RFR manquantes",IF(COUNTA(INDIRECT("TabRFR["&amp;YEAR(D420)&amp;"]"))&lt;&gt;COUNTA(TabRFR[Recherche RFR]),"Data RFR manquantes", IF(X420&lt;=INDEX(TabRFR[[2021]:[2025]],MATCH(BD!W420&amp;"-Très modestes",TabRFR[Recherche RFR],0),MATCH(TEXT(YEAR(BD!D420),"Standard"),TabRFR[[#Headers],[2021]:[2025]],0)),"Très Modeste",IF(X420&lt;=INDEX(TabRFR[[2021]:[2025]],MATCH(BD!W420&amp;"-modestes",TabRFR[Recherche RFR],0),MATCH(TEXT(YEAR(BD!D420),"Standard"),TabRFR[[#Headers],[2021]:[2025]],0)),"Modeste",IF(X420&lt;=INDEX(TabRFR[[2021]:[2025]],MATCH(BD!W420&amp;"-Intermédiaire",TabRFR[Recherche RFR],0),MATCH(TEXT(YEAR(BD!D420),"Standard"),TabRFR[[#Headers],[2021]:[2025]],0)),"Intermédiaire","Supérieur")))))),IF(D420="","",IF(W420+X420&lt;15,"Données Nb pers ou RFR manquantes",IF(COUNTA(INDIRECT("TabRFR["&amp;YEAR(I420)&amp;"]"))&lt;&gt;COUNTA(TabRFR[Recherche RFR]),"Data RFR manquantes", IF(X420&lt;=INDEX(TabRFR[[2021]:[2025]],MATCH(BD!W420&amp;"-Très modestes",TabRFR[Recherche RFR],0),MATCH(TEXT(YEAR(BD!I420),"Standard"),TabRFR[[#Headers],[2021]:[2025]],0)),"Très Modeste",IF(X420&lt;=INDEX(TabRFR[[2021]:[2025]],MATCH(BD!W420&amp;"-modestes",TabRFR[Recherche RFR],0),MATCH(TEXT(YEAR(BD!I420),"Standard"),TabRFR[[#Headers],[2021]:[2025]],0)),"Modeste",IF(X420&lt;=INDEX(TabRFR[[2021]:[2025]],MATCH(BD!W420&amp;"-Intermédiaire",TabRFR[Recherche RFR],0),MATCH(TEXT(YEAR(BD!I420),"Standard"),TabRFR[[#Headers],[2021]:[2025]],0)),"Intermédiaire","Supérieur")))))))</f>
        <v>Data RFR manquantes</v>
      </c>
      <c r="Z420" s="75"/>
      <c r="AA420" s="75" t="s">
        <v>900</v>
      </c>
      <c r="AB420" s="75">
        <v>38430</v>
      </c>
      <c r="AC420" s="75" t="s">
        <v>3202</v>
      </c>
      <c r="AD420" s="73"/>
      <c r="AE420" s="102"/>
      <c r="AF420" s="75" t="s">
        <v>95</v>
      </c>
      <c r="AG420" s="75"/>
      <c r="AH420" s="75">
        <v>1986</v>
      </c>
      <c r="AI420" s="75"/>
      <c r="AJ420" s="75"/>
      <c r="AK420" s="75"/>
      <c r="AL420" s="75"/>
      <c r="AM420" s="75" t="s">
        <v>3973</v>
      </c>
      <c r="AN420" s="75" t="s">
        <v>96</v>
      </c>
      <c r="AO420" s="75"/>
      <c r="AP420" s="75" t="s">
        <v>97</v>
      </c>
      <c r="AQ420" s="75"/>
      <c r="AR420" s="74">
        <v>43726</v>
      </c>
      <c r="AS420" s="102" t="s">
        <v>141</v>
      </c>
      <c r="AT420" s="73" t="s">
        <v>820</v>
      </c>
      <c r="AU420" s="75" t="s">
        <v>100</v>
      </c>
      <c r="AV420" s="75">
        <v>1983</v>
      </c>
      <c r="AW420" s="75" t="s">
        <v>100</v>
      </c>
      <c r="AX420" s="75" t="s">
        <v>2071</v>
      </c>
      <c r="AY420" s="75" t="s">
        <v>440</v>
      </c>
      <c r="AZ420" s="75" t="s">
        <v>901</v>
      </c>
      <c r="BA420" s="75">
        <v>8</v>
      </c>
      <c r="BB420" s="75">
        <v>9</v>
      </c>
      <c r="BC420" s="75">
        <v>90.5</v>
      </c>
      <c r="BD420" s="75">
        <v>1.6E-2</v>
      </c>
      <c r="BE420" s="75" t="s">
        <v>97</v>
      </c>
      <c r="BF420" s="75"/>
      <c r="BG420" s="75">
        <v>2790</v>
      </c>
      <c r="BH420" s="75"/>
      <c r="BI420" s="75"/>
      <c r="BJ420" s="75"/>
      <c r="BK420" s="75">
        <v>1</v>
      </c>
      <c r="BL420" s="75">
        <f t="shared" si="18"/>
        <v>2791</v>
      </c>
      <c r="BM420" s="103">
        <f t="shared" si="19"/>
        <v>153.505</v>
      </c>
      <c r="BN420" s="103">
        <f t="shared" si="20"/>
        <v>2944.5050000000001</v>
      </c>
      <c r="BO420" s="103">
        <v>4173</v>
      </c>
      <c r="BP420" s="75"/>
      <c r="BQ420" s="75"/>
      <c r="BR420" s="75"/>
      <c r="BS420" s="157">
        <v>2018</v>
      </c>
      <c r="BU420">
        <v>2018</v>
      </c>
    </row>
    <row r="421" spans="1:73" ht="43.15" customHeight="1" x14ac:dyDescent="0.25">
      <c r="A421" s="31" t="s">
        <v>90</v>
      </c>
      <c r="B421" s="31" t="s">
        <v>902</v>
      </c>
      <c r="C421" s="164" t="s">
        <v>9</v>
      </c>
      <c r="D421" s="76">
        <v>43390</v>
      </c>
      <c r="E421" s="76">
        <v>43390</v>
      </c>
      <c r="F421" s="76">
        <v>43507</v>
      </c>
      <c r="G421" s="83" t="s">
        <v>903</v>
      </c>
      <c r="H421" s="76"/>
      <c r="I421" s="76"/>
      <c r="J421" s="76"/>
      <c r="K421" s="76"/>
      <c r="L421" s="76"/>
      <c r="M421" s="76"/>
      <c r="N421" s="76"/>
      <c r="O421" s="76"/>
      <c r="P421" s="76"/>
      <c r="Q421" s="76"/>
      <c r="R421" s="81"/>
      <c r="S421" s="76">
        <v>43255</v>
      </c>
      <c r="T421" s="77" t="s">
        <v>904</v>
      </c>
      <c r="U421" s="77"/>
      <c r="V421" s="77"/>
      <c r="W421" s="77">
        <v>2</v>
      </c>
      <c r="X421" s="77">
        <v>55010</v>
      </c>
      <c r="Y421" s="75" t="str">
        <f ca="1">IF(I421="",IF(D421="","",IF(W421+X421&lt;15,"Données Nb pers ou RFR manquantes",IF(COUNTA(INDIRECT("TabRFR["&amp;YEAR(D421)&amp;"]"))&lt;&gt;COUNTA(TabRFR[Recherche RFR]),"Data RFR manquantes", IF(X421&lt;=INDEX(TabRFR[[2021]:[2025]],MATCH(BD!W421&amp;"-Très modestes",TabRFR[Recherche RFR],0),MATCH(TEXT(YEAR(BD!D421),"Standard"),TabRFR[[#Headers],[2021]:[2025]],0)),"Très Modeste",IF(X421&lt;=INDEX(TabRFR[[2021]:[2025]],MATCH(BD!W421&amp;"-modestes",TabRFR[Recherche RFR],0),MATCH(TEXT(YEAR(BD!D421),"Standard"),TabRFR[[#Headers],[2021]:[2025]],0)),"Modeste",IF(X421&lt;=INDEX(TabRFR[[2021]:[2025]],MATCH(BD!W421&amp;"-Intermédiaire",TabRFR[Recherche RFR],0),MATCH(TEXT(YEAR(BD!D421),"Standard"),TabRFR[[#Headers],[2021]:[2025]],0)),"Intermédiaire","Supérieur")))))),IF(D421="","",IF(W421+X421&lt;15,"Données Nb pers ou RFR manquantes",IF(COUNTA(INDIRECT("TabRFR["&amp;YEAR(I421)&amp;"]"))&lt;&gt;COUNTA(TabRFR[Recherche RFR]),"Data RFR manquantes", IF(X421&lt;=INDEX(TabRFR[[2021]:[2025]],MATCH(BD!W421&amp;"-Très modestes",TabRFR[Recherche RFR],0),MATCH(TEXT(YEAR(BD!I421),"Standard"),TabRFR[[#Headers],[2021]:[2025]],0)),"Très Modeste",IF(X421&lt;=INDEX(TabRFR[[2021]:[2025]],MATCH(BD!W421&amp;"-modestes",TabRFR[Recherche RFR],0),MATCH(TEXT(YEAR(BD!I421),"Standard"),TabRFR[[#Headers],[2021]:[2025]],0)),"Modeste",IF(X421&lt;=INDEX(TabRFR[[2021]:[2025]],MATCH(BD!W421&amp;"-Intermédiaire",TabRFR[Recherche RFR],0),MATCH(TEXT(YEAR(BD!I421),"Standard"),TabRFR[[#Headers],[2021]:[2025]],0)),"Intermédiaire","Supérieur")))))))</f>
        <v>Data RFR manquantes</v>
      </c>
      <c r="Z421" s="77"/>
      <c r="AA421" s="77" t="s">
        <v>906</v>
      </c>
      <c r="AB421" s="77">
        <v>38140</v>
      </c>
      <c r="AC421" s="77" t="s">
        <v>3048</v>
      </c>
      <c r="AD421" s="78"/>
      <c r="AE421" s="102"/>
      <c r="AF421" s="77" t="s">
        <v>95</v>
      </c>
      <c r="AG421" s="77"/>
      <c r="AH421" s="77">
        <v>1982</v>
      </c>
      <c r="AI421" s="77"/>
      <c r="AJ421" s="77"/>
      <c r="AK421" s="77"/>
      <c r="AL421" s="77"/>
      <c r="AM421" s="77" t="s">
        <v>4356</v>
      </c>
      <c r="AN421" s="77" t="s">
        <v>96</v>
      </c>
      <c r="AO421" s="77" t="s">
        <v>119</v>
      </c>
      <c r="AP421" s="77" t="s">
        <v>97</v>
      </c>
      <c r="AQ421" s="77"/>
      <c r="AR421" s="144">
        <v>43407</v>
      </c>
      <c r="AS421" s="102" t="s">
        <v>120</v>
      </c>
      <c r="AT421" s="78" t="s">
        <v>658</v>
      </c>
      <c r="AU421" s="77" t="s">
        <v>99</v>
      </c>
      <c r="AV421" s="77" t="s">
        <v>9</v>
      </c>
      <c r="AW421" s="77" t="s">
        <v>100</v>
      </c>
      <c r="AX421" s="77" t="s">
        <v>112</v>
      </c>
      <c r="AY421" s="84" t="s">
        <v>907</v>
      </c>
      <c r="AZ421" s="84" t="s">
        <v>908</v>
      </c>
      <c r="BA421" s="77"/>
      <c r="BB421" s="77"/>
      <c r="BC421" s="77"/>
      <c r="BD421" s="77"/>
      <c r="BE421" s="84" t="s">
        <v>104</v>
      </c>
      <c r="BF421" s="77"/>
      <c r="BG421" s="77"/>
      <c r="BH421" s="77"/>
      <c r="BI421" s="77"/>
      <c r="BJ421" s="77"/>
      <c r="BK421" s="77"/>
      <c r="BL421" s="75">
        <f t="shared" si="18"/>
        <v>0</v>
      </c>
      <c r="BM421" s="103">
        <f t="shared" si="19"/>
        <v>0</v>
      </c>
      <c r="BN421" s="103">
        <f t="shared" si="20"/>
        <v>0</v>
      </c>
      <c r="BO421" s="80"/>
      <c r="BP421" s="77"/>
      <c r="BQ421" s="77"/>
      <c r="BR421" s="74">
        <v>43416</v>
      </c>
      <c r="BS421" s="157">
        <v>2018</v>
      </c>
      <c r="BU421" t="s">
        <v>4180</v>
      </c>
    </row>
    <row r="422" spans="1:73" ht="43.15" customHeight="1" x14ac:dyDescent="0.25">
      <c r="A422" s="241" t="s">
        <v>90</v>
      </c>
      <c r="B422" s="241" t="s">
        <v>909</v>
      </c>
      <c r="C422" s="159">
        <v>400</v>
      </c>
      <c r="D422" s="76">
        <v>43391</v>
      </c>
      <c r="E422" s="76">
        <v>43391</v>
      </c>
      <c r="F422" s="76"/>
      <c r="G422" s="76"/>
      <c r="H422" s="76">
        <v>43398</v>
      </c>
      <c r="I422" s="76">
        <v>43398</v>
      </c>
      <c r="J422" s="76">
        <v>43409</v>
      </c>
      <c r="K422" s="76"/>
      <c r="L422" s="76">
        <v>43607</v>
      </c>
      <c r="M422" s="76">
        <v>43571</v>
      </c>
      <c r="N422" s="76"/>
      <c r="O422" s="76">
        <v>43620</v>
      </c>
      <c r="P422" s="76">
        <v>43620</v>
      </c>
      <c r="Q422" s="76">
        <v>43620</v>
      </c>
      <c r="R422" s="80"/>
      <c r="S422" s="76"/>
      <c r="T422" s="77"/>
      <c r="U422" s="77"/>
      <c r="V422" s="77"/>
      <c r="W422" s="77">
        <v>2</v>
      </c>
      <c r="X422" s="77">
        <v>56135</v>
      </c>
      <c r="Y422" s="75" t="str">
        <f ca="1">IF(I422="",IF(D422="","",IF(W422+X422&lt;15,"Données Nb pers ou RFR manquantes",IF(COUNTA(INDIRECT("TabRFR["&amp;YEAR(D422)&amp;"]"))&lt;&gt;COUNTA(TabRFR[Recherche RFR]),"Data RFR manquantes", IF(X422&lt;=INDEX(TabRFR[[2021]:[2025]],MATCH(BD!W422&amp;"-Très modestes",TabRFR[Recherche RFR],0),MATCH(TEXT(YEAR(BD!D422),"Standard"),TabRFR[[#Headers],[2021]:[2025]],0)),"Très Modeste",IF(X422&lt;=INDEX(TabRFR[[2021]:[2025]],MATCH(BD!W422&amp;"-modestes",TabRFR[Recherche RFR],0),MATCH(TEXT(YEAR(BD!D422),"Standard"),TabRFR[[#Headers],[2021]:[2025]],0)),"Modeste",IF(X422&lt;=INDEX(TabRFR[[2021]:[2025]],MATCH(BD!W422&amp;"-Intermédiaire",TabRFR[Recherche RFR],0),MATCH(TEXT(YEAR(BD!D422),"Standard"),TabRFR[[#Headers],[2021]:[2025]],0)),"Intermédiaire","Supérieur")))))),IF(D422="","",IF(W422+X422&lt;15,"Données Nb pers ou RFR manquantes",IF(COUNTA(INDIRECT("TabRFR["&amp;YEAR(I422)&amp;"]"))&lt;&gt;COUNTA(TabRFR[Recherche RFR]),"Data RFR manquantes", IF(X422&lt;=INDEX(TabRFR[[2021]:[2025]],MATCH(BD!W422&amp;"-Très modestes",TabRFR[Recherche RFR],0),MATCH(TEXT(YEAR(BD!I422),"Standard"),TabRFR[[#Headers],[2021]:[2025]],0)),"Très Modeste",IF(X422&lt;=INDEX(TabRFR[[2021]:[2025]],MATCH(BD!W422&amp;"-modestes",TabRFR[Recherche RFR],0),MATCH(TEXT(YEAR(BD!I422),"Standard"),TabRFR[[#Headers],[2021]:[2025]],0)),"Modeste",IF(X422&lt;=INDEX(TabRFR[[2021]:[2025]],MATCH(BD!W422&amp;"-Intermédiaire",TabRFR[Recherche RFR],0),MATCH(TEXT(YEAR(BD!I422),"Standard"),TabRFR[[#Headers],[2021]:[2025]],0)),"Intermédiaire","Supérieur")))))))</f>
        <v>Data RFR manquantes</v>
      </c>
      <c r="Z422" s="77"/>
      <c r="AA422" s="77" t="s">
        <v>911</v>
      </c>
      <c r="AB422" s="77">
        <v>38960</v>
      </c>
      <c r="AC422" s="77" t="s">
        <v>2403</v>
      </c>
      <c r="AD422" s="78"/>
      <c r="AE422" s="102"/>
      <c r="AF422" s="77" t="s">
        <v>95</v>
      </c>
      <c r="AG422" s="77"/>
      <c r="AH422" s="77">
        <v>1979</v>
      </c>
      <c r="AI422" s="77"/>
      <c r="AJ422" s="77"/>
      <c r="AK422" s="77"/>
      <c r="AL422" s="77"/>
      <c r="AM422" s="77" t="s">
        <v>218</v>
      </c>
      <c r="AN422" s="77" t="s">
        <v>217</v>
      </c>
      <c r="AO422" s="77" t="s">
        <v>219</v>
      </c>
      <c r="AP422" s="77" t="s">
        <v>97</v>
      </c>
      <c r="AQ422" s="77"/>
      <c r="AR422" s="79">
        <v>43764</v>
      </c>
      <c r="AS422" s="102" t="s">
        <v>220</v>
      </c>
      <c r="AT422" s="78" t="s">
        <v>620</v>
      </c>
      <c r="AU422" s="77" t="s">
        <v>111</v>
      </c>
      <c r="AV422" s="77">
        <v>1990</v>
      </c>
      <c r="AW422" s="77" t="s">
        <v>111</v>
      </c>
      <c r="AX422" s="77" t="s">
        <v>112</v>
      </c>
      <c r="AY422" s="77" t="s">
        <v>121</v>
      </c>
      <c r="AZ422" s="77" t="s">
        <v>913</v>
      </c>
      <c r="BA422" s="77">
        <v>23</v>
      </c>
      <c r="BB422" s="77">
        <v>10</v>
      </c>
      <c r="BC422" s="77">
        <v>78</v>
      </c>
      <c r="BD422" s="77">
        <v>7.0000000000000007E-2</v>
      </c>
      <c r="BE422" s="77" t="s">
        <v>97</v>
      </c>
      <c r="BF422" s="77"/>
      <c r="BG422" s="77">
        <v>4670</v>
      </c>
      <c r="BH422" s="77"/>
      <c r="BI422" s="77"/>
      <c r="BJ422" s="77"/>
      <c r="BK422" s="77">
        <v>1658</v>
      </c>
      <c r="BL422" s="75">
        <f t="shared" si="18"/>
        <v>6328</v>
      </c>
      <c r="BM422" s="103">
        <f t="shared" si="19"/>
        <v>348.04</v>
      </c>
      <c r="BN422" s="103">
        <f t="shared" si="20"/>
        <v>6676.04</v>
      </c>
      <c r="BO422" s="80"/>
      <c r="BP422" s="77" t="s">
        <v>97</v>
      </c>
      <c r="BQ422" s="77"/>
      <c r="BR422" s="77"/>
      <c r="BS422" s="157">
        <v>2018</v>
      </c>
      <c r="BT422">
        <v>2020</v>
      </c>
      <c r="BU422">
        <v>2018</v>
      </c>
    </row>
    <row r="423" spans="1:73" ht="43.15" customHeight="1" x14ac:dyDescent="0.25">
      <c r="A423" s="242" t="s">
        <v>90</v>
      </c>
      <c r="B423" s="242" t="s">
        <v>914</v>
      </c>
      <c r="C423" s="159">
        <v>400</v>
      </c>
      <c r="D423" s="114">
        <v>43391</v>
      </c>
      <c r="E423" s="114"/>
      <c r="F423" s="114"/>
      <c r="G423" s="114"/>
      <c r="H423" s="114">
        <v>43398</v>
      </c>
      <c r="I423" s="114">
        <v>43398</v>
      </c>
      <c r="J423" s="114">
        <v>43409</v>
      </c>
      <c r="K423" s="114"/>
      <c r="L423" s="114">
        <v>43427</v>
      </c>
      <c r="M423" s="114">
        <v>43423</v>
      </c>
      <c r="N423" s="114"/>
      <c r="O423" s="114">
        <v>43592</v>
      </c>
      <c r="P423" s="114">
        <v>43592</v>
      </c>
      <c r="Q423" s="114">
        <v>43602</v>
      </c>
      <c r="R423" s="80"/>
      <c r="S423" s="114"/>
      <c r="T423" s="75"/>
      <c r="U423" s="75"/>
      <c r="V423" s="75"/>
      <c r="W423" s="75">
        <v>4</v>
      </c>
      <c r="X423" s="75">
        <v>39229</v>
      </c>
      <c r="Y423" s="75" t="str">
        <f ca="1">IF(I423="",IF(D423="","",IF(W423+X423&lt;15,"Données Nb pers ou RFR manquantes",IF(COUNTA(INDIRECT("TabRFR["&amp;YEAR(D423)&amp;"]"))&lt;&gt;COUNTA(TabRFR[Recherche RFR]),"Data RFR manquantes", IF(X423&lt;=INDEX(TabRFR[[2021]:[2025]],MATCH(BD!W423&amp;"-Très modestes",TabRFR[Recherche RFR],0),MATCH(TEXT(YEAR(BD!D423),"Standard"),TabRFR[[#Headers],[2021]:[2025]],0)),"Très Modeste",IF(X423&lt;=INDEX(TabRFR[[2021]:[2025]],MATCH(BD!W423&amp;"-modestes",TabRFR[Recherche RFR],0),MATCH(TEXT(YEAR(BD!D423),"Standard"),TabRFR[[#Headers],[2021]:[2025]],0)),"Modeste",IF(X423&lt;=INDEX(TabRFR[[2021]:[2025]],MATCH(BD!W423&amp;"-Intermédiaire",TabRFR[Recherche RFR],0),MATCH(TEXT(YEAR(BD!D423),"Standard"),TabRFR[[#Headers],[2021]:[2025]],0)),"Intermédiaire","Supérieur")))))),IF(D423="","",IF(W423+X423&lt;15,"Données Nb pers ou RFR manquantes",IF(COUNTA(INDIRECT("TabRFR["&amp;YEAR(I423)&amp;"]"))&lt;&gt;COUNTA(TabRFR[Recherche RFR]),"Data RFR manquantes", IF(X423&lt;=INDEX(TabRFR[[2021]:[2025]],MATCH(BD!W423&amp;"-Très modestes",TabRFR[Recherche RFR],0),MATCH(TEXT(YEAR(BD!I423),"Standard"),TabRFR[[#Headers],[2021]:[2025]],0)),"Très Modeste",IF(X423&lt;=INDEX(TabRFR[[2021]:[2025]],MATCH(BD!W423&amp;"-modestes",TabRFR[Recherche RFR],0),MATCH(TEXT(YEAR(BD!I423),"Standard"),TabRFR[[#Headers],[2021]:[2025]],0)),"Modeste",IF(X423&lt;=INDEX(TabRFR[[2021]:[2025]],MATCH(BD!W423&amp;"-Intermédiaire",TabRFR[Recherche RFR],0),MATCH(TEXT(YEAR(BD!I423),"Standard"),TabRFR[[#Headers],[2021]:[2025]],0)),"Intermédiaire","Supérieur")))))))</f>
        <v>Data RFR manquantes</v>
      </c>
      <c r="Z423" s="75"/>
      <c r="AA423" s="75" t="s">
        <v>916</v>
      </c>
      <c r="AB423" s="75">
        <v>38850</v>
      </c>
      <c r="AC423" s="75" t="s">
        <v>148</v>
      </c>
      <c r="AD423" s="73"/>
      <c r="AE423" s="102"/>
      <c r="AF423" s="75" t="s">
        <v>95</v>
      </c>
      <c r="AG423" s="75"/>
      <c r="AH423" s="75"/>
      <c r="AI423" s="75"/>
      <c r="AJ423" s="75"/>
      <c r="AK423" s="75"/>
      <c r="AL423" s="75"/>
      <c r="AM423" s="75" t="s">
        <v>4368</v>
      </c>
      <c r="AN423" s="75" t="s">
        <v>917</v>
      </c>
      <c r="AO423" s="75" t="s">
        <v>9</v>
      </c>
      <c r="AP423" s="75" t="s">
        <v>97</v>
      </c>
      <c r="AQ423" s="75"/>
      <c r="AR423" s="74">
        <v>43646</v>
      </c>
      <c r="AS423" s="102" t="s">
        <v>918</v>
      </c>
      <c r="AT423" s="73">
        <v>476333850</v>
      </c>
      <c r="AU423" s="75" t="s">
        <v>111</v>
      </c>
      <c r="AV423" s="75" t="s">
        <v>9</v>
      </c>
      <c r="AW423" s="75" t="s">
        <v>100</v>
      </c>
      <c r="AX423" s="75" t="s">
        <v>2071</v>
      </c>
      <c r="AY423" s="75" t="s">
        <v>174</v>
      </c>
      <c r="AZ423" s="75" t="s">
        <v>919</v>
      </c>
      <c r="BA423" s="75">
        <v>15</v>
      </c>
      <c r="BB423" s="75">
        <v>14.3</v>
      </c>
      <c r="BC423" s="75">
        <v>90</v>
      </c>
      <c r="BD423" s="75">
        <v>0.02</v>
      </c>
      <c r="BE423" s="75" t="s">
        <v>97</v>
      </c>
      <c r="BF423" s="77"/>
      <c r="BG423" s="75">
        <v>4200</v>
      </c>
      <c r="BH423" s="75"/>
      <c r="BI423" s="75"/>
      <c r="BJ423" s="75"/>
      <c r="BK423" s="75">
        <v>1505</v>
      </c>
      <c r="BL423" s="75">
        <f t="shared" si="18"/>
        <v>5705</v>
      </c>
      <c r="BM423" s="103">
        <f t="shared" si="19"/>
        <v>313.77499999999998</v>
      </c>
      <c r="BN423" s="103">
        <f t="shared" si="20"/>
        <v>6018.7749999999996</v>
      </c>
      <c r="BO423" s="103">
        <f>4519+1500</f>
        <v>6019</v>
      </c>
      <c r="BP423" s="75" t="s">
        <v>97</v>
      </c>
      <c r="BQ423" s="75"/>
      <c r="BR423" s="75"/>
      <c r="BS423" s="157">
        <v>2018</v>
      </c>
      <c r="BU423" s="247">
        <v>2019</v>
      </c>
    </row>
    <row r="424" spans="1:73" ht="43.15" customHeight="1" x14ac:dyDescent="0.25">
      <c r="A424" s="242" t="s">
        <v>90</v>
      </c>
      <c r="B424" s="242" t="s">
        <v>920</v>
      </c>
      <c r="C424" s="159">
        <v>400</v>
      </c>
      <c r="D424" s="114">
        <v>43392</v>
      </c>
      <c r="E424" s="114">
        <v>43395</v>
      </c>
      <c r="F424" s="114"/>
      <c r="G424" s="114"/>
      <c r="H424" s="114">
        <v>43398</v>
      </c>
      <c r="I424" s="114">
        <v>43398</v>
      </c>
      <c r="J424" s="114">
        <v>43409</v>
      </c>
      <c r="K424" s="114"/>
      <c r="L424" s="114">
        <v>43439</v>
      </c>
      <c r="M424" s="114">
        <v>43424</v>
      </c>
      <c r="N424" s="114"/>
      <c r="O424" s="114">
        <v>43455</v>
      </c>
      <c r="P424" s="114">
        <v>43455</v>
      </c>
      <c r="Q424" s="114">
        <v>43482</v>
      </c>
      <c r="R424" s="80"/>
      <c r="S424" s="114"/>
      <c r="T424" s="75"/>
      <c r="U424" s="75"/>
      <c r="V424" s="75"/>
      <c r="W424" s="75">
        <v>2</v>
      </c>
      <c r="X424" s="75">
        <v>29770</v>
      </c>
      <c r="Y424" s="75" t="str">
        <f ca="1">IF(I424="",IF(D424="","",IF(W424+X424&lt;15,"Données Nb pers ou RFR manquantes",IF(COUNTA(INDIRECT("TabRFR["&amp;YEAR(D424)&amp;"]"))&lt;&gt;COUNTA(TabRFR[Recherche RFR]),"Data RFR manquantes", IF(X424&lt;=INDEX(TabRFR[[2021]:[2025]],MATCH(BD!W424&amp;"-Très modestes",TabRFR[Recherche RFR],0),MATCH(TEXT(YEAR(BD!D424),"Standard"),TabRFR[[#Headers],[2021]:[2025]],0)),"Très Modeste",IF(X424&lt;=INDEX(TabRFR[[2021]:[2025]],MATCH(BD!W424&amp;"-modestes",TabRFR[Recherche RFR],0),MATCH(TEXT(YEAR(BD!D424),"Standard"),TabRFR[[#Headers],[2021]:[2025]],0)),"Modeste",IF(X424&lt;=INDEX(TabRFR[[2021]:[2025]],MATCH(BD!W424&amp;"-Intermédiaire",TabRFR[Recherche RFR],0),MATCH(TEXT(YEAR(BD!D424),"Standard"),TabRFR[[#Headers],[2021]:[2025]],0)),"Intermédiaire","Supérieur")))))),IF(D424="","",IF(W424+X424&lt;15,"Données Nb pers ou RFR manquantes",IF(COUNTA(INDIRECT("TabRFR["&amp;YEAR(I424)&amp;"]"))&lt;&gt;COUNTA(TabRFR[Recherche RFR]),"Data RFR manquantes", IF(X424&lt;=INDEX(TabRFR[[2021]:[2025]],MATCH(BD!W424&amp;"-Très modestes",TabRFR[Recherche RFR],0),MATCH(TEXT(YEAR(BD!I424),"Standard"),TabRFR[[#Headers],[2021]:[2025]],0)),"Très Modeste",IF(X424&lt;=INDEX(TabRFR[[2021]:[2025]],MATCH(BD!W424&amp;"-modestes",TabRFR[Recherche RFR],0),MATCH(TEXT(YEAR(BD!I424),"Standard"),TabRFR[[#Headers],[2021]:[2025]],0)),"Modeste",IF(X424&lt;=INDEX(TabRFR[[2021]:[2025]],MATCH(BD!W424&amp;"-Intermédiaire",TabRFR[Recherche RFR],0),MATCH(TEXT(YEAR(BD!I424),"Standard"),TabRFR[[#Headers],[2021]:[2025]],0)),"Intermédiaire","Supérieur")))))))</f>
        <v>Data RFR manquantes</v>
      </c>
      <c r="Z424" s="75"/>
      <c r="AA424" s="75" t="s">
        <v>922</v>
      </c>
      <c r="AB424" s="75">
        <v>38850</v>
      </c>
      <c r="AC424" s="75" t="s">
        <v>148</v>
      </c>
      <c r="AD424" s="73"/>
      <c r="AE424" s="102"/>
      <c r="AF424" s="75" t="s">
        <v>95</v>
      </c>
      <c r="AG424" s="75"/>
      <c r="AH424" s="75">
        <v>1995</v>
      </c>
      <c r="AI424" s="75"/>
      <c r="AJ424" s="75"/>
      <c r="AK424" s="75"/>
      <c r="AL424" s="75"/>
      <c r="AM424" s="75" t="s">
        <v>3973</v>
      </c>
      <c r="AN424" s="75" t="s">
        <v>96</v>
      </c>
      <c r="AO424" s="75"/>
      <c r="AP424" s="75" t="s">
        <v>97</v>
      </c>
      <c r="AQ424" s="75"/>
      <c r="AR424" s="74">
        <v>43726</v>
      </c>
      <c r="AS424" s="102" t="s">
        <v>141</v>
      </c>
      <c r="AT424" s="73" t="s">
        <v>820</v>
      </c>
      <c r="AU424" s="75" t="s">
        <v>100</v>
      </c>
      <c r="AV424" s="75">
        <v>1996</v>
      </c>
      <c r="AW424" s="75" t="s">
        <v>100</v>
      </c>
      <c r="AX424" s="75" t="s">
        <v>2071</v>
      </c>
      <c r="AY424" s="75" t="s">
        <v>440</v>
      </c>
      <c r="AZ424" s="75" t="s">
        <v>923</v>
      </c>
      <c r="BA424" s="75">
        <v>10</v>
      </c>
      <c r="BB424" s="75">
        <v>6</v>
      </c>
      <c r="BC424" s="75">
        <v>90</v>
      </c>
      <c r="BD424" s="75">
        <v>2E-3</v>
      </c>
      <c r="BE424" s="75" t="s">
        <v>97</v>
      </c>
      <c r="BF424" s="77"/>
      <c r="BG424" s="75">
        <v>1790</v>
      </c>
      <c r="BH424" s="75"/>
      <c r="BI424" s="75"/>
      <c r="BJ424" s="75"/>
      <c r="BK424" s="75">
        <f>3420-1790</f>
        <v>1630</v>
      </c>
      <c r="BL424" s="75">
        <f t="shared" si="18"/>
        <v>3420</v>
      </c>
      <c r="BM424" s="103">
        <f t="shared" si="19"/>
        <v>188.1</v>
      </c>
      <c r="BN424" s="103">
        <f t="shared" si="20"/>
        <v>3608.1</v>
      </c>
      <c r="BO424" s="103">
        <v>3239</v>
      </c>
      <c r="BP424" s="75" t="s">
        <v>97</v>
      </c>
      <c r="BQ424" s="75"/>
      <c r="BR424" s="75"/>
      <c r="BS424" s="157">
        <v>2018</v>
      </c>
      <c r="BU424">
        <v>2018</v>
      </c>
    </row>
    <row r="425" spans="1:73" ht="43.15" customHeight="1" x14ac:dyDescent="0.25">
      <c r="A425" s="242" t="s">
        <v>90</v>
      </c>
      <c r="B425" s="242" t="s">
        <v>924</v>
      </c>
      <c r="C425" s="159">
        <v>400</v>
      </c>
      <c r="D425" s="114">
        <v>43392</v>
      </c>
      <c r="E425" s="114"/>
      <c r="F425" s="114"/>
      <c r="G425" s="114"/>
      <c r="H425" s="114">
        <v>43398</v>
      </c>
      <c r="I425" s="114">
        <v>43398</v>
      </c>
      <c r="J425" s="114">
        <v>43409</v>
      </c>
      <c r="K425" s="114"/>
      <c r="L425" s="114">
        <v>43447</v>
      </c>
      <c r="M425" s="114">
        <v>43445</v>
      </c>
      <c r="N425" s="114"/>
      <c r="O425" s="114">
        <v>43455</v>
      </c>
      <c r="P425" s="114">
        <v>43455</v>
      </c>
      <c r="Q425" s="114">
        <v>43482</v>
      </c>
      <c r="R425" s="80"/>
      <c r="S425" s="114"/>
      <c r="T425" s="75"/>
      <c r="U425" s="75"/>
      <c r="V425" s="75"/>
      <c r="W425" s="75">
        <v>3</v>
      </c>
      <c r="X425" s="75">
        <v>52025</v>
      </c>
      <c r="Y425" s="75" t="str">
        <f ca="1">IF(I425="",IF(D425="","",IF(W425+X425&lt;15,"Données Nb pers ou RFR manquantes",IF(COUNTA(INDIRECT("TabRFR["&amp;YEAR(D425)&amp;"]"))&lt;&gt;COUNTA(TabRFR[Recherche RFR]),"Data RFR manquantes", IF(X425&lt;=INDEX(TabRFR[[2021]:[2025]],MATCH(BD!W425&amp;"-Très modestes",TabRFR[Recherche RFR],0),MATCH(TEXT(YEAR(BD!D425),"Standard"),TabRFR[[#Headers],[2021]:[2025]],0)),"Très Modeste",IF(X425&lt;=INDEX(TabRFR[[2021]:[2025]],MATCH(BD!W425&amp;"-modestes",TabRFR[Recherche RFR],0),MATCH(TEXT(YEAR(BD!D425),"Standard"),TabRFR[[#Headers],[2021]:[2025]],0)),"Modeste",IF(X425&lt;=INDEX(TabRFR[[2021]:[2025]],MATCH(BD!W425&amp;"-Intermédiaire",TabRFR[Recherche RFR],0),MATCH(TEXT(YEAR(BD!D425),"Standard"),TabRFR[[#Headers],[2021]:[2025]],0)),"Intermédiaire","Supérieur")))))),IF(D425="","",IF(W425+X425&lt;15,"Données Nb pers ou RFR manquantes",IF(COUNTA(INDIRECT("TabRFR["&amp;YEAR(I425)&amp;"]"))&lt;&gt;COUNTA(TabRFR[Recherche RFR]),"Data RFR manquantes", IF(X425&lt;=INDEX(TabRFR[[2021]:[2025]],MATCH(BD!W425&amp;"-Très modestes",TabRFR[Recherche RFR],0),MATCH(TEXT(YEAR(BD!I425),"Standard"),TabRFR[[#Headers],[2021]:[2025]],0)),"Très Modeste",IF(X425&lt;=INDEX(TabRFR[[2021]:[2025]],MATCH(BD!W425&amp;"-modestes",TabRFR[Recherche RFR],0),MATCH(TEXT(YEAR(BD!I425),"Standard"),TabRFR[[#Headers],[2021]:[2025]],0)),"Modeste",IF(X425&lt;=INDEX(TabRFR[[2021]:[2025]],MATCH(BD!W425&amp;"-Intermédiaire",TabRFR[Recherche RFR],0),MATCH(TEXT(YEAR(BD!I425),"Standard"),TabRFR[[#Headers],[2021]:[2025]],0)),"Intermédiaire","Supérieur")))))))</f>
        <v>Data RFR manquantes</v>
      </c>
      <c r="Z425" s="75"/>
      <c r="AA425" s="75" t="s">
        <v>925</v>
      </c>
      <c r="AB425" s="75">
        <v>38340</v>
      </c>
      <c r="AC425" s="75" t="s">
        <v>108</v>
      </c>
      <c r="AD425" s="73"/>
      <c r="AE425" s="102"/>
      <c r="AF425" s="75" t="s">
        <v>95</v>
      </c>
      <c r="AG425" s="75"/>
      <c r="AH425" s="75"/>
      <c r="AI425" s="75"/>
      <c r="AJ425" s="75"/>
      <c r="AK425" s="75"/>
      <c r="AL425" s="75"/>
      <c r="AM425" s="75" t="s">
        <v>4035</v>
      </c>
      <c r="AN425" s="75" t="s">
        <v>108</v>
      </c>
      <c r="AO425" s="75" t="s">
        <v>109</v>
      </c>
      <c r="AP425" s="75" t="s">
        <v>97</v>
      </c>
      <c r="AQ425" s="75"/>
      <c r="AR425" s="74">
        <v>43644</v>
      </c>
      <c r="AS425" s="102" t="s">
        <v>110</v>
      </c>
      <c r="AT425" s="73">
        <v>476500550</v>
      </c>
      <c r="AU425" s="75" t="s">
        <v>111</v>
      </c>
      <c r="AV425" s="75">
        <v>1990</v>
      </c>
      <c r="AW425" s="75" t="s">
        <v>100</v>
      </c>
      <c r="AX425" s="75" t="s">
        <v>112</v>
      </c>
      <c r="AY425" s="75" t="s">
        <v>926</v>
      </c>
      <c r="AZ425" s="75" t="s">
        <v>927</v>
      </c>
      <c r="BA425" s="75">
        <v>38</v>
      </c>
      <c r="BB425" s="75">
        <v>8</v>
      </c>
      <c r="BC425" s="75">
        <v>82.3</v>
      </c>
      <c r="BD425" s="75">
        <v>0.1</v>
      </c>
      <c r="BE425" s="75" t="s">
        <v>928</v>
      </c>
      <c r="BF425" s="77"/>
      <c r="BG425" s="75">
        <v>2990</v>
      </c>
      <c r="BH425" s="75"/>
      <c r="BI425" s="75"/>
      <c r="BJ425" s="75"/>
      <c r="BK425" s="75">
        <v>800</v>
      </c>
      <c r="BL425" s="75">
        <f t="shared" si="18"/>
        <v>3790</v>
      </c>
      <c r="BM425" s="103">
        <f t="shared" si="19"/>
        <v>208.45</v>
      </c>
      <c r="BN425" s="103">
        <f t="shared" si="20"/>
        <v>3998.45</v>
      </c>
      <c r="BO425" s="103">
        <v>5450</v>
      </c>
      <c r="BP425" s="75" t="s">
        <v>97</v>
      </c>
      <c r="BQ425" s="75"/>
      <c r="BR425" s="74">
        <v>43416</v>
      </c>
      <c r="BS425" s="157">
        <v>2018</v>
      </c>
      <c r="BT425">
        <v>2020</v>
      </c>
      <c r="BU425">
        <v>2018</v>
      </c>
    </row>
    <row r="426" spans="1:73" ht="43.15" customHeight="1" x14ac:dyDescent="0.25">
      <c r="A426" s="242" t="s">
        <v>90</v>
      </c>
      <c r="B426" s="242" t="s">
        <v>3627</v>
      </c>
      <c r="C426" s="159">
        <v>400</v>
      </c>
      <c r="D426" s="114">
        <v>43392</v>
      </c>
      <c r="E426" s="114">
        <v>43395</v>
      </c>
      <c r="F426" s="114"/>
      <c r="G426" s="114"/>
      <c r="H426" s="114">
        <v>43403</v>
      </c>
      <c r="I426" s="114">
        <v>43403</v>
      </c>
      <c r="J426" s="114">
        <v>43409</v>
      </c>
      <c r="K426" s="114"/>
      <c r="L426" s="114">
        <v>43451</v>
      </c>
      <c r="M426" s="114">
        <v>43445</v>
      </c>
      <c r="N426" s="114"/>
      <c r="O426" s="114">
        <v>43455</v>
      </c>
      <c r="P426" s="114">
        <v>43468</v>
      </c>
      <c r="Q426" s="114">
        <v>43482</v>
      </c>
      <c r="R426" s="80"/>
      <c r="S426" s="114"/>
      <c r="T426" s="75"/>
      <c r="U426" s="75"/>
      <c r="V426" s="75"/>
      <c r="W426" s="75">
        <v>2</v>
      </c>
      <c r="X426" s="75">
        <v>49398</v>
      </c>
      <c r="Y426" s="75" t="str">
        <f ca="1">IF(I426="",IF(D426="","",IF(W426+X426&lt;15,"Données Nb pers ou RFR manquantes",IF(COUNTA(INDIRECT("TabRFR["&amp;YEAR(D426)&amp;"]"))&lt;&gt;COUNTA(TabRFR[Recherche RFR]),"Data RFR manquantes", IF(X426&lt;=INDEX(TabRFR[[2021]:[2025]],MATCH(BD!W426&amp;"-Très modestes",TabRFR[Recherche RFR],0),MATCH(TEXT(YEAR(BD!D426),"Standard"),TabRFR[[#Headers],[2021]:[2025]],0)),"Très Modeste",IF(X426&lt;=INDEX(TabRFR[[2021]:[2025]],MATCH(BD!W426&amp;"-modestes",TabRFR[Recherche RFR],0),MATCH(TEXT(YEAR(BD!D426),"Standard"),TabRFR[[#Headers],[2021]:[2025]],0)),"Modeste",IF(X426&lt;=INDEX(TabRFR[[2021]:[2025]],MATCH(BD!W426&amp;"-Intermédiaire",TabRFR[Recherche RFR],0),MATCH(TEXT(YEAR(BD!D426),"Standard"),TabRFR[[#Headers],[2021]:[2025]],0)),"Intermédiaire","Supérieur")))))),IF(D426="","",IF(W426+X426&lt;15,"Données Nb pers ou RFR manquantes",IF(COUNTA(INDIRECT("TabRFR["&amp;YEAR(I426)&amp;"]"))&lt;&gt;COUNTA(TabRFR[Recherche RFR]),"Data RFR manquantes", IF(X426&lt;=INDEX(TabRFR[[2021]:[2025]],MATCH(BD!W426&amp;"-Très modestes",TabRFR[Recherche RFR],0),MATCH(TEXT(YEAR(BD!I426),"Standard"),TabRFR[[#Headers],[2021]:[2025]],0)),"Très Modeste",IF(X426&lt;=INDEX(TabRFR[[2021]:[2025]],MATCH(BD!W426&amp;"-modestes",TabRFR[Recherche RFR],0),MATCH(TEXT(YEAR(BD!I426),"Standard"),TabRFR[[#Headers],[2021]:[2025]],0)),"Modeste",IF(X426&lt;=INDEX(TabRFR[[2021]:[2025]],MATCH(BD!W426&amp;"-Intermédiaire",TabRFR[Recherche RFR],0),MATCH(TEXT(YEAR(BD!I426),"Standard"),TabRFR[[#Headers],[2021]:[2025]],0)),"Intermédiaire","Supérieur")))))))</f>
        <v>Data RFR manquantes</v>
      </c>
      <c r="Z426" s="75"/>
      <c r="AA426" s="75" t="s">
        <v>3237</v>
      </c>
      <c r="AB426" s="75">
        <v>38500</v>
      </c>
      <c r="AC426" s="75" t="s">
        <v>118</v>
      </c>
      <c r="AD426" s="73"/>
      <c r="AE426" s="102"/>
      <c r="AF426" s="75" t="s">
        <v>95</v>
      </c>
      <c r="AG426" s="75"/>
      <c r="AH426" s="75"/>
      <c r="AI426" s="75"/>
      <c r="AJ426" s="75"/>
      <c r="AK426" s="75"/>
      <c r="AL426" s="75"/>
      <c r="AM426" s="75" t="s">
        <v>218</v>
      </c>
      <c r="AN426" s="75" t="s">
        <v>217</v>
      </c>
      <c r="AO426" s="75" t="s">
        <v>219</v>
      </c>
      <c r="AP426" s="75" t="s">
        <v>97</v>
      </c>
      <c r="AQ426" s="75"/>
      <c r="AR426" s="74">
        <v>43764</v>
      </c>
      <c r="AS426" s="102" t="s">
        <v>220</v>
      </c>
      <c r="AT426" s="73" t="s">
        <v>620</v>
      </c>
      <c r="AU426" s="75" t="s">
        <v>111</v>
      </c>
      <c r="AV426" s="75">
        <v>1994</v>
      </c>
      <c r="AW426" s="75" t="s">
        <v>111</v>
      </c>
      <c r="AX426" s="75" t="s">
        <v>112</v>
      </c>
      <c r="AY426" s="75" t="s">
        <v>121</v>
      </c>
      <c r="AZ426" s="75" t="s">
        <v>1182</v>
      </c>
      <c r="BA426" s="75">
        <v>23</v>
      </c>
      <c r="BB426" s="75">
        <v>10</v>
      </c>
      <c r="BC426" s="75">
        <v>78</v>
      </c>
      <c r="BD426" s="75">
        <v>7.0000000000000007E-2</v>
      </c>
      <c r="BE426" s="75" t="s">
        <v>97</v>
      </c>
      <c r="BF426" s="77"/>
      <c r="BG426" s="75">
        <v>1745</v>
      </c>
      <c r="BH426" s="77"/>
      <c r="BI426" s="77"/>
      <c r="BJ426" s="77"/>
      <c r="BK426" s="75">
        <v>950</v>
      </c>
      <c r="BL426" s="75">
        <f t="shared" si="18"/>
        <v>2695</v>
      </c>
      <c r="BM426" s="103">
        <f t="shared" si="19"/>
        <v>148.22499999999999</v>
      </c>
      <c r="BN426" s="103">
        <f t="shared" si="20"/>
        <v>2843.2249999999999</v>
      </c>
      <c r="BO426" s="103">
        <v>3618</v>
      </c>
      <c r="BP426" s="75" t="s">
        <v>97</v>
      </c>
      <c r="BQ426" s="74">
        <v>43420</v>
      </c>
      <c r="BR426" s="75">
        <v>3618.91</v>
      </c>
      <c r="BS426" s="157">
        <v>2019</v>
      </c>
      <c r="BT426">
        <v>2020</v>
      </c>
      <c r="BU426">
        <v>2019</v>
      </c>
    </row>
    <row r="427" spans="1:73" ht="43.15" customHeight="1" x14ac:dyDescent="0.25">
      <c r="A427" s="242" t="s">
        <v>90</v>
      </c>
      <c r="B427" s="242" t="s">
        <v>3626</v>
      </c>
      <c r="C427" s="159">
        <v>400</v>
      </c>
      <c r="D427" s="114">
        <v>43392</v>
      </c>
      <c r="E427" s="114"/>
      <c r="F427" s="114"/>
      <c r="G427" s="114"/>
      <c r="H427" s="114">
        <v>43403</v>
      </c>
      <c r="I427" s="114">
        <v>43403</v>
      </c>
      <c r="J427" s="114">
        <v>43409</v>
      </c>
      <c r="K427" s="114"/>
      <c r="L427" s="114">
        <v>43447</v>
      </c>
      <c r="M427" s="114">
        <v>43439</v>
      </c>
      <c r="N427" s="114"/>
      <c r="O427" s="114">
        <v>43497</v>
      </c>
      <c r="P427" s="114">
        <v>43497</v>
      </c>
      <c r="Q427" s="114">
        <v>43500</v>
      </c>
      <c r="R427" s="80"/>
      <c r="S427" s="114"/>
      <c r="T427" s="75"/>
      <c r="U427" s="75"/>
      <c r="V427" s="75"/>
      <c r="W427" s="75">
        <v>2</v>
      </c>
      <c r="X427" s="75">
        <v>31129</v>
      </c>
      <c r="Y427" s="75" t="str">
        <f ca="1">IF(I427="",IF(D427="","",IF(W427+X427&lt;15,"Données Nb pers ou RFR manquantes",IF(COUNTA(INDIRECT("TabRFR["&amp;YEAR(D427)&amp;"]"))&lt;&gt;COUNTA(TabRFR[Recherche RFR]),"Data RFR manquantes", IF(X427&lt;=INDEX(TabRFR[[2021]:[2025]],MATCH(BD!W427&amp;"-Très modestes",TabRFR[Recherche RFR],0),MATCH(TEXT(YEAR(BD!D427),"Standard"),TabRFR[[#Headers],[2021]:[2025]],0)),"Très Modeste",IF(X427&lt;=INDEX(TabRFR[[2021]:[2025]],MATCH(BD!W427&amp;"-modestes",TabRFR[Recherche RFR],0),MATCH(TEXT(YEAR(BD!D427),"Standard"),TabRFR[[#Headers],[2021]:[2025]],0)),"Modeste",IF(X427&lt;=INDEX(TabRFR[[2021]:[2025]],MATCH(BD!W427&amp;"-Intermédiaire",TabRFR[Recherche RFR],0),MATCH(TEXT(YEAR(BD!D427),"Standard"),TabRFR[[#Headers],[2021]:[2025]],0)),"Intermédiaire","Supérieur")))))),IF(D427="","",IF(W427+X427&lt;15,"Données Nb pers ou RFR manquantes",IF(COUNTA(INDIRECT("TabRFR["&amp;YEAR(I427)&amp;"]"))&lt;&gt;COUNTA(TabRFR[Recherche RFR]),"Data RFR manquantes", IF(X427&lt;=INDEX(TabRFR[[2021]:[2025]],MATCH(BD!W427&amp;"-Très modestes",TabRFR[Recherche RFR],0),MATCH(TEXT(YEAR(BD!I427),"Standard"),TabRFR[[#Headers],[2021]:[2025]],0)),"Très Modeste",IF(X427&lt;=INDEX(TabRFR[[2021]:[2025]],MATCH(BD!W427&amp;"-modestes",TabRFR[Recherche RFR],0),MATCH(TEXT(YEAR(BD!I427),"Standard"),TabRFR[[#Headers],[2021]:[2025]],0)),"Modeste",IF(X427&lt;=INDEX(TabRFR[[2021]:[2025]],MATCH(BD!W427&amp;"-Intermédiaire",TabRFR[Recherche RFR],0),MATCH(TEXT(YEAR(BD!I427),"Standard"),TabRFR[[#Headers],[2021]:[2025]],0)),"Intermédiaire","Supérieur")))))))</f>
        <v>Data RFR manquantes</v>
      </c>
      <c r="Z427" s="75"/>
      <c r="AA427" s="75" t="s">
        <v>3625</v>
      </c>
      <c r="AB427" s="75">
        <v>38620</v>
      </c>
      <c r="AC427" s="75" t="s">
        <v>1386</v>
      </c>
      <c r="AD427" s="73"/>
      <c r="AE427" s="102"/>
      <c r="AF427" s="75" t="s">
        <v>95</v>
      </c>
      <c r="AG427" s="75"/>
      <c r="AH427" s="131">
        <v>43117</v>
      </c>
      <c r="AI427" s="75"/>
      <c r="AJ427" s="75"/>
      <c r="AK427" s="75"/>
      <c r="AL427" s="75"/>
      <c r="AM427" s="75" t="s">
        <v>4236</v>
      </c>
      <c r="AN427" s="75" t="s">
        <v>4091</v>
      </c>
      <c r="AO427" s="75" t="s">
        <v>163</v>
      </c>
      <c r="AP427" s="75" t="s">
        <v>97</v>
      </c>
      <c r="AQ427" s="75"/>
      <c r="AR427" s="74">
        <v>43725</v>
      </c>
      <c r="AS427" s="102" t="s">
        <v>164</v>
      </c>
      <c r="AT427" s="73" t="s">
        <v>608</v>
      </c>
      <c r="AU427" s="75" t="s">
        <v>172</v>
      </c>
      <c r="AV427" s="75">
        <v>1983</v>
      </c>
      <c r="AW427" s="75" t="s">
        <v>172</v>
      </c>
      <c r="AX427" s="75" t="s">
        <v>112</v>
      </c>
      <c r="AY427" s="75" t="s">
        <v>338</v>
      </c>
      <c r="AZ427" s="75" t="s">
        <v>3624</v>
      </c>
      <c r="BA427" s="75">
        <v>36</v>
      </c>
      <c r="BB427" s="75">
        <v>8</v>
      </c>
      <c r="BC427" s="75">
        <v>81</v>
      </c>
      <c r="BD427" s="75">
        <v>0.1</v>
      </c>
      <c r="BE427" s="75" t="s">
        <v>97</v>
      </c>
      <c r="BF427" s="75"/>
      <c r="BG427" s="75">
        <v>2289</v>
      </c>
      <c r="BH427" s="75"/>
      <c r="BI427" s="75"/>
      <c r="BJ427" s="75"/>
      <c r="BK427" s="75">
        <v>390</v>
      </c>
      <c r="BL427" s="75">
        <f t="shared" si="18"/>
        <v>2679</v>
      </c>
      <c r="BM427" s="103">
        <f t="shared" si="19"/>
        <v>147.345</v>
      </c>
      <c r="BN427" s="103">
        <f t="shared" si="20"/>
        <v>2826.3449999999998</v>
      </c>
      <c r="BO427" s="103">
        <v>4478</v>
      </c>
      <c r="BP427" s="75" t="s">
        <v>97</v>
      </c>
      <c r="BQ427" s="74">
        <v>43420</v>
      </c>
      <c r="BR427" s="75"/>
      <c r="BS427" s="157">
        <v>2019</v>
      </c>
      <c r="BT427">
        <v>2020</v>
      </c>
      <c r="BU427">
        <v>2019</v>
      </c>
    </row>
    <row r="428" spans="1:73" ht="43.15" customHeight="1" x14ac:dyDescent="0.25">
      <c r="A428" s="242" t="s">
        <v>90</v>
      </c>
      <c r="B428" s="242" t="s">
        <v>3623</v>
      </c>
      <c r="C428" s="159">
        <v>400</v>
      </c>
      <c r="D428" s="114">
        <v>43395</v>
      </c>
      <c r="E428" s="114"/>
      <c r="F428" s="114"/>
      <c r="G428" s="114"/>
      <c r="H428" s="114">
        <v>43403</v>
      </c>
      <c r="I428" s="114">
        <v>43403</v>
      </c>
      <c r="J428" s="114">
        <v>43409</v>
      </c>
      <c r="K428" s="114"/>
      <c r="L428" s="114">
        <v>43467</v>
      </c>
      <c r="M428" s="114">
        <v>43441</v>
      </c>
      <c r="N428" s="114"/>
      <c r="O428" s="114">
        <v>43497</v>
      </c>
      <c r="P428" s="114">
        <v>43497</v>
      </c>
      <c r="Q428" s="114">
        <v>43500</v>
      </c>
      <c r="R428" s="80"/>
      <c r="S428" s="114"/>
      <c r="T428" s="75"/>
      <c r="U428" s="75"/>
      <c r="V428" s="75"/>
      <c r="W428" s="75">
        <v>1</v>
      </c>
      <c r="X428" s="75">
        <v>27601</v>
      </c>
      <c r="Y428" s="75" t="str">
        <f ca="1">IF(I428="",IF(D428="","",IF(W428+X428&lt;15,"Données Nb pers ou RFR manquantes",IF(COUNTA(INDIRECT("TabRFR["&amp;YEAR(D428)&amp;"]"))&lt;&gt;COUNTA(TabRFR[Recherche RFR]),"Data RFR manquantes", IF(X428&lt;=INDEX(TabRFR[[2021]:[2025]],MATCH(BD!W428&amp;"-Très modestes",TabRFR[Recherche RFR],0),MATCH(TEXT(YEAR(BD!D428),"Standard"),TabRFR[[#Headers],[2021]:[2025]],0)),"Très Modeste",IF(X428&lt;=INDEX(TabRFR[[2021]:[2025]],MATCH(BD!W428&amp;"-modestes",TabRFR[Recherche RFR],0),MATCH(TEXT(YEAR(BD!D428),"Standard"),TabRFR[[#Headers],[2021]:[2025]],0)),"Modeste",IF(X428&lt;=INDEX(TabRFR[[2021]:[2025]],MATCH(BD!W428&amp;"-Intermédiaire",TabRFR[Recherche RFR],0),MATCH(TEXT(YEAR(BD!D428),"Standard"),TabRFR[[#Headers],[2021]:[2025]],0)),"Intermédiaire","Supérieur")))))),IF(D428="","",IF(W428+X428&lt;15,"Données Nb pers ou RFR manquantes",IF(COUNTA(INDIRECT("TabRFR["&amp;YEAR(I428)&amp;"]"))&lt;&gt;COUNTA(TabRFR[Recherche RFR]),"Data RFR manquantes", IF(X428&lt;=INDEX(TabRFR[[2021]:[2025]],MATCH(BD!W428&amp;"-Très modestes",TabRFR[Recherche RFR],0),MATCH(TEXT(YEAR(BD!I428),"Standard"),TabRFR[[#Headers],[2021]:[2025]],0)),"Très Modeste",IF(X428&lt;=INDEX(TabRFR[[2021]:[2025]],MATCH(BD!W428&amp;"-modestes",TabRFR[Recherche RFR],0),MATCH(TEXT(YEAR(BD!I428),"Standard"),TabRFR[[#Headers],[2021]:[2025]],0)),"Modeste",IF(X428&lt;=INDEX(TabRFR[[2021]:[2025]],MATCH(BD!W428&amp;"-Intermédiaire",TabRFR[Recherche RFR],0),MATCH(TEXT(YEAR(BD!I428),"Standard"),TabRFR[[#Headers],[2021]:[2025]],0)),"Intermédiaire","Supérieur")))))))</f>
        <v>Data RFR manquantes</v>
      </c>
      <c r="Z428" s="75"/>
      <c r="AA428" s="75" t="s">
        <v>3622</v>
      </c>
      <c r="AB428" s="75">
        <v>38134</v>
      </c>
      <c r="AC428" s="75" t="s">
        <v>3796</v>
      </c>
      <c r="AD428" s="73"/>
      <c r="AE428" s="102"/>
      <c r="AF428" s="75" t="s">
        <v>95</v>
      </c>
      <c r="AG428" s="75"/>
      <c r="AH428" s="75"/>
      <c r="AI428" s="75"/>
      <c r="AJ428" s="75"/>
      <c r="AK428" s="75"/>
      <c r="AL428" s="75"/>
      <c r="AM428" s="75" t="s">
        <v>4354</v>
      </c>
      <c r="AN428" s="75" t="s">
        <v>1056</v>
      </c>
      <c r="AO428" s="75" t="s">
        <v>3621</v>
      </c>
      <c r="AP428" s="75" t="s">
        <v>97</v>
      </c>
      <c r="AQ428" s="75"/>
      <c r="AR428" s="131">
        <v>43667</v>
      </c>
      <c r="AS428" s="102" t="s">
        <v>1054</v>
      </c>
      <c r="AT428" s="73">
        <v>479842535</v>
      </c>
      <c r="AU428" s="75" t="s">
        <v>100</v>
      </c>
      <c r="AV428" s="75" t="s">
        <v>9</v>
      </c>
      <c r="AW428" s="75" t="s">
        <v>100</v>
      </c>
      <c r="AX428" s="75" t="s">
        <v>2071</v>
      </c>
      <c r="AY428" s="75" t="s">
        <v>1436</v>
      </c>
      <c r="AZ428" s="75" t="s">
        <v>3620</v>
      </c>
      <c r="BA428" s="75">
        <v>18</v>
      </c>
      <c r="BB428" s="75">
        <v>6</v>
      </c>
      <c r="BC428" s="75">
        <v>92</v>
      </c>
      <c r="BD428" s="75">
        <v>0.01</v>
      </c>
      <c r="BE428" s="75" t="s">
        <v>97</v>
      </c>
      <c r="BF428" s="75"/>
      <c r="BG428" s="75">
        <v>2707</v>
      </c>
      <c r="BH428" s="75"/>
      <c r="BI428" s="75"/>
      <c r="BJ428" s="75"/>
      <c r="BK428" s="75">
        <v>900</v>
      </c>
      <c r="BL428" s="75">
        <f t="shared" si="18"/>
        <v>3607</v>
      </c>
      <c r="BM428" s="103">
        <f t="shared" si="19"/>
        <v>198.38499999999999</v>
      </c>
      <c r="BN428" s="103">
        <f t="shared" si="20"/>
        <v>3805.3850000000002</v>
      </c>
      <c r="BO428" s="103">
        <v>4130</v>
      </c>
      <c r="BP428" s="75" t="s">
        <v>97</v>
      </c>
      <c r="BQ428" s="75"/>
      <c r="BR428" s="75"/>
      <c r="BS428" s="157">
        <v>2019</v>
      </c>
      <c r="BU428">
        <v>2019</v>
      </c>
    </row>
    <row r="429" spans="1:73" ht="43.15" customHeight="1" x14ac:dyDescent="0.25">
      <c r="A429" s="242" t="s">
        <v>90</v>
      </c>
      <c r="B429" s="242" t="s">
        <v>3619</v>
      </c>
      <c r="C429" s="159">
        <v>400</v>
      </c>
      <c r="D429" s="114">
        <v>43410</v>
      </c>
      <c r="E429" s="114"/>
      <c r="F429" s="114">
        <v>43412</v>
      </c>
      <c r="G429" s="114" t="s">
        <v>3618</v>
      </c>
      <c r="H429" s="114">
        <v>43497</v>
      </c>
      <c r="I429" s="114">
        <v>43497</v>
      </c>
      <c r="J429" s="114">
        <v>43508</v>
      </c>
      <c r="K429" s="114"/>
      <c r="L429" s="114">
        <v>43535</v>
      </c>
      <c r="M429" s="114">
        <v>43514</v>
      </c>
      <c r="N429" s="114"/>
      <c r="O429" s="114">
        <v>43565</v>
      </c>
      <c r="P429" s="114">
        <v>43565</v>
      </c>
      <c r="Q429" s="114">
        <v>43566</v>
      </c>
      <c r="R429" s="80"/>
      <c r="S429" s="114"/>
      <c r="T429" s="75"/>
      <c r="U429" s="75"/>
      <c r="V429" s="75"/>
      <c r="W429" s="75">
        <v>2</v>
      </c>
      <c r="X429" s="75">
        <v>43650</v>
      </c>
      <c r="Y429" s="75" t="str">
        <f ca="1">IF(I429="",IF(D429="","",IF(W429+X429&lt;15,"Données Nb pers ou RFR manquantes",IF(COUNTA(INDIRECT("TabRFR["&amp;YEAR(D429)&amp;"]"))&lt;&gt;COUNTA(TabRFR[Recherche RFR]),"Data RFR manquantes", IF(X429&lt;=INDEX(TabRFR[[2021]:[2025]],MATCH(BD!W429&amp;"-Très modestes",TabRFR[Recherche RFR],0),MATCH(TEXT(YEAR(BD!D429),"Standard"),TabRFR[[#Headers],[2021]:[2025]],0)),"Très Modeste",IF(X429&lt;=INDEX(TabRFR[[2021]:[2025]],MATCH(BD!W429&amp;"-modestes",TabRFR[Recherche RFR],0),MATCH(TEXT(YEAR(BD!D429),"Standard"),TabRFR[[#Headers],[2021]:[2025]],0)),"Modeste",IF(X429&lt;=INDEX(TabRFR[[2021]:[2025]],MATCH(BD!W429&amp;"-Intermédiaire",TabRFR[Recherche RFR],0),MATCH(TEXT(YEAR(BD!D429),"Standard"),TabRFR[[#Headers],[2021]:[2025]],0)),"Intermédiaire","Supérieur")))))),IF(D429="","",IF(W429+X429&lt;15,"Données Nb pers ou RFR manquantes",IF(COUNTA(INDIRECT("TabRFR["&amp;YEAR(I429)&amp;"]"))&lt;&gt;COUNTA(TabRFR[Recherche RFR]),"Data RFR manquantes", IF(X429&lt;=INDEX(TabRFR[[2021]:[2025]],MATCH(BD!W429&amp;"-Très modestes",TabRFR[Recherche RFR],0),MATCH(TEXT(YEAR(BD!I429),"Standard"),TabRFR[[#Headers],[2021]:[2025]],0)),"Très Modeste",IF(X429&lt;=INDEX(TabRFR[[2021]:[2025]],MATCH(BD!W429&amp;"-modestes",TabRFR[Recherche RFR],0),MATCH(TEXT(YEAR(BD!I429),"Standard"),TabRFR[[#Headers],[2021]:[2025]],0)),"Modeste",IF(X429&lt;=INDEX(TabRFR[[2021]:[2025]],MATCH(BD!W429&amp;"-Intermédiaire",TabRFR[Recherche RFR],0),MATCH(TEXT(YEAR(BD!I429),"Standard"),TabRFR[[#Headers],[2021]:[2025]],0)),"Intermédiaire","Supérieur")))))))</f>
        <v>Data RFR manquantes</v>
      </c>
      <c r="Z429" s="75"/>
      <c r="AA429" s="75" t="s">
        <v>3617</v>
      </c>
      <c r="AB429" s="75">
        <v>38850</v>
      </c>
      <c r="AC429" s="75" t="s">
        <v>148</v>
      </c>
      <c r="AD429" s="73"/>
      <c r="AE429" s="102"/>
      <c r="AF429" s="75" t="s">
        <v>95</v>
      </c>
      <c r="AG429" s="75"/>
      <c r="AH429" s="75"/>
      <c r="AI429" s="75"/>
      <c r="AJ429" s="75"/>
      <c r="AK429" s="75"/>
      <c r="AL429" s="75"/>
      <c r="AM429" s="75" t="s">
        <v>4356</v>
      </c>
      <c r="AN429" s="75" t="s">
        <v>96</v>
      </c>
      <c r="AO429" s="75" t="s">
        <v>3477</v>
      </c>
      <c r="AP429" s="75" t="s">
        <v>97</v>
      </c>
      <c r="AQ429" s="75"/>
      <c r="AR429" s="131">
        <v>43772</v>
      </c>
      <c r="AS429" s="102" t="s">
        <v>120</v>
      </c>
      <c r="AT429" s="73" t="s">
        <v>658</v>
      </c>
      <c r="AU429" s="75" t="s">
        <v>111</v>
      </c>
      <c r="AV429" s="75">
        <v>1985</v>
      </c>
      <c r="AW429" s="75" t="s">
        <v>100</v>
      </c>
      <c r="AX429" s="75" t="s">
        <v>2071</v>
      </c>
      <c r="AY429" s="75" t="s">
        <v>102</v>
      </c>
      <c r="AZ429" s="75" t="s">
        <v>3616</v>
      </c>
      <c r="BA429" s="75">
        <v>11</v>
      </c>
      <c r="BB429" s="75">
        <v>7.8</v>
      </c>
      <c r="BC429" s="75">
        <v>90.2</v>
      </c>
      <c r="BD429" s="75">
        <v>3.0000000000000001E-3</v>
      </c>
      <c r="BE429" s="75" t="s">
        <v>97</v>
      </c>
      <c r="BF429" s="75"/>
      <c r="BG429" s="75">
        <v>3921.6</v>
      </c>
      <c r="BH429" s="75"/>
      <c r="BI429" s="75"/>
      <c r="BJ429" s="75"/>
      <c r="BK429" s="75">
        <v>420</v>
      </c>
      <c r="BL429" s="75">
        <f t="shared" si="18"/>
        <v>4341.6000000000004</v>
      </c>
      <c r="BM429" s="103">
        <f t="shared" si="19"/>
        <v>238.78800000000001</v>
      </c>
      <c r="BN429" s="103">
        <f t="shared" si="20"/>
        <v>4580.3880000000008</v>
      </c>
      <c r="BO429" s="103">
        <f>656.2+5471.6</f>
        <v>6127.8</v>
      </c>
      <c r="BP429" s="75" t="s">
        <v>97</v>
      </c>
      <c r="BQ429" s="75"/>
      <c r="BR429" s="75"/>
      <c r="BS429" s="157">
        <v>2019</v>
      </c>
      <c r="BU429">
        <v>2019</v>
      </c>
    </row>
    <row r="430" spans="1:73" ht="43.15" customHeight="1" x14ac:dyDescent="0.25">
      <c r="A430" s="241" t="s">
        <v>90</v>
      </c>
      <c r="B430" s="241" t="s">
        <v>3615</v>
      </c>
      <c r="C430" s="159">
        <v>400</v>
      </c>
      <c r="D430" s="76">
        <v>43396</v>
      </c>
      <c r="E430" s="76">
        <v>43396</v>
      </c>
      <c r="F430" s="76">
        <v>43403</v>
      </c>
      <c r="G430" s="76" t="s">
        <v>3614</v>
      </c>
      <c r="H430" s="76">
        <v>43427</v>
      </c>
      <c r="I430" s="76">
        <v>43427</v>
      </c>
      <c r="J430" s="76">
        <v>43437</v>
      </c>
      <c r="K430" s="218"/>
      <c r="L430" s="76">
        <v>43565</v>
      </c>
      <c r="M430" s="76">
        <v>43504</v>
      </c>
      <c r="N430" s="76"/>
      <c r="O430" s="76">
        <v>43606</v>
      </c>
      <c r="P430" s="76">
        <v>43606</v>
      </c>
      <c r="Q430" s="76">
        <v>43671</v>
      </c>
      <c r="R430" s="82"/>
      <c r="S430" s="76"/>
      <c r="T430" s="77"/>
      <c r="U430" s="77"/>
      <c r="V430" s="77"/>
      <c r="W430" s="77">
        <v>2</v>
      </c>
      <c r="X430" s="77">
        <v>66320</v>
      </c>
      <c r="Y430" s="75" t="str">
        <f ca="1">IF(I430="",IF(D430="","",IF(W430+X430&lt;15,"Données Nb pers ou RFR manquantes",IF(COUNTA(INDIRECT("TabRFR["&amp;YEAR(D430)&amp;"]"))&lt;&gt;COUNTA(TabRFR[Recherche RFR]),"Data RFR manquantes", IF(X430&lt;=INDEX(TabRFR[[2021]:[2025]],MATCH(BD!W430&amp;"-Très modestes",TabRFR[Recherche RFR],0),MATCH(TEXT(YEAR(BD!D430),"Standard"),TabRFR[[#Headers],[2021]:[2025]],0)),"Très Modeste",IF(X430&lt;=INDEX(TabRFR[[2021]:[2025]],MATCH(BD!W430&amp;"-modestes",TabRFR[Recherche RFR],0),MATCH(TEXT(YEAR(BD!D430),"Standard"),TabRFR[[#Headers],[2021]:[2025]],0)),"Modeste",IF(X430&lt;=INDEX(TabRFR[[2021]:[2025]],MATCH(BD!W430&amp;"-Intermédiaire",TabRFR[Recherche RFR],0),MATCH(TEXT(YEAR(BD!D430),"Standard"),TabRFR[[#Headers],[2021]:[2025]],0)),"Intermédiaire","Supérieur")))))),IF(D430="","",IF(W430+X430&lt;15,"Données Nb pers ou RFR manquantes",IF(COUNTA(INDIRECT("TabRFR["&amp;YEAR(I430)&amp;"]"))&lt;&gt;COUNTA(TabRFR[Recherche RFR]),"Data RFR manquantes", IF(X430&lt;=INDEX(TabRFR[[2021]:[2025]],MATCH(BD!W430&amp;"-Très modestes",TabRFR[Recherche RFR],0),MATCH(TEXT(YEAR(BD!I430),"Standard"),TabRFR[[#Headers],[2021]:[2025]],0)),"Très Modeste",IF(X430&lt;=INDEX(TabRFR[[2021]:[2025]],MATCH(BD!W430&amp;"-modestes",TabRFR[Recherche RFR],0),MATCH(TEXT(YEAR(BD!I430),"Standard"),TabRFR[[#Headers],[2021]:[2025]],0)),"Modeste",IF(X430&lt;=INDEX(TabRFR[[2021]:[2025]],MATCH(BD!W430&amp;"-Intermédiaire",TabRFR[Recherche RFR],0),MATCH(TEXT(YEAR(BD!I430),"Standard"),TabRFR[[#Headers],[2021]:[2025]],0)),"Intermédiaire","Supérieur")))))))</f>
        <v>Data RFR manquantes</v>
      </c>
      <c r="Z430" s="77"/>
      <c r="AA430" s="77" t="s">
        <v>1991</v>
      </c>
      <c r="AB430" s="77">
        <v>38340</v>
      </c>
      <c r="AC430" s="77" t="s">
        <v>108</v>
      </c>
      <c r="AD430" s="78"/>
      <c r="AE430" s="102"/>
      <c r="AF430" s="77" t="s">
        <v>95</v>
      </c>
      <c r="AG430" s="77"/>
      <c r="AH430" s="77"/>
      <c r="AI430" s="77"/>
      <c r="AJ430" s="77"/>
      <c r="AK430" s="77"/>
      <c r="AL430" s="77"/>
      <c r="AM430" s="77" t="s">
        <v>4357</v>
      </c>
      <c r="AN430" s="77" t="s">
        <v>829</v>
      </c>
      <c r="AO430" s="77" t="s">
        <v>3613</v>
      </c>
      <c r="AP430" s="77" t="s">
        <v>97</v>
      </c>
      <c r="AQ430" s="77" t="s">
        <v>154</v>
      </c>
      <c r="AR430" s="79">
        <v>43537</v>
      </c>
      <c r="AS430" s="102" t="s">
        <v>156</v>
      </c>
      <c r="AT430" s="78" t="s">
        <v>3398</v>
      </c>
      <c r="AU430" s="77" t="s">
        <v>430</v>
      </c>
      <c r="AV430" s="77">
        <v>1990</v>
      </c>
      <c r="AW430" s="77" t="s">
        <v>100</v>
      </c>
      <c r="AX430" s="77" t="s">
        <v>112</v>
      </c>
      <c r="AY430" s="77" t="s">
        <v>3612</v>
      </c>
      <c r="AZ430" s="77" t="s">
        <v>3611</v>
      </c>
      <c r="BA430" s="77">
        <v>39</v>
      </c>
      <c r="BB430" s="77">
        <v>5</v>
      </c>
      <c r="BC430" s="77">
        <v>80</v>
      </c>
      <c r="BD430" s="77">
        <v>0.08</v>
      </c>
      <c r="BE430" s="77" t="s">
        <v>97</v>
      </c>
      <c r="BF430" s="77"/>
      <c r="BG430" s="77">
        <v>1311</v>
      </c>
      <c r="BH430" s="77"/>
      <c r="BI430" s="77"/>
      <c r="BJ430" s="77"/>
      <c r="BK430" s="77">
        <v>3245</v>
      </c>
      <c r="BL430" s="75">
        <f t="shared" si="18"/>
        <v>4556</v>
      </c>
      <c r="BM430" s="103">
        <f t="shared" si="19"/>
        <v>250.58</v>
      </c>
      <c r="BN430" s="103">
        <f t="shared" si="20"/>
        <v>4806.58</v>
      </c>
      <c r="BO430" s="80">
        <v>1368.91</v>
      </c>
      <c r="BP430" s="77" t="s">
        <v>104</v>
      </c>
      <c r="BQ430" s="79">
        <v>43420</v>
      </c>
      <c r="BR430" s="77"/>
      <c r="BS430" s="157">
        <v>2019</v>
      </c>
      <c r="BT430">
        <v>2020</v>
      </c>
      <c r="BU430">
        <v>2019</v>
      </c>
    </row>
    <row r="431" spans="1:73" ht="43.15" customHeight="1" x14ac:dyDescent="0.25">
      <c r="A431" s="31" t="s">
        <v>90</v>
      </c>
      <c r="B431" s="31" t="s">
        <v>3610</v>
      </c>
      <c r="C431" s="163" t="s">
        <v>9</v>
      </c>
      <c r="D431" s="76">
        <v>43396</v>
      </c>
      <c r="E431" s="76">
        <v>43396</v>
      </c>
      <c r="F431" s="76"/>
      <c r="G431" s="76"/>
      <c r="H431" s="76">
        <v>43403</v>
      </c>
      <c r="I431" s="76">
        <v>43403</v>
      </c>
      <c r="J431" s="76">
        <v>43409</v>
      </c>
      <c r="K431" s="218"/>
      <c r="L431" s="76" t="s">
        <v>3739</v>
      </c>
      <c r="M431" s="76" t="s">
        <v>4177</v>
      </c>
      <c r="N431" s="76"/>
      <c r="O431" s="76"/>
      <c r="P431" s="76"/>
      <c r="Q431" s="76"/>
      <c r="R431" s="82"/>
      <c r="S431" s="76"/>
      <c r="T431" s="77"/>
      <c r="U431" s="77"/>
      <c r="V431" s="77"/>
      <c r="W431" s="77">
        <v>4</v>
      </c>
      <c r="X431" s="77">
        <v>48583</v>
      </c>
      <c r="Y431" s="75" t="str">
        <f ca="1">IF(I431="",IF(D431="","",IF(W431+X431&lt;15,"Données Nb pers ou RFR manquantes",IF(COUNTA(INDIRECT("TabRFR["&amp;YEAR(D431)&amp;"]"))&lt;&gt;COUNTA(TabRFR[Recherche RFR]),"Data RFR manquantes", IF(X431&lt;=INDEX(TabRFR[[2021]:[2025]],MATCH(BD!W431&amp;"-Très modestes",TabRFR[Recherche RFR],0),MATCH(TEXT(YEAR(BD!D431),"Standard"),TabRFR[[#Headers],[2021]:[2025]],0)),"Très Modeste",IF(X431&lt;=INDEX(TabRFR[[2021]:[2025]],MATCH(BD!W431&amp;"-modestes",TabRFR[Recherche RFR],0),MATCH(TEXT(YEAR(BD!D431),"Standard"),TabRFR[[#Headers],[2021]:[2025]],0)),"Modeste",IF(X431&lt;=INDEX(TabRFR[[2021]:[2025]],MATCH(BD!W431&amp;"-Intermédiaire",TabRFR[Recherche RFR],0),MATCH(TEXT(YEAR(BD!D431),"Standard"),TabRFR[[#Headers],[2021]:[2025]],0)),"Intermédiaire","Supérieur")))))),IF(D431="","",IF(W431+X431&lt;15,"Données Nb pers ou RFR manquantes",IF(COUNTA(INDIRECT("TabRFR["&amp;YEAR(I431)&amp;"]"))&lt;&gt;COUNTA(TabRFR[Recherche RFR]),"Data RFR manquantes", IF(X431&lt;=INDEX(TabRFR[[2021]:[2025]],MATCH(BD!W431&amp;"-Très modestes",TabRFR[Recherche RFR],0),MATCH(TEXT(YEAR(BD!I431),"Standard"),TabRFR[[#Headers],[2021]:[2025]],0)),"Très Modeste",IF(X431&lt;=INDEX(TabRFR[[2021]:[2025]],MATCH(BD!W431&amp;"-modestes",TabRFR[Recherche RFR],0),MATCH(TEXT(YEAR(BD!I431),"Standard"),TabRFR[[#Headers],[2021]:[2025]],0)),"Modeste",IF(X431&lt;=INDEX(TabRFR[[2021]:[2025]],MATCH(BD!W431&amp;"-Intermédiaire",TabRFR[Recherche RFR],0),MATCH(TEXT(YEAR(BD!I431),"Standard"),TabRFR[[#Headers],[2021]:[2025]],0)),"Intermédiaire","Supérieur")))))))</f>
        <v>Data RFR manquantes</v>
      </c>
      <c r="Z431" s="77"/>
      <c r="AA431" s="77" t="s">
        <v>3609</v>
      </c>
      <c r="AB431" s="77">
        <v>38140</v>
      </c>
      <c r="AC431" s="77" t="s">
        <v>2357</v>
      </c>
      <c r="AD431" s="78"/>
      <c r="AE431" s="102"/>
      <c r="AF431" s="77" t="s">
        <v>95</v>
      </c>
      <c r="AG431" s="77"/>
      <c r="AH431" s="132">
        <v>43122</v>
      </c>
      <c r="AI431" s="77"/>
      <c r="AJ431" s="77"/>
      <c r="AK431" s="77"/>
      <c r="AL431" s="77"/>
      <c r="AM431" s="77" t="s">
        <v>4236</v>
      </c>
      <c r="AN431" s="77" t="s">
        <v>4091</v>
      </c>
      <c r="AO431" s="77" t="s">
        <v>163</v>
      </c>
      <c r="AP431" s="77" t="s">
        <v>97</v>
      </c>
      <c r="AQ431" s="77"/>
      <c r="AR431" s="79">
        <v>43725</v>
      </c>
      <c r="AS431" s="102" t="s">
        <v>164</v>
      </c>
      <c r="AT431" s="78" t="s">
        <v>608</v>
      </c>
      <c r="AU431" s="77" t="s">
        <v>430</v>
      </c>
      <c r="AV431" s="77">
        <v>1997</v>
      </c>
      <c r="AW431" s="77" t="s">
        <v>100</v>
      </c>
      <c r="AX431" s="75" t="s">
        <v>2071</v>
      </c>
      <c r="AY431" s="77" t="s">
        <v>440</v>
      </c>
      <c r="AZ431" s="77" t="s">
        <v>639</v>
      </c>
      <c r="BA431" s="77">
        <v>8</v>
      </c>
      <c r="BB431" s="77">
        <v>9</v>
      </c>
      <c r="BC431" s="77">
        <v>90.5</v>
      </c>
      <c r="BD431" s="77">
        <v>0</v>
      </c>
      <c r="BE431" s="77" t="s">
        <v>3608</v>
      </c>
      <c r="BF431" s="77"/>
      <c r="BG431" s="77">
        <f>5273.94-590</f>
        <v>4683.9399999999996</v>
      </c>
      <c r="BH431" s="77"/>
      <c r="BI431" s="77"/>
      <c r="BJ431" s="77"/>
      <c r="BK431" s="77">
        <v>590</v>
      </c>
      <c r="BL431" s="75">
        <f t="shared" si="18"/>
        <v>5273.94</v>
      </c>
      <c r="BM431" s="103">
        <f t="shared" si="19"/>
        <v>290.06669999999997</v>
      </c>
      <c r="BN431" s="103">
        <f t="shared" si="20"/>
        <v>5564.0066999999999</v>
      </c>
      <c r="BO431" s="80"/>
      <c r="BP431" s="77" t="s">
        <v>97</v>
      </c>
      <c r="BQ431" s="77"/>
      <c r="BR431" s="77"/>
      <c r="BS431" s="157">
        <v>2019</v>
      </c>
      <c r="BU431" t="s">
        <v>4180</v>
      </c>
    </row>
    <row r="432" spans="1:73" ht="43.15" customHeight="1" x14ac:dyDescent="0.25">
      <c r="A432" s="242" t="s">
        <v>90</v>
      </c>
      <c r="B432" s="242" t="s">
        <v>3607</v>
      </c>
      <c r="C432" s="159">
        <v>400</v>
      </c>
      <c r="D432" s="114">
        <v>43397</v>
      </c>
      <c r="E432" s="114">
        <v>43397</v>
      </c>
      <c r="F432" s="114"/>
      <c r="G432" s="114"/>
      <c r="H432" s="114">
        <v>43403</v>
      </c>
      <c r="I432" s="114">
        <v>43403</v>
      </c>
      <c r="J432" s="114">
        <v>43409</v>
      </c>
      <c r="K432" s="114"/>
      <c r="L432" s="114">
        <v>43467</v>
      </c>
      <c r="M432" s="114">
        <v>43427</v>
      </c>
      <c r="N432" s="114"/>
      <c r="O432" s="114">
        <v>43497</v>
      </c>
      <c r="P432" s="114">
        <v>43497</v>
      </c>
      <c r="Q432" s="114">
        <v>43500</v>
      </c>
      <c r="R432" s="80"/>
      <c r="S432" s="114"/>
      <c r="T432" s="75"/>
      <c r="U432" s="75"/>
      <c r="V432" s="75"/>
      <c r="W432" s="75">
        <v>4</v>
      </c>
      <c r="X432" s="75">
        <f>36100+31989</f>
        <v>68089</v>
      </c>
      <c r="Y432" s="75" t="str">
        <f ca="1">IF(I432="",IF(D432="","",IF(W432+X432&lt;15,"Données Nb pers ou RFR manquantes",IF(COUNTA(INDIRECT("TabRFR["&amp;YEAR(D432)&amp;"]"))&lt;&gt;COUNTA(TabRFR[Recherche RFR]),"Data RFR manquantes", IF(X432&lt;=INDEX(TabRFR[[2021]:[2025]],MATCH(BD!W432&amp;"-Très modestes",TabRFR[Recherche RFR],0),MATCH(TEXT(YEAR(BD!D432),"Standard"),TabRFR[[#Headers],[2021]:[2025]],0)),"Très Modeste",IF(X432&lt;=INDEX(TabRFR[[2021]:[2025]],MATCH(BD!W432&amp;"-modestes",TabRFR[Recherche RFR],0),MATCH(TEXT(YEAR(BD!D432),"Standard"),TabRFR[[#Headers],[2021]:[2025]],0)),"Modeste",IF(X432&lt;=INDEX(TabRFR[[2021]:[2025]],MATCH(BD!W432&amp;"-Intermédiaire",TabRFR[Recherche RFR],0),MATCH(TEXT(YEAR(BD!D432),"Standard"),TabRFR[[#Headers],[2021]:[2025]],0)),"Intermédiaire","Supérieur")))))),IF(D432="","",IF(W432+X432&lt;15,"Données Nb pers ou RFR manquantes",IF(COUNTA(INDIRECT("TabRFR["&amp;YEAR(I432)&amp;"]"))&lt;&gt;COUNTA(TabRFR[Recherche RFR]),"Data RFR manquantes", IF(X432&lt;=INDEX(TabRFR[[2021]:[2025]],MATCH(BD!W432&amp;"-Très modestes",TabRFR[Recherche RFR],0),MATCH(TEXT(YEAR(BD!I432),"Standard"),TabRFR[[#Headers],[2021]:[2025]],0)),"Très Modeste",IF(X432&lt;=INDEX(TabRFR[[2021]:[2025]],MATCH(BD!W432&amp;"-modestes",TabRFR[Recherche RFR],0),MATCH(TEXT(YEAR(BD!I432),"Standard"),TabRFR[[#Headers],[2021]:[2025]],0)),"Modeste",IF(X432&lt;=INDEX(TabRFR[[2021]:[2025]],MATCH(BD!W432&amp;"-Intermédiaire",TabRFR[Recherche RFR],0),MATCH(TEXT(YEAR(BD!I432),"Standard"),TabRFR[[#Headers],[2021]:[2025]],0)),"Intermédiaire","Supérieur")))))))</f>
        <v>Data RFR manquantes</v>
      </c>
      <c r="Z432" s="75"/>
      <c r="AA432" s="75" t="s">
        <v>3606</v>
      </c>
      <c r="AB432" s="75">
        <v>38620</v>
      </c>
      <c r="AC432" s="75" t="s">
        <v>851</v>
      </c>
      <c r="AD432" s="73"/>
      <c r="AE432" s="102"/>
      <c r="AF432" s="75" t="s">
        <v>95</v>
      </c>
      <c r="AG432" s="75"/>
      <c r="AH432" s="130">
        <v>38412</v>
      </c>
      <c r="AI432" s="75"/>
      <c r="AJ432" s="75"/>
      <c r="AK432" s="75"/>
      <c r="AL432" s="75"/>
      <c r="AM432" s="75" t="s">
        <v>4348</v>
      </c>
      <c r="AN432" s="75" t="s">
        <v>96</v>
      </c>
      <c r="AO432" s="75" t="s">
        <v>3313</v>
      </c>
      <c r="AP432" s="75" t="s">
        <v>97</v>
      </c>
      <c r="AQ432" s="75"/>
      <c r="AR432" s="74">
        <v>43698</v>
      </c>
      <c r="AS432" s="102" t="s">
        <v>98</v>
      </c>
      <c r="AT432" s="73" t="s">
        <v>802</v>
      </c>
      <c r="AU432" s="75" t="s">
        <v>111</v>
      </c>
      <c r="AV432" s="75">
        <v>1975</v>
      </c>
      <c r="AW432" s="75" t="s">
        <v>100</v>
      </c>
      <c r="AX432" s="75" t="s">
        <v>2071</v>
      </c>
      <c r="AY432" s="75" t="s">
        <v>102</v>
      </c>
      <c r="AZ432" s="75" t="s">
        <v>3216</v>
      </c>
      <c r="BA432" s="75">
        <v>17</v>
      </c>
      <c r="BB432" s="75">
        <v>8.1</v>
      </c>
      <c r="BC432" s="75">
        <v>90.9</v>
      </c>
      <c r="BD432" s="75">
        <v>2E-3</v>
      </c>
      <c r="BE432" s="75" t="s">
        <v>97</v>
      </c>
      <c r="BF432" s="75"/>
      <c r="BG432" s="75">
        <v>2631</v>
      </c>
      <c r="BH432" s="75"/>
      <c r="BI432" s="75"/>
      <c r="BJ432" s="75"/>
      <c r="BK432" s="75">
        <v>693</v>
      </c>
      <c r="BL432" s="75">
        <f t="shared" si="18"/>
        <v>3324</v>
      </c>
      <c r="BM432" s="103">
        <f t="shared" si="19"/>
        <v>182.82</v>
      </c>
      <c r="BN432" s="103">
        <f t="shared" si="20"/>
        <v>3506.82</v>
      </c>
      <c r="BO432" s="103">
        <v>3553</v>
      </c>
      <c r="BP432" s="75" t="s">
        <v>104</v>
      </c>
      <c r="BQ432" s="75"/>
      <c r="BR432" s="75"/>
      <c r="BS432" s="157">
        <v>2019</v>
      </c>
      <c r="BU432">
        <v>2019</v>
      </c>
    </row>
    <row r="433" spans="1:73" ht="43.15" customHeight="1" x14ac:dyDescent="0.25">
      <c r="A433" s="31" t="s">
        <v>90</v>
      </c>
      <c r="B433" s="31" t="s">
        <v>3605</v>
      </c>
      <c r="C433" s="163" t="s">
        <v>9</v>
      </c>
      <c r="D433" s="76">
        <v>43397</v>
      </c>
      <c r="E433" s="76">
        <v>43397</v>
      </c>
      <c r="F433" s="76">
        <v>43403</v>
      </c>
      <c r="G433" s="83" t="s">
        <v>3740</v>
      </c>
      <c r="H433" s="76"/>
      <c r="I433" s="76"/>
      <c r="J433" s="76"/>
      <c r="K433" s="218"/>
      <c r="L433" s="76"/>
      <c r="M433" s="76"/>
      <c r="N433" s="76"/>
      <c r="O433" s="76"/>
      <c r="P433" s="76"/>
      <c r="Q433" s="76"/>
      <c r="R433" s="82"/>
      <c r="S433" s="76">
        <v>43798</v>
      </c>
      <c r="T433" s="77"/>
      <c r="U433" s="77"/>
      <c r="V433" s="77"/>
      <c r="W433" s="77">
        <v>5</v>
      </c>
      <c r="X433" s="77">
        <v>31502</v>
      </c>
      <c r="Y433" s="75" t="str">
        <f ca="1">IF(I433="",IF(D433="","",IF(W433+X433&lt;15,"Données Nb pers ou RFR manquantes",IF(COUNTA(INDIRECT("TabRFR["&amp;YEAR(D433)&amp;"]"))&lt;&gt;COUNTA(TabRFR[Recherche RFR]),"Data RFR manquantes", IF(X433&lt;=INDEX(TabRFR[[2021]:[2025]],MATCH(BD!W433&amp;"-Très modestes",TabRFR[Recherche RFR],0),MATCH(TEXT(YEAR(BD!D433),"Standard"),TabRFR[[#Headers],[2021]:[2025]],0)),"Très Modeste",IF(X433&lt;=INDEX(TabRFR[[2021]:[2025]],MATCH(BD!W433&amp;"-modestes",TabRFR[Recherche RFR],0),MATCH(TEXT(YEAR(BD!D433),"Standard"),TabRFR[[#Headers],[2021]:[2025]],0)),"Modeste",IF(X433&lt;=INDEX(TabRFR[[2021]:[2025]],MATCH(BD!W433&amp;"-Intermédiaire",TabRFR[Recherche RFR],0),MATCH(TEXT(YEAR(BD!D433),"Standard"),TabRFR[[#Headers],[2021]:[2025]],0)),"Intermédiaire","Supérieur")))))),IF(D433="","",IF(W433+X433&lt;15,"Données Nb pers ou RFR manquantes",IF(COUNTA(INDIRECT("TabRFR["&amp;YEAR(I433)&amp;"]"))&lt;&gt;COUNTA(TabRFR[Recherche RFR]),"Data RFR manquantes", IF(X433&lt;=INDEX(TabRFR[[2021]:[2025]],MATCH(BD!W433&amp;"-Très modestes",TabRFR[Recherche RFR],0),MATCH(TEXT(YEAR(BD!I433),"Standard"),TabRFR[[#Headers],[2021]:[2025]],0)),"Très Modeste",IF(X433&lt;=INDEX(TabRFR[[2021]:[2025]],MATCH(BD!W433&amp;"-modestes",TabRFR[Recherche RFR],0),MATCH(TEXT(YEAR(BD!I433),"Standard"),TabRFR[[#Headers],[2021]:[2025]],0)),"Modeste",IF(X433&lt;=INDEX(TabRFR[[2021]:[2025]],MATCH(BD!W433&amp;"-Intermédiaire",TabRFR[Recherche RFR],0),MATCH(TEXT(YEAR(BD!I433),"Standard"),TabRFR[[#Headers],[2021]:[2025]],0)),"Intermédiaire","Supérieur")))))))</f>
        <v>Data RFR manquantes</v>
      </c>
      <c r="Z433" s="77"/>
      <c r="AA433" s="77" t="s">
        <v>1224</v>
      </c>
      <c r="AB433" s="77">
        <v>38340</v>
      </c>
      <c r="AC433" s="77" t="s">
        <v>108</v>
      </c>
      <c r="AD433" s="78"/>
      <c r="AE433" s="238"/>
      <c r="AF433" s="77" t="s">
        <v>95</v>
      </c>
      <c r="AG433" s="77"/>
      <c r="AH433" s="77"/>
      <c r="AI433" s="77"/>
      <c r="AJ433" s="77"/>
      <c r="AK433" s="77"/>
      <c r="AL433" s="77"/>
      <c r="AM433" s="77" t="s">
        <v>4233</v>
      </c>
      <c r="AN433" s="77" t="s">
        <v>829</v>
      </c>
      <c r="AO433" s="77"/>
      <c r="AP433" s="77"/>
      <c r="AQ433" s="77"/>
      <c r="AR433" s="79"/>
      <c r="AS433" s="102" t="s">
        <v>211</v>
      </c>
      <c r="AT433" s="78" t="s">
        <v>3604</v>
      </c>
      <c r="AU433" s="77" t="s">
        <v>111</v>
      </c>
      <c r="AV433" s="77">
        <v>1986</v>
      </c>
      <c r="AW433" s="77" t="s">
        <v>100</v>
      </c>
      <c r="AX433" s="75" t="s">
        <v>2071</v>
      </c>
      <c r="AY433" s="77" t="s">
        <v>2922</v>
      </c>
      <c r="AZ433" s="77" t="s">
        <v>3603</v>
      </c>
      <c r="BA433" s="77"/>
      <c r="BB433" s="77"/>
      <c r="BC433" s="77"/>
      <c r="BD433" s="77"/>
      <c r="BE433" s="77" t="s">
        <v>104</v>
      </c>
      <c r="BF433" s="77"/>
      <c r="BG433" s="77"/>
      <c r="BH433" s="77"/>
      <c r="BI433" s="77"/>
      <c r="BJ433" s="77"/>
      <c r="BK433" s="77"/>
      <c r="BL433" s="75">
        <f t="shared" si="18"/>
        <v>0</v>
      </c>
      <c r="BM433" s="103">
        <f t="shared" si="19"/>
        <v>0</v>
      </c>
      <c r="BN433" s="103">
        <f t="shared" si="20"/>
        <v>0</v>
      </c>
      <c r="BO433" s="80"/>
      <c r="BP433" s="77" t="s">
        <v>97</v>
      </c>
      <c r="BQ433" s="77"/>
      <c r="BR433" s="77"/>
      <c r="BS433" s="157">
        <v>2019</v>
      </c>
      <c r="BU433" t="s">
        <v>4180</v>
      </c>
    </row>
    <row r="434" spans="1:73" ht="43.15" customHeight="1" x14ac:dyDescent="0.25">
      <c r="A434" s="241" t="s">
        <v>90</v>
      </c>
      <c r="B434" s="241" t="s">
        <v>3602</v>
      </c>
      <c r="C434" s="159">
        <v>800</v>
      </c>
      <c r="D434" s="76">
        <v>43398</v>
      </c>
      <c r="E434" s="76">
        <v>43398</v>
      </c>
      <c r="F434" s="76"/>
      <c r="G434" s="76"/>
      <c r="H434" s="76">
        <v>43403</v>
      </c>
      <c r="I434" s="76">
        <v>43403</v>
      </c>
      <c r="J434" s="76">
        <v>43409</v>
      </c>
      <c r="K434" s="218"/>
      <c r="L434" s="76">
        <v>43504</v>
      </c>
      <c r="M434" s="76">
        <v>43455</v>
      </c>
      <c r="N434" s="76"/>
      <c r="O434" s="76">
        <v>43601</v>
      </c>
      <c r="P434" s="76">
        <v>43601</v>
      </c>
      <c r="Q434" s="76">
        <v>43620</v>
      </c>
      <c r="R434" s="82"/>
      <c r="S434" s="76"/>
      <c r="T434" s="77"/>
      <c r="U434" s="77"/>
      <c r="V434" s="77"/>
      <c r="W434" s="77">
        <v>1</v>
      </c>
      <c r="X434" s="77">
        <v>15521</v>
      </c>
      <c r="Y434" s="75" t="str">
        <f ca="1">IF(I434="",IF(D434="","",IF(W434+X434&lt;15,"Données Nb pers ou RFR manquantes",IF(COUNTA(INDIRECT("TabRFR["&amp;YEAR(D434)&amp;"]"))&lt;&gt;COUNTA(TabRFR[Recherche RFR]),"Data RFR manquantes", IF(X434&lt;=INDEX(TabRFR[[2021]:[2025]],MATCH(BD!W434&amp;"-Très modestes",TabRFR[Recherche RFR],0),MATCH(TEXT(YEAR(BD!D434),"Standard"),TabRFR[[#Headers],[2021]:[2025]],0)),"Très Modeste",IF(X434&lt;=INDEX(TabRFR[[2021]:[2025]],MATCH(BD!W434&amp;"-modestes",TabRFR[Recherche RFR],0),MATCH(TEXT(YEAR(BD!D434),"Standard"),TabRFR[[#Headers],[2021]:[2025]],0)),"Modeste",IF(X434&lt;=INDEX(TabRFR[[2021]:[2025]],MATCH(BD!W434&amp;"-Intermédiaire",TabRFR[Recherche RFR],0),MATCH(TEXT(YEAR(BD!D434),"Standard"),TabRFR[[#Headers],[2021]:[2025]],0)),"Intermédiaire","Supérieur")))))),IF(D434="","",IF(W434+X434&lt;15,"Données Nb pers ou RFR manquantes",IF(COUNTA(INDIRECT("TabRFR["&amp;YEAR(I434)&amp;"]"))&lt;&gt;COUNTA(TabRFR[Recherche RFR]),"Data RFR manquantes", IF(X434&lt;=INDEX(TabRFR[[2021]:[2025]],MATCH(BD!W434&amp;"-Très modestes",TabRFR[Recherche RFR],0),MATCH(TEXT(YEAR(BD!I434),"Standard"),TabRFR[[#Headers],[2021]:[2025]],0)),"Très Modeste",IF(X434&lt;=INDEX(TabRFR[[2021]:[2025]],MATCH(BD!W434&amp;"-modestes",TabRFR[Recherche RFR],0),MATCH(TEXT(YEAR(BD!I434),"Standard"),TabRFR[[#Headers],[2021]:[2025]],0)),"Modeste",IF(X434&lt;=INDEX(TabRFR[[2021]:[2025]],MATCH(BD!W434&amp;"-Intermédiaire",TabRFR[Recherche RFR],0),MATCH(TEXT(YEAR(BD!I434),"Standard"),TabRFR[[#Headers],[2021]:[2025]],0)),"Intermédiaire","Supérieur")))))))</f>
        <v>Data RFR manquantes</v>
      </c>
      <c r="Z434" s="77"/>
      <c r="AA434" s="77" t="s">
        <v>3601</v>
      </c>
      <c r="AB434" s="77">
        <v>38730</v>
      </c>
      <c r="AC434" s="77" t="s">
        <v>4304</v>
      </c>
      <c r="AD434" s="78"/>
      <c r="AE434" s="102"/>
      <c r="AF434" s="77" t="s">
        <v>95</v>
      </c>
      <c r="AG434" s="77"/>
      <c r="AH434" s="77"/>
      <c r="AI434" s="77"/>
      <c r="AJ434" s="77"/>
      <c r="AK434" s="77"/>
      <c r="AL434" s="77"/>
      <c r="AM434" s="77" t="s">
        <v>3973</v>
      </c>
      <c r="AN434" s="77" t="s">
        <v>96</v>
      </c>
      <c r="AO434" s="77" t="s">
        <v>9</v>
      </c>
      <c r="AP434" s="77" t="s">
        <v>97</v>
      </c>
      <c r="AQ434" s="77"/>
      <c r="AR434" s="132">
        <v>43726</v>
      </c>
      <c r="AS434" s="102" t="s">
        <v>141</v>
      </c>
      <c r="AT434" s="78" t="s">
        <v>820</v>
      </c>
      <c r="AU434" s="77" t="s">
        <v>100</v>
      </c>
      <c r="AV434" s="77">
        <v>1983</v>
      </c>
      <c r="AW434" s="77" t="s">
        <v>100</v>
      </c>
      <c r="AX434" s="75" t="s">
        <v>2071</v>
      </c>
      <c r="AY434" s="77" t="s">
        <v>440</v>
      </c>
      <c r="AZ434" s="77" t="s">
        <v>3600</v>
      </c>
      <c r="BA434" s="77">
        <v>11</v>
      </c>
      <c r="BB434" s="77">
        <v>12</v>
      </c>
      <c r="BC434" s="77">
        <v>88.5</v>
      </c>
      <c r="BD434" s="77">
        <v>0.01</v>
      </c>
      <c r="BE434" s="77" t="s">
        <v>97</v>
      </c>
      <c r="BF434" s="77"/>
      <c r="BG434" s="77">
        <v>4262</v>
      </c>
      <c r="BH434" s="77"/>
      <c r="BI434" s="77"/>
      <c r="BJ434" s="77"/>
      <c r="BK434" s="77">
        <v>350</v>
      </c>
      <c r="BL434" s="75">
        <f t="shared" si="18"/>
        <v>4612</v>
      </c>
      <c r="BM434" s="103">
        <f t="shared" si="19"/>
        <v>253.66</v>
      </c>
      <c r="BN434" s="103">
        <f t="shared" si="20"/>
        <v>4865.66</v>
      </c>
      <c r="BO434" s="80">
        <f>1900+2966.53</f>
        <v>4866.5300000000007</v>
      </c>
      <c r="BP434" s="77" t="s">
        <v>97</v>
      </c>
      <c r="BQ434" s="77"/>
      <c r="BR434" s="77"/>
      <c r="BS434" s="157">
        <v>2019</v>
      </c>
      <c r="BU434">
        <v>2019</v>
      </c>
    </row>
    <row r="435" spans="1:73" ht="43.15" customHeight="1" x14ac:dyDescent="0.25">
      <c r="A435" s="242" t="s">
        <v>90</v>
      </c>
      <c r="B435" s="242" t="s">
        <v>3599</v>
      </c>
      <c r="C435" s="159">
        <v>400</v>
      </c>
      <c r="D435" s="114">
        <v>43399</v>
      </c>
      <c r="E435" s="114">
        <v>43402</v>
      </c>
      <c r="F435" s="114"/>
      <c r="G435" s="114"/>
      <c r="H435" s="114">
        <v>43403</v>
      </c>
      <c r="I435" s="114">
        <v>43403</v>
      </c>
      <c r="J435" s="114">
        <v>43423</v>
      </c>
      <c r="K435" s="76"/>
      <c r="L435" s="114">
        <v>43427</v>
      </c>
      <c r="M435" s="114">
        <v>43416</v>
      </c>
      <c r="N435" s="114" t="s">
        <v>3598</v>
      </c>
      <c r="O435" s="114">
        <v>43538</v>
      </c>
      <c r="P435" s="114">
        <v>43538</v>
      </c>
      <c r="Q435" s="114">
        <v>43564</v>
      </c>
      <c r="R435" s="80"/>
      <c r="S435" s="114"/>
      <c r="T435" s="75"/>
      <c r="U435" s="75"/>
      <c r="V435" s="75"/>
      <c r="W435" s="75">
        <v>3</v>
      </c>
      <c r="X435" s="75">
        <v>78940</v>
      </c>
      <c r="Y435" s="75" t="str">
        <f ca="1">IF(I435="",IF(D435="","",IF(W435+X435&lt;15,"Données Nb pers ou RFR manquantes",IF(COUNTA(INDIRECT("TabRFR["&amp;YEAR(D435)&amp;"]"))&lt;&gt;COUNTA(TabRFR[Recherche RFR]),"Data RFR manquantes", IF(X435&lt;=INDEX(TabRFR[[2021]:[2025]],MATCH(BD!W435&amp;"-Très modestes",TabRFR[Recherche RFR],0),MATCH(TEXT(YEAR(BD!D435),"Standard"),TabRFR[[#Headers],[2021]:[2025]],0)),"Très Modeste",IF(X435&lt;=INDEX(TabRFR[[2021]:[2025]],MATCH(BD!W435&amp;"-modestes",TabRFR[Recherche RFR],0),MATCH(TEXT(YEAR(BD!D435),"Standard"),TabRFR[[#Headers],[2021]:[2025]],0)),"Modeste",IF(X435&lt;=INDEX(TabRFR[[2021]:[2025]],MATCH(BD!W435&amp;"-Intermédiaire",TabRFR[Recherche RFR],0),MATCH(TEXT(YEAR(BD!D435),"Standard"),TabRFR[[#Headers],[2021]:[2025]],0)),"Intermédiaire","Supérieur")))))),IF(D435="","",IF(W435+X435&lt;15,"Données Nb pers ou RFR manquantes",IF(COUNTA(INDIRECT("TabRFR["&amp;YEAR(I435)&amp;"]"))&lt;&gt;COUNTA(TabRFR[Recherche RFR]),"Data RFR manquantes", IF(X435&lt;=INDEX(TabRFR[[2021]:[2025]],MATCH(BD!W435&amp;"-Très modestes",TabRFR[Recherche RFR],0),MATCH(TEXT(YEAR(BD!I435),"Standard"),TabRFR[[#Headers],[2021]:[2025]],0)),"Très Modeste",IF(X435&lt;=INDEX(TabRFR[[2021]:[2025]],MATCH(BD!W435&amp;"-modestes",TabRFR[Recherche RFR],0),MATCH(TEXT(YEAR(BD!I435),"Standard"),TabRFR[[#Headers],[2021]:[2025]],0)),"Modeste",IF(X435&lt;=INDEX(TabRFR[[2021]:[2025]],MATCH(BD!W435&amp;"-Intermédiaire",TabRFR[Recherche RFR],0),MATCH(TEXT(YEAR(BD!I435),"Standard"),TabRFR[[#Headers],[2021]:[2025]],0)),"Intermédiaire","Supérieur")))))))</f>
        <v>Data RFR manquantes</v>
      </c>
      <c r="Z435" s="75"/>
      <c r="AA435" s="75" t="s">
        <v>3597</v>
      </c>
      <c r="AB435" s="75">
        <v>38850</v>
      </c>
      <c r="AC435" s="75" t="s">
        <v>438</v>
      </c>
      <c r="AD435" s="101"/>
      <c r="AE435" s="102"/>
      <c r="AF435" s="75" t="s">
        <v>95</v>
      </c>
      <c r="AG435" s="75"/>
      <c r="AH435" s="75">
        <v>43298</v>
      </c>
      <c r="AI435" s="75"/>
      <c r="AJ435" s="75"/>
      <c r="AK435" s="75"/>
      <c r="AL435" s="75"/>
      <c r="AM435" s="77" t="s">
        <v>4198</v>
      </c>
      <c r="AN435" s="75" t="s">
        <v>521</v>
      </c>
      <c r="AO435" s="75" t="s">
        <v>3574</v>
      </c>
      <c r="AP435" s="75" t="s">
        <v>97</v>
      </c>
      <c r="AQ435" s="75"/>
      <c r="AR435" s="74">
        <v>43418</v>
      </c>
      <c r="AS435" s="102" t="s">
        <v>523</v>
      </c>
      <c r="AT435" s="101" t="s">
        <v>3573</v>
      </c>
      <c r="AU435" s="75" t="s">
        <v>111</v>
      </c>
      <c r="AV435" s="75">
        <v>1996</v>
      </c>
      <c r="AW435" s="75" t="s">
        <v>100</v>
      </c>
      <c r="AX435" s="75" t="s">
        <v>2071</v>
      </c>
      <c r="AY435" s="75" t="s">
        <v>419</v>
      </c>
      <c r="AZ435" s="75" t="s">
        <v>3596</v>
      </c>
      <c r="BA435" s="75">
        <v>20</v>
      </c>
      <c r="BB435" s="75">
        <v>8.3000000000000007</v>
      </c>
      <c r="BC435" s="75">
        <v>87</v>
      </c>
      <c r="BD435" s="75">
        <v>1.7999999999999999E-2</v>
      </c>
      <c r="BE435" s="75" t="s">
        <v>374</v>
      </c>
      <c r="BF435" s="75"/>
      <c r="BG435" s="75">
        <v>4745</v>
      </c>
      <c r="BH435" s="77"/>
      <c r="BI435" s="77"/>
      <c r="BJ435" s="77"/>
      <c r="BK435" s="75">
        <v>370</v>
      </c>
      <c r="BL435" s="75">
        <f t="shared" si="18"/>
        <v>5115</v>
      </c>
      <c r="BM435" s="103">
        <f t="shared" si="19"/>
        <v>281.32499999999999</v>
      </c>
      <c r="BN435" s="103">
        <f t="shared" si="20"/>
        <v>5396.3249999999998</v>
      </c>
      <c r="BO435" s="103">
        <v>5396</v>
      </c>
      <c r="BP435" s="75" t="s">
        <v>97</v>
      </c>
      <c r="BQ435" s="75"/>
      <c r="BR435" s="75"/>
      <c r="BS435" s="157">
        <v>2019</v>
      </c>
      <c r="BU435">
        <v>2019</v>
      </c>
    </row>
    <row r="436" spans="1:73" ht="43.15" customHeight="1" x14ac:dyDescent="0.25">
      <c r="A436" s="242" t="s">
        <v>90</v>
      </c>
      <c r="B436" s="242" t="s">
        <v>3595</v>
      </c>
      <c r="C436" s="159">
        <v>800</v>
      </c>
      <c r="D436" s="114">
        <v>43402</v>
      </c>
      <c r="E436" s="114">
        <v>43402</v>
      </c>
      <c r="F436" s="114"/>
      <c r="G436" s="114"/>
      <c r="H436" s="114">
        <v>43403</v>
      </c>
      <c r="I436" s="114">
        <v>43403</v>
      </c>
      <c r="J436" s="114">
        <v>43437</v>
      </c>
      <c r="K436" s="76"/>
      <c r="L436" s="114">
        <v>43517</v>
      </c>
      <c r="M436" s="114">
        <v>43437</v>
      </c>
      <c r="N436" s="114"/>
      <c r="O436" s="114">
        <v>43550</v>
      </c>
      <c r="P436" s="114">
        <v>43550</v>
      </c>
      <c r="Q436" s="114">
        <v>43612</v>
      </c>
      <c r="R436" s="81"/>
      <c r="S436" s="114"/>
      <c r="T436" s="75"/>
      <c r="U436" s="75"/>
      <c r="V436" s="75"/>
      <c r="W436" s="75">
        <v>2</v>
      </c>
      <c r="X436" s="75">
        <v>24000</v>
      </c>
      <c r="Y436" s="75" t="str">
        <f ca="1">IF(I436="",IF(D436="","",IF(W436+X436&lt;15,"Données Nb pers ou RFR manquantes",IF(COUNTA(INDIRECT("TabRFR["&amp;YEAR(D436)&amp;"]"))&lt;&gt;COUNTA(TabRFR[Recherche RFR]),"Data RFR manquantes", IF(X436&lt;=INDEX(TabRFR[[2021]:[2025]],MATCH(BD!W436&amp;"-Très modestes",TabRFR[Recherche RFR],0),MATCH(TEXT(YEAR(BD!D436),"Standard"),TabRFR[[#Headers],[2021]:[2025]],0)),"Très Modeste",IF(X436&lt;=INDEX(TabRFR[[2021]:[2025]],MATCH(BD!W436&amp;"-modestes",TabRFR[Recherche RFR],0),MATCH(TEXT(YEAR(BD!D436),"Standard"),TabRFR[[#Headers],[2021]:[2025]],0)),"Modeste",IF(X436&lt;=INDEX(TabRFR[[2021]:[2025]],MATCH(BD!W436&amp;"-Intermédiaire",TabRFR[Recherche RFR],0),MATCH(TEXT(YEAR(BD!D436),"Standard"),TabRFR[[#Headers],[2021]:[2025]],0)),"Intermédiaire","Supérieur")))))),IF(D436="","",IF(W436+X436&lt;15,"Données Nb pers ou RFR manquantes",IF(COUNTA(INDIRECT("TabRFR["&amp;YEAR(I436)&amp;"]"))&lt;&gt;COUNTA(TabRFR[Recherche RFR]),"Data RFR manquantes", IF(X436&lt;=INDEX(TabRFR[[2021]:[2025]],MATCH(BD!W436&amp;"-Très modestes",TabRFR[Recherche RFR],0),MATCH(TEXT(YEAR(BD!I436),"Standard"),TabRFR[[#Headers],[2021]:[2025]],0)),"Très Modeste",IF(X436&lt;=INDEX(TabRFR[[2021]:[2025]],MATCH(BD!W436&amp;"-modestes",TabRFR[Recherche RFR],0),MATCH(TEXT(YEAR(BD!I436),"Standard"),TabRFR[[#Headers],[2021]:[2025]],0)),"Modeste",IF(X436&lt;=INDEX(TabRFR[[2021]:[2025]],MATCH(BD!W436&amp;"-Intermédiaire",TabRFR[Recherche RFR],0),MATCH(TEXT(YEAR(BD!I436),"Standard"),TabRFR[[#Headers],[2021]:[2025]],0)),"Intermédiaire","Supérieur")))))))</f>
        <v>Data RFR manquantes</v>
      </c>
      <c r="Z436" s="75"/>
      <c r="AA436" s="75" t="s">
        <v>3594</v>
      </c>
      <c r="AB436" s="75">
        <v>38500</v>
      </c>
      <c r="AC436" s="75" t="s">
        <v>96</v>
      </c>
      <c r="AD436" s="101"/>
      <c r="AE436" s="102"/>
      <c r="AF436" s="75" t="s">
        <v>95</v>
      </c>
      <c r="AG436" s="75"/>
      <c r="AH436" s="75"/>
      <c r="AI436" s="75"/>
      <c r="AJ436" s="75"/>
      <c r="AK436" s="75"/>
      <c r="AL436" s="75"/>
      <c r="AM436" s="75" t="s">
        <v>4348</v>
      </c>
      <c r="AN436" s="75" t="s">
        <v>96</v>
      </c>
      <c r="AO436" s="75" t="s">
        <v>3313</v>
      </c>
      <c r="AP436" s="75" t="s">
        <v>97</v>
      </c>
      <c r="AQ436" s="75"/>
      <c r="AR436" s="75">
        <v>43698</v>
      </c>
      <c r="AS436" s="102" t="s">
        <v>98</v>
      </c>
      <c r="AT436" s="101" t="s">
        <v>802</v>
      </c>
      <c r="AU436" s="75" t="s">
        <v>111</v>
      </c>
      <c r="AV436" s="75">
        <v>2000</v>
      </c>
      <c r="AW436" s="75" t="s">
        <v>100</v>
      </c>
      <c r="AX436" s="75" t="s">
        <v>112</v>
      </c>
      <c r="AY436" s="75" t="s">
        <v>499</v>
      </c>
      <c r="AZ436" s="75" t="s">
        <v>1154</v>
      </c>
      <c r="BA436" s="75">
        <v>7</v>
      </c>
      <c r="BB436" s="75">
        <v>8</v>
      </c>
      <c r="BC436" s="75">
        <v>78</v>
      </c>
      <c r="BD436" s="75">
        <v>0.06</v>
      </c>
      <c r="BE436" s="75" t="s">
        <v>97</v>
      </c>
      <c r="BF436" s="75"/>
      <c r="BG436" s="75">
        <v>3780</v>
      </c>
      <c r="BH436" s="77"/>
      <c r="BI436" s="77"/>
      <c r="BJ436" s="77"/>
      <c r="BK436" s="75">
        <v>950</v>
      </c>
      <c r="BL436" s="75">
        <f t="shared" si="18"/>
        <v>4730</v>
      </c>
      <c r="BM436" s="103">
        <f t="shared" si="19"/>
        <v>260.14999999999998</v>
      </c>
      <c r="BN436" s="103">
        <f t="shared" si="20"/>
        <v>4990.1499999999996</v>
      </c>
      <c r="BO436" s="103">
        <v>4265</v>
      </c>
      <c r="BP436" s="75" t="s">
        <v>97</v>
      </c>
      <c r="BQ436" s="75">
        <v>43420</v>
      </c>
      <c r="BR436" s="75"/>
      <c r="BS436" s="157">
        <v>2019</v>
      </c>
      <c r="BT436">
        <v>2020</v>
      </c>
      <c r="BU436">
        <v>2019</v>
      </c>
    </row>
    <row r="437" spans="1:73" ht="43.15" customHeight="1" x14ac:dyDescent="0.25">
      <c r="A437" s="31" t="s">
        <v>90</v>
      </c>
      <c r="B437" s="31" t="s">
        <v>3593</v>
      </c>
      <c r="C437" s="163">
        <v>800</v>
      </c>
      <c r="D437" s="76">
        <v>43399</v>
      </c>
      <c r="E437" s="76"/>
      <c r="F437" s="76"/>
      <c r="G437" s="76"/>
      <c r="H437" s="76">
        <v>43403</v>
      </c>
      <c r="I437" s="76">
        <v>43403</v>
      </c>
      <c r="J437" s="76">
        <v>43437</v>
      </c>
      <c r="K437" s="218"/>
      <c r="L437" s="76" t="s">
        <v>3744</v>
      </c>
      <c r="M437" s="76"/>
      <c r="N437" s="76"/>
      <c r="O437" s="76"/>
      <c r="P437" s="76"/>
      <c r="Q437" s="76"/>
      <c r="R437" s="82"/>
      <c r="S437" s="76">
        <v>44174</v>
      </c>
      <c r="T437" s="77" t="s">
        <v>4335</v>
      </c>
      <c r="U437" s="77"/>
      <c r="V437" s="77"/>
      <c r="W437" s="77">
        <v>1</v>
      </c>
      <c r="X437" s="77">
        <v>11903</v>
      </c>
      <c r="Y437" s="75" t="str">
        <f ca="1">IF(I437="",IF(D437="","",IF(W437+X437&lt;15,"Données Nb pers ou RFR manquantes",IF(COUNTA(INDIRECT("TabRFR["&amp;YEAR(D437)&amp;"]"))&lt;&gt;COUNTA(TabRFR[Recherche RFR]),"Data RFR manquantes", IF(X437&lt;=INDEX(TabRFR[[2021]:[2025]],MATCH(BD!W437&amp;"-Très modestes",TabRFR[Recherche RFR],0),MATCH(TEXT(YEAR(BD!D437),"Standard"),TabRFR[[#Headers],[2021]:[2025]],0)),"Très Modeste",IF(X437&lt;=INDEX(TabRFR[[2021]:[2025]],MATCH(BD!W437&amp;"-modestes",TabRFR[Recherche RFR],0),MATCH(TEXT(YEAR(BD!D437),"Standard"),TabRFR[[#Headers],[2021]:[2025]],0)),"Modeste",IF(X437&lt;=INDEX(TabRFR[[2021]:[2025]],MATCH(BD!W437&amp;"-Intermédiaire",TabRFR[Recherche RFR],0),MATCH(TEXT(YEAR(BD!D437),"Standard"),TabRFR[[#Headers],[2021]:[2025]],0)),"Intermédiaire","Supérieur")))))),IF(D437="","",IF(W437+X437&lt;15,"Données Nb pers ou RFR manquantes",IF(COUNTA(INDIRECT("TabRFR["&amp;YEAR(I437)&amp;"]"))&lt;&gt;COUNTA(TabRFR[Recherche RFR]),"Data RFR manquantes", IF(X437&lt;=INDEX(TabRFR[[2021]:[2025]],MATCH(BD!W437&amp;"-Très modestes",TabRFR[Recherche RFR],0),MATCH(TEXT(YEAR(BD!I437),"Standard"),TabRFR[[#Headers],[2021]:[2025]],0)),"Très Modeste",IF(X437&lt;=INDEX(TabRFR[[2021]:[2025]],MATCH(BD!W437&amp;"-modestes",TabRFR[Recherche RFR],0),MATCH(TEXT(YEAR(BD!I437),"Standard"),TabRFR[[#Headers],[2021]:[2025]],0)),"Modeste",IF(X437&lt;=INDEX(TabRFR[[2021]:[2025]],MATCH(BD!W437&amp;"-Intermédiaire",TabRFR[Recherche RFR],0),MATCH(TEXT(YEAR(BD!I437),"Standard"),TabRFR[[#Headers],[2021]:[2025]],0)),"Intermédiaire","Supérieur")))))))</f>
        <v>Data RFR manquantes</v>
      </c>
      <c r="Z437" s="77"/>
      <c r="AA437" s="77" t="s">
        <v>236</v>
      </c>
      <c r="AB437" s="77">
        <v>38140</v>
      </c>
      <c r="AC437" s="77" t="s">
        <v>3592</v>
      </c>
      <c r="AD437" s="78"/>
      <c r="AE437" s="102"/>
      <c r="AF437" s="77" t="s">
        <v>95</v>
      </c>
      <c r="AG437" s="77"/>
      <c r="AH437" s="77"/>
      <c r="AI437" s="77"/>
      <c r="AJ437" s="77"/>
      <c r="AK437" s="77"/>
      <c r="AL437" s="77"/>
      <c r="AM437" s="77" t="s">
        <v>4356</v>
      </c>
      <c r="AN437" s="77" t="s">
        <v>96</v>
      </c>
      <c r="AO437" s="77" t="s">
        <v>3477</v>
      </c>
      <c r="AP437" s="77" t="s">
        <v>97</v>
      </c>
      <c r="AQ437" s="77"/>
      <c r="AR437" s="79">
        <v>43772</v>
      </c>
      <c r="AS437" s="102" t="s">
        <v>120</v>
      </c>
      <c r="AT437" s="78" t="s">
        <v>658</v>
      </c>
      <c r="AU437" s="77" t="s">
        <v>172</v>
      </c>
      <c r="AV437" s="77" t="s">
        <v>9</v>
      </c>
      <c r="AW437" s="77" t="s">
        <v>100</v>
      </c>
      <c r="AX437" s="75" t="s">
        <v>2071</v>
      </c>
      <c r="AY437" s="77" t="s">
        <v>102</v>
      </c>
      <c r="AZ437" s="77" t="s">
        <v>3591</v>
      </c>
      <c r="BA437" s="77">
        <v>28</v>
      </c>
      <c r="BB437" s="77">
        <v>8</v>
      </c>
      <c r="BC437" s="77">
        <v>88</v>
      </c>
      <c r="BD437" s="77">
        <v>0.02</v>
      </c>
      <c r="BE437" s="77" t="s">
        <v>97</v>
      </c>
      <c r="BF437" s="77"/>
      <c r="BG437" s="77">
        <v>3300</v>
      </c>
      <c r="BH437" s="77"/>
      <c r="BI437" s="77"/>
      <c r="BJ437" s="77"/>
      <c r="BK437" s="77">
        <v>420</v>
      </c>
      <c r="BL437" s="75">
        <f t="shared" si="18"/>
        <v>3720</v>
      </c>
      <c r="BM437" s="103">
        <f t="shared" si="19"/>
        <v>204.6</v>
      </c>
      <c r="BN437" s="103">
        <f t="shared" si="20"/>
        <v>3924.6</v>
      </c>
      <c r="BO437" s="80"/>
      <c r="BP437" s="77"/>
      <c r="BQ437" s="77"/>
      <c r="BR437" s="77"/>
      <c r="BS437" s="157">
        <v>2019</v>
      </c>
      <c r="BU437" t="s">
        <v>4180</v>
      </c>
    </row>
    <row r="438" spans="1:73" ht="43.15" customHeight="1" x14ac:dyDescent="0.25">
      <c r="A438" s="242" t="s">
        <v>90</v>
      </c>
      <c r="B438" s="242" t="s">
        <v>3590</v>
      </c>
      <c r="C438" s="159">
        <v>400</v>
      </c>
      <c r="D438" s="114">
        <v>43402</v>
      </c>
      <c r="E438" s="114">
        <v>43402</v>
      </c>
      <c r="F438" s="114"/>
      <c r="G438" s="114"/>
      <c r="H438" s="114">
        <v>43403</v>
      </c>
      <c r="I438" s="114">
        <v>43403</v>
      </c>
      <c r="J438" s="114">
        <v>43437</v>
      </c>
      <c r="K438" s="114"/>
      <c r="L438" s="114">
        <v>43453</v>
      </c>
      <c r="M438" s="114">
        <v>43419</v>
      </c>
      <c r="N438" s="114"/>
      <c r="O438" s="114">
        <v>43497</v>
      </c>
      <c r="P438" s="114">
        <v>43497</v>
      </c>
      <c r="Q438" s="114">
        <v>43500</v>
      </c>
      <c r="R438" s="80"/>
      <c r="S438" s="114"/>
      <c r="T438" s="75"/>
      <c r="U438" s="75"/>
      <c r="V438" s="75"/>
      <c r="W438" s="75">
        <v>4</v>
      </c>
      <c r="X438" s="75">
        <v>158353</v>
      </c>
      <c r="Y438" s="75" t="str">
        <f ca="1">IF(I438="",IF(D438="","",IF(W438+X438&lt;15,"Données Nb pers ou RFR manquantes",IF(COUNTA(INDIRECT("TabRFR["&amp;YEAR(D438)&amp;"]"))&lt;&gt;COUNTA(TabRFR[Recherche RFR]),"Data RFR manquantes", IF(X438&lt;=INDEX(TabRFR[[2021]:[2025]],MATCH(BD!W438&amp;"-Très modestes",TabRFR[Recherche RFR],0),MATCH(TEXT(YEAR(BD!D438),"Standard"),TabRFR[[#Headers],[2021]:[2025]],0)),"Très Modeste",IF(X438&lt;=INDEX(TabRFR[[2021]:[2025]],MATCH(BD!W438&amp;"-modestes",TabRFR[Recherche RFR],0),MATCH(TEXT(YEAR(BD!D438),"Standard"),TabRFR[[#Headers],[2021]:[2025]],0)),"Modeste",IF(X438&lt;=INDEX(TabRFR[[2021]:[2025]],MATCH(BD!W438&amp;"-Intermédiaire",TabRFR[Recherche RFR],0),MATCH(TEXT(YEAR(BD!D438),"Standard"),TabRFR[[#Headers],[2021]:[2025]],0)),"Intermédiaire","Supérieur")))))),IF(D438="","",IF(W438+X438&lt;15,"Données Nb pers ou RFR manquantes",IF(COUNTA(INDIRECT("TabRFR["&amp;YEAR(I438)&amp;"]"))&lt;&gt;COUNTA(TabRFR[Recherche RFR]),"Data RFR manquantes", IF(X438&lt;=INDEX(TabRFR[[2021]:[2025]],MATCH(BD!W438&amp;"-Très modestes",TabRFR[Recherche RFR],0),MATCH(TEXT(YEAR(BD!I438),"Standard"),TabRFR[[#Headers],[2021]:[2025]],0)),"Très Modeste",IF(X438&lt;=INDEX(TabRFR[[2021]:[2025]],MATCH(BD!W438&amp;"-modestes",TabRFR[Recherche RFR],0),MATCH(TEXT(YEAR(BD!I438),"Standard"),TabRFR[[#Headers],[2021]:[2025]],0)),"Modeste",IF(X438&lt;=INDEX(TabRFR[[2021]:[2025]],MATCH(BD!W438&amp;"-Intermédiaire",TabRFR[Recherche RFR],0),MATCH(TEXT(YEAR(BD!I438),"Standard"),TabRFR[[#Headers],[2021]:[2025]],0)),"Intermédiaire","Supérieur")))))))</f>
        <v>Data RFR manquantes</v>
      </c>
      <c r="Z438" s="75"/>
      <c r="AA438" s="75" t="s">
        <v>1111</v>
      </c>
      <c r="AB438" s="75">
        <v>38210</v>
      </c>
      <c r="AC438" s="75" t="s">
        <v>195</v>
      </c>
      <c r="AD438" s="73"/>
      <c r="AE438" s="102"/>
      <c r="AF438" s="75" t="s">
        <v>95</v>
      </c>
      <c r="AG438" s="75"/>
      <c r="AH438" s="130">
        <v>37196</v>
      </c>
      <c r="AI438" s="75"/>
      <c r="AJ438" s="75"/>
      <c r="AK438" s="75"/>
      <c r="AL438" s="75"/>
      <c r="AM438" s="75" t="s">
        <v>1886</v>
      </c>
      <c r="AN438" s="75" t="s">
        <v>195</v>
      </c>
      <c r="AO438" s="75" t="s">
        <v>9</v>
      </c>
      <c r="AP438" s="75" t="s">
        <v>97</v>
      </c>
      <c r="AQ438" s="75"/>
      <c r="AR438" s="131">
        <v>43674</v>
      </c>
      <c r="AS438" s="102" t="s">
        <v>516</v>
      </c>
      <c r="AT438" s="73" t="s">
        <v>776</v>
      </c>
      <c r="AU438" s="75" t="s">
        <v>430</v>
      </c>
      <c r="AV438" s="75">
        <v>2001</v>
      </c>
      <c r="AW438" s="75" t="s">
        <v>100</v>
      </c>
      <c r="AX438" s="75" t="s">
        <v>2071</v>
      </c>
      <c r="AY438" s="75" t="s">
        <v>440</v>
      </c>
      <c r="AZ438" s="75" t="s">
        <v>3589</v>
      </c>
      <c r="BA438" s="75">
        <v>39</v>
      </c>
      <c r="BB438" s="75">
        <v>16</v>
      </c>
      <c r="BC438" s="75">
        <v>86</v>
      </c>
      <c r="BD438" s="75">
        <v>0.06</v>
      </c>
      <c r="BE438" s="75" t="s">
        <v>97</v>
      </c>
      <c r="BF438" s="75"/>
      <c r="BG438" s="75">
        <v>6327</v>
      </c>
      <c r="BH438" s="75"/>
      <c r="BI438" s="75"/>
      <c r="BJ438" s="75"/>
      <c r="BK438" s="75">
        <v>640</v>
      </c>
      <c r="BL438" s="75">
        <f t="shared" si="18"/>
        <v>6967</v>
      </c>
      <c r="BM438" s="103">
        <f t="shared" si="19"/>
        <v>383.185</v>
      </c>
      <c r="BN438" s="103">
        <f t="shared" si="20"/>
        <v>7350.1850000000004</v>
      </c>
      <c r="BO438" s="103">
        <v>6674</v>
      </c>
      <c r="BP438" s="75" t="s">
        <v>97</v>
      </c>
      <c r="BQ438" s="75"/>
      <c r="BR438" s="75"/>
      <c r="BS438" s="157">
        <v>2019</v>
      </c>
      <c r="BU438">
        <v>2019</v>
      </c>
    </row>
    <row r="439" spans="1:73" ht="43.15" customHeight="1" x14ac:dyDescent="0.25">
      <c r="A439" s="242" t="s">
        <v>90</v>
      </c>
      <c r="B439" s="242" t="s">
        <v>3588</v>
      </c>
      <c r="C439" s="159">
        <v>800</v>
      </c>
      <c r="D439" s="114">
        <v>43402</v>
      </c>
      <c r="E439" s="114">
        <v>43402</v>
      </c>
      <c r="F439" s="114">
        <v>43403</v>
      </c>
      <c r="G439" s="114" t="s">
        <v>3587</v>
      </c>
      <c r="H439" s="114">
        <v>43427</v>
      </c>
      <c r="I439" s="114">
        <v>43427</v>
      </c>
      <c r="J439" s="114">
        <v>43437</v>
      </c>
      <c r="K439" s="114"/>
      <c r="L439" s="114">
        <v>43515</v>
      </c>
      <c r="M439" s="114">
        <v>43819</v>
      </c>
      <c r="N439" s="114"/>
      <c r="O439" s="114">
        <v>43532</v>
      </c>
      <c r="P439" s="114">
        <v>43532</v>
      </c>
      <c r="Q439" s="114">
        <v>43532</v>
      </c>
      <c r="R439" s="100"/>
      <c r="S439" s="114"/>
      <c r="T439" s="75"/>
      <c r="U439" s="75"/>
      <c r="V439" s="75"/>
      <c r="W439" s="75">
        <v>1</v>
      </c>
      <c r="X439" s="75">
        <v>10655</v>
      </c>
      <c r="Y439" s="75" t="str">
        <f ca="1">IF(I439="",IF(D439="","",IF(W439+X439&lt;15,"Données Nb pers ou RFR manquantes",IF(COUNTA(INDIRECT("TabRFR["&amp;YEAR(D439)&amp;"]"))&lt;&gt;COUNTA(TabRFR[Recherche RFR]),"Data RFR manquantes", IF(X439&lt;=INDEX(TabRFR[[2021]:[2025]],MATCH(BD!W439&amp;"-Très modestes",TabRFR[Recherche RFR],0),MATCH(TEXT(YEAR(BD!D439),"Standard"),TabRFR[[#Headers],[2021]:[2025]],0)),"Très Modeste",IF(X439&lt;=INDEX(TabRFR[[2021]:[2025]],MATCH(BD!W439&amp;"-modestes",TabRFR[Recherche RFR],0),MATCH(TEXT(YEAR(BD!D439),"Standard"),TabRFR[[#Headers],[2021]:[2025]],0)),"Modeste",IF(X439&lt;=INDEX(TabRFR[[2021]:[2025]],MATCH(BD!W439&amp;"-Intermédiaire",TabRFR[Recherche RFR],0),MATCH(TEXT(YEAR(BD!D439),"Standard"),TabRFR[[#Headers],[2021]:[2025]],0)),"Intermédiaire","Supérieur")))))),IF(D439="","",IF(W439+X439&lt;15,"Données Nb pers ou RFR manquantes",IF(COUNTA(INDIRECT("TabRFR["&amp;YEAR(I439)&amp;"]"))&lt;&gt;COUNTA(TabRFR[Recherche RFR]),"Data RFR manquantes", IF(X439&lt;=INDEX(TabRFR[[2021]:[2025]],MATCH(BD!W439&amp;"-Très modestes",TabRFR[Recherche RFR],0),MATCH(TEXT(YEAR(BD!I439),"Standard"),TabRFR[[#Headers],[2021]:[2025]],0)),"Très Modeste",IF(X439&lt;=INDEX(TabRFR[[2021]:[2025]],MATCH(BD!W439&amp;"-modestes",TabRFR[Recherche RFR],0),MATCH(TEXT(YEAR(BD!I439),"Standard"),TabRFR[[#Headers],[2021]:[2025]],0)),"Modeste",IF(X439&lt;=INDEX(TabRFR[[2021]:[2025]],MATCH(BD!W439&amp;"-Intermédiaire",TabRFR[Recherche RFR],0),MATCH(TEXT(YEAR(BD!I439),"Standard"),TabRFR[[#Headers],[2021]:[2025]],0)),"Intermédiaire","Supérieur")))))))</f>
        <v>Data RFR manquantes</v>
      </c>
      <c r="Z439" s="75"/>
      <c r="AA439" s="75" t="s">
        <v>3586</v>
      </c>
      <c r="AB439" s="75">
        <v>38330</v>
      </c>
      <c r="AC439" s="75" t="s">
        <v>3585</v>
      </c>
      <c r="AD439" s="73"/>
      <c r="AE439" s="102"/>
      <c r="AF439" s="75" t="s">
        <v>125</v>
      </c>
      <c r="AG439" s="75"/>
      <c r="AH439" s="75">
        <v>1992</v>
      </c>
      <c r="AI439" s="75">
        <v>15</v>
      </c>
      <c r="AJ439" s="75" t="s">
        <v>3584</v>
      </c>
      <c r="AK439" s="75">
        <v>38210</v>
      </c>
      <c r="AL439" s="75" t="s">
        <v>195</v>
      </c>
      <c r="AM439" s="75" t="s">
        <v>4368</v>
      </c>
      <c r="AN439" s="75" t="s">
        <v>917</v>
      </c>
      <c r="AO439" s="75" t="s">
        <v>9</v>
      </c>
      <c r="AP439" s="75" t="s">
        <v>97</v>
      </c>
      <c r="AQ439" s="75"/>
      <c r="AR439" s="131">
        <v>43646</v>
      </c>
      <c r="AS439" s="102" t="s">
        <v>918</v>
      </c>
      <c r="AT439" s="73">
        <v>476333850</v>
      </c>
      <c r="AU439" s="75" t="s">
        <v>430</v>
      </c>
      <c r="AV439" s="75">
        <v>1992</v>
      </c>
      <c r="AW439" s="75" t="s">
        <v>100</v>
      </c>
      <c r="AX439" s="75" t="s">
        <v>2071</v>
      </c>
      <c r="AY439" s="75" t="s">
        <v>174</v>
      </c>
      <c r="AZ439" s="75" t="s">
        <v>2392</v>
      </c>
      <c r="BA439" s="75">
        <v>19</v>
      </c>
      <c r="BB439" s="75">
        <v>7</v>
      </c>
      <c r="BC439" s="75">
        <v>90.7</v>
      </c>
      <c r="BD439" s="75">
        <v>0.01</v>
      </c>
      <c r="BE439" s="75" t="s">
        <v>97</v>
      </c>
      <c r="BF439" s="75"/>
      <c r="BG439" s="75">
        <v>2520</v>
      </c>
      <c r="BH439" s="75"/>
      <c r="BI439" s="75"/>
      <c r="BJ439" s="75"/>
      <c r="BK439" s="75">
        <v>514</v>
      </c>
      <c r="BL439" s="75">
        <f t="shared" si="18"/>
        <v>3034</v>
      </c>
      <c r="BM439" s="103">
        <f t="shared" si="19"/>
        <v>166.87</v>
      </c>
      <c r="BN439" s="103">
        <f t="shared" si="20"/>
        <v>3200.87</v>
      </c>
      <c r="BO439" s="103">
        <v>3219</v>
      </c>
      <c r="BP439" s="75" t="s">
        <v>97</v>
      </c>
      <c r="BQ439" s="75"/>
      <c r="BR439" s="75"/>
      <c r="BS439" s="157">
        <v>2019</v>
      </c>
      <c r="BU439">
        <v>2019</v>
      </c>
    </row>
    <row r="440" spans="1:73" ht="43.15" customHeight="1" x14ac:dyDescent="0.25">
      <c r="A440" s="242" t="s">
        <v>749</v>
      </c>
      <c r="B440" s="242" t="s">
        <v>3583</v>
      </c>
      <c r="C440" s="159">
        <v>800</v>
      </c>
      <c r="D440" s="114">
        <v>43403</v>
      </c>
      <c r="E440" s="114">
        <v>43412</v>
      </c>
      <c r="F440" s="114"/>
      <c r="G440" s="114"/>
      <c r="H440" s="114">
        <v>43412</v>
      </c>
      <c r="I440" s="114">
        <v>43412</v>
      </c>
      <c r="J440" s="114">
        <v>43426</v>
      </c>
      <c r="K440" s="76"/>
      <c r="L440" s="114">
        <v>43563</v>
      </c>
      <c r="M440" s="114">
        <v>43819</v>
      </c>
      <c r="N440" s="114"/>
      <c r="O440" s="114">
        <v>43565</v>
      </c>
      <c r="P440" s="114">
        <v>43565</v>
      </c>
      <c r="Q440" s="114">
        <v>43574</v>
      </c>
      <c r="R440" s="81"/>
      <c r="S440" s="114"/>
      <c r="T440" s="75"/>
      <c r="U440" s="75"/>
      <c r="V440" s="75"/>
      <c r="W440" s="75">
        <v>1</v>
      </c>
      <c r="X440" s="75">
        <v>17693</v>
      </c>
      <c r="Y440" s="75" t="str">
        <f ca="1">IF(I440="",IF(D440="","",IF(W440+X440&lt;15,"Données Nb pers ou RFR manquantes",IF(COUNTA(INDIRECT("TabRFR["&amp;YEAR(D440)&amp;"]"))&lt;&gt;COUNTA(TabRFR[Recherche RFR]),"Data RFR manquantes", IF(X440&lt;=INDEX(TabRFR[[2021]:[2025]],MATCH(BD!W440&amp;"-Très modestes",TabRFR[Recherche RFR],0),MATCH(TEXT(YEAR(BD!D440),"Standard"),TabRFR[[#Headers],[2021]:[2025]],0)),"Très Modeste",IF(X440&lt;=INDEX(TabRFR[[2021]:[2025]],MATCH(BD!W440&amp;"-modestes",TabRFR[Recherche RFR],0),MATCH(TEXT(YEAR(BD!D440),"Standard"),TabRFR[[#Headers],[2021]:[2025]],0)),"Modeste",IF(X440&lt;=INDEX(TabRFR[[2021]:[2025]],MATCH(BD!W440&amp;"-Intermédiaire",TabRFR[Recherche RFR],0),MATCH(TEXT(YEAR(BD!D440),"Standard"),TabRFR[[#Headers],[2021]:[2025]],0)),"Intermédiaire","Supérieur")))))),IF(D440="","",IF(W440+X440&lt;15,"Données Nb pers ou RFR manquantes",IF(COUNTA(INDIRECT("TabRFR["&amp;YEAR(I440)&amp;"]"))&lt;&gt;COUNTA(TabRFR[Recherche RFR]),"Data RFR manquantes", IF(X440&lt;=INDEX(TabRFR[[2021]:[2025]],MATCH(BD!W440&amp;"-Très modestes",TabRFR[Recherche RFR],0),MATCH(TEXT(YEAR(BD!I440),"Standard"),TabRFR[[#Headers],[2021]:[2025]],0)),"Très Modeste",IF(X440&lt;=INDEX(TabRFR[[2021]:[2025]],MATCH(BD!W440&amp;"-modestes",TabRFR[Recherche RFR],0),MATCH(TEXT(YEAR(BD!I440),"Standard"),TabRFR[[#Headers],[2021]:[2025]],0)),"Modeste",IF(X440&lt;=INDEX(TabRFR[[2021]:[2025]],MATCH(BD!W440&amp;"-Intermédiaire",TabRFR[Recherche RFR],0),MATCH(TEXT(YEAR(BD!I440),"Standard"),TabRFR[[#Headers],[2021]:[2025]],0)),"Intermédiaire","Supérieur")))))))</f>
        <v>Data RFR manquantes</v>
      </c>
      <c r="Z440" s="75"/>
      <c r="AA440" s="75" t="s">
        <v>2087</v>
      </c>
      <c r="AB440" s="75">
        <v>38850</v>
      </c>
      <c r="AC440" s="75" t="s">
        <v>148</v>
      </c>
      <c r="AD440" s="101"/>
      <c r="AE440" s="102"/>
      <c r="AF440" s="75" t="s">
        <v>95</v>
      </c>
      <c r="AG440" s="75"/>
      <c r="AH440" s="75"/>
      <c r="AI440" s="75"/>
      <c r="AJ440" s="75"/>
      <c r="AK440" s="75"/>
      <c r="AL440" s="75"/>
      <c r="AM440" s="75" t="s">
        <v>4356</v>
      </c>
      <c r="AN440" s="75" t="s">
        <v>96</v>
      </c>
      <c r="AO440" s="75" t="s">
        <v>3455</v>
      </c>
      <c r="AP440" s="75" t="s">
        <v>97</v>
      </c>
      <c r="AQ440" s="75"/>
      <c r="AR440" s="75">
        <v>43772</v>
      </c>
      <c r="AS440" s="102" t="s">
        <v>120</v>
      </c>
      <c r="AT440" s="101">
        <v>476071461</v>
      </c>
      <c r="AU440" s="75" t="s">
        <v>100</v>
      </c>
      <c r="AV440" s="75">
        <v>1979</v>
      </c>
      <c r="AW440" s="75" t="s">
        <v>100</v>
      </c>
      <c r="AX440" s="75" t="s">
        <v>112</v>
      </c>
      <c r="AY440" s="75" t="s">
        <v>190</v>
      </c>
      <c r="AZ440" s="75" t="s">
        <v>3582</v>
      </c>
      <c r="BA440" s="75">
        <v>37</v>
      </c>
      <c r="BB440" s="75">
        <v>6</v>
      </c>
      <c r="BC440" s="75">
        <v>80.7</v>
      </c>
      <c r="BD440" s="75">
        <v>0.09</v>
      </c>
      <c r="BE440" s="75" t="s">
        <v>97</v>
      </c>
      <c r="BF440" s="75"/>
      <c r="BG440" s="75">
        <f>4678-420</f>
        <v>4258</v>
      </c>
      <c r="BH440" s="77"/>
      <c r="BI440" s="77"/>
      <c r="BJ440" s="77"/>
      <c r="BK440" s="75">
        <v>420</v>
      </c>
      <c r="BL440" s="75">
        <f t="shared" si="18"/>
        <v>4678</v>
      </c>
      <c r="BM440" s="103">
        <f t="shared" si="19"/>
        <v>257.29000000000002</v>
      </c>
      <c r="BN440" s="103">
        <f t="shared" si="20"/>
        <v>4935.29</v>
      </c>
      <c r="BO440" s="103">
        <v>4887</v>
      </c>
      <c r="BP440" s="75" t="s">
        <v>97</v>
      </c>
      <c r="BQ440" s="75">
        <v>43420</v>
      </c>
      <c r="BR440" s="75"/>
      <c r="BS440" s="157">
        <v>2019</v>
      </c>
      <c r="BT440">
        <v>2020</v>
      </c>
      <c r="BU440">
        <v>2019</v>
      </c>
    </row>
    <row r="441" spans="1:73" ht="43.15" customHeight="1" x14ac:dyDescent="0.25">
      <c r="A441" s="241" t="s">
        <v>749</v>
      </c>
      <c r="B441" s="241" t="s">
        <v>3581</v>
      </c>
      <c r="C441" s="159">
        <v>400</v>
      </c>
      <c r="D441" s="76">
        <v>43401</v>
      </c>
      <c r="E441" s="76">
        <v>43403</v>
      </c>
      <c r="F441" s="76">
        <v>43412</v>
      </c>
      <c r="G441" s="76" t="s">
        <v>3580</v>
      </c>
      <c r="H441" s="76">
        <v>43416</v>
      </c>
      <c r="I441" s="76">
        <v>43418</v>
      </c>
      <c r="J441" s="76">
        <v>43426</v>
      </c>
      <c r="K441" s="218"/>
      <c r="L441" s="76">
        <v>43570</v>
      </c>
      <c r="M441" s="76">
        <v>43452</v>
      </c>
      <c r="N441" s="76"/>
      <c r="O441" s="76">
        <v>43579</v>
      </c>
      <c r="P441" s="76">
        <v>43579</v>
      </c>
      <c r="Q441" s="76">
        <v>43634</v>
      </c>
      <c r="R441" s="80"/>
      <c r="S441" s="76"/>
      <c r="T441" s="77"/>
      <c r="U441" s="77"/>
      <c r="V441" s="77"/>
      <c r="W441" s="77">
        <v>5</v>
      </c>
      <c r="X441" s="77">
        <v>69256</v>
      </c>
      <c r="Y441" s="75" t="str">
        <f ca="1">IF(I441="",IF(D441="","",IF(W441+X441&lt;15,"Données Nb pers ou RFR manquantes",IF(COUNTA(INDIRECT("TabRFR["&amp;YEAR(D441)&amp;"]"))&lt;&gt;COUNTA(TabRFR[Recherche RFR]),"Data RFR manquantes", IF(X441&lt;=INDEX(TabRFR[[2021]:[2025]],MATCH(BD!W441&amp;"-Très modestes",TabRFR[Recherche RFR],0),MATCH(TEXT(YEAR(BD!D441),"Standard"),TabRFR[[#Headers],[2021]:[2025]],0)),"Très Modeste",IF(X441&lt;=INDEX(TabRFR[[2021]:[2025]],MATCH(BD!W441&amp;"-modestes",TabRFR[Recherche RFR],0),MATCH(TEXT(YEAR(BD!D441),"Standard"),TabRFR[[#Headers],[2021]:[2025]],0)),"Modeste",IF(X441&lt;=INDEX(TabRFR[[2021]:[2025]],MATCH(BD!W441&amp;"-Intermédiaire",TabRFR[Recherche RFR],0),MATCH(TEXT(YEAR(BD!D441),"Standard"),TabRFR[[#Headers],[2021]:[2025]],0)),"Intermédiaire","Supérieur")))))),IF(D441="","",IF(W441+X441&lt;15,"Données Nb pers ou RFR manquantes",IF(COUNTA(INDIRECT("TabRFR["&amp;YEAR(I441)&amp;"]"))&lt;&gt;COUNTA(TabRFR[Recherche RFR]),"Data RFR manquantes", IF(X441&lt;=INDEX(TabRFR[[2021]:[2025]],MATCH(BD!W441&amp;"-Très modestes",TabRFR[Recherche RFR],0),MATCH(TEXT(YEAR(BD!I441),"Standard"),TabRFR[[#Headers],[2021]:[2025]],0)),"Très Modeste",IF(X441&lt;=INDEX(TabRFR[[2021]:[2025]],MATCH(BD!W441&amp;"-modestes",TabRFR[Recherche RFR],0),MATCH(TEXT(YEAR(BD!I441),"Standard"),TabRFR[[#Headers],[2021]:[2025]],0)),"Modeste",IF(X441&lt;=INDEX(TabRFR[[2021]:[2025]],MATCH(BD!W441&amp;"-Intermédiaire",TabRFR[Recherche RFR],0),MATCH(TEXT(YEAR(BD!I441),"Standard"),TabRFR[[#Headers],[2021]:[2025]],0)),"Intermédiaire","Supérieur")))))))</f>
        <v>Data RFR manquantes</v>
      </c>
      <c r="Z441" s="77"/>
      <c r="AA441" s="77" t="s">
        <v>3579</v>
      </c>
      <c r="AB441" s="77">
        <v>38210</v>
      </c>
      <c r="AC441" s="77" t="s">
        <v>195</v>
      </c>
      <c r="AD441" s="78"/>
      <c r="AE441" s="102"/>
      <c r="AF441" s="77" t="s">
        <v>95</v>
      </c>
      <c r="AG441" s="77"/>
      <c r="AH441" s="79"/>
      <c r="AI441" s="77"/>
      <c r="AJ441" s="77"/>
      <c r="AK441" s="77"/>
      <c r="AL441" s="77"/>
      <c r="AM441" s="77" t="s">
        <v>4354</v>
      </c>
      <c r="AN441" s="77" t="s">
        <v>3333</v>
      </c>
      <c r="AO441" s="77" t="s">
        <v>3332</v>
      </c>
      <c r="AP441" s="77" t="s">
        <v>97</v>
      </c>
      <c r="AQ441" s="77"/>
      <c r="AR441" s="79">
        <v>43667</v>
      </c>
      <c r="AS441" s="102" t="s">
        <v>2176</v>
      </c>
      <c r="AT441" s="78" t="s">
        <v>3331</v>
      </c>
      <c r="AU441" s="77" t="s">
        <v>430</v>
      </c>
      <c r="AV441" s="77">
        <v>1970</v>
      </c>
      <c r="AW441" s="77" t="s">
        <v>100</v>
      </c>
      <c r="AX441" s="77" t="s">
        <v>112</v>
      </c>
      <c r="AY441" s="77" t="s">
        <v>251</v>
      </c>
      <c r="AZ441" s="77" t="s">
        <v>474</v>
      </c>
      <c r="BA441" s="77">
        <v>7</v>
      </c>
      <c r="BB441" s="77">
        <v>7.5</v>
      </c>
      <c r="BC441" s="77">
        <v>79</v>
      </c>
      <c r="BD441" s="77">
        <v>0.06</v>
      </c>
      <c r="BE441" s="77" t="s">
        <v>97</v>
      </c>
      <c r="BF441" s="77"/>
      <c r="BG441" s="77">
        <v>2458</v>
      </c>
      <c r="BH441" s="77"/>
      <c r="BI441" s="77"/>
      <c r="BJ441" s="77"/>
      <c r="BK441" s="77">
        <v>790</v>
      </c>
      <c r="BL441" s="75">
        <f t="shared" si="18"/>
        <v>3248</v>
      </c>
      <c r="BM441" s="103">
        <f t="shared" si="19"/>
        <v>178.64000000000001</v>
      </c>
      <c r="BN441" s="103">
        <f t="shared" si="20"/>
        <v>3426.64</v>
      </c>
      <c r="BO441" s="80">
        <v>4548</v>
      </c>
      <c r="BP441" s="77" t="s">
        <v>104</v>
      </c>
      <c r="BQ441" s="79">
        <v>43420</v>
      </c>
      <c r="BR441" s="77"/>
      <c r="BS441" s="157">
        <v>2019</v>
      </c>
      <c r="BT441">
        <v>2020</v>
      </c>
      <c r="BU441">
        <v>2019</v>
      </c>
    </row>
    <row r="442" spans="1:73" ht="43.15" customHeight="1" x14ac:dyDescent="0.25">
      <c r="A442" s="242" t="s">
        <v>749</v>
      </c>
      <c r="B442" s="242" t="s">
        <v>3578</v>
      </c>
      <c r="C442" s="159">
        <v>400</v>
      </c>
      <c r="D442" s="114">
        <v>43404</v>
      </c>
      <c r="E442" s="114">
        <v>43404</v>
      </c>
      <c r="F442" s="114"/>
      <c r="G442" s="114"/>
      <c r="H442" s="114">
        <v>43412</v>
      </c>
      <c r="I442" s="114">
        <v>43412</v>
      </c>
      <c r="J442" s="114">
        <v>43426</v>
      </c>
      <c r="K442" s="76"/>
      <c r="L442" s="114">
        <v>43523</v>
      </c>
      <c r="M442" s="114">
        <v>43503</v>
      </c>
      <c r="N442" s="114"/>
      <c r="O442" s="114">
        <v>43537</v>
      </c>
      <c r="P442" s="114">
        <v>43537</v>
      </c>
      <c r="Q442" s="114">
        <v>43564</v>
      </c>
      <c r="R442" s="80"/>
      <c r="S442" s="114"/>
      <c r="T442" s="75"/>
      <c r="U442" s="75"/>
      <c r="V442" s="75"/>
      <c r="W442" s="75">
        <v>2</v>
      </c>
      <c r="X442" s="75">
        <v>39443</v>
      </c>
      <c r="Y442" s="75" t="str">
        <f ca="1">IF(I442="",IF(D442="","",IF(W442+X442&lt;15,"Données Nb pers ou RFR manquantes",IF(COUNTA(INDIRECT("TabRFR["&amp;YEAR(D442)&amp;"]"))&lt;&gt;COUNTA(TabRFR[Recherche RFR]),"Data RFR manquantes", IF(X442&lt;=INDEX(TabRFR[[2021]:[2025]],MATCH(BD!W442&amp;"-Très modestes",TabRFR[Recherche RFR],0),MATCH(TEXT(YEAR(BD!D442),"Standard"),TabRFR[[#Headers],[2021]:[2025]],0)),"Très Modeste",IF(X442&lt;=INDEX(TabRFR[[2021]:[2025]],MATCH(BD!W442&amp;"-modestes",TabRFR[Recherche RFR],0),MATCH(TEXT(YEAR(BD!D442),"Standard"),TabRFR[[#Headers],[2021]:[2025]],0)),"Modeste",IF(X442&lt;=INDEX(TabRFR[[2021]:[2025]],MATCH(BD!W442&amp;"-Intermédiaire",TabRFR[Recherche RFR],0),MATCH(TEXT(YEAR(BD!D442),"Standard"),TabRFR[[#Headers],[2021]:[2025]],0)),"Intermédiaire","Supérieur")))))),IF(D442="","",IF(W442+X442&lt;15,"Données Nb pers ou RFR manquantes",IF(COUNTA(INDIRECT("TabRFR["&amp;YEAR(I442)&amp;"]"))&lt;&gt;COUNTA(TabRFR[Recherche RFR]),"Data RFR manquantes", IF(X442&lt;=INDEX(TabRFR[[2021]:[2025]],MATCH(BD!W442&amp;"-Très modestes",TabRFR[Recherche RFR],0),MATCH(TEXT(YEAR(BD!I442),"Standard"),TabRFR[[#Headers],[2021]:[2025]],0)),"Très Modeste",IF(X442&lt;=INDEX(TabRFR[[2021]:[2025]],MATCH(BD!W442&amp;"-modestes",TabRFR[Recherche RFR],0),MATCH(TEXT(YEAR(BD!I442),"Standard"),TabRFR[[#Headers],[2021]:[2025]],0)),"Modeste",IF(X442&lt;=INDEX(TabRFR[[2021]:[2025]],MATCH(BD!W442&amp;"-Intermédiaire",TabRFR[Recherche RFR],0),MATCH(TEXT(YEAR(BD!I442),"Standard"),TabRFR[[#Headers],[2021]:[2025]],0)),"Intermédiaire","Supérieur")))))))</f>
        <v>Data RFR manquantes</v>
      </c>
      <c r="Z442" s="75"/>
      <c r="AA442" s="75" t="s">
        <v>3577</v>
      </c>
      <c r="AB442" s="75">
        <v>38430</v>
      </c>
      <c r="AC442" s="75" t="s">
        <v>217</v>
      </c>
      <c r="AD442" s="101"/>
      <c r="AE442" s="102"/>
      <c r="AF442" s="75" t="s">
        <v>95</v>
      </c>
      <c r="AG442" s="75"/>
      <c r="AH442" s="75"/>
      <c r="AI442" s="75"/>
      <c r="AJ442" s="75"/>
      <c r="AK442" s="75"/>
      <c r="AL442" s="75"/>
      <c r="AM442" s="75" t="s">
        <v>218</v>
      </c>
      <c r="AN442" s="75" t="s">
        <v>217</v>
      </c>
      <c r="AO442" s="75" t="s">
        <v>219</v>
      </c>
      <c r="AP442" s="75" t="s">
        <v>97</v>
      </c>
      <c r="AQ442" s="75"/>
      <c r="AR442" s="75">
        <v>43764</v>
      </c>
      <c r="AS442" s="102" t="s">
        <v>220</v>
      </c>
      <c r="AT442" s="101" t="s">
        <v>620</v>
      </c>
      <c r="AU442" s="75" t="s">
        <v>430</v>
      </c>
      <c r="AV442" s="75">
        <v>1996</v>
      </c>
      <c r="AW442" s="75" t="s">
        <v>100</v>
      </c>
      <c r="AX442" s="75" t="s">
        <v>2071</v>
      </c>
      <c r="AY442" s="75" t="s">
        <v>121</v>
      </c>
      <c r="AZ442" s="75" t="s">
        <v>3576</v>
      </c>
      <c r="BA442" s="75">
        <v>8</v>
      </c>
      <c r="BB442" s="75">
        <v>8.1999999999999993</v>
      </c>
      <c r="BC442" s="75">
        <v>87.7</v>
      </c>
      <c r="BD442" s="75">
        <v>0.01</v>
      </c>
      <c r="BE442" s="75" t="s">
        <v>97</v>
      </c>
      <c r="BF442" s="75"/>
      <c r="BG442" s="75">
        <v>3516.5</v>
      </c>
      <c r="BH442" s="77"/>
      <c r="BI442" s="77"/>
      <c r="BJ442" s="77"/>
      <c r="BK442" s="75">
        <v>674.09</v>
      </c>
      <c r="BL442" s="75">
        <f t="shared" si="18"/>
        <v>4190.59</v>
      </c>
      <c r="BM442" s="103">
        <f t="shared" si="19"/>
        <v>230.48245</v>
      </c>
      <c r="BN442" s="103">
        <f t="shared" si="20"/>
        <v>4421.0724500000006</v>
      </c>
      <c r="BO442" s="103">
        <v>4421</v>
      </c>
      <c r="BP442" s="75"/>
      <c r="BQ442" s="75"/>
      <c r="BR442" s="75"/>
      <c r="BS442" s="157">
        <v>2019</v>
      </c>
      <c r="BU442">
        <v>2019</v>
      </c>
    </row>
    <row r="443" spans="1:73" ht="43.15" customHeight="1" x14ac:dyDescent="0.25">
      <c r="A443" s="242" t="s">
        <v>749</v>
      </c>
      <c r="B443" s="242" t="s">
        <v>3575</v>
      </c>
      <c r="C443" s="159">
        <v>400</v>
      </c>
      <c r="D443" s="114">
        <v>43406</v>
      </c>
      <c r="E443" s="114">
        <v>43406</v>
      </c>
      <c r="F443" s="114"/>
      <c r="G443" s="114"/>
      <c r="H443" s="114">
        <v>43412</v>
      </c>
      <c r="I443" s="114">
        <v>43412</v>
      </c>
      <c r="J443" s="114">
        <v>43419</v>
      </c>
      <c r="K443" s="76"/>
      <c r="L443" s="114">
        <v>43467</v>
      </c>
      <c r="M443" s="114" t="s">
        <v>464</v>
      </c>
      <c r="N443" s="114"/>
      <c r="O443" s="114">
        <v>43468</v>
      </c>
      <c r="P443" s="114">
        <v>43468</v>
      </c>
      <c r="Q443" s="114">
        <v>43482</v>
      </c>
      <c r="R443" s="80"/>
      <c r="S443" s="114"/>
      <c r="T443" s="75"/>
      <c r="U443" s="75"/>
      <c r="V443" s="75"/>
      <c r="W443" s="75">
        <v>2</v>
      </c>
      <c r="X443" s="75">
        <f>29746+29373</f>
        <v>59119</v>
      </c>
      <c r="Y443" s="75" t="str">
        <f ca="1">IF(I443="",IF(D443="","",IF(W443+X443&lt;15,"Données Nb pers ou RFR manquantes",IF(COUNTA(INDIRECT("TabRFR["&amp;YEAR(D443)&amp;"]"))&lt;&gt;COUNTA(TabRFR[Recherche RFR]),"Data RFR manquantes", IF(X443&lt;=INDEX(TabRFR[[2021]:[2025]],MATCH(BD!W443&amp;"-Très modestes",TabRFR[Recherche RFR],0),MATCH(TEXT(YEAR(BD!D443),"Standard"),TabRFR[[#Headers],[2021]:[2025]],0)),"Très Modeste",IF(X443&lt;=INDEX(TabRFR[[2021]:[2025]],MATCH(BD!W443&amp;"-modestes",TabRFR[Recherche RFR],0),MATCH(TEXT(YEAR(BD!D443),"Standard"),TabRFR[[#Headers],[2021]:[2025]],0)),"Modeste",IF(X443&lt;=INDEX(TabRFR[[2021]:[2025]],MATCH(BD!W443&amp;"-Intermédiaire",TabRFR[Recherche RFR],0),MATCH(TEXT(YEAR(BD!D443),"Standard"),TabRFR[[#Headers],[2021]:[2025]],0)),"Intermédiaire","Supérieur")))))),IF(D443="","",IF(W443+X443&lt;15,"Données Nb pers ou RFR manquantes",IF(COUNTA(INDIRECT("TabRFR["&amp;YEAR(I443)&amp;"]"))&lt;&gt;COUNTA(TabRFR[Recherche RFR]),"Data RFR manquantes", IF(X443&lt;=INDEX(TabRFR[[2021]:[2025]],MATCH(BD!W443&amp;"-Très modestes",TabRFR[Recherche RFR],0),MATCH(TEXT(YEAR(BD!I443),"Standard"),TabRFR[[#Headers],[2021]:[2025]],0)),"Très Modeste",IF(X443&lt;=INDEX(TabRFR[[2021]:[2025]],MATCH(BD!W443&amp;"-modestes",TabRFR[Recherche RFR],0),MATCH(TEXT(YEAR(BD!I443),"Standard"),TabRFR[[#Headers],[2021]:[2025]],0)),"Modeste",IF(X443&lt;=INDEX(TabRFR[[2021]:[2025]],MATCH(BD!W443&amp;"-Intermédiaire",TabRFR[Recherche RFR],0),MATCH(TEXT(YEAR(BD!I443),"Standard"),TabRFR[[#Headers],[2021]:[2025]],0)),"Intermédiaire","Supérieur")))))))</f>
        <v>Data RFR manquantes</v>
      </c>
      <c r="Z443" s="75"/>
      <c r="AA443" s="75" t="s">
        <v>320</v>
      </c>
      <c r="AB443" s="75">
        <v>38140</v>
      </c>
      <c r="AC443" s="75" t="s">
        <v>321</v>
      </c>
      <c r="AD443" s="101"/>
      <c r="AE443" s="102"/>
      <c r="AF443" s="75" t="s">
        <v>95</v>
      </c>
      <c r="AG443" s="75"/>
      <c r="AH443" s="75">
        <v>32589</v>
      </c>
      <c r="AI443" s="75"/>
      <c r="AJ443" s="75"/>
      <c r="AK443" s="75"/>
      <c r="AL443" s="75"/>
      <c r="AM443" s="77" t="s">
        <v>4198</v>
      </c>
      <c r="AN443" s="75" t="s">
        <v>521</v>
      </c>
      <c r="AO443" s="75" t="s">
        <v>3574</v>
      </c>
      <c r="AP443" s="75" t="s">
        <v>97</v>
      </c>
      <c r="AQ443" s="75"/>
      <c r="AR443" s="74">
        <v>43418</v>
      </c>
      <c r="AS443" s="102" t="s">
        <v>523</v>
      </c>
      <c r="AT443" s="101" t="s">
        <v>3573</v>
      </c>
      <c r="AU443" s="75" t="s">
        <v>430</v>
      </c>
      <c r="AV443" s="75">
        <v>1996</v>
      </c>
      <c r="AW443" s="75" t="s">
        <v>100</v>
      </c>
      <c r="AX443" s="75" t="s">
        <v>2071</v>
      </c>
      <c r="AY443" s="75" t="s">
        <v>419</v>
      </c>
      <c r="AZ443" s="75" t="s">
        <v>3572</v>
      </c>
      <c r="BA443" s="75">
        <v>7.9</v>
      </c>
      <c r="BB443" s="75">
        <v>7.9</v>
      </c>
      <c r="BC443" s="75">
        <v>89</v>
      </c>
      <c r="BD443" s="75">
        <v>1.7999999999999999E-2</v>
      </c>
      <c r="BE443" s="75" t="s">
        <v>374</v>
      </c>
      <c r="BF443" s="75"/>
      <c r="BG443" s="75">
        <v>4990</v>
      </c>
      <c r="BH443" s="77"/>
      <c r="BI443" s="77"/>
      <c r="BJ443" s="77"/>
      <c r="BK443" s="75">
        <f>6529-BG443</f>
        <v>1539</v>
      </c>
      <c r="BL443" s="75">
        <f t="shared" si="18"/>
        <v>6529</v>
      </c>
      <c r="BM443" s="103">
        <f t="shared" si="19"/>
        <v>359.09500000000003</v>
      </c>
      <c r="BN443" s="103">
        <f t="shared" si="20"/>
        <v>6888.0950000000003</v>
      </c>
      <c r="BO443" s="103">
        <v>6888.12</v>
      </c>
      <c r="BP443" s="75"/>
      <c r="BQ443" s="75"/>
      <c r="BR443" s="75"/>
      <c r="BS443" s="157">
        <v>2019</v>
      </c>
      <c r="BU443">
        <v>2019</v>
      </c>
    </row>
    <row r="444" spans="1:73" ht="43.15" customHeight="1" x14ac:dyDescent="0.25">
      <c r="A444" s="242" t="s">
        <v>749</v>
      </c>
      <c r="B444" s="242" t="s">
        <v>3571</v>
      </c>
      <c r="C444" s="159">
        <v>400</v>
      </c>
      <c r="D444" s="114">
        <v>43406</v>
      </c>
      <c r="E444" s="114">
        <v>43406</v>
      </c>
      <c r="F444" s="114"/>
      <c r="G444" s="114"/>
      <c r="H444" s="114">
        <v>43440</v>
      </c>
      <c r="I444" s="114">
        <v>43440</v>
      </c>
      <c r="J444" s="114">
        <v>43444</v>
      </c>
      <c r="K444" s="76"/>
      <c r="L444" s="114">
        <v>43549</v>
      </c>
      <c r="M444" s="114">
        <v>43537</v>
      </c>
      <c r="N444" s="114"/>
      <c r="O444" s="114">
        <v>43565</v>
      </c>
      <c r="P444" s="114">
        <v>43565</v>
      </c>
      <c r="Q444" s="114">
        <v>43566</v>
      </c>
      <c r="R444" s="80"/>
      <c r="S444" s="114"/>
      <c r="T444" s="75"/>
      <c r="U444" s="75"/>
      <c r="V444" s="75"/>
      <c r="W444" s="75">
        <v>2</v>
      </c>
      <c r="X444" s="75"/>
      <c r="Y444" s="75" t="str">
        <f ca="1">IF(I444="",IF(D444="","",IF(W444+X444&lt;15,"Données Nb pers ou RFR manquantes",IF(COUNTA(INDIRECT("TabRFR["&amp;YEAR(D444)&amp;"]"))&lt;&gt;COUNTA(TabRFR[Recherche RFR]),"Data RFR manquantes", IF(X444&lt;=INDEX(TabRFR[[2021]:[2025]],MATCH(BD!W444&amp;"-Très modestes",TabRFR[Recherche RFR],0),MATCH(TEXT(YEAR(BD!D444),"Standard"),TabRFR[[#Headers],[2021]:[2025]],0)),"Très Modeste",IF(X444&lt;=INDEX(TabRFR[[2021]:[2025]],MATCH(BD!W444&amp;"-modestes",TabRFR[Recherche RFR],0),MATCH(TEXT(YEAR(BD!D444),"Standard"),TabRFR[[#Headers],[2021]:[2025]],0)),"Modeste",IF(X444&lt;=INDEX(TabRFR[[2021]:[2025]],MATCH(BD!W444&amp;"-Intermédiaire",TabRFR[Recherche RFR],0),MATCH(TEXT(YEAR(BD!D444),"Standard"),TabRFR[[#Headers],[2021]:[2025]],0)),"Intermédiaire","Supérieur")))))),IF(D444="","",IF(W444+X444&lt;15,"Données Nb pers ou RFR manquantes",IF(COUNTA(INDIRECT("TabRFR["&amp;YEAR(I444)&amp;"]"))&lt;&gt;COUNTA(TabRFR[Recherche RFR]),"Data RFR manquantes", IF(X444&lt;=INDEX(TabRFR[[2021]:[2025]],MATCH(BD!W444&amp;"-Très modestes",TabRFR[Recherche RFR],0),MATCH(TEXT(YEAR(BD!I444),"Standard"),TabRFR[[#Headers],[2021]:[2025]],0)),"Très Modeste",IF(X444&lt;=INDEX(TabRFR[[2021]:[2025]],MATCH(BD!W444&amp;"-modestes",TabRFR[Recherche RFR],0),MATCH(TEXT(YEAR(BD!I444),"Standard"),TabRFR[[#Headers],[2021]:[2025]],0)),"Modeste",IF(X444&lt;=INDEX(TabRFR[[2021]:[2025]],MATCH(BD!W444&amp;"-Intermédiaire",TabRFR[Recherche RFR],0),MATCH(TEXT(YEAR(BD!I444),"Standard"),TabRFR[[#Headers],[2021]:[2025]],0)),"Intermédiaire","Supérieur")))))))</f>
        <v>Données Nb pers ou RFR manquantes</v>
      </c>
      <c r="Z444" s="75"/>
      <c r="AA444" s="75" t="s">
        <v>138</v>
      </c>
      <c r="AB444" s="75">
        <v>38960</v>
      </c>
      <c r="AC444" s="75" t="s">
        <v>2378</v>
      </c>
      <c r="AD444" s="101"/>
      <c r="AE444" s="102"/>
      <c r="AF444" s="75" t="s">
        <v>95</v>
      </c>
      <c r="AG444" s="75"/>
      <c r="AH444" s="75">
        <v>43103</v>
      </c>
      <c r="AI444" s="75"/>
      <c r="AJ444" s="75"/>
      <c r="AK444" s="75"/>
      <c r="AL444" s="75"/>
      <c r="AM444" s="75" t="s">
        <v>4356</v>
      </c>
      <c r="AN444" s="75" t="s">
        <v>96</v>
      </c>
      <c r="AO444" s="75" t="s">
        <v>3477</v>
      </c>
      <c r="AP444" s="75" t="s">
        <v>97</v>
      </c>
      <c r="AQ444" s="75"/>
      <c r="AR444" s="75">
        <v>43772</v>
      </c>
      <c r="AS444" s="102" t="s">
        <v>120</v>
      </c>
      <c r="AT444" s="101" t="s">
        <v>658</v>
      </c>
      <c r="AU444" s="75" t="s">
        <v>430</v>
      </c>
      <c r="AV444" s="75">
        <v>1941</v>
      </c>
      <c r="AW444" s="75" t="s">
        <v>100</v>
      </c>
      <c r="AX444" s="75" t="s">
        <v>2071</v>
      </c>
      <c r="AY444" s="75" t="s">
        <v>102</v>
      </c>
      <c r="AZ444" s="75" t="s">
        <v>3570</v>
      </c>
      <c r="BA444" s="75">
        <v>25</v>
      </c>
      <c r="BB444" s="75">
        <v>7.6</v>
      </c>
      <c r="BC444" s="75">
        <v>87.6</v>
      </c>
      <c r="BD444" s="75">
        <v>0.01</v>
      </c>
      <c r="BE444" s="75" t="s">
        <v>97</v>
      </c>
      <c r="BF444" s="75"/>
      <c r="BG444" s="75">
        <v>3278</v>
      </c>
      <c r="BH444" s="77"/>
      <c r="BI444" s="77"/>
      <c r="BJ444" s="77"/>
      <c r="BK444" s="75">
        <v>420</v>
      </c>
      <c r="BL444" s="75">
        <f t="shared" si="18"/>
        <v>3698</v>
      </c>
      <c r="BM444" s="103">
        <f t="shared" si="19"/>
        <v>203.39000000000001</v>
      </c>
      <c r="BN444" s="103">
        <f t="shared" si="20"/>
        <v>3901.39</v>
      </c>
      <c r="BO444" s="103">
        <f>4500+647</f>
        <v>5147</v>
      </c>
      <c r="BP444" s="75" t="s">
        <v>97</v>
      </c>
      <c r="BQ444" s="75"/>
      <c r="BR444" s="75"/>
      <c r="BS444" s="157">
        <v>2019</v>
      </c>
      <c r="BU444">
        <v>2019</v>
      </c>
    </row>
    <row r="445" spans="1:73" ht="43.15" customHeight="1" x14ac:dyDescent="0.25">
      <c r="A445" s="242" t="s">
        <v>3305</v>
      </c>
      <c r="B445" s="242" t="s">
        <v>3569</v>
      </c>
      <c r="C445" s="159">
        <v>400</v>
      </c>
      <c r="D445" s="114">
        <v>43410</v>
      </c>
      <c r="E445" s="114">
        <v>43410</v>
      </c>
      <c r="F445" s="114"/>
      <c r="G445" s="114"/>
      <c r="H445" s="114">
        <v>43423</v>
      </c>
      <c r="I445" s="114">
        <v>43423</v>
      </c>
      <c r="J445" s="114">
        <v>43437</v>
      </c>
      <c r="K445" s="76"/>
      <c r="L445" s="114">
        <v>43509</v>
      </c>
      <c r="M445" s="114">
        <v>43483</v>
      </c>
      <c r="N445" s="114"/>
      <c r="O445" s="114">
        <v>43532</v>
      </c>
      <c r="P445" s="114">
        <v>43532</v>
      </c>
      <c r="Q445" s="114">
        <v>43532</v>
      </c>
      <c r="R445" s="80"/>
      <c r="S445" s="114"/>
      <c r="T445" s="75"/>
      <c r="U445" s="75"/>
      <c r="V445" s="75"/>
      <c r="W445" s="75">
        <v>2</v>
      </c>
      <c r="X445" s="75">
        <v>41750</v>
      </c>
      <c r="Y445" s="75" t="str">
        <f ca="1">IF(I445="",IF(D445="","",IF(W445+X445&lt;15,"Données Nb pers ou RFR manquantes",IF(COUNTA(INDIRECT("TabRFR["&amp;YEAR(D445)&amp;"]"))&lt;&gt;COUNTA(TabRFR[Recherche RFR]),"Data RFR manquantes", IF(X445&lt;=INDEX(TabRFR[[2021]:[2025]],MATCH(BD!W445&amp;"-Très modestes",TabRFR[Recherche RFR],0),MATCH(TEXT(YEAR(BD!D445),"Standard"),TabRFR[[#Headers],[2021]:[2025]],0)),"Très Modeste",IF(X445&lt;=INDEX(TabRFR[[2021]:[2025]],MATCH(BD!W445&amp;"-modestes",TabRFR[Recherche RFR],0),MATCH(TEXT(YEAR(BD!D445),"Standard"),TabRFR[[#Headers],[2021]:[2025]],0)),"Modeste",IF(X445&lt;=INDEX(TabRFR[[2021]:[2025]],MATCH(BD!W445&amp;"-Intermédiaire",TabRFR[Recherche RFR],0),MATCH(TEXT(YEAR(BD!D445),"Standard"),TabRFR[[#Headers],[2021]:[2025]],0)),"Intermédiaire","Supérieur")))))),IF(D445="","",IF(W445+X445&lt;15,"Données Nb pers ou RFR manquantes",IF(COUNTA(INDIRECT("TabRFR["&amp;YEAR(I445)&amp;"]"))&lt;&gt;COUNTA(TabRFR[Recherche RFR]),"Data RFR manquantes", IF(X445&lt;=INDEX(TabRFR[[2021]:[2025]],MATCH(BD!W445&amp;"-Très modestes",TabRFR[Recherche RFR],0),MATCH(TEXT(YEAR(BD!I445),"Standard"),TabRFR[[#Headers],[2021]:[2025]],0)),"Très Modeste",IF(X445&lt;=INDEX(TabRFR[[2021]:[2025]],MATCH(BD!W445&amp;"-modestes",TabRFR[Recherche RFR],0),MATCH(TEXT(YEAR(BD!I445),"Standard"),TabRFR[[#Headers],[2021]:[2025]],0)),"Modeste",IF(X445&lt;=INDEX(TabRFR[[2021]:[2025]],MATCH(BD!W445&amp;"-Intermédiaire",TabRFR[Recherche RFR],0),MATCH(TEXT(YEAR(BD!I445),"Standard"),TabRFR[[#Headers],[2021]:[2025]],0)),"Intermédiaire","Supérieur")))))))</f>
        <v>Data RFR manquantes</v>
      </c>
      <c r="Z445" s="75"/>
      <c r="AA445" s="75" t="s">
        <v>3568</v>
      </c>
      <c r="AB445" s="75">
        <v>38340</v>
      </c>
      <c r="AC445" s="75" t="s">
        <v>108</v>
      </c>
      <c r="AD445" s="101"/>
      <c r="AE445" s="102"/>
      <c r="AF445" s="75" t="s">
        <v>95</v>
      </c>
      <c r="AG445" s="75"/>
      <c r="AH445" s="75"/>
      <c r="AI445" s="75"/>
      <c r="AJ445" s="75"/>
      <c r="AK445" s="75"/>
      <c r="AL445" s="75"/>
      <c r="AM445" s="75" t="s">
        <v>4035</v>
      </c>
      <c r="AN445" s="75" t="s">
        <v>108</v>
      </c>
      <c r="AO445" s="75" t="s">
        <v>3486</v>
      </c>
      <c r="AP445" s="75" t="s">
        <v>97</v>
      </c>
      <c r="AQ445" s="75"/>
      <c r="AR445" s="75">
        <v>43705</v>
      </c>
      <c r="AS445" s="102" t="s">
        <v>110</v>
      </c>
      <c r="AT445" s="101" t="s">
        <v>616</v>
      </c>
      <c r="AU445" s="75" t="s">
        <v>111</v>
      </c>
      <c r="AV445" s="75" t="s">
        <v>173</v>
      </c>
      <c r="AW445" s="75" t="s">
        <v>100</v>
      </c>
      <c r="AX445" s="75" t="s">
        <v>112</v>
      </c>
      <c r="AY445" s="75" t="s">
        <v>1896</v>
      </c>
      <c r="AZ445" s="75" t="s">
        <v>655</v>
      </c>
      <c r="BA445" s="75">
        <v>32</v>
      </c>
      <c r="BB445" s="75">
        <v>7</v>
      </c>
      <c r="BC445" s="75">
        <v>77.8</v>
      </c>
      <c r="BD445" s="75">
        <v>0.08</v>
      </c>
      <c r="BE445" s="75" t="s">
        <v>97</v>
      </c>
      <c r="BF445" s="75"/>
      <c r="BG445" s="75"/>
      <c r="BH445" s="77"/>
      <c r="BI445" s="77"/>
      <c r="BJ445" s="77"/>
      <c r="BK445" s="75">
        <v>900</v>
      </c>
      <c r="BL445" s="75">
        <f t="shared" si="18"/>
        <v>900</v>
      </c>
      <c r="BM445" s="103">
        <f t="shared" si="19"/>
        <v>49.5</v>
      </c>
      <c r="BN445" s="103">
        <f t="shared" si="20"/>
        <v>949.5</v>
      </c>
      <c r="BO445" s="103">
        <v>3701</v>
      </c>
      <c r="BP445" s="75" t="s">
        <v>97</v>
      </c>
      <c r="BQ445" s="75"/>
      <c r="BR445" s="75"/>
      <c r="BS445" s="157">
        <v>2019</v>
      </c>
      <c r="BT445">
        <v>2020</v>
      </c>
      <c r="BU445">
        <v>2019</v>
      </c>
    </row>
    <row r="446" spans="1:73" ht="43.15" customHeight="1" x14ac:dyDescent="0.25">
      <c r="A446" s="242" t="s">
        <v>3305</v>
      </c>
      <c r="B446" s="242" t="s">
        <v>3567</v>
      </c>
      <c r="C446" s="159">
        <v>400</v>
      </c>
      <c r="D446" s="114">
        <v>43412</v>
      </c>
      <c r="E446" s="114">
        <v>43412</v>
      </c>
      <c r="F446" s="114"/>
      <c r="G446" s="114"/>
      <c r="H446" s="114">
        <v>43423</v>
      </c>
      <c r="I446" s="114">
        <v>43423</v>
      </c>
      <c r="J446" s="114">
        <v>43437</v>
      </c>
      <c r="K446" s="76"/>
      <c r="L446" s="114">
        <v>43543</v>
      </c>
      <c r="M446" s="114">
        <v>43830</v>
      </c>
      <c r="N446" s="114"/>
      <c r="O446" s="114">
        <v>43565</v>
      </c>
      <c r="P446" s="114">
        <v>43565</v>
      </c>
      <c r="Q446" s="114">
        <v>43574</v>
      </c>
      <c r="R446" s="80"/>
      <c r="S446" s="114"/>
      <c r="T446" s="75"/>
      <c r="U446" s="75"/>
      <c r="V446" s="75"/>
      <c r="W446" s="75">
        <v>3</v>
      </c>
      <c r="X446" s="75">
        <v>37564</v>
      </c>
      <c r="Y446" s="75" t="str">
        <f ca="1">IF(I446="",IF(D446="","",IF(W446+X446&lt;15,"Données Nb pers ou RFR manquantes",IF(COUNTA(INDIRECT("TabRFR["&amp;YEAR(D446)&amp;"]"))&lt;&gt;COUNTA(TabRFR[Recherche RFR]),"Data RFR manquantes", IF(X446&lt;=INDEX(TabRFR[[2021]:[2025]],MATCH(BD!W446&amp;"-Très modestes",TabRFR[Recherche RFR],0),MATCH(TEXT(YEAR(BD!D446),"Standard"),TabRFR[[#Headers],[2021]:[2025]],0)),"Très Modeste",IF(X446&lt;=INDEX(TabRFR[[2021]:[2025]],MATCH(BD!W446&amp;"-modestes",TabRFR[Recherche RFR],0),MATCH(TEXT(YEAR(BD!D446),"Standard"),TabRFR[[#Headers],[2021]:[2025]],0)),"Modeste",IF(X446&lt;=INDEX(TabRFR[[2021]:[2025]],MATCH(BD!W446&amp;"-Intermédiaire",TabRFR[Recherche RFR],0),MATCH(TEXT(YEAR(BD!D446),"Standard"),TabRFR[[#Headers],[2021]:[2025]],0)),"Intermédiaire","Supérieur")))))),IF(D446="","",IF(W446+X446&lt;15,"Données Nb pers ou RFR manquantes",IF(COUNTA(INDIRECT("TabRFR["&amp;YEAR(I446)&amp;"]"))&lt;&gt;COUNTA(TabRFR[Recherche RFR]),"Data RFR manquantes", IF(X446&lt;=INDEX(TabRFR[[2021]:[2025]],MATCH(BD!W446&amp;"-Très modestes",TabRFR[Recherche RFR],0),MATCH(TEXT(YEAR(BD!I446),"Standard"),TabRFR[[#Headers],[2021]:[2025]],0)),"Très Modeste",IF(X446&lt;=INDEX(TabRFR[[2021]:[2025]],MATCH(BD!W446&amp;"-modestes",TabRFR[Recherche RFR],0),MATCH(TEXT(YEAR(BD!I446),"Standard"),TabRFR[[#Headers],[2021]:[2025]],0)),"Modeste",IF(X446&lt;=INDEX(TabRFR[[2021]:[2025]],MATCH(BD!W446&amp;"-Intermédiaire",TabRFR[Recherche RFR],0),MATCH(TEXT(YEAR(BD!I446),"Standard"),TabRFR[[#Headers],[2021]:[2025]],0)),"Intermédiaire","Supérieur")))))))</f>
        <v>Data RFR manquantes</v>
      </c>
      <c r="Z446" s="75"/>
      <c r="AA446" s="75" t="s">
        <v>3566</v>
      </c>
      <c r="AB446" s="75">
        <v>38000</v>
      </c>
      <c r="AC446" s="75" t="s">
        <v>598</v>
      </c>
      <c r="AD446" s="101"/>
      <c r="AE446" s="102"/>
      <c r="AF446" s="75" t="s">
        <v>125</v>
      </c>
      <c r="AG446" s="75"/>
      <c r="AH446" s="75"/>
      <c r="AI446" s="75">
        <v>100</v>
      </c>
      <c r="AJ446" s="75" t="s">
        <v>3565</v>
      </c>
      <c r="AK446" s="75">
        <v>38210</v>
      </c>
      <c r="AL446" s="75" t="s">
        <v>445</v>
      </c>
      <c r="AM446" s="75" t="s">
        <v>218</v>
      </c>
      <c r="AN446" s="75" t="s">
        <v>217</v>
      </c>
      <c r="AO446" s="75" t="s">
        <v>3559</v>
      </c>
      <c r="AP446" s="75" t="s">
        <v>97</v>
      </c>
      <c r="AQ446" s="75"/>
      <c r="AR446" s="75">
        <v>43764</v>
      </c>
      <c r="AS446" s="102" t="s">
        <v>220</v>
      </c>
      <c r="AT446" s="101" t="s">
        <v>620</v>
      </c>
      <c r="AU446" s="75" t="s">
        <v>430</v>
      </c>
      <c r="AV446" s="75">
        <v>1990</v>
      </c>
      <c r="AW446" s="75" t="s">
        <v>100</v>
      </c>
      <c r="AX446" s="75" t="s">
        <v>112</v>
      </c>
      <c r="AY446" s="75" t="s">
        <v>121</v>
      </c>
      <c r="AZ446" s="75" t="s">
        <v>3564</v>
      </c>
      <c r="BA446" s="75">
        <v>21</v>
      </c>
      <c r="BB446" s="75">
        <v>8</v>
      </c>
      <c r="BC446" s="75">
        <v>80</v>
      </c>
      <c r="BD446" s="75">
        <v>0.09</v>
      </c>
      <c r="BE446" s="75" t="s">
        <v>97</v>
      </c>
      <c r="BF446" s="75"/>
      <c r="BG446" s="75"/>
      <c r="BH446" s="77"/>
      <c r="BI446" s="77"/>
      <c r="BJ446" s="77"/>
      <c r="BK446" s="75">
        <v>874.09</v>
      </c>
      <c r="BL446" s="75">
        <f t="shared" si="18"/>
        <v>874.09</v>
      </c>
      <c r="BM446" s="103">
        <f t="shared" si="19"/>
        <v>48.074950000000001</v>
      </c>
      <c r="BN446" s="103">
        <f t="shared" si="20"/>
        <v>922.16495000000009</v>
      </c>
      <c r="BO446" s="103">
        <v>3499</v>
      </c>
      <c r="BP446" s="75" t="s">
        <v>104</v>
      </c>
      <c r="BQ446" s="75"/>
      <c r="BR446" s="75"/>
      <c r="BS446" s="157">
        <v>2019</v>
      </c>
      <c r="BT446">
        <v>2020</v>
      </c>
      <c r="BU446">
        <v>2019</v>
      </c>
    </row>
    <row r="447" spans="1:73" ht="43.15" customHeight="1" x14ac:dyDescent="0.25">
      <c r="A447" s="242" t="s">
        <v>3305</v>
      </c>
      <c r="B447" s="242" t="s">
        <v>3563</v>
      </c>
      <c r="C447" s="159">
        <v>400</v>
      </c>
      <c r="D447" s="114">
        <v>43419</v>
      </c>
      <c r="E447" s="114">
        <v>43419</v>
      </c>
      <c r="F447" s="114"/>
      <c r="G447" s="114"/>
      <c r="H447" s="114">
        <v>43423</v>
      </c>
      <c r="I447" s="114">
        <v>43423</v>
      </c>
      <c r="J447" s="114">
        <v>43437</v>
      </c>
      <c r="K447" s="76"/>
      <c r="L447" s="114">
        <v>43482</v>
      </c>
      <c r="M447" s="114">
        <v>43460</v>
      </c>
      <c r="N447" s="114"/>
      <c r="O447" s="114">
        <v>43497</v>
      </c>
      <c r="P447" s="114">
        <v>43497</v>
      </c>
      <c r="Q447" s="114">
        <v>43500</v>
      </c>
      <c r="R447" s="80"/>
      <c r="S447" s="114"/>
      <c r="T447" s="75"/>
      <c r="U447" s="75"/>
      <c r="V447" s="75"/>
      <c r="W447" s="75">
        <v>3</v>
      </c>
      <c r="X447" s="75">
        <v>44994</v>
      </c>
      <c r="Y447" s="75" t="str">
        <f ca="1">IF(I447="",IF(D447="","",IF(W447+X447&lt;15,"Données Nb pers ou RFR manquantes",IF(COUNTA(INDIRECT("TabRFR["&amp;YEAR(D447)&amp;"]"))&lt;&gt;COUNTA(TabRFR[Recherche RFR]),"Data RFR manquantes", IF(X447&lt;=INDEX(TabRFR[[2021]:[2025]],MATCH(BD!W447&amp;"-Très modestes",TabRFR[Recherche RFR],0),MATCH(TEXT(YEAR(BD!D447),"Standard"),TabRFR[[#Headers],[2021]:[2025]],0)),"Très Modeste",IF(X447&lt;=INDEX(TabRFR[[2021]:[2025]],MATCH(BD!W447&amp;"-modestes",TabRFR[Recherche RFR],0),MATCH(TEXT(YEAR(BD!D447),"Standard"),TabRFR[[#Headers],[2021]:[2025]],0)),"Modeste",IF(X447&lt;=INDEX(TabRFR[[2021]:[2025]],MATCH(BD!W447&amp;"-Intermédiaire",TabRFR[Recherche RFR],0),MATCH(TEXT(YEAR(BD!D447),"Standard"),TabRFR[[#Headers],[2021]:[2025]],0)),"Intermédiaire","Supérieur")))))),IF(D447="","",IF(W447+X447&lt;15,"Données Nb pers ou RFR manquantes",IF(COUNTA(INDIRECT("TabRFR["&amp;YEAR(I447)&amp;"]"))&lt;&gt;COUNTA(TabRFR[Recherche RFR]),"Data RFR manquantes", IF(X447&lt;=INDEX(TabRFR[[2021]:[2025]],MATCH(BD!W447&amp;"-Très modestes",TabRFR[Recherche RFR],0),MATCH(TEXT(YEAR(BD!I447),"Standard"),TabRFR[[#Headers],[2021]:[2025]],0)),"Très Modeste",IF(X447&lt;=INDEX(TabRFR[[2021]:[2025]],MATCH(BD!W447&amp;"-modestes",TabRFR[Recherche RFR],0),MATCH(TEXT(YEAR(BD!I447),"Standard"),TabRFR[[#Headers],[2021]:[2025]],0)),"Modeste",IF(X447&lt;=INDEX(TabRFR[[2021]:[2025]],MATCH(BD!W447&amp;"-Intermédiaire",TabRFR[Recherche RFR],0),MATCH(TEXT(YEAR(BD!I447),"Standard"),TabRFR[[#Headers],[2021]:[2025]],0)),"Intermédiaire","Supérieur")))))))</f>
        <v>Data RFR manquantes</v>
      </c>
      <c r="Z447" s="75"/>
      <c r="AA447" s="75" t="s">
        <v>3562</v>
      </c>
      <c r="AB447" s="75">
        <v>38490</v>
      </c>
      <c r="AC447" s="75" t="s">
        <v>1133</v>
      </c>
      <c r="AD447" s="101"/>
      <c r="AE447" s="102"/>
      <c r="AF447" s="75" t="s">
        <v>95</v>
      </c>
      <c r="AG447" s="75"/>
      <c r="AH447" s="75">
        <v>1996</v>
      </c>
      <c r="AI447" s="75"/>
      <c r="AJ447" s="75"/>
      <c r="AK447" s="75"/>
      <c r="AL447" s="75"/>
      <c r="AM447" s="75" t="s">
        <v>4233</v>
      </c>
      <c r="AN447" s="75" t="s">
        <v>829</v>
      </c>
      <c r="AO447" s="75" t="s">
        <v>3260</v>
      </c>
      <c r="AP447" s="75" t="s">
        <v>97</v>
      </c>
      <c r="AQ447" s="75"/>
      <c r="AR447" s="75">
        <v>43686</v>
      </c>
      <c r="AS447" s="102" t="s">
        <v>211</v>
      </c>
      <c r="AT447" s="101" t="s">
        <v>634</v>
      </c>
      <c r="AU447" s="75" t="s">
        <v>430</v>
      </c>
      <c r="AV447" s="75">
        <v>2001</v>
      </c>
      <c r="AW447" s="75" t="s">
        <v>100</v>
      </c>
      <c r="AX447" s="75" t="s">
        <v>112</v>
      </c>
      <c r="AY447" s="75" t="s">
        <v>327</v>
      </c>
      <c r="AZ447" s="75" t="s">
        <v>3561</v>
      </c>
      <c r="BA447" s="75">
        <v>34.4</v>
      </c>
      <c r="BB447" s="75">
        <v>5.0999999999999996</v>
      </c>
      <c r="BC447" s="75">
        <v>81</v>
      </c>
      <c r="BD447" s="75">
        <v>0.71</v>
      </c>
      <c r="BE447" s="75" t="s">
        <v>374</v>
      </c>
      <c r="BF447" s="75"/>
      <c r="BG447" s="75"/>
      <c r="BH447" s="77"/>
      <c r="BI447" s="77"/>
      <c r="BJ447" s="77"/>
      <c r="BK447" s="75">
        <v>400</v>
      </c>
      <c r="BL447" s="75">
        <f t="shared" si="18"/>
        <v>400</v>
      </c>
      <c r="BM447" s="103">
        <f t="shared" si="19"/>
        <v>22</v>
      </c>
      <c r="BN447" s="103">
        <f t="shared" si="20"/>
        <v>422</v>
      </c>
      <c r="BO447" s="103">
        <f>1500+3500</f>
        <v>5000</v>
      </c>
      <c r="BP447" s="75" t="s">
        <v>97</v>
      </c>
      <c r="BQ447" s="75"/>
      <c r="BR447" s="75"/>
      <c r="BS447" s="157">
        <v>2019</v>
      </c>
      <c r="BT447">
        <v>2020</v>
      </c>
      <c r="BU447">
        <v>2019</v>
      </c>
    </row>
    <row r="448" spans="1:73" ht="43.15" customHeight="1" x14ac:dyDescent="0.25">
      <c r="A448" s="241" t="s">
        <v>3305</v>
      </c>
      <c r="B448" s="241" t="s">
        <v>3560</v>
      </c>
      <c r="C448" s="159">
        <v>400</v>
      </c>
      <c r="D448" s="76">
        <v>43416</v>
      </c>
      <c r="E448" s="76">
        <v>43416</v>
      </c>
      <c r="F448" s="76"/>
      <c r="G448" s="76"/>
      <c r="H448" s="76">
        <v>43423</v>
      </c>
      <c r="I448" s="76">
        <v>43423</v>
      </c>
      <c r="J448" s="76">
        <v>43437</v>
      </c>
      <c r="K448" s="218"/>
      <c r="L448" s="76">
        <v>43614</v>
      </c>
      <c r="M448" s="76">
        <v>43514</v>
      </c>
      <c r="N448" s="76"/>
      <c r="O448" s="76">
        <v>43633</v>
      </c>
      <c r="P448" s="76">
        <v>43633</v>
      </c>
      <c r="Q448" s="76">
        <v>43671</v>
      </c>
      <c r="R448" s="82"/>
      <c r="S448" s="76"/>
      <c r="T448" s="77"/>
      <c r="U448" s="77"/>
      <c r="V448" s="77"/>
      <c r="W448" s="77">
        <v>5</v>
      </c>
      <c r="X448" s="77">
        <v>66884</v>
      </c>
      <c r="Y448" s="75" t="str">
        <f ca="1">IF(I448="",IF(D448="","",IF(W448+X448&lt;15,"Données Nb pers ou RFR manquantes",IF(COUNTA(INDIRECT("TabRFR["&amp;YEAR(D448)&amp;"]"))&lt;&gt;COUNTA(TabRFR[Recherche RFR]),"Data RFR manquantes", IF(X448&lt;=INDEX(TabRFR[[2021]:[2025]],MATCH(BD!W448&amp;"-Très modestes",TabRFR[Recherche RFR],0),MATCH(TEXT(YEAR(BD!D448),"Standard"),TabRFR[[#Headers],[2021]:[2025]],0)),"Très Modeste",IF(X448&lt;=INDEX(TabRFR[[2021]:[2025]],MATCH(BD!W448&amp;"-modestes",TabRFR[Recherche RFR],0),MATCH(TEXT(YEAR(BD!D448),"Standard"),TabRFR[[#Headers],[2021]:[2025]],0)),"Modeste",IF(X448&lt;=INDEX(TabRFR[[2021]:[2025]],MATCH(BD!W448&amp;"-Intermédiaire",TabRFR[Recherche RFR],0),MATCH(TEXT(YEAR(BD!D448),"Standard"),TabRFR[[#Headers],[2021]:[2025]],0)),"Intermédiaire","Supérieur")))))),IF(D448="","",IF(W448+X448&lt;15,"Données Nb pers ou RFR manquantes",IF(COUNTA(INDIRECT("TabRFR["&amp;YEAR(I448)&amp;"]"))&lt;&gt;COUNTA(TabRFR[Recherche RFR]),"Data RFR manquantes", IF(X448&lt;=INDEX(TabRFR[[2021]:[2025]],MATCH(BD!W448&amp;"-Très modestes",TabRFR[Recherche RFR],0),MATCH(TEXT(YEAR(BD!I448),"Standard"),TabRFR[[#Headers],[2021]:[2025]],0)),"Très Modeste",IF(X448&lt;=INDEX(TabRFR[[2021]:[2025]],MATCH(BD!W448&amp;"-modestes",TabRFR[Recherche RFR],0),MATCH(TEXT(YEAR(BD!I448),"Standard"),TabRFR[[#Headers],[2021]:[2025]],0)),"Modeste",IF(X448&lt;=INDEX(TabRFR[[2021]:[2025]],MATCH(BD!W448&amp;"-Intermédiaire",TabRFR[Recherche RFR],0),MATCH(TEXT(YEAR(BD!I448),"Standard"),TabRFR[[#Headers],[2021]:[2025]],0)),"Intermédiaire","Supérieur")))))))</f>
        <v>Data RFR manquantes</v>
      </c>
      <c r="Z448" s="77"/>
      <c r="AA448" s="77" t="s">
        <v>1019</v>
      </c>
      <c r="AB448" s="77">
        <v>38500</v>
      </c>
      <c r="AC448" s="77" t="s">
        <v>2572</v>
      </c>
      <c r="AD448" s="78"/>
      <c r="AE448" s="102"/>
      <c r="AF448" s="77" t="s">
        <v>95</v>
      </c>
      <c r="AG448" s="77"/>
      <c r="AH448" s="79">
        <v>37856</v>
      </c>
      <c r="AI448" s="77"/>
      <c r="AJ448" s="77"/>
      <c r="AK448" s="77"/>
      <c r="AL448" s="77"/>
      <c r="AM448" s="77" t="s">
        <v>218</v>
      </c>
      <c r="AN448" s="77" t="s">
        <v>217</v>
      </c>
      <c r="AO448" s="77" t="s">
        <v>3559</v>
      </c>
      <c r="AP448" s="77" t="s">
        <v>97</v>
      </c>
      <c r="AQ448" s="77"/>
      <c r="AR448" s="79">
        <v>43705</v>
      </c>
      <c r="AS448" s="102" t="s">
        <v>220</v>
      </c>
      <c r="AT448" s="78" t="s">
        <v>620</v>
      </c>
      <c r="AU448" s="77" t="s">
        <v>430</v>
      </c>
      <c r="AV448" s="77"/>
      <c r="AW448" s="77" t="s">
        <v>111</v>
      </c>
      <c r="AX448" s="77" t="s">
        <v>112</v>
      </c>
      <c r="AY448" s="77" t="s">
        <v>121</v>
      </c>
      <c r="AZ448" s="77" t="s">
        <v>3558</v>
      </c>
      <c r="BA448" s="77">
        <v>23</v>
      </c>
      <c r="BB448" s="77">
        <v>10</v>
      </c>
      <c r="BC448" s="77">
        <v>77</v>
      </c>
      <c r="BD448" s="77">
        <v>7.0000000000000007E-2</v>
      </c>
      <c r="BE448" s="77" t="s">
        <v>97</v>
      </c>
      <c r="BF448" s="77"/>
      <c r="BG448" s="77"/>
      <c r="BH448" s="77"/>
      <c r="BI448" s="77"/>
      <c r="BJ448" s="77"/>
      <c r="BK448" s="77"/>
      <c r="BL448" s="75">
        <f t="shared" si="18"/>
        <v>0</v>
      </c>
      <c r="BM448" s="103">
        <f t="shared" si="19"/>
        <v>0</v>
      </c>
      <c r="BN448" s="103">
        <f t="shared" si="20"/>
        <v>0</v>
      </c>
      <c r="BO448" s="80"/>
      <c r="BP448" s="77" t="s">
        <v>104</v>
      </c>
      <c r="BQ448" s="77"/>
      <c r="BR448" s="77"/>
      <c r="BS448" s="157">
        <v>2019</v>
      </c>
      <c r="BT448">
        <v>2020</v>
      </c>
      <c r="BU448">
        <v>2019</v>
      </c>
    </row>
    <row r="449" spans="1:73" ht="43.15" customHeight="1" x14ac:dyDescent="0.25">
      <c r="A449" s="31" t="s">
        <v>90</v>
      </c>
      <c r="B449" s="31" t="s">
        <v>3557</v>
      </c>
      <c r="C449" s="163" t="s">
        <v>9</v>
      </c>
      <c r="D449" s="76">
        <v>43535</v>
      </c>
      <c r="E449" s="76" t="s">
        <v>9</v>
      </c>
      <c r="F449" s="76">
        <v>43537</v>
      </c>
      <c r="G449" s="83" t="s">
        <v>3556</v>
      </c>
      <c r="H449" s="76"/>
      <c r="I449" s="76"/>
      <c r="J449" s="76"/>
      <c r="K449" s="218"/>
      <c r="L449" s="76"/>
      <c r="M449" s="76"/>
      <c r="N449" s="76"/>
      <c r="O449" s="76"/>
      <c r="P449" s="76"/>
      <c r="Q449" s="76"/>
      <c r="R449" s="82"/>
      <c r="S449" s="76">
        <v>43699</v>
      </c>
      <c r="T449" s="77" t="s">
        <v>3741</v>
      </c>
      <c r="U449" s="77"/>
      <c r="V449" s="77"/>
      <c r="W449" s="77">
        <v>2</v>
      </c>
      <c r="X449" s="77">
        <v>47852</v>
      </c>
      <c r="Y449" s="75" t="str">
        <f ca="1">IF(I449="",IF(D449="","",IF(W449+X449&lt;15,"Données Nb pers ou RFR manquantes",IF(COUNTA(INDIRECT("TabRFR["&amp;YEAR(D449)&amp;"]"))&lt;&gt;COUNTA(TabRFR[Recherche RFR]),"Data RFR manquantes", IF(X449&lt;=INDEX(TabRFR[[2021]:[2025]],MATCH(BD!W449&amp;"-Très modestes",TabRFR[Recherche RFR],0),MATCH(TEXT(YEAR(BD!D449),"Standard"),TabRFR[[#Headers],[2021]:[2025]],0)),"Très Modeste",IF(X449&lt;=INDEX(TabRFR[[2021]:[2025]],MATCH(BD!W449&amp;"-modestes",TabRFR[Recherche RFR],0),MATCH(TEXT(YEAR(BD!D449),"Standard"),TabRFR[[#Headers],[2021]:[2025]],0)),"Modeste",IF(X449&lt;=INDEX(TabRFR[[2021]:[2025]],MATCH(BD!W449&amp;"-Intermédiaire",TabRFR[Recherche RFR],0),MATCH(TEXT(YEAR(BD!D449),"Standard"),TabRFR[[#Headers],[2021]:[2025]],0)),"Intermédiaire","Supérieur")))))),IF(D449="","",IF(W449+X449&lt;15,"Données Nb pers ou RFR manquantes",IF(COUNTA(INDIRECT("TabRFR["&amp;YEAR(I449)&amp;"]"))&lt;&gt;COUNTA(TabRFR[Recherche RFR]),"Data RFR manquantes", IF(X449&lt;=INDEX(TabRFR[[2021]:[2025]],MATCH(BD!W449&amp;"-Très modestes",TabRFR[Recherche RFR],0),MATCH(TEXT(YEAR(BD!I449),"Standard"),TabRFR[[#Headers],[2021]:[2025]],0)),"Très Modeste",IF(X449&lt;=INDEX(TabRFR[[2021]:[2025]],MATCH(BD!W449&amp;"-modestes",TabRFR[Recherche RFR],0),MATCH(TEXT(YEAR(BD!I449),"Standard"),TabRFR[[#Headers],[2021]:[2025]],0)),"Modeste",IF(X449&lt;=INDEX(TabRFR[[2021]:[2025]],MATCH(BD!W449&amp;"-Intermédiaire",TabRFR[Recherche RFR],0),MATCH(TEXT(YEAR(BD!I449),"Standard"),TabRFR[[#Headers],[2021]:[2025]],0)),"Intermédiaire","Supérieur")))))))</f>
        <v>Data RFR manquantes</v>
      </c>
      <c r="Z449" s="77"/>
      <c r="AA449" s="77" t="s">
        <v>3555</v>
      </c>
      <c r="AB449" s="77">
        <v>38210</v>
      </c>
      <c r="AC449" s="77" t="s">
        <v>195</v>
      </c>
      <c r="AD449" s="78"/>
      <c r="AE449" s="102"/>
      <c r="AF449" s="77" t="s">
        <v>95</v>
      </c>
      <c r="AG449" s="77"/>
      <c r="AH449" s="77"/>
      <c r="AI449" s="77"/>
      <c r="AJ449" s="77"/>
      <c r="AK449" s="77"/>
      <c r="AL449" s="77"/>
      <c r="AM449" s="77" t="s">
        <v>4401</v>
      </c>
      <c r="AN449" s="77" t="s">
        <v>4402</v>
      </c>
      <c r="AO449" s="77" t="s">
        <v>3554</v>
      </c>
      <c r="AP449" s="77" t="s">
        <v>97</v>
      </c>
      <c r="AQ449" s="77"/>
      <c r="AR449" s="79">
        <v>43678</v>
      </c>
      <c r="AS449" s="102" t="s">
        <v>3349</v>
      </c>
      <c r="AT449" s="78">
        <v>973653907</v>
      </c>
      <c r="AU449" s="77" t="s">
        <v>430</v>
      </c>
      <c r="AV449" s="77">
        <v>1900</v>
      </c>
      <c r="AW449" s="77" t="s">
        <v>111</v>
      </c>
      <c r="AX449" s="77" t="s">
        <v>112</v>
      </c>
      <c r="AY449" s="77" t="s">
        <v>3347</v>
      </c>
      <c r="AZ449" s="77" t="s">
        <v>3553</v>
      </c>
      <c r="BA449" s="77"/>
      <c r="BB449" s="77"/>
      <c r="BC449" s="77"/>
      <c r="BD449" s="77"/>
      <c r="BE449" s="77"/>
      <c r="BF449" s="77"/>
      <c r="BG449" s="77">
        <v>6663.96</v>
      </c>
      <c r="BH449" s="77"/>
      <c r="BI449" s="77"/>
      <c r="BJ449" s="77"/>
      <c r="BK449" s="77">
        <v>985</v>
      </c>
      <c r="BL449" s="75">
        <f t="shared" si="18"/>
        <v>7648.96</v>
      </c>
      <c r="BM449" s="103">
        <f t="shared" si="19"/>
        <v>420.69279999999998</v>
      </c>
      <c r="BN449" s="103">
        <f t="shared" si="20"/>
        <v>8069.6527999999998</v>
      </c>
      <c r="BO449" s="80"/>
      <c r="BP449" s="77" t="s">
        <v>97</v>
      </c>
      <c r="BQ449" s="77"/>
      <c r="BR449" s="77"/>
      <c r="BS449" s="157">
        <v>2019</v>
      </c>
      <c r="BU449" t="s">
        <v>4180</v>
      </c>
    </row>
    <row r="450" spans="1:73" ht="43.15" customHeight="1" x14ac:dyDescent="0.25">
      <c r="A450" s="242" t="s">
        <v>3305</v>
      </c>
      <c r="B450" s="242" t="s">
        <v>3552</v>
      </c>
      <c r="C450" s="159">
        <v>400</v>
      </c>
      <c r="D450" s="114">
        <v>43417</v>
      </c>
      <c r="E450" s="114">
        <v>43417</v>
      </c>
      <c r="F450" s="114"/>
      <c r="G450" s="114"/>
      <c r="H450" s="114">
        <v>43423</v>
      </c>
      <c r="I450" s="114">
        <v>43424</v>
      </c>
      <c r="J450" s="114">
        <v>43437</v>
      </c>
      <c r="K450" s="114"/>
      <c r="L450" s="114">
        <v>43558</v>
      </c>
      <c r="M450" s="114">
        <v>43480</v>
      </c>
      <c r="N450" s="114"/>
      <c r="O450" s="114">
        <v>43565</v>
      </c>
      <c r="P450" s="114">
        <v>43565</v>
      </c>
      <c r="Q450" s="114">
        <v>43574</v>
      </c>
      <c r="R450" s="80"/>
      <c r="S450" s="114"/>
      <c r="T450" s="75"/>
      <c r="U450" s="75"/>
      <c r="V450" s="75"/>
      <c r="W450" s="75">
        <v>3</v>
      </c>
      <c r="X450" s="75">
        <v>42283</v>
      </c>
      <c r="Y450" s="75" t="str">
        <f ca="1">IF(I450="",IF(D450="","",IF(W450+X450&lt;15,"Données Nb pers ou RFR manquantes",IF(COUNTA(INDIRECT("TabRFR["&amp;YEAR(D450)&amp;"]"))&lt;&gt;COUNTA(TabRFR[Recherche RFR]),"Data RFR manquantes", IF(X450&lt;=INDEX(TabRFR[[2021]:[2025]],MATCH(BD!W450&amp;"-Très modestes",TabRFR[Recherche RFR],0),MATCH(TEXT(YEAR(BD!D450),"Standard"),TabRFR[[#Headers],[2021]:[2025]],0)),"Très Modeste",IF(X450&lt;=INDEX(TabRFR[[2021]:[2025]],MATCH(BD!W450&amp;"-modestes",TabRFR[Recherche RFR],0),MATCH(TEXT(YEAR(BD!D450),"Standard"),TabRFR[[#Headers],[2021]:[2025]],0)),"Modeste",IF(X450&lt;=INDEX(TabRFR[[2021]:[2025]],MATCH(BD!W450&amp;"-Intermédiaire",TabRFR[Recherche RFR],0),MATCH(TEXT(YEAR(BD!D450),"Standard"),TabRFR[[#Headers],[2021]:[2025]],0)),"Intermédiaire","Supérieur")))))),IF(D450="","",IF(W450+X450&lt;15,"Données Nb pers ou RFR manquantes",IF(COUNTA(INDIRECT("TabRFR["&amp;YEAR(I450)&amp;"]"))&lt;&gt;COUNTA(TabRFR[Recherche RFR]),"Data RFR manquantes", IF(X450&lt;=INDEX(TabRFR[[2021]:[2025]],MATCH(BD!W450&amp;"-Très modestes",TabRFR[Recherche RFR],0),MATCH(TEXT(YEAR(BD!I450),"Standard"),TabRFR[[#Headers],[2021]:[2025]],0)),"Très Modeste",IF(X450&lt;=INDEX(TabRFR[[2021]:[2025]],MATCH(BD!W450&amp;"-modestes",TabRFR[Recherche RFR],0),MATCH(TEXT(YEAR(BD!I450),"Standard"),TabRFR[[#Headers],[2021]:[2025]],0)),"Modeste",IF(X450&lt;=INDEX(TabRFR[[2021]:[2025]],MATCH(BD!W450&amp;"-Intermédiaire",TabRFR[Recherche RFR],0),MATCH(TEXT(YEAR(BD!I450),"Standard"),TabRFR[[#Headers],[2021]:[2025]],0)),"Intermédiaire","Supérieur")))))))</f>
        <v>Data RFR manquantes</v>
      </c>
      <c r="Z450" s="75"/>
      <c r="AA450" s="75" t="s">
        <v>3551</v>
      </c>
      <c r="AB450" s="75">
        <v>38500</v>
      </c>
      <c r="AC450" s="75" t="s">
        <v>96</v>
      </c>
      <c r="AD450" s="73"/>
      <c r="AE450" s="102"/>
      <c r="AF450" s="75" t="s">
        <v>95</v>
      </c>
      <c r="AG450" s="75"/>
      <c r="AH450" s="75">
        <v>43313</v>
      </c>
      <c r="AI450" s="75"/>
      <c r="AJ450" s="75"/>
      <c r="AK450" s="75"/>
      <c r="AL450" s="75"/>
      <c r="AM450" s="75" t="s">
        <v>4167</v>
      </c>
      <c r="AN450" s="75" t="s">
        <v>3996</v>
      </c>
      <c r="AO450" s="75" t="s">
        <v>3550</v>
      </c>
      <c r="AP450" s="75" t="s">
        <v>97</v>
      </c>
      <c r="AQ450" s="75"/>
      <c r="AR450" s="74">
        <v>43517</v>
      </c>
      <c r="AS450" s="102" t="s">
        <v>536</v>
      </c>
      <c r="AT450" s="73" t="s">
        <v>3549</v>
      </c>
      <c r="AU450" s="75" t="s">
        <v>100</v>
      </c>
      <c r="AV450" s="75">
        <v>2005</v>
      </c>
      <c r="AW450" s="75" t="s">
        <v>100</v>
      </c>
      <c r="AX450" s="75" t="s">
        <v>2071</v>
      </c>
      <c r="AY450" s="75" t="s">
        <v>734</v>
      </c>
      <c r="AZ450" s="75" t="s">
        <v>3548</v>
      </c>
      <c r="BA450" s="75">
        <v>8</v>
      </c>
      <c r="BB450" s="75">
        <v>6</v>
      </c>
      <c r="BC450" s="75">
        <v>90</v>
      </c>
      <c r="BD450" s="75">
        <v>8.0000000000000002E-3</v>
      </c>
      <c r="BE450" s="75" t="s">
        <v>97</v>
      </c>
      <c r="BF450" s="75"/>
      <c r="BG450" s="75"/>
      <c r="BH450" s="75"/>
      <c r="BI450" s="75"/>
      <c r="BJ450" s="75"/>
      <c r="BK450" s="75">
        <v>700</v>
      </c>
      <c r="BL450" s="75">
        <f t="shared" si="18"/>
        <v>700</v>
      </c>
      <c r="BM450" s="103">
        <f t="shared" si="19"/>
        <v>38.5</v>
      </c>
      <c r="BN450" s="103">
        <f t="shared" si="20"/>
        <v>738.5</v>
      </c>
      <c r="BO450" s="103">
        <v>2489</v>
      </c>
      <c r="BP450" s="75" t="s">
        <v>97</v>
      </c>
      <c r="BQ450" s="75"/>
      <c r="BR450" s="75"/>
      <c r="BS450" s="157">
        <v>2019</v>
      </c>
      <c r="BU450">
        <v>2019</v>
      </c>
    </row>
    <row r="451" spans="1:73" ht="43.15" customHeight="1" x14ac:dyDescent="0.25">
      <c r="A451" s="242" t="s">
        <v>749</v>
      </c>
      <c r="B451" s="242" t="s">
        <v>3547</v>
      </c>
      <c r="C451" s="159">
        <v>800</v>
      </c>
      <c r="D451" s="114">
        <v>43423</v>
      </c>
      <c r="E451" s="114">
        <v>43423</v>
      </c>
      <c r="F451" s="114"/>
      <c r="G451" s="114"/>
      <c r="H451" s="114">
        <v>43440</v>
      </c>
      <c r="I451" s="114">
        <v>43440</v>
      </c>
      <c r="J451" s="114">
        <v>43444</v>
      </c>
      <c r="K451" s="76"/>
      <c r="L451" s="114">
        <v>43496</v>
      </c>
      <c r="M451" s="114">
        <v>43462</v>
      </c>
      <c r="N451" s="114"/>
      <c r="O451" s="114">
        <v>43550</v>
      </c>
      <c r="P451" s="114">
        <v>43550</v>
      </c>
      <c r="Q451" s="114">
        <v>43564</v>
      </c>
      <c r="R451" s="81"/>
      <c r="S451" s="114"/>
      <c r="T451" s="75"/>
      <c r="U451" s="75"/>
      <c r="V451" s="75"/>
      <c r="W451" s="75">
        <v>2</v>
      </c>
      <c r="X451" s="75">
        <v>19976</v>
      </c>
      <c r="Y451" s="75" t="str">
        <f ca="1">IF(I451="",IF(D451="","",IF(W451+X451&lt;15,"Données Nb pers ou RFR manquantes",IF(COUNTA(INDIRECT("TabRFR["&amp;YEAR(D451)&amp;"]"))&lt;&gt;COUNTA(TabRFR[Recherche RFR]),"Data RFR manquantes", IF(X451&lt;=INDEX(TabRFR[[2021]:[2025]],MATCH(BD!W451&amp;"-Très modestes",TabRFR[Recherche RFR],0),MATCH(TEXT(YEAR(BD!D451),"Standard"),TabRFR[[#Headers],[2021]:[2025]],0)),"Très Modeste",IF(X451&lt;=INDEX(TabRFR[[2021]:[2025]],MATCH(BD!W451&amp;"-modestes",TabRFR[Recherche RFR],0),MATCH(TEXT(YEAR(BD!D451),"Standard"),TabRFR[[#Headers],[2021]:[2025]],0)),"Modeste",IF(X451&lt;=INDEX(TabRFR[[2021]:[2025]],MATCH(BD!W451&amp;"-Intermédiaire",TabRFR[Recherche RFR],0),MATCH(TEXT(YEAR(BD!D451),"Standard"),TabRFR[[#Headers],[2021]:[2025]],0)),"Intermédiaire","Supérieur")))))),IF(D451="","",IF(W451+X451&lt;15,"Données Nb pers ou RFR manquantes",IF(COUNTA(INDIRECT("TabRFR["&amp;YEAR(I451)&amp;"]"))&lt;&gt;COUNTA(TabRFR[Recherche RFR]),"Data RFR manquantes", IF(X451&lt;=INDEX(TabRFR[[2021]:[2025]],MATCH(BD!W451&amp;"-Très modestes",TabRFR[Recherche RFR],0),MATCH(TEXT(YEAR(BD!I451),"Standard"),TabRFR[[#Headers],[2021]:[2025]],0)),"Très Modeste",IF(X451&lt;=INDEX(TabRFR[[2021]:[2025]],MATCH(BD!W451&amp;"-modestes",TabRFR[Recherche RFR],0),MATCH(TEXT(YEAR(BD!I451),"Standard"),TabRFR[[#Headers],[2021]:[2025]],0)),"Modeste",IF(X451&lt;=INDEX(TabRFR[[2021]:[2025]],MATCH(BD!W451&amp;"-Intermédiaire",TabRFR[Recherche RFR],0),MATCH(TEXT(YEAR(BD!I451),"Standard"),TabRFR[[#Headers],[2021]:[2025]],0)),"Intermédiaire","Supérieur")))))))</f>
        <v>Data RFR manquantes</v>
      </c>
      <c r="Z451" s="75"/>
      <c r="AA451" s="75" t="s">
        <v>3546</v>
      </c>
      <c r="AB451" s="75">
        <v>38620</v>
      </c>
      <c r="AC451" s="75" t="s">
        <v>783</v>
      </c>
      <c r="AD451" s="101"/>
      <c r="AE451" s="102"/>
      <c r="AF451" s="75" t="s">
        <v>95</v>
      </c>
      <c r="AG451" s="75"/>
      <c r="AH451" s="75"/>
      <c r="AI451" s="75"/>
      <c r="AJ451" s="75"/>
      <c r="AK451" s="75"/>
      <c r="AL451" s="75"/>
      <c r="AM451" s="75" t="s">
        <v>4236</v>
      </c>
      <c r="AN451" s="75" t="s">
        <v>4091</v>
      </c>
      <c r="AO451" s="75" t="s">
        <v>163</v>
      </c>
      <c r="AP451" s="75" t="s">
        <v>97</v>
      </c>
      <c r="AQ451" s="75"/>
      <c r="AR451" s="75">
        <v>43725</v>
      </c>
      <c r="AS451" s="102" t="s">
        <v>164</v>
      </c>
      <c r="AT451" s="101" t="s">
        <v>608</v>
      </c>
      <c r="AU451" s="75" t="s">
        <v>430</v>
      </c>
      <c r="AV451" s="75">
        <v>1990</v>
      </c>
      <c r="AW451" s="75" t="s">
        <v>100</v>
      </c>
      <c r="AX451" s="75" t="s">
        <v>2071</v>
      </c>
      <c r="AY451" s="75" t="s">
        <v>440</v>
      </c>
      <c r="AZ451" s="75" t="s">
        <v>3428</v>
      </c>
      <c r="BA451" s="75">
        <v>11</v>
      </c>
      <c r="BB451" s="75">
        <v>12</v>
      </c>
      <c r="BC451" s="75">
        <v>89</v>
      </c>
      <c r="BD451" s="75">
        <v>0</v>
      </c>
      <c r="BE451" s="75" t="s">
        <v>97</v>
      </c>
      <c r="BF451" s="75"/>
      <c r="BG451" s="75">
        <v>6459</v>
      </c>
      <c r="BH451" s="77"/>
      <c r="BI451" s="77"/>
      <c r="BJ451" s="77"/>
      <c r="BK451" s="75">
        <v>590</v>
      </c>
      <c r="BL451" s="75">
        <f t="shared" si="18"/>
        <v>7049</v>
      </c>
      <c r="BM451" s="103">
        <f t="shared" si="19"/>
        <v>387.69499999999999</v>
      </c>
      <c r="BN451" s="103">
        <f t="shared" si="20"/>
        <v>7436.6949999999997</v>
      </c>
      <c r="BO451" s="103">
        <v>7964</v>
      </c>
      <c r="BP451" s="75" t="s">
        <v>97</v>
      </c>
      <c r="BQ451" s="75"/>
      <c r="BR451" s="75"/>
      <c r="BS451" s="157">
        <v>2019</v>
      </c>
      <c r="BU451">
        <v>2019</v>
      </c>
    </row>
    <row r="452" spans="1:73" ht="43.15" customHeight="1" x14ac:dyDescent="0.25">
      <c r="A452" s="29" t="s">
        <v>749</v>
      </c>
      <c r="B452" s="29" t="s">
        <v>3545</v>
      </c>
      <c r="C452" s="161" t="s">
        <v>9</v>
      </c>
      <c r="D452" s="110">
        <v>43423</v>
      </c>
      <c r="E452" s="110">
        <v>43423</v>
      </c>
      <c r="F452" s="110"/>
      <c r="G452" s="110"/>
      <c r="H452" s="110"/>
      <c r="I452" s="110"/>
      <c r="J452" s="110"/>
      <c r="K452" s="218"/>
      <c r="L452" s="110"/>
      <c r="M452" s="110"/>
      <c r="N452" s="110"/>
      <c r="O452" s="110"/>
      <c r="P452" s="110"/>
      <c r="Q452" s="110"/>
      <c r="R452" s="80"/>
      <c r="S452" s="233">
        <v>43440</v>
      </c>
      <c r="T452" s="109" t="s">
        <v>3900</v>
      </c>
      <c r="U452" s="111"/>
      <c r="V452" s="111"/>
      <c r="W452" s="111">
        <v>5</v>
      </c>
      <c r="X452" s="111">
        <v>38735</v>
      </c>
      <c r="Y452" s="75" t="str">
        <f ca="1">IF(I452="",IF(D452="","",IF(W452+X452&lt;15,"Données Nb pers ou RFR manquantes",IF(COUNTA(INDIRECT("TabRFR["&amp;YEAR(D452)&amp;"]"))&lt;&gt;COUNTA(TabRFR[Recherche RFR]),"Data RFR manquantes", IF(X452&lt;=INDEX(TabRFR[[2021]:[2025]],MATCH(BD!W452&amp;"-Très modestes",TabRFR[Recherche RFR],0),MATCH(TEXT(YEAR(BD!D452),"Standard"),TabRFR[[#Headers],[2021]:[2025]],0)),"Très Modeste",IF(X452&lt;=INDEX(TabRFR[[2021]:[2025]],MATCH(BD!W452&amp;"-modestes",TabRFR[Recherche RFR],0),MATCH(TEXT(YEAR(BD!D452),"Standard"),TabRFR[[#Headers],[2021]:[2025]],0)),"Modeste",IF(X452&lt;=INDEX(TabRFR[[2021]:[2025]],MATCH(BD!W452&amp;"-Intermédiaire",TabRFR[Recherche RFR],0),MATCH(TEXT(YEAR(BD!D452),"Standard"),TabRFR[[#Headers],[2021]:[2025]],0)),"Intermédiaire","Supérieur")))))),IF(D452="","",IF(W452+X452&lt;15,"Données Nb pers ou RFR manquantes",IF(COUNTA(INDIRECT("TabRFR["&amp;YEAR(I452)&amp;"]"))&lt;&gt;COUNTA(TabRFR[Recherche RFR]),"Data RFR manquantes", IF(X452&lt;=INDEX(TabRFR[[2021]:[2025]],MATCH(BD!W452&amp;"-Très modestes",TabRFR[Recherche RFR],0),MATCH(TEXT(YEAR(BD!I452),"Standard"),TabRFR[[#Headers],[2021]:[2025]],0)),"Très Modeste",IF(X452&lt;=INDEX(TabRFR[[2021]:[2025]],MATCH(BD!W452&amp;"-modestes",TabRFR[Recherche RFR],0),MATCH(TEXT(YEAR(BD!I452),"Standard"),TabRFR[[#Headers],[2021]:[2025]],0)),"Modeste",IF(X452&lt;=INDEX(TabRFR[[2021]:[2025]],MATCH(BD!W452&amp;"-Intermédiaire",TabRFR[Recherche RFR],0),MATCH(TEXT(YEAR(BD!I452),"Standard"),TabRFR[[#Headers],[2021]:[2025]],0)),"Intermédiaire","Supérieur")))))))</f>
        <v>Data RFR manquantes</v>
      </c>
      <c r="Z452" s="111"/>
      <c r="AA452" s="111" t="s">
        <v>3544</v>
      </c>
      <c r="AB452" s="111">
        <v>38430</v>
      </c>
      <c r="AC452" s="111" t="s">
        <v>3202</v>
      </c>
      <c r="AD452" s="127"/>
      <c r="AE452" s="102"/>
      <c r="AF452" s="111"/>
      <c r="AG452" s="111"/>
      <c r="AH452" s="134">
        <v>39636</v>
      </c>
      <c r="AI452" s="111"/>
      <c r="AJ452" s="111"/>
      <c r="AK452" s="111"/>
      <c r="AL452" s="111"/>
      <c r="AM452" s="111" t="s">
        <v>4233</v>
      </c>
      <c r="AN452" s="111" t="s">
        <v>829</v>
      </c>
      <c r="AO452" s="111" t="s">
        <v>3260</v>
      </c>
      <c r="AP452" s="111"/>
      <c r="AQ452" s="111"/>
      <c r="AR452" s="135"/>
      <c r="AS452" s="102"/>
      <c r="AT452" s="127" t="s">
        <v>634</v>
      </c>
      <c r="AU452" s="111" t="s">
        <v>111</v>
      </c>
      <c r="AV452" s="111"/>
      <c r="AW452" s="111" t="s">
        <v>100</v>
      </c>
      <c r="AX452" s="111"/>
      <c r="AY452" s="111" t="s">
        <v>3543</v>
      </c>
      <c r="AZ452" s="111" t="s">
        <v>3542</v>
      </c>
      <c r="BA452" s="111"/>
      <c r="BB452" s="111"/>
      <c r="BC452" s="111"/>
      <c r="BD452" s="111"/>
      <c r="BE452" s="111"/>
      <c r="BF452" s="111"/>
      <c r="BG452" s="111"/>
      <c r="BH452" s="111"/>
      <c r="BI452" s="111"/>
      <c r="BJ452" s="111"/>
      <c r="BK452" s="111"/>
      <c r="BL452" s="75">
        <f t="shared" si="18"/>
        <v>0</v>
      </c>
      <c r="BM452" s="103">
        <f t="shared" si="19"/>
        <v>0</v>
      </c>
      <c r="BN452" s="103">
        <f t="shared" si="20"/>
        <v>0</v>
      </c>
      <c r="BO452" s="113"/>
      <c r="BP452" s="111"/>
      <c r="BQ452" s="111"/>
      <c r="BR452" s="111"/>
      <c r="BS452" s="157">
        <v>2019</v>
      </c>
      <c r="BU452" t="s">
        <v>4180</v>
      </c>
    </row>
    <row r="453" spans="1:73" ht="43.15" customHeight="1" x14ac:dyDescent="0.25">
      <c r="A453" s="242" t="s">
        <v>749</v>
      </c>
      <c r="B453" s="242" t="s">
        <v>3541</v>
      </c>
      <c r="C453" s="159">
        <v>400</v>
      </c>
      <c r="D453" s="114">
        <v>43423</v>
      </c>
      <c r="E453" s="114">
        <v>43423</v>
      </c>
      <c r="F453" s="114"/>
      <c r="G453" s="114"/>
      <c r="H453" s="114">
        <v>43440</v>
      </c>
      <c r="I453" s="114">
        <v>43440</v>
      </c>
      <c r="J453" s="114">
        <v>43444</v>
      </c>
      <c r="K453" s="114"/>
      <c r="L453" s="114">
        <v>43496</v>
      </c>
      <c r="M453" s="114">
        <v>43452</v>
      </c>
      <c r="N453" s="114"/>
      <c r="O453" s="114">
        <v>43497</v>
      </c>
      <c r="P453" s="114">
        <v>43497</v>
      </c>
      <c r="Q453" s="114">
        <v>43500</v>
      </c>
      <c r="R453" s="80"/>
      <c r="S453" s="114"/>
      <c r="T453" s="75"/>
      <c r="U453" s="75"/>
      <c r="V453" s="75"/>
      <c r="W453" s="75">
        <v>2</v>
      </c>
      <c r="X453" s="75">
        <v>67517</v>
      </c>
      <c r="Y453" s="75" t="str">
        <f ca="1">IF(I453="",IF(D453="","",IF(W453+X453&lt;15,"Données Nb pers ou RFR manquantes",IF(COUNTA(INDIRECT("TabRFR["&amp;YEAR(D453)&amp;"]"))&lt;&gt;COUNTA(TabRFR[Recherche RFR]),"Data RFR manquantes", IF(X453&lt;=INDEX(TabRFR[[2021]:[2025]],MATCH(BD!W453&amp;"-Très modestes",TabRFR[Recherche RFR],0),MATCH(TEXT(YEAR(BD!D453),"Standard"),TabRFR[[#Headers],[2021]:[2025]],0)),"Très Modeste",IF(X453&lt;=INDEX(TabRFR[[2021]:[2025]],MATCH(BD!W453&amp;"-modestes",TabRFR[Recherche RFR],0),MATCH(TEXT(YEAR(BD!D453),"Standard"),TabRFR[[#Headers],[2021]:[2025]],0)),"Modeste",IF(X453&lt;=INDEX(TabRFR[[2021]:[2025]],MATCH(BD!W453&amp;"-Intermédiaire",TabRFR[Recherche RFR],0),MATCH(TEXT(YEAR(BD!D453),"Standard"),TabRFR[[#Headers],[2021]:[2025]],0)),"Intermédiaire","Supérieur")))))),IF(D453="","",IF(W453+X453&lt;15,"Données Nb pers ou RFR manquantes",IF(COUNTA(INDIRECT("TabRFR["&amp;YEAR(I453)&amp;"]"))&lt;&gt;COUNTA(TabRFR[Recherche RFR]),"Data RFR manquantes", IF(X453&lt;=INDEX(TabRFR[[2021]:[2025]],MATCH(BD!W453&amp;"-Très modestes",TabRFR[Recherche RFR],0),MATCH(TEXT(YEAR(BD!I453),"Standard"),TabRFR[[#Headers],[2021]:[2025]],0)),"Très Modeste",IF(X453&lt;=INDEX(TabRFR[[2021]:[2025]],MATCH(BD!W453&amp;"-modestes",TabRFR[Recherche RFR],0),MATCH(TEXT(YEAR(BD!I453),"Standard"),TabRFR[[#Headers],[2021]:[2025]],0)),"Modeste",IF(X453&lt;=INDEX(TabRFR[[2021]:[2025]],MATCH(BD!W453&amp;"-Intermédiaire",TabRFR[Recherche RFR],0),MATCH(TEXT(YEAR(BD!I453),"Standard"),TabRFR[[#Headers],[2021]:[2025]],0)),"Intermédiaire","Supérieur")))))))</f>
        <v>Data RFR manquantes</v>
      </c>
      <c r="Z453" s="75"/>
      <c r="AA453" s="75" t="s">
        <v>3540</v>
      </c>
      <c r="AB453" s="75">
        <v>38140</v>
      </c>
      <c r="AC453" s="75" t="s">
        <v>2357</v>
      </c>
      <c r="AD453" s="73"/>
      <c r="AE453" s="102"/>
      <c r="AF453" s="75" t="s">
        <v>95</v>
      </c>
      <c r="AG453" s="75"/>
      <c r="AH453" s="74">
        <v>31959</v>
      </c>
      <c r="AI453" s="75"/>
      <c r="AJ453" s="75"/>
      <c r="AK453" s="75"/>
      <c r="AL453" s="75"/>
      <c r="AM453" s="75" t="s">
        <v>4360</v>
      </c>
      <c r="AN453" s="75" t="s">
        <v>3539</v>
      </c>
      <c r="AO453" s="75" t="s">
        <v>3538</v>
      </c>
      <c r="AP453" s="75" t="s">
        <v>97</v>
      </c>
      <c r="AQ453" s="75"/>
      <c r="AR453" s="74">
        <v>43547</v>
      </c>
      <c r="AS453" s="102" t="s">
        <v>505</v>
      </c>
      <c r="AT453" s="73" t="s">
        <v>3537</v>
      </c>
      <c r="AU453" s="75" t="s">
        <v>111</v>
      </c>
      <c r="AV453" s="75">
        <v>1987</v>
      </c>
      <c r="AW453" s="75" t="s">
        <v>100</v>
      </c>
      <c r="AX453" s="75" t="s">
        <v>326</v>
      </c>
      <c r="AY453" s="75" t="s">
        <v>327</v>
      </c>
      <c r="AZ453" s="75" t="s">
        <v>3536</v>
      </c>
      <c r="BA453" s="75">
        <v>31</v>
      </c>
      <c r="BB453" s="75">
        <v>6.5</v>
      </c>
      <c r="BC453" s="75">
        <v>87.1</v>
      </c>
      <c r="BD453" s="75">
        <v>8.5999999999999993E-2</v>
      </c>
      <c r="BE453" s="75" t="s">
        <v>374</v>
      </c>
      <c r="BF453" s="75"/>
      <c r="BG453" s="75">
        <v>2357.27</v>
      </c>
      <c r="BH453" s="75"/>
      <c r="BI453" s="75"/>
      <c r="BJ453" s="75"/>
      <c r="BK453" s="75">
        <v>1608</v>
      </c>
      <c r="BL453" s="75">
        <f t="shared" si="18"/>
        <v>3965.27</v>
      </c>
      <c r="BM453" s="103">
        <f t="shared" si="19"/>
        <v>218.08985000000001</v>
      </c>
      <c r="BN453" s="103">
        <f t="shared" si="20"/>
        <v>4183.3598499999998</v>
      </c>
      <c r="BO453" s="103">
        <v>4183</v>
      </c>
      <c r="BP453" s="75" t="s">
        <v>97</v>
      </c>
      <c r="BQ453" s="75"/>
      <c r="BR453" s="75"/>
      <c r="BS453" s="157">
        <v>2019</v>
      </c>
      <c r="BT453">
        <v>2020</v>
      </c>
      <c r="BU453">
        <v>2019</v>
      </c>
    </row>
    <row r="454" spans="1:73" ht="43.15" customHeight="1" x14ac:dyDescent="0.25">
      <c r="A454" s="242" t="s">
        <v>749</v>
      </c>
      <c r="B454" s="242" t="s">
        <v>3535</v>
      </c>
      <c r="C454" s="159">
        <v>400</v>
      </c>
      <c r="D454" s="114">
        <v>43423</v>
      </c>
      <c r="E454" s="114">
        <v>43423</v>
      </c>
      <c r="F454" s="114"/>
      <c r="G454" s="114"/>
      <c r="H454" s="114">
        <v>43440</v>
      </c>
      <c r="I454" s="114">
        <v>43440</v>
      </c>
      <c r="J454" s="114">
        <v>43444</v>
      </c>
      <c r="K454" s="114"/>
      <c r="L454" s="114">
        <v>43514</v>
      </c>
      <c r="M454" s="114">
        <v>43494</v>
      </c>
      <c r="N454" s="114"/>
      <c r="O454" s="114">
        <v>43524</v>
      </c>
      <c r="P454" s="114">
        <v>43524</v>
      </c>
      <c r="Q454" s="114">
        <v>43525</v>
      </c>
      <c r="R454" s="80"/>
      <c r="S454" s="114"/>
      <c r="T454" s="75"/>
      <c r="U454" s="75"/>
      <c r="V454" s="75"/>
      <c r="W454" s="75">
        <v>4</v>
      </c>
      <c r="X454" s="75">
        <v>43844</v>
      </c>
      <c r="Y454" s="75" t="str">
        <f ca="1">IF(I454="",IF(D454="","",IF(W454+X454&lt;15,"Données Nb pers ou RFR manquantes",IF(COUNTA(INDIRECT("TabRFR["&amp;YEAR(D454)&amp;"]"))&lt;&gt;COUNTA(TabRFR[Recherche RFR]),"Data RFR manquantes", IF(X454&lt;=INDEX(TabRFR[[2021]:[2025]],MATCH(BD!W454&amp;"-Très modestes",TabRFR[Recherche RFR],0),MATCH(TEXT(YEAR(BD!D454),"Standard"),TabRFR[[#Headers],[2021]:[2025]],0)),"Très Modeste",IF(X454&lt;=INDEX(TabRFR[[2021]:[2025]],MATCH(BD!W454&amp;"-modestes",TabRFR[Recherche RFR],0),MATCH(TEXT(YEAR(BD!D454),"Standard"),TabRFR[[#Headers],[2021]:[2025]],0)),"Modeste",IF(X454&lt;=INDEX(TabRFR[[2021]:[2025]],MATCH(BD!W454&amp;"-Intermédiaire",TabRFR[Recherche RFR],0),MATCH(TEXT(YEAR(BD!D454),"Standard"),TabRFR[[#Headers],[2021]:[2025]],0)),"Intermédiaire","Supérieur")))))),IF(D454="","",IF(W454+X454&lt;15,"Données Nb pers ou RFR manquantes",IF(COUNTA(INDIRECT("TabRFR["&amp;YEAR(I454)&amp;"]"))&lt;&gt;COUNTA(TabRFR[Recherche RFR]),"Data RFR manquantes", IF(X454&lt;=INDEX(TabRFR[[2021]:[2025]],MATCH(BD!W454&amp;"-Très modestes",TabRFR[Recherche RFR],0),MATCH(TEXT(YEAR(BD!I454),"Standard"),TabRFR[[#Headers],[2021]:[2025]],0)),"Très Modeste",IF(X454&lt;=INDEX(TabRFR[[2021]:[2025]],MATCH(BD!W454&amp;"-modestes",TabRFR[Recherche RFR],0),MATCH(TEXT(YEAR(BD!I454),"Standard"),TabRFR[[#Headers],[2021]:[2025]],0)),"Modeste",IF(X454&lt;=INDEX(TabRFR[[2021]:[2025]],MATCH(BD!W454&amp;"-Intermédiaire",TabRFR[Recherche RFR],0),MATCH(TEXT(YEAR(BD!I454),"Standard"),TabRFR[[#Headers],[2021]:[2025]],0)),"Intermédiaire","Supérieur")))))))</f>
        <v>Data RFR manquantes</v>
      </c>
      <c r="Z454" s="75"/>
      <c r="AA454" s="75" t="s">
        <v>3534</v>
      </c>
      <c r="AB454" s="75">
        <v>38960</v>
      </c>
      <c r="AC454" s="75" t="s">
        <v>2378</v>
      </c>
      <c r="AD454" s="73"/>
      <c r="AE454" s="102"/>
      <c r="AF454" s="75" t="s">
        <v>95</v>
      </c>
      <c r="AG454" s="75"/>
      <c r="AH454" s="75">
        <v>1993</v>
      </c>
      <c r="AI454" s="75"/>
      <c r="AJ454" s="75"/>
      <c r="AK454" s="75"/>
      <c r="AL454" s="75"/>
      <c r="AM454" s="75" t="s">
        <v>1621</v>
      </c>
      <c r="AN454" s="75" t="s">
        <v>3966</v>
      </c>
      <c r="AO454" s="75"/>
      <c r="AP454" s="75" t="s">
        <v>97</v>
      </c>
      <c r="AQ454" s="75"/>
      <c r="AR454" s="74">
        <v>43825</v>
      </c>
      <c r="AS454" s="102" t="s">
        <v>1618</v>
      </c>
      <c r="AT454" s="73" t="s">
        <v>3533</v>
      </c>
      <c r="AU454" s="75" t="s">
        <v>430</v>
      </c>
      <c r="AV454" s="75">
        <v>2001</v>
      </c>
      <c r="AW454" s="75" t="s">
        <v>100</v>
      </c>
      <c r="AX454" s="75" t="s">
        <v>112</v>
      </c>
      <c r="AY454" s="75" t="s">
        <v>3532</v>
      </c>
      <c r="AZ454" s="75" t="s">
        <v>3531</v>
      </c>
      <c r="BA454" s="75">
        <v>35</v>
      </c>
      <c r="BB454" s="75">
        <v>11</v>
      </c>
      <c r="BC454" s="75">
        <v>82</v>
      </c>
      <c r="BD454" s="75">
        <v>7.0000000000000007E-2</v>
      </c>
      <c r="BE454" s="75" t="s">
        <v>97</v>
      </c>
      <c r="BF454" s="75"/>
      <c r="BG454" s="75">
        <v>2596</v>
      </c>
      <c r="BH454" s="75"/>
      <c r="BI454" s="75"/>
      <c r="BJ454" s="75"/>
      <c r="BK454" s="75">
        <v>550</v>
      </c>
      <c r="BL454" s="75">
        <f t="shared" ref="BL454:BL517" si="21">BG454+BK454</f>
        <v>3146</v>
      </c>
      <c r="BM454" s="103">
        <f t="shared" ref="BM454:BM517" si="22">BL454*0.055</f>
        <v>173.03</v>
      </c>
      <c r="BN454" s="103">
        <f t="shared" ref="BN454:BN517" si="23">BL454+BM454</f>
        <v>3319.03</v>
      </c>
      <c r="BO454" s="103">
        <v>3370</v>
      </c>
      <c r="BP454" s="75" t="s">
        <v>97</v>
      </c>
      <c r="BQ454" s="75"/>
      <c r="BR454" s="75"/>
      <c r="BS454" s="157">
        <v>2019</v>
      </c>
      <c r="BT454">
        <v>2020</v>
      </c>
      <c r="BU454">
        <v>2019</v>
      </c>
    </row>
    <row r="455" spans="1:73" ht="43.15" customHeight="1" x14ac:dyDescent="0.25">
      <c r="A455" s="241" t="s">
        <v>749</v>
      </c>
      <c r="B455" s="241" t="s">
        <v>3530</v>
      </c>
      <c r="C455" s="163">
        <v>400</v>
      </c>
      <c r="D455" s="76">
        <v>43423</v>
      </c>
      <c r="E455" s="76">
        <v>43423</v>
      </c>
      <c r="F455" s="76"/>
      <c r="G455" s="76"/>
      <c r="H455" s="76">
        <v>43440</v>
      </c>
      <c r="I455" s="76">
        <v>43440</v>
      </c>
      <c r="J455" s="76">
        <v>43444</v>
      </c>
      <c r="K455" s="218"/>
      <c r="L455" s="76">
        <v>43536</v>
      </c>
      <c r="M455" s="76">
        <v>43453</v>
      </c>
      <c r="N455" s="76" t="s">
        <v>3745</v>
      </c>
      <c r="O455" s="76">
        <v>43727</v>
      </c>
      <c r="P455" s="76">
        <v>43727</v>
      </c>
      <c r="Q455" s="76">
        <v>43746</v>
      </c>
      <c r="R455" s="82"/>
      <c r="S455" s="76"/>
      <c r="T455" s="77"/>
      <c r="U455" s="77"/>
      <c r="V455" s="77"/>
      <c r="W455" s="77">
        <v>4</v>
      </c>
      <c r="X455" s="77">
        <v>39308</v>
      </c>
      <c r="Y455" s="75" t="str">
        <f ca="1">IF(I455="",IF(D455="","",IF(W455+X455&lt;15,"Données Nb pers ou RFR manquantes",IF(COUNTA(INDIRECT("TabRFR["&amp;YEAR(D455)&amp;"]"))&lt;&gt;COUNTA(TabRFR[Recherche RFR]),"Data RFR manquantes", IF(X455&lt;=INDEX(TabRFR[[2021]:[2025]],MATCH(BD!W455&amp;"-Très modestes",TabRFR[Recherche RFR],0),MATCH(TEXT(YEAR(BD!D455),"Standard"),TabRFR[[#Headers],[2021]:[2025]],0)),"Très Modeste",IF(X455&lt;=INDEX(TabRFR[[2021]:[2025]],MATCH(BD!W455&amp;"-modestes",TabRFR[Recherche RFR],0),MATCH(TEXT(YEAR(BD!D455),"Standard"),TabRFR[[#Headers],[2021]:[2025]],0)),"Modeste",IF(X455&lt;=INDEX(TabRFR[[2021]:[2025]],MATCH(BD!W455&amp;"-Intermédiaire",TabRFR[Recherche RFR],0),MATCH(TEXT(YEAR(BD!D455),"Standard"),TabRFR[[#Headers],[2021]:[2025]],0)),"Intermédiaire","Supérieur")))))),IF(D455="","",IF(W455+X455&lt;15,"Données Nb pers ou RFR manquantes",IF(COUNTA(INDIRECT("TabRFR["&amp;YEAR(I455)&amp;"]"))&lt;&gt;COUNTA(TabRFR[Recherche RFR]),"Data RFR manquantes", IF(X455&lt;=INDEX(TabRFR[[2021]:[2025]],MATCH(BD!W455&amp;"-Très modestes",TabRFR[Recherche RFR],0),MATCH(TEXT(YEAR(BD!I455),"Standard"),TabRFR[[#Headers],[2021]:[2025]],0)),"Très Modeste",IF(X455&lt;=INDEX(TabRFR[[2021]:[2025]],MATCH(BD!W455&amp;"-modestes",TabRFR[Recherche RFR],0),MATCH(TEXT(YEAR(BD!I455),"Standard"),TabRFR[[#Headers],[2021]:[2025]],0)),"Modeste",IF(X455&lt;=INDEX(TabRFR[[2021]:[2025]],MATCH(BD!W455&amp;"-Intermédiaire",TabRFR[Recherche RFR],0),MATCH(TEXT(YEAR(BD!I455),"Standard"),TabRFR[[#Headers],[2021]:[2025]],0)),"Intermédiaire","Supérieur")))))))</f>
        <v>Data RFR manquantes</v>
      </c>
      <c r="Z455" s="77"/>
      <c r="AA455" s="77" t="s">
        <v>2017</v>
      </c>
      <c r="AB455" s="77">
        <v>38960</v>
      </c>
      <c r="AC455" s="77" t="s">
        <v>2378</v>
      </c>
      <c r="AD455" s="78"/>
      <c r="AE455" s="102"/>
      <c r="AF455" s="77" t="s">
        <v>95</v>
      </c>
      <c r="AG455" s="77"/>
      <c r="AH455" s="77">
        <v>2001</v>
      </c>
      <c r="AI455" s="77"/>
      <c r="AJ455" s="77"/>
      <c r="AK455" s="77"/>
      <c r="AL455" s="77"/>
      <c r="AM455" s="77" t="s">
        <v>4356</v>
      </c>
      <c r="AN455" s="77" t="s">
        <v>96</v>
      </c>
      <c r="AO455" s="77" t="s">
        <v>3477</v>
      </c>
      <c r="AP455" s="77" t="s">
        <v>97</v>
      </c>
      <c r="AQ455" s="77"/>
      <c r="AR455" s="79">
        <v>43772</v>
      </c>
      <c r="AS455" s="102" t="s">
        <v>120</v>
      </c>
      <c r="AT455" s="78" t="s">
        <v>658</v>
      </c>
      <c r="AU455" s="77" t="s">
        <v>430</v>
      </c>
      <c r="AV455" s="77">
        <v>2001</v>
      </c>
      <c r="AW455" s="77" t="s">
        <v>100</v>
      </c>
      <c r="AX455" s="75" t="s">
        <v>2071</v>
      </c>
      <c r="AY455" s="77" t="s">
        <v>102</v>
      </c>
      <c r="AZ455" s="77" t="s">
        <v>103</v>
      </c>
      <c r="BA455" s="77">
        <v>18</v>
      </c>
      <c r="BB455" s="77">
        <v>10</v>
      </c>
      <c r="BC455" s="77">
        <v>90.4</v>
      </c>
      <c r="BD455" s="77">
        <v>0</v>
      </c>
      <c r="BE455" s="77" t="s">
        <v>97</v>
      </c>
      <c r="BF455" s="77"/>
      <c r="BG455" s="77">
        <v>2881.52</v>
      </c>
      <c r="BH455" s="77"/>
      <c r="BI455" s="77"/>
      <c r="BJ455" s="77"/>
      <c r="BK455" s="77">
        <v>450</v>
      </c>
      <c r="BL455" s="75">
        <f t="shared" si="21"/>
        <v>3331.52</v>
      </c>
      <c r="BM455" s="103">
        <f t="shared" si="22"/>
        <v>183.2336</v>
      </c>
      <c r="BN455" s="103">
        <f t="shared" si="23"/>
        <v>3514.7536</v>
      </c>
      <c r="BO455" s="80"/>
      <c r="BP455" s="77" t="s">
        <v>104</v>
      </c>
      <c r="BQ455" s="77"/>
      <c r="BR455" s="77"/>
      <c r="BS455" s="157">
        <v>2019</v>
      </c>
      <c r="BU455">
        <v>2019</v>
      </c>
    </row>
    <row r="456" spans="1:73" ht="43.15" customHeight="1" x14ac:dyDescent="0.25">
      <c r="A456" s="242" t="s">
        <v>749</v>
      </c>
      <c r="B456" s="242" t="s">
        <v>3529</v>
      </c>
      <c r="C456" s="159">
        <v>400</v>
      </c>
      <c r="D456" s="114">
        <v>43424</v>
      </c>
      <c r="E456" s="114">
        <v>43424</v>
      </c>
      <c r="F456" s="114"/>
      <c r="G456" s="114" t="s">
        <v>3525</v>
      </c>
      <c r="H456" s="114">
        <v>43447</v>
      </c>
      <c r="I456" s="114">
        <v>43447</v>
      </c>
      <c r="J456" s="114">
        <v>43454</v>
      </c>
      <c r="K456" s="76"/>
      <c r="L456" s="114">
        <v>43517</v>
      </c>
      <c r="M456" s="114">
        <v>43481</v>
      </c>
      <c r="N456" s="114" t="s">
        <v>3528</v>
      </c>
      <c r="O456" s="114">
        <v>43550</v>
      </c>
      <c r="P456" s="114">
        <v>43550</v>
      </c>
      <c r="Q456" s="114">
        <v>43564</v>
      </c>
      <c r="R456" s="80"/>
      <c r="S456" s="114"/>
      <c r="T456" s="75"/>
      <c r="U456" s="75"/>
      <c r="V456" s="75"/>
      <c r="W456" s="75">
        <v>3</v>
      </c>
      <c r="X456" s="75">
        <v>38606</v>
      </c>
      <c r="Y456" s="75" t="str">
        <f ca="1">IF(I456="",IF(D456="","",IF(W456+X456&lt;15,"Données Nb pers ou RFR manquantes",IF(COUNTA(INDIRECT("TabRFR["&amp;YEAR(D456)&amp;"]"))&lt;&gt;COUNTA(TabRFR[Recherche RFR]),"Data RFR manquantes", IF(X456&lt;=INDEX(TabRFR[[2021]:[2025]],MATCH(BD!W456&amp;"-Très modestes",TabRFR[Recherche RFR],0),MATCH(TEXT(YEAR(BD!D456),"Standard"),TabRFR[[#Headers],[2021]:[2025]],0)),"Très Modeste",IF(X456&lt;=INDEX(TabRFR[[2021]:[2025]],MATCH(BD!W456&amp;"-modestes",TabRFR[Recherche RFR],0),MATCH(TEXT(YEAR(BD!D456),"Standard"),TabRFR[[#Headers],[2021]:[2025]],0)),"Modeste",IF(X456&lt;=INDEX(TabRFR[[2021]:[2025]],MATCH(BD!W456&amp;"-Intermédiaire",TabRFR[Recherche RFR],0),MATCH(TEXT(YEAR(BD!D456),"Standard"),TabRFR[[#Headers],[2021]:[2025]],0)),"Intermédiaire","Supérieur")))))),IF(D456="","",IF(W456+X456&lt;15,"Données Nb pers ou RFR manquantes",IF(COUNTA(INDIRECT("TabRFR["&amp;YEAR(I456)&amp;"]"))&lt;&gt;COUNTA(TabRFR[Recherche RFR]),"Data RFR manquantes", IF(X456&lt;=INDEX(TabRFR[[2021]:[2025]],MATCH(BD!W456&amp;"-Très modestes",TabRFR[Recherche RFR],0),MATCH(TEXT(YEAR(BD!I456),"Standard"),TabRFR[[#Headers],[2021]:[2025]],0)),"Très Modeste",IF(X456&lt;=INDEX(TabRFR[[2021]:[2025]],MATCH(BD!W456&amp;"-modestes",TabRFR[Recherche RFR],0),MATCH(TEXT(YEAR(BD!I456),"Standard"),TabRFR[[#Headers],[2021]:[2025]],0)),"Modeste",IF(X456&lt;=INDEX(TabRFR[[2021]:[2025]],MATCH(BD!W456&amp;"-Intermédiaire",TabRFR[Recherche RFR],0),MATCH(TEXT(YEAR(BD!I456),"Standard"),TabRFR[[#Headers],[2021]:[2025]],0)),"Intermédiaire","Supérieur")))))))</f>
        <v>Data RFR manquantes</v>
      </c>
      <c r="Z456" s="75"/>
      <c r="AA456" s="75" t="s">
        <v>3527</v>
      </c>
      <c r="AB456" s="75">
        <v>38960</v>
      </c>
      <c r="AC456" s="75" t="s">
        <v>2378</v>
      </c>
      <c r="AD456" s="101"/>
      <c r="AE456" s="102"/>
      <c r="AF456" s="75" t="s">
        <v>95</v>
      </c>
      <c r="AG456" s="75"/>
      <c r="AH456" s="75">
        <v>43344</v>
      </c>
      <c r="AI456" s="75"/>
      <c r="AJ456" s="75"/>
      <c r="AK456" s="75"/>
      <c r="AL456" s="75"/>
      <c r="AM456" s="75" t="s">
        <v>3973</v>
      </c>
      <c r="AN456" s="75" t="s">
        <v>96</v>
      </c>
      <c r="AO456" s="75" t="s">
        <v>9</v>
      </c>
      <c r="AP456" s="75" t="s">
        <v>97</v>
      </c>
      <c r="AQ456" s="75"/>
      <c r="AR456" s="74">
        <v>43726</v>
      </c>
      <c r="AS456" s="102" t="s">
        <v>141</v>
      </c>
      <c r="AT456" s="101" t="s">
        <v>820</v>
      </c>
      <c r="AU456" s="75" t="s">
        <v>100</v>
      </c>
      <c r="AV456" s="75">
        <v>1999</v>
      </c>
      <c r="AW456" s="75" t="s">
        <v>100</v>
      </c>
      <c r="AX456" s="75" t="s">
        <v>112</v>
      </c>
      <c r="AY456" s="75" t="s">
        <v>144</v>
      </c>
      <c r="AZ456" s="75" t="s">
        <v>547</v>
      </c>
      <c r="BA456" s="75">
        <v>35</v>
      </c>
      <c r="BB456" s="75">
        <v>5.9</v>
      </c>
      <c r="BC456" s="75">
        <v>80</v>
      </c>
      <c r="BD456" s="75">
        <v>0.09</v>
      </c>
      <c r="BE456" s="75" t="s">
        <v>97</v>
      </c>
      <c r="BF456" s="75"/>
      <c r="BG456" s="75">
        <v>1790</v>
      </c>
      <c r="BH456" s="77"/>
      <c r="BI456" s="77"/>
      <c r="BJ456" s="77"/>
      <c r="BK456" s="75">
        <v>451</v>
      </c>
      <c r="BL456" s="75">
        <f t="shared" si="21"/>
        <v>2241</v>
      </c>
      <c r="BM456" s="103">
        <f t="shared" si="22"/>
        <v>123.255</v>
      </c>
      <c r="BN456" s="103">
        <f t="shared" si="23"/>
        <v>2364.2550000000001</v>
      </c>
      <c r="BO456" s="103">
        <v>3755</v>
      </c>
      <c r="BP456" s="75" t="s">
        <v>104</v>
      </c>
      <c r="BQ456" s="75"/>
      <c r="BR456" s="75"/>
      <c r="BS456" s="157">
        <v>2019</v>
      </c>
      <c r="BT456">
        <v>2020</v>
      </c>
      <c r="BU456">
        <v>2019</v>
      </c>
    </row>
    <row r="457" spans="1:73" ht="43.15" customHeight="1" x14ac:dyDescent="0.25">
      <c r="A457" s="242" t="s">
        <v>749</v>
      </c>
      <c r="B457" s="242" t="s">
        <v>3526</v>
      </c>
      <c r="C457" s="159">
        <v>400</v>
      </c>
      <c r="D457" s="114">
        <v>43424</v>
      </c>
      <c r="E457" s="114">
        <v>43424</v>
      </c>
      <c r="F457" s="114"/>
      <c r="G457" s="114" t="s">
        <v>3525</v>
      </c>
      <c r="H457" s="114">
        <v>43447</v>
      </c>
      <c r="I457" s="114">
        <v>43447</v>
      </c>
      <c r="J457" s="114">
        <v>43454</v>
      </c>
      <c r="K457" s="114"/>
      <c r="L457" s="114">
        <v>43514</v>
      </c>
      <c r="M457" s="114">
        <v>43504</v>
      </c>
      <c r="N457" s="114" t="s">
        <v>3524</v>
      </c>
      <c r="O457" s="114">
        <v>43525</v>
      </c>
      <c r="P457" s="114">
        <v>43528</v>
      </c>
      <c r="Q457" s="114">
        <v>43537</v>
      </c>
      <c r="R457" s="80"/>
      <c r="S457" s="114"/>
      <c r="T457" s="75"/>
      <c r="U457" s="75"/>
      <c r="V457" s="75"/>
      <c r="W457" s="75">
        <v>2</v>
      </c>
      <c r="X457" s="75">
        <v>36872</v>
      </c>
      <c r="Y457" s="75" t="str">
        <f ca="1">IF(I457="",IF(D457="","",IF(W457+X457&lt;15,"Données Nb pers ou RFR manquantes",IF(COUNTA(INDIRECT("TabRFR["&amp;YEAR(D457)&amp;"]"))&lt;&gt;COUNTA(TabRFR[Recherche RFR]),"Data RFR manquantes", IF(X457&lt;=INDEX(TabRFR[[2021]:[2025]],MATCH(BD!W457&amp;"-Très modestes",TabRFR[Recherche RFR],0),MATCH(TEXT(YEAR(BD!D457),"Standard"),TabRFR[[#Headers],[2021]:[2025]],0)),"Très Modeste",IF(X457&lt;=INDEX(TabRFR[[2021]:[2025]],MATCH(BD!W457&amp;"-modestes",TabRFR[Recherche RFR],0),MATCH(TEXT(YEAR(BD!D457),"Standard"),TabRFR[[#Headers],[2021]:[2025]],0)),"Modeste",IF(X457&lt;=INDEX(TabRFR[[2021]:[2025]],MATCH(BD!W457&amp;"-Intermédiaire",TabRFR[Recherche RFR],0),MATCH(TEXT(YEAR(BD!D457),"Standard"),TabRFR[[#Headers],[2021]:[2025]],0)),"Intermédiaire","Supérieur")))))),IF(D457="","",IF(W457+X457&lt;15,"Données Nb pers ou RFR manquantes",IF(COUNTA(INDIRECT("TabRFR["&amp;YEAR(I457)&amp;"]"))&lt;&gt;COUNTA(TabRFR[Recherche RFR]),"Data RFR manquantes", IF(X457&lt;=INDEX(TabRFR[[2021]:[2025]],MATCH(BD!W457&amp;"-Très modestes",TabRFR[Recherche RFR],0),MATCH(TEXT(YEAR(BD!I457),"Standard"),TabRFR[[#Headers],[2021]:[2025]],0)),"Très Modeste",IF(X457&lt;=INDEX(TabRFR[[2021]:[2025]],MATCH(BD!W457&amp;"-modestes",TabRFR[Recherche RFR],0),MATCH(TEXT(YEAR(BD!I457),"Standard"),TabRFR[[#Headers],[2021]:[2025]],0)),"Modeste",IF(X457&lt;=INDEX(TabRFR[[2021]:[2025]],MATCH(BD!W457&amp;"-Intermédiaire",TabRFR[Recherche RFR],0),MATCH(TEXT(YEAR(BD!I457),"Standard"),TabRFR[[#Headers],[2021]:[2025]],0)),"Intermédiaire","Supérieur")))))))</f>
        <v>Data RFR manquantes</v>
      </c>
      <c r="Z457" s="75"/>
      <c r="AA457" s="75" t="s">
        <v>3523</v>
      </c>
      <c r="AB457" s="75">
        <v>38500</v>
      </c>
      <c r="AC457" s="75" t="s">
        <v>2873</v>
      </c>
      <c r="AD457" s="73"/>
      <c r="AE457" s="102"/>
      <c r="AF457" s="75" t="s">
        <v>95</v>
      </c>
      <c r="AG457" s="75"/>
      <c r="AH457" s="74">
        <v>43389</v>
      </c>
      <c r="AI457" s="75"/>
      <c r="AJ457" s="75"/>
      <c r="AK457" s="75"/>
      <c r="AL457" s="75"/>
      <c r="AM457" s="75" t="s">
        <v>218</v>
      </c>
      <c r="AN457" s="75" t="s">
        <v>217</v>
      </c>
      <c r="AO457" s="75" t="s">
        <v>219</v>
      </c>
      <c r="AP457" s="75" t="s">
        <v>97</v>
      </c>
      <c r="AQ457" s="75"/>
      <c r="AR457" s="74">
        <v>43764</v>
      </c>
      <c r="AS457" s="102" t="s">
        <v>220</v>
      </c>
      <c r="AT457" s="73" t="s">
        <v>620</v>
      </c>
      <c r="AU457" s="75" t="s">
        <v>430</v>
      </c>
      <c r="AV457" s="75" t="s">
        <v>173</v>
      </c>
      <c r="AW457" s="75" t="s">
        <v>100</v>
      </c>
      <c r="AX457" s="75" t="s">
        <v>112</v>
      </c>
      <c r="AY457" s="75" t="s">
        <v>121</v>
      </c>
      <c r="AZ457" s="75" t="s">
        <v>1011</v>
      </c>
      <c r="BA457" s="75">
        <v>22</v>
      </c>
      <c r="BB457" s="75">
        <v>7</v>
      </c>
      <c r="BC457" s="75">
        <v>80</v>
      </c>
      <c r="BD457" s="75">
        <v>0.08</v>
      </c>
      <c r="BE457" s="75" t="s">
        <v>97</v>
      </c>
      <c r="BF457" s="75"/>
      <c r="BG457" s="75">
        <v>3014</v>
      </c>
      <c r="BH457" s="75"/>
      <c r="BI457" s="75"/>
      <c r="BJ457" s="75"/>
      <c r="BK457" s="75">
        <v>774.09</v>
      </c>
      <c r="BL457" s="75">
        <f t="shared" si="21"/>
        <v>3788.09</v>
      </c>
      <c r="BM457" s="103">
        <f t="shared" si="22"/>
        <v>208.34495000000001</v>
      </c>
      <c r="BN457" s="103">
        <f t="shared" si="23"/>
        <v>3996.4349500000003</v>
      </c>
      <c r="BO457" s="103">
        <v>3996.48</v>
      </c>
      <c r="BP457" s="75" t="s">
        <v>97</v>
      </c>
      <c r="BQ457" s="75"/>
      <c r="BR457" s="75"/>
      <c r="BS457" s="157">
        <v>2019</v>
      </c>
      <c r="BT457">
        <v>2020</v>
      </c>
      <c r="BU457">
        <v>2019</v>
      </c>
    </row>
    <row r="458" spans="1:73" ht="43.15" customHeight="1" x14ac:dyDescent="0.25">
      <c r="A458" s="31" t="s">
        <v>749</v>
      </c>
      <c r="B458" s="31" t="s">
        <v>3522</v>
      </c>
      <c r="C458" s="163" t="s">
        <v>9</v>
      </c>
      <c r="D458" s="76">
        <v>43424</v>
      </c>
      <c r="E458" s="76"/>
      <c r="F458" s="76">
        <v>43451</v>
      </c>
      <c r="G458" s="76" t="s">
        <v>3521</v>
      </c>
      <c r="H458" s="76"/>
      <c r="I458" s="76"/>
      <c r="J458" s="76"/>
      <c r="K458" s="218"/>
      <c r="L458" s="76"/>
      <c r="M458" s="76"/>
      <c r="N458" s="76"/>
      <c r="O458" s="76"/>
      <c r="P458" s="76"/>
      <c r="Q458" s="76"/>
      <c r="R458" s="82"/>
      <c r="S458" s="76">
        <v>43699</v>
      </c>
      <c r="T458" s="77" t="s">
        <v>3737</v>
      </c>
      <c r="U458" s="77"/>
      <c r="V458" s="77"/>
      <c r="W458" s="77">
        <v>2</v>
      </c>
      <c r="X458" s="77" t="s">
        <v>9</v>
      </c>
      <c r="Y458" s="75" t="e">
        <f ca="1">IF(I458="",IF(D458="","",IF(W458+X458&lt;15,"Données Nb pers ou RFR manquantes",IF(COUNTA(INDIRECT("TabRFR["&amp;YEAR(D458)&amp;"]"))&lt;&gt;COUNTA(TabRFR[Recherche RFR]),"Data RFR manquantes", IF(X458&lt;=INDEX(TabRFR[[2021]:[2025]],MATCH(BD!W458&amp;"-Très modestes",TabRFR[Recherche RFR],0),MATCH(TEXT(YEAR(BD!D458),"Standard"),TabRFR[[#Headers],[2021]:[2025]],0)),"Très Modeste",IF(X458&lt;=INDEX(TabRFR[[2021]:[2025]],MATCH(BD!W458&amp;"-modestes",TabRFR[Recherche RFR],0),MATCH(TEXT(YEAR(BD!D458),"Standard"),TabRFR[[#Headers],[2021]:[2025]],0)),"Modeste",IF(X458&lt;=INDEX(TabRFR[[2021]:[2025]],MATCH(BD!W458&amp;"-Intermédiaire",TabRFR[Recherche RFR],0),MATCH(TEXT(YEAR(BD!D458),"Standard"),TabRFR[[#Headers],[2021]:[2025]],0)),"Intermédiaire","Supérieur")))))),IF(D458="","",IF(W458+X458&lt;15,"Données Nb pers ou RFR manquantes",IF(COUNTA(INDIRECT("TabRFR["&amp;YEAR(I458)&amp;"]"))&lt;&gt;COUNTA(TabRFR[Recherche RFR]),"Data RFR manquantes", IF(X458&lt;=INDEX(TabRFR[[2021]:[2025]],MATCH(BD!W458&amp;"-Très modestes",TabRFR[Recherche RFR],0),MATCH(TEXT(YEAR(BD!I458),"Standard"),TabRFR[[#Headers],[2021]:[2025]],0)),"Très Modeste",IF(X458&lt;=INDEX(TabRFR[[2021]:[2025]],MATCH(BD!W458&amp;"-modestes",TabRFR[Recherche RFR],0),MATCH(TEXT(YEAR(BD!I458),"Standard"),TabRFR[[#Headers],[2021]:[2025]],0)),"Modeste",IF(X458&lt;=INDEX(TabRFR[[2021]:[2025]],MATCH(BD!W458&amp;"-Intermédiaire",TabRFR[Recherche RFR],0),MATCH(TEXT(YEAR(BD!I458),"Standard"),TabRFR[[#Headers],[2021]:[2025]],0)),"Intermédiaire","Supérieur")))))))</f>
        <v>#VALUE!</v>
      </c>
      <c r="Z458" s="77"/>
      <c r="AA458" s="77" t="s">
        <v>3520</v>
      </c>
      <c r="AB458" s="77">
        <v>38210</v>
      </c>
      <c r="AC458" s="77" t="s">
        <v>445</v>
      </c>
      <c r="AD458" s="78"/>
      <c r="AE458" s="102"/>
      <c r="AF458" s="77" t="s">
        <v>95</v>
      </c>
      <c r="AG458" s="77"/>
      <c r="AH458" s="77"/>
      <c r="AI458" s="77"/>
      <c r="AJ458" s="77"/>
      <c r="AK458" s="77"/>
      <c r="AL458" s="77"/>
      <c r="AM458" s="77" t="s">
        <v>4356</v>
      </c>
      <c r="AN458" s="77" t="s">
        <v>96</v>
      </c>
      <c r="AO458" s="77" t="s">
        <v>3455</v>
      </c>
      <c r="AP458" s="77"/>
      <c r="AQ458" s="77"/>
      <c r="AR458" s="79"/>
      <c r="AS458" s="102" t="s">
        <v>120</v>
      </c>
      <c r="AT458" s="78" t="s">
        <v>658</v>
      </c>
      <c r="AU458" s="77" t="s">
        <v>111</v>
      </c>
      <c r="AV458" s="77">
        <v>1980</v>
      </c>
      <c r="AW458" s="77" t="s">
        <v>100</v>
      </c>
      <c r="AX458" s="77" t="s">
        <v>112</v>
      </c>
      <c r="AY458" s="77" t="s">
        <v>907</v>
      </c>
      <c r="AZ458" s="77" t="s">
        <v>3320</v>
      </c>
      <c r="BA458" s="77"/>
      <c r="BB458" s="77"/>
      <c r="BC458" s="77"/>
      <c r="BD458" s="77"/>
      <c r="BE458" s="77"/>
      <c r="BF458" s="77"/>
      <c r="BG458" s="77"/>
      <c r="BH458" s="77"/>
      <c r="BI458" s="77"/>
      <c r="BJ458" s="77"/>
      <c r="BK458" s="77"/>
      <c r="BL458" s="75">
        <f t="shared" si="21"/>
        <v>0</v>
      </c>
      <c r="BM458" s="103">
        <f t="shared" si="22"/>
        <v>0</v>
      </c>
      <c r="BN458" s="103">
        <f t="shared" si="23"/>
        <v>0</v>
      </c>
      <c r="BO458" s="80"/>
      <c r="BP458" s="77" t="s">
        <v>97</v>
      </c>
      <c r="BQ458" s="77"/>
      <c r="BR458" s="77"/>
      <c r="BS458" s="157">
        <v>2019</v>
      </c>
      <c r="BU458" t="s">
        <v>4180</v>
      </c>
    </row>
    <row r="459" spans="1:73" ht="43.15" customHeight="1" x14ac:dyDescent="0.25">
      <c r="A459" s="242" t="s">
        <v>749</v>
      </c>
      <c r="B459" s="242" t="s">
        <v>3519</v>
      </c>
      <c r="C459" s="159">
        <v>400</v>
      </c>
      <c r="D459" s="114">
        <v>43424</v>
      </c>
      <c r="E459" s="114">
        <v>43424</v>
      </c>
      <c r="F459" s="114">
        <v>43447</v>
      </c>
      <c r="G459" s="114"/>
      <c r="H459" s="114">
        <v>43451</v>
      </c>
      <c r="I459" s="114">
        <v>43451</v>
      </c>
      <c r="J459" s="114">
        <v>43454</v>
      </c>
      <c r="K459" s="114"/>
      <c r="L459" s="114">
        <v>43496</v>
      </c>
      <c r="M459" s="114">
        <v>43469</v>
      </c>
      <c r="N459" s="114"/>
      <c r="O459" s="114">
        <v>43497</v>
      </c>
      <c r="P459" s="114">
        <v>43497</v>
      </c>
      <c r="Q459" s="114">
        <v>43500</v>
      </c>
      <c r="R459" s="80"/>
      <c r="S459" s="114"/>
      <c r="T459" s="75"/>
      <c r="U459" s="75"/>
      <c r="V459" s="75"/>
      <c r="W459" s="75">
        <v>3</v>
      </c>
      <c r="X459" s="75">
        <v>53608</v>
      </c>
      <c r="Y459" s="75" t="str">
        <f ca="1">IF(I459="",IF(D459="","",IF(W459+X459&lt;15,"Données Nb pers ou RFR manquantes",IF(COUNTA(INDIRECT("TabRFR["&amp;YEAR(D459)&amp;"]"))&lt;&gt;COUNTA(TabRFR[Recherche RFR]),"Data RFR manquantes", IF(X459&lt;=INDEX(TabRFR[[2021]:[2025]],MATCH(BD!W459&amp;"-Très modestes",TabRFR[Recherche RFR],0),MATCH(TEXT(YEAR(BD!D459),"Standard"),TabRFR[[#Headers],[2021]:[2025]],0)),"Très Modeste",IF(X459&lt;=INDEX(TabRFR[[2021]:[2025]],MATCH(BD!W459&amp;"-modestes",TabRFR[Recherche RFR],0),MATCH(TEXT(YEAR(BD!D459),"Standard"),TabRFR[[#Headers],[2021]:[2025]],0)),"Modeste",IF(X459&lt;=INDEX(TabRFR[[2021]:[2025]],MATCH(BD!W459&amp;"-Intermédiaire",TabRFR[Recherche RFR],0),MATCH(TEXT(YEAR(BD!D459),"Standard"),TabRFR[[#Headers],[2021]:[2025]],0)),"Intermédiaire","Supérieur")))))),IF(D459="","",IF(W459+X459&lt;15,"Données Nb pers ou RFR manquantes",IF(COUNTA(INDIRECT("TabRFR["&amp;YEAR(I459)&amp;"]"))&lt;&gt;COUNTA(TabRFR[Recherche RFR]),"Data RFR manquantes", IF(X459&lt;=INDEX(TabRFR[[2021]:[2025]],MATCH(BD!W459&amp;"-Très modestes",TabRFR[Recherche RFR],0),MATCH(TEXT(YEAR(BD!I459),"Standard"),TabRFR[[#Headers],[2021]:[2025]],0)),"Très Modeste",IF(X459&lt;=INDEX(TabRFR[[2021]:[2025]],MATCH(BD!W459&amp;"-modestes",TabRFR[Recherche RFR],0),MATCH(TEXT(YEAR(BD!I459),"Standard"),TabRFR[[#Headers],[2021]:[2025]],0)),"Modeste",IF(X459&lt;=INDEX(TabRFR[[2021]:[2025]],MATCH(BD!W459&amp;"-Intermédiaire",TabRFR[Recherche RFR],0),MATCH(TEXT(YEAR(BD!I459),"Standard"),TabRFR[[#Headers],[2021]:[2025]],0)),"Intermédiaire","Supérieur")))))))</f>
        <v>Data RFR manquantes</v>
      </c>
      <c r="Z459" s="75"/>
      <c r="AA459" s="75" t="s">
        <v>3518</v>
      </c>
      <c r="AB459" s="75">
        <v>38340</v>
      </c>
      <c r="AC459" s="75" t="s">
        <v>108</v>
      </c>
      <c r="AD459" s="73"/>
      <c r="AE459" s="102"/>
      <c r="AF459" s="75" t="s">
        <v>95</v>
      </c>
      <c r="AG459" s="75"/>
      <c r="AH459" s="75"/>
      <c r="AI459" s="75"/>
      <c r="AJ459" s="75"/>
      <c r="AK459" s="75"/>
      <c r="AL459" s="75"/>
      <c r="AM459" s="75" t="s">
        <v>4035</v>
      </c>
      <c r="AN459" s="75" t="s">
        <v>108</v>
      </c>
      <c r="AO459" s="75" t="s">
        <v>3486</v>
      </c>
      <c r="AP459" s="75" t="s">
        <v>97</v>
      </c>
      <c r="AQ459" s="75"/>
      <c r="AR459" s="74">
        <v>43705</v>
      </c>
      <c r="AS459" s="102" t="s">
        <v>110</v>
      </c>
      <c r="AT459" s="73" t="s">
        <v>616</v>
      </c>
      <c r="AU459" s="75" t="s">
        <v>100</v>
      </c>
      <c r="AV459" s="75" t="s">
        <v>173</v>
      </c>
      <c r="AW459" s="75" t="s">
        <v>100</v>
      </c>
      <c r="AX459" s="75" t="s">
        <v>112</v>
      </c>
      <c r="AY459" s="75" t="s">
        <v>1896</v>
      </c>
      <c r="AZ459" s="75" t="s">
        <v>3517</v>
      </c>
      <c r="BA459" s="75">
        <v>35</v>
      </c>
      <c r="BB459" s="75">
        <v>5.9</v>
      </c>
      <c r="BC459" s="75">
        <v>80.2</v>
      </c>
      <c r="BD459" s="75">
        <v>0.09</v>
      </c>
      <c r="BE459" s="75" t="s">
        <v>97</v>
      </c>
      <c r="BF459" s="75"/>
      <c r="BG459" s="75">
        <v>2916</v>
      </c>
      <c r="BH459" s="75"/>
      <c r="BI459" s="75"/>
      <c r="BJ459" s="75"/>
      <c r="BK459" s="75">
        <v>400</v>
      </c>
      <c r="BL459" s="75">
        <f t="shared" si="21"/>
        <v>3316</v>
      </c>
      <c r="BM459" s="103">
        <f t="shared" si="22"/>
        <v>182.38</v>
      </c>
      <c r="BN459" s="103">
        <f t="shared" si="23"/>
        <v>3498.38</v>
      </c>
      <c r="BO459" s="103">
        <f>4133+2200</f>
        <v>6333</v>
      </c>
      <c r="BP459" s="75" t="s">
        <v>3516</v>
      </c>
      <c r="BQ459" s="75"/>
      <c r="BR459" s="75"/>
      <c r="BS459" s="157">
        <v>2019</v>
      </c>
      <c r="BT459">
        <v>2020</v>
      </c>
      <c r="BU459">
        <v>2019</v>
      </c>
    </row>
    <row r="460" spans="1:73" ht="43.15" customHeight="1" x14ac:dyDescent="0.25">
      <c r="A460" s="242" t="s">
        <v>749</v>
      </c>
      <c r="B460" s="242" t="s">
        <v>3515</v>
      </c>
      <c r="C460" s="159">
        <v>800</v>
      </c>
      <c r="D460" s="114">
        <v>43426</v>
      </c>
      <c r="E460" s="114">
        <v>43426</v>
      </c>
      <c r="F460" s="114"/>
      <c r="G460" s="114"/>
      <c r="H460" s="114">
        <v>43451</v>
      </c>
      <c r="I460" s="114">
        <v>43451</v>
      </c>
      <c r="J460" s="114">
        <v>43454</v>
      </c>
      <c r="K460" s="114"/>
      <c r="L460" s="114">
        <v>43544</v>
      </c>
      <c r="M460" s="114">
        <v>43830</v>
      </c>
      <c r="N460" s="114"/>
      <c r="O460" s="114">
        <v>43565</v>
      </c>
      <c r="P460" s="114">
        <v>43565</v>
      </c>
      <c r="Q460" s="114">
        <v>43566</v>
      </c>
      <c r="R460" s="100"/>
      <c r="S460" s="114"/>
      <c r="T460" s="75"/>
      <c r="U460" s="75"/>
      <c r="V460" s="75"/>
      <c r="W460" s="75">
        <v>1</v>
      </c>
      <c r="X460" s="75">
        <v>15225</v>
      </c>
      <c r="Y460" s="75" t="str">
        <f ca="1">IF(I460="",IF(D460="","",IF(W460+X460&lt;15,"Données Nb pers ou RFR manquantes",IF(COUNTA(INDIRECT("TabRFR["&amp;YEAR(D460)&amp;"]"))&lt;&gt;COUNTA(TabRFR[Recherche RFR]),"Data RFR manquantes", IF(X460&lt;=INDEX(TabRFR[[2021]:[2025]],MATCH(BD!W460&amp;"-Très modestes",TabRFR[Recherche RFR],0),MATCH(TEXT(YEAR(BD!D460),"Standard"),TabRFR[[#Headers],[2021]:[2025]],0)),"Très Modeste",IF(X460&lt;=INDEX(TabRFR[[2021]:[2025]],MATCH(BD!W460&amp;"-modestes",TabRFR[Recherche RFR],0),MATCH(TEXT(YEAR(BD!D460),"Standard"),TabRFR[[#Headers],[2021]:[2025]],0)),"Modeste",IF(X460&lt;=INDEX(TabRFR[[2021]:[2025]],MATCH(BD!W460&amp;"-Intermédiaire",TabRFR[Recherche RFR],0),MATCH(TEXT(YEAR(BD!D460),"Standard"),TabRFR[[#Headers],[2021]:[2025]],0)),"Intermédiaire","Supérieur")))))),IF(D460="","",IF(W460+X460&lt;15,"Données Nb pers ou RFR manquantes",IF(COUNTA(INDIRECT("TabRFR["&amp;YEAR(I460)&amp;"]"))&lt;&gt;COUNTA(TabRFR[Recherche RFR]),"Data RFR manquantes", IF(X460&lt;=INDEX(TabRFR[[2021]:[2025]],MATCH(BD!W460&amp;"-Très modestes",TabRFR[Recherche RFR],0),MATCH(TEXT(YEAR(BD!I460),"Standard"),TabRFR[[#Headers],[2021]:[2025]],0)),"Très Modeste",IF(X460&lt;=INDEX(TabRFR[[2021]:[2025]],MATCH(BD!W460&amp;"-modestes",TabRFR[Recherche RFR],0),MATCH(TEXT(YEAR(BD!I460),"Standard"),TabRFR[[#Headers],[2021]:[2025]],0)),"Modeste",IF(X460&lt;=INDEX(TabRFR[[2021]:[2025]],MATCH(BD!W460&amp;"-Intermédiaire",TabRFR[Recherche RFR],0),MATCH(TEXT(YEAR(BD!I460),"Standard"),TabRFR[[#Headers],[2021]:[2025]],0)),"Intermédiaire","Supérieur")))))))</f>
        <v>Data RFR manquantes</v>
      </c>
      <c r="Z460" s="75"/>
      <c r="AA460" s="75" t="s">
        <v>3514</v>
      </c>
      <c r="AB460" s="75">
        <v>38420</v>
      </c>
      <c r="AC460" s="75" t="s">
        <v>217</v>
      </c>
      <c r="AD460" s="73"/>
      <c r="AE460" s="102"/>
      <c r="AF460" s="75" t="s">
        <v>95</v>
      </c>
      <c r="AG460" s="75"/>
      <c r="AH460" s="75">
        <v>42675</v>
      </c>
      <c r="AI460" s="75"/>
      <c r="AJ460" s="75"/>
      <c r="AK460" s="75"/>
      <c r="AL460" s="75"/>
      <c r="AM460" s="75" t="s">
        <v>218</v>
      </c>
      <c r="AN460" s="75" t="s">
        <v>217</v>
      </c>
      <c r="AO460" s="75" t="s">
        <v>219</v>
      </c>
      <c r="AP460" s="75" t="s">
        <v>97</v>
      </c>
      <c r="AQ460" s="75"/>
      <c r="AR460" s="74">
        <v>43764</v>
      </c>
      <c r="AS460" s="102" t="s">
        <v>220</v>
      </c>
      <c r="AT460" s="73" t="s">
        <v>620</v>
      </c>
      <c r="AU460" s="75" t="s">
        <v>111</v>
      </c>
      <c r="AV460" s="75">
        <v>2000</v>
      </c>
      <c r="AW460" s="75" t="s">
        <v>100</v>
      </c>
      <c r="AX460" s="75" t="s">
        <v>112</v>
      </c>
      <c r="AY460" s="75" t="s">
        <v>121</v>
      </c>
      <c r="AZ460" s="75" t="s">
        <v>2392</v>
      </c>
      <c r="BA460" s="75">
        <v>22</v>
      </c>
      <c r="BB460" s="75">
        <v>7</v>
      </c>
      <c r="BC460" s="75">
        <v>80</v>
      </c>
      <c r="BD460" s="75">
        <v>0.08</v>
      </c>
      <c r="BE460" s="75" t="s">
        <v>97</v>
      </c>
      <c r="BF460" s="75"/>
      <c r="BG460" s="75">
        <v>2730.7</v>
      </c>
      <c r="BH460" s="75"/>
      <c r="BI460" s="75"/>
      <c r="BJ460" s="75"/>
      <c r="BK460" s="75">
        <v>225</v>
      </c>
      <c r="BL460" s="75">
        <f t="shared" si="21"/>
        <v>2955.7</v>
      </c>
      <c r="BM460" s="103">
        <f t="shared" si="22"/>
        <v>162.5635</v>
      </c>
      <c r="BN460" s="103">
        <f t="shared" si="23"/>
        <v>3118.2635</v>
      </c>
      <c r="BO460" s="103">
        <v>3118</v>
      </c>
      <c r="BP460" s="75" t="s">
        <v>104</v>
      </c>
      <c r="BQ460" s="75"/>
      <c r="BR460" s="75"/>
      <c r="BS460" s="157">
        <v>2019</v>
      </c>
      <c r="BT460">
        <v>2020</v>
      </c>
      <c r="BU460">
        <v>2019</v>
      </c>
    </row>
    <row r="461" spans="1:73" ht="43.15" customHeight="1" x14ac:dyDescent="0.25">
      <c r="A461" s="31" t="s">
        <v>749</v>
      </c>
      <c r="B461" s="31" t="s">
        <v>3513</v>
      </c>
      <c r="C461" s="163" t="s">
        <v>9</v>
      </c>
      <c r="D461" s="76">
        <v>43426</v>
      </c>
      <c r="E461" s="76">
        <v>43426</v>
      </c>
      <c r="F461" s="76">
        <v>43451</v>
      </c>
      <c r="G461" s="76" t="s">
        <v>3512</v>
      </c>
      <c r="H461" s="76"/>
      <c r="I461" s="76"/>
      <c r="J461" s="76"/>
      <c r="K461" s="218"/>
      <c r="L461" s="76"/>
      <c r="M461" s="76"/>
      <c r="N461" s="76"/>
      <c r="O461" s="76"/>
      <c r="P461" s="76"/>
      <c r="Q461" s="76"/>
      <c r="R461" s="82"/>
      <c r="S461" s="76">
        <v>43699</v>
      </c>
      <c r="T461" s="77" t="s">
        <v>904</v>
      </c>
      <c r="U461" s="77"/>
      <c r="V461" s="77"/>
      <c r="W461" s="77">
        <v>2</v>
      </c>
      <c r="X461" s="77">
        <v>44402</v>
      </c>
      <c r="Y461" s="75" t="str">
        <f ca="1">IF(I461="",IF(D461="","",IF(W461+X461&lt;15,"Données Nb pers ou RFR manquantes",IF(COUNTA(INDIRECT("TabRFR["&amp;YEAR(D461)&amp;"]"))&lt;&gt;COUNTA(TabRFR[Recherche RFR]),"Data RFR manquantes", IF(X461&lt;=INDEX(TabRFR[[2021]:[2025]],MATCH(BD!W461&amp;"-Très modestes",TabRFR[Recherche RFR],0),MATCH(TEXT(YEAR(BD!D461),"Standard"),TabRFR[[#Headers],[2021]:[2025]],0)),"Très Modeste",IF(X461&lt;=INDEX(TabRFR[[2021]:[2025]],MATCH(BD!W461&amp;"-modestes",TabRFR[Recherche RFR],0),MATCH(TEXT(YEAR(BD!D461),"Standard"),TabRFR[[#Headers],[2021]:[2025]],0)),"Modeste",IF(X461&lt;=INDEX(TabRFR[[2021]:[2025]],MATCH(BD!W461&amp;"-Intermédiaire",TabRFR[Recherche RFR],0),MATCH(TEXT(YEAR(BD!D461),"Standard"),TabRFR[[#Headers],[2021]:[2025]],0)),"Intermédiaire","Supérieur")))))),IF(D461="","",IF(W461+X461&lt;15,"Données Nb pers ou RFR manquantes",IF(COUNTA(INDIRECT("TabRFR["&amp;YEAR(I461)&amp;"]"))&lt;&gt;COUNTA(TabRFR[Recherche RFR]),"Data RFR manquantes", IF(X461&lt;=INDEX(TabRFR[[2021]:[2025]],MATCH(BD!W461&amp;"-Très modestes",TabRFR[Recherche RFR],0),MATCH(TEXT(YEAR(BD!I461),"Standard"),TabRFR[[#Headers],[2021]:[2025]],0)),"Très Modeste",IF(X461&lt;=INDEX(TabRFR[[2021]:[2025]],MATCH(BD!W461&amp;"-modestes",TabRFR[Recherche RFR],0),MATCH(TEXT(YEAR(BD!I461),"Standard"),TabRFR[[#Headers],[2021]:[2025]],0)),"Modeste",IF(X461&lt;=INDEX(TabRFR[[2021]:[2025]],MATCH(BD!W461&amp;"-Intermédiaire",TabRFR[Recherche RFR],0),MATCH(TEXT(YEAR(BD!I461),"Standard"),TabRFR[[#Headers],[2021]:[2025]],0)),"Intermédiaire","Supérieur")))))))</f>
        <v>Data RFR manquantes</v>
      </c>
      <c r="Z461" s="77"/>
      <c r="AA461" s="77" t="s">
        <v>3511</v>
      </c>
      <c r="AB461" s="77">
        <v>38850</v>
      </c>
      <c r="AC461" s="77" t="s">
        <v>438</v>
      </c>
      <c r="AD461" s="78"/>
      <c r="AE461" s="102"/>
      <c r="AF461" s="77" t="s">
        <v>95</v>
      </c>
      <c r="AG461" s="77"/>
      <c r="AH461" s="77"/>
      <c r="AI461" s="77"/>
      <c r="AJ461" s="77"/>
      <c r="AK461" s="77"/>
      <c r="AL461" s="77"/>
      <c r="AM461" s="77" t="s">
        <v>4403</v>
      </c>
      <c r="AN461" s="77" t="s">
        <v>2963</v>
      </c>
      <c r="AO461" s="77" t="s">
        <v>3510</v>
      </c>
      <c r="AP461" s="77" t="s">
        <v>97</v>
      </c>
      <c r="AQ461" s="77"/>
      <c r="AR461" s="79">
        <v>43712</v>
      </c>
      <c r="AS461" s="102" t="s">
        <v>3509</v>
      </c>
      <c r="AT461" s="78" t="s">
        <v>3508</v>
      </c>
      <c r="AU461" s="77" t="s">
        <v>100</v>
      </c>
      <c r="AV461" s="77">
        <v>2001</v>
      </c>
      <c r="AW461" s="77" t="s">
        <v>100</v>
      </c>
      <c r="AX461" s="75" t="s">
        <v>2071</v>
      </c>
      <c r="AY461" s="77" t="s">
        <v>3507</v>
      </c>
      <c r="AZ461" s="77" t="s">
        <v>3506</v>
      </c>
      <c r="BA461" s="77"/>
      <c r="BB461" s="77"/>
      <c r="BC461" s="77"/>
      <c r="BD461" s="77"/>
      <c r="BE461" s="77"/>
      <c r="BF461" s="77"/>
      <c r="BG461" s="77">
        <v>1677</v>
      </c>
      <c r="BH461" s="77"/>
      <c r="BI461" s="77"/>
      <c r="BJ461" s="77"/>
      <c r="BK461" s="77">
        <v>400</v>
      </c>
      <c r="BL461" s="75">
        <f t="shared" si="21"/>
        <v>2077</v>
      </c>
      <c r="BM461" s="103">
        <f t="shared" si="22"/>
        <v>114.235</v>
      </c>
      <c r="BN461" s="103">
        <f t="shared" si="23"/>
        <v>2191.2350000000001</v>
      </c>
      <c r="BO461" s="80"/>
      <c r="BP461" s="77" t="s">
        <v>97</v>
      </c>
      <c r="BQ461" s="77"/>
      <c r="BR461" s="77"/>
      <c r="BS461" s="157">
        <v>2019</v>
      </c>
      <c r="BU461" t="s">
        <v>4180</v>
      </c>
    </row>
    <row r="462" spans="1:73" ht="43.15" customHeight="1" x14ac:dyDescent="0.25">
      <c r="A462" s="242" t="s">
        <v>749</v>
      </c>
      <c r="B462" s="242" t="s">
        <v>3505</v>
      </c>
      <c r="C462" s="159">
        <v>400</v>
      </c>
      <c r="D462" s="114">
        <v>43427</v>
      </c>
      <c r="E462" s="114">
        <v>43451</v>
      </c>
      <c r="F462" s="114">
        <v>43451</v>
      </c>
      <c r="G462" s="114" t="s">
        <v>3504</v>
      </c>
      <c r="H462" s="114">
        <v>43455</v>
      </c>
      <c r="I462" s="114">
        <v>43455</v>
      </c>
      <c r="J462" s="114">
        <v>43461</v>
      </c>
      <c r="K462" s="114"/>
      <c r="L462" s="114">
        <v>43517</v>
      </c>
      <c r="M462" s="114">
        <v>43502</v>
      </c>
      <c r="N462" s="114"/>
      <c r="O462" s="114">
        <v>43532</v>
      </c>
      <c r="P462" s="114">
        <v>43532</v>
      </c>
      <c r="Q462" s="114">
        <v>43532</v>
      </c>
      <c r="R462" s="80"/>
      <c r="S462" s="114"/>
      <c r="T462" s="75"/>
      <c r="U462" s="75"/>
      <c r="V462" s="75"/>
      <c r="W462" s="75">
        <v>5</v>
      </c>
      <c r="X462" s="75">
        <v>55436</v>
      </c>
      <c r="Y462" s="75" t="str">
        <f ca="1">IF(I462="",IF(D462="","",IF(W462+X462&lt;15,"Données Nb pers ou RFR manquantes",IF(COUNTA(INDIRECT("TabRFR["&amp;YEAR(D462)&amp;"]"))&lt;&gt;COUNTA(TabRFR[Recherche RFR]),"Data RFR manquantes", IF(X462&lt;=INDEX(TabRFR[[2021]:[2025]],MATCH(BD!W462&amp;"-Très modestes",TabRFR[Recherche RFR],0),MATCH(TEXT(YEAR(BD!D462),"Standard"),TabRFR[[#Headers],[2021]:[2025]],0)),"Très Modeste",IF(X462&lt;=INDEX(TabRFR[[2021]:[2025]],MATCH(BD!W462&amp;"-modestes",TabRFR[Recherche RFR],0),MATCH(TEXT(YEAR(BD!D462),"Standard"),TabRFR[[#Headers],[2021]:[2025]],0)),"Modeste",IF(X462&lt;=INDEX(TabRFR[[2021]:[2025]],MATCH(BD!W462&amp;"-Intermédiaire",TabRFR[Recherche RFR],0),MATCH(TEXT(YEAR(BD!D462),"Standard"),TabRFR[[#Headers],[2021]:[2025]],0)),"Intermédiaire","Supérieur")))))),IF(D462="","",IF(W462+X462&lt;15,"Données Nb pers ou RFR manquantes",IF(COUNTA(INDIRECT("TabRFR["&amp;YEAR(I462)&amp;"]"))&lt;&gt;COUNTA(TabRFR[Recherche RFR]),"Data RFR manquantes", IF(X462&lt;=INDEX(TabRFR[[2021]:[2025]],MATCH(BD!W462&amp;"-Très modestes",TabRFR[Recherche RFR],0),MATCH(TEXT(YEAR(BD!I462),"Standard"),TabRFR[[#Headers],[2021]:[2025]],0)),"Très Modeste",IF(X462&lt;=INDEX(TabRFR[[2021]:[2025]],MATCH(BD!W462&amp;"-modestes",TabRFR[Recherche RFR],0),MATCH(TEXT(YEAR(BD!I462),"Standard"),TabRFR[[#Headers],[2021]:[2025]],0)),"Modeste",IF(X462&lt;=INDEX(TabRFR[[2021]:[2025]],MATCH(BD!W462&amp;"-Intermédiaire",TabRFR[Recherche RFR],0),MATCH(TEXT(YEAR(BD!I462),"Standard"),TabRFR[[#Headers],[2021]:[2025]],0)),"Intermédiaire","Supérieur")))))))</f>
        <v>Data RFR manquantes</v>
      </c>
      <c r="Z462" s="75"/>
      <c r="AA462" s="75" t="s">
        <v>624</v>
      </c>
      <c r="AB462" s="75">
        <v>38140</v>
      </c>
      <c r="AC462" s="75" t="s">
        <v>237</v>
      </c>
      <c r="AD462" s="73"/>
      <c r="AE462" s="102"/>
      <c r="AF462" s="75" t="s">
        <v>95</v>
      </c>
      <c r="AG462" s="75"/>
      <c r="AH462" s="130">
        <v>43313</v>
      </c>
      <c r="AI462" s="75"/>
      <c r="AJ462" s="75"/>
      <c r="AK462" s="75"/>
      <c r="AL462" s="75"/>
      <c r="AM462" s="75" t="s">
        <v>218</v>
      </c>
      <c r="AN462" s="75" t="s">
        <v>217</v>
      </c>
      <c r="AO462" s="75" t="s">
        <v>219</v>
      </c>
      <c r="AP462" s="75" t="s">
        <v>97</v>
      </c>
      <c r="AQ462" s="75"/>
      <c r="AR462" s="74">
        <v>43764</v>
      </c>
      <c r="AS462" s="102" t="s">
        <v>220</v>
      </c>
      <c r="AT462" s="73" t="s">
        <v>620</v>
      </c>
      <c r="AU462" s="75" t="s">
        <v>111</v>
      </c>
      <c r="AV462" s="75">
        <v>2000</v>
      </c>
      <c r="AW462" s="75" t="s">
        <v>100</v>
      </c>
      <c r="AX462" s="75" t="s">
        <v>2071</v>
      </c>
      <c r="AY462" s="75" t="s">
        <v>121</v>
      </c>
      <c r="AZ462" s="75" t="s">
        <v>3503</v>
      </c>
      <c r="BA462" s="75">
        <v>8</v>
      </c>
      <c r="BB462" s="75">
        <v>9</v>
      </c>
      <c r="BC462" s="75">
        <v>92</v>
      </c>
      <c r="BD462" s="75">
        <v>0.01</v>
      </c>
      <c r="BE462" s="75" t="s">
        <v>97</v>
      </c>
      <c r="BF462" s="75"/>
      <c r="BG462" s="75">
        <v>4730</v>
      </c>
      <c r="BH462" s="75"/>
      <c r="BI462" s="75"/>
      <c r="BJ462" s="75"/>
      <c r="BK462" s="75">
        <v>525</v>
      </c>
      <c r="BL462" s="75">
        <f t="shared" si="21"/>
        <v>5255</v>
      </c>
      <c r="BM462" s="103">
        <f t="shared" si="22"/>
        <v>289.02499999999998</v>
      </c>
      <c r="BN462" s="103">
        <f t="shared" si="23"/>
        <v>5544.0249999999996</v>
      </c>
      <c r="BO462" s="103">
        <v>5544</v>
      </c>
      <c r="BP462" s="75" t="s">
        <v>97</v>
      </c>
      <c r="BQ462" s="75"/>
      <c r="BR462" s="75"/>
      <c r="BS462" s="157">
        <v>2019</v>
      </c>
      <c r="BU462">
        <v>2019</v>
      </c>
    </row>
    <row r="463" spans="1:73" ht="43.15" customHeight="1" x14ac:dyDescent="0.25">
      <c r="A463" s="241" t="s">
        <v>749</v>
      </c>
      <c r="B463" s="241" t="s">
        <v>3502</v>
      </c>
      <c r="C463" s="159">
        <v>400</v>
      </c>
      <c r="D463" s="76">
        <v>43427</v>
      </c>
      <c r="E463" s="76">
        <v>43427</v>
      </c>
      <c r="F463" s="76"/>
      <c r="G463" s="76"/>
      <c r="H463" s="76">
        <v>43451</v>
      </c>
      <c r="I463" s="76">
        <v>43451</v>
      </c>
      <c r="J463" s="76">
        <v>43454</v>
      </c>
      <c r="K463" s="218"/>
      <c r="L463" s="76">
        <v>43591</v>
      </c>
      <c r="M463" s="76">
        <v>43566</v>
      </c>
      <c r="N463" s="76">
        <v>43594</v>
      </c>
      <c r="O463" s="76">
        <v>43628</v>
      </c>
      <c r="P463" s="76">
        <v>43628</v>
      </c>
      <c r="Q463" s="76">
        <v>43671</v>
      </c>
      <c r="R463" s="82"/>
      <c r="S463" s="76"/>
      <c r="T463" s="77"/>
      <c r="U463" s="77"/>
      <c r="V463" s="77"/>
      <c r="W463" s="77">
        <v>4</v>
      </c>
      <c r="X463" s="77">
        <v>76406</v>
      </c>
      <c r="Y463" s="75" t="str">
        <f ca="1">IF(I463="",IF(D463="","",IF(W463+X463&lt;15,"Données Nb pers ou RFR manquantes",IF(COUNTA(INDIRECT("TabRFR["&amp;YEAR(D463)&amp;"]"))&lt;&gt;COUNTA(TabRFR[Recherche RFR]),"Data RFR manquantes", IF(X463&lt;=INDEX(TabRFR[[2021]:[2025]],MATCH(BD!W463&amp;"-Très modestes",TabRFR[Recherche RFR],0),MATCH(TEXT(YEAR(BD!D463),"Standard"),TabRFR[[#Headers],[2021]:[2025]],0)),"Très Modeste",IF(X463&lt;=INDEX(TabRFR[[2021]:[2025]],MATCH(BD!W463&amp;"-modestes",TabRFR[Recherche RFR],0),MATCH(TEXT(YEAR(BD!D463),"Standard"),TabRFR[[#Headers],[2021]:[2025]],0)),"Modeste",IF(X463&lt;=INDEX(TabRFR[[2021]:[2025]],MATCH(BD!W463&amp;"-Intermédiaire",TabRFR[Recherche RFR],0),MATCH(TEXT(YEAR(BD!D463),"Standard"),TabRFR[[#Headers],[2021]:[2025]],0)),"Intermédiaire","Supérieur")))))),IF(D463="","",IF(W463+X463&lt;15,"Données Nb pers ou RFR manquantes",IF(COUNTA(INDIRECT("TabRFR["&amp;YEAR(I463)&amp;"]"))&lt;&gt;COUNTA(TabRFR[Recherche RFR]),"Data RFR manquantes", IF(X463&lt;=INDEX(TabRFR[[2021]:[2025]],MATCH(BD!W463&amp;"-Très modestes",TabRFR[Recherche RFR],0),MATCH(TEXT(YEAR(BD!I463),"Standard"),TabRFR[[#Headers],[2021]:[2025]],0)),"Très Modeste",IF(X463&lt;=INDEX(TabRFR[[2021]:[2025]],MATCH(BD!W463&amp;"-modestes",TabRFR[Recherche RFR],0),MATCH(TEXT(YEAR(BD!I463),"Standard"),TabRFR[[#Headers],[2021]:[2025]],0)),"Modeste",IF(X463&lt;=INDEX(TabRFR[[2021]:[2025]],MATCH(BD!W463&amp;"-Intermédiaire",TabRFR[Recherche RFR],0),MATCH(TEXT(YEAR(BD!I463),"Standard"),TabRFR[[#Headers],[2021]:[2025]],0)),"Intermédiaire","Supérieur")))))))</f>
        <v>Data RFR manquantes</v>
      </c>
      <c r="Z463" s="77"/>
      <c r="AA463" s="77" t="s">
        <v>3501</v>
      </c>
      <c r="AB463" s="77">
        <v>38500</v>
      </c>
      <c r="AC463" s="77" t="s">
        <v>2873</v>
      </c>
      <c r="AD463" s="78"/>
      <c r="AE463" s="102"/>
      <c r="AF463" s="77" t="s">
        <v>95</v>
      </c>
      <c r="AG463" s="77"/>
      <c r="AH463" s="79">
        <v>43347</v>
      </c>
      <c r="AI463" s="77"/>
      <c r="AJ463" s="77"/>
      <c r="AK463" s="77"/>
      <c r="AL463" s="77"/>
      <c r="AM463" s="77" t="s">
        <v>4404</v>
      </c>
      <c r="AN463" s="77" t="s">
        <v>4405</v>
      </c>
      <c r="AO463" s="77"/>
      <c r="AP463" s="77" t="s">
        <v>97</v>
      </c>
      <c r="AQ463" s="77"/>
      <c r="AR463" s="79">
        <v>43720</v>
      </c>
      <c r="AS463" s="102" t="s">
        <v>3500</v>
      </c>
      <c r="AT463" s="78" t="s">
        <v>3499</v>
      </c>
      <c r="AU463" s="77" t="s">
        <v>430</v>
      </c>
      <c r="AV463" s="77">
        <v>1990</v>
      </c>
      <c r="AW463" s="77" t="s">
        <v>111</v>
      </c>
      <c r="AX463" s="77" t="s">
        <v>112</v>
      </c>
      <c r="AY463" s="77" t="s">
        <v>3498</v>
      </c>
      <c r="AZ463" s="77" t="s">
        <v>3497</v>
      </c>
      <c r="BA463" s="77">
        <v>11</v>
      </c>
      <c r="BB463" s="77">
        <v>10</v>
      </c>
      <c r="BC463" s="77">
        <v>78</v>
      </c>
      <c r="BD463" s="77">
        <v>0.09</v>
      </c>
      <c r="BE463" s="77" t="s">
        <v>97</v>
      </c>
      <c r="BF463" s="77"/>
      <c r="BG463" s="77">
        <f>9154-1050</f>
        <v>8104</v>
      </c>
      <c r="BH463" s="77"/>
      <c r="BI463" s="77"/>
      <c r="BJ463" s="77"/>
      <c r="BK463" s="77">
        <v>1050</v>
      </c>
      <c r="BL463" s="75">
        <f t="shared" si="21"/>
        <v>9154</v>
      </c>
      <c r="BM463" s="103">
        <f t="shared" si="22"/>
        <v>503.47</v>
      </c>
      <c r="BN463" s="103">
        <f t="shared" si="23"/>
        <v>9657.4699999999993</v>
      </c>
      <c r="BO463" s="80"/>
      <c r="BP463" s="77" t="s">
        <v>97</v>
      </c>
      <c r="BQ463" s="77"/>
      <c r="BR463" s="77"/>
      <c r="BS463" s="157">
        <v>2019</v>
      </c>
      <c r="BT463">
        <v>2020</v>
      </c>
      <c r="BU463">
        <v>2019</v>
      </c>
    </row>
    <row r="464" spans="1:73" ht="43.15" customHeight="1" x14ac:dyDescent="0.25">
      <c r="A464" s="242" t="s">
        <v>749</v>
      </c>
      <c r="B464" s="242" t="s">
        <v>3496</v>
      </c>
      <c r="C464" s="159">
        <v>400</v>
      </c>
      <c r="D464" s="114">
        <v>43433</v>
      </c>
      <c r="E464" s="114">
        <v>43433</v>
      </c>
      <c r="F464" s="114"/>
      <c r="G464" s="114"/>
      <c r="H464" s="114">
        <v>43451</v>
      </c>
      <c r="I464" s="114">
        <v>43451</v>
      </c>
      <c r="J464" s="114">
        <v>43454</v>
      </c>
      <c r="K464" s="114"/>
      <c r="L464" s="114">
        <v>43510</v>
      </c>
      <c r="M464" s="114">
        <v>43454</v>
      </c>
      <c r="N464" s="114"/>
      <c r="O464" s="114">
        <v>43524</v>
      </c>
      <c r="P464" s="114">
        <v>43524</v>
      </c>
      <c r="Q464" s="114">
        <v>43525</v>
      </c>
      <c r="R464" s="80"/>
      <c r="S464" s="114"/>
      <c r="T464" s="75"/>
      <c r="U464" s="75"/>
      <c r="V464" s="75"/>
      <c r="W464" s="75">
        <v>3</v>
      </c>
      <c r="X464" s="75" t="s">
        <v>3495</v>
      </c>
      <c r="Y464" s="75" t="e">
        <f ca="1">IF(I464="",IF(D464="","",IF(W464+X464&lt;15,"Données Nb pers ou RFR manquantes",IF(COUNTA(INDIRECT("TabRFR["&amp;YEAR(D464)&amp;"]"))&lt;&gt;COUNTA(TabRFR[Recherche RFR]),"Data RFR manquantes", IF(X464&lt;=INDEX(TabRFR[[2021]:[2025]],MATCH(BD!W464&amp;"-Très modestes",TabRFR[Recherche RFR],0),MATCH(TEXT(YEAR(BD!D464),"Standard"),TabRFR[[#Headers],[2021]:[2025]],0)),"Très Modeste",IF(X464&lt;=INDEX(TabRFR[[2021]:[2025]],MATCH(BD!W464&amp;"-modestes",TabRFR[Recherche RFR],0),MATCH(TEXT(YEAR(BD!D464),"Standard"),TabRFR[[#Headers],[2021]:[2025]],0)),"Modeste",IF(X464&lt;=INDEX(TabRFR[[2021]:[2025]],MATCH(BD!W464&amp;"-Intermédiaire",TabRFR[Recherche RFR],0),MATCH(TEXT(YEAR(BD!D464),"Standard"),TabRFR[[#Headers],[2021]:[2025]],0)),"Intermédiaire","Supérieur")))))),IF(D464="","",IF(W464+X464&lt;15,"Données Nb pers ou RFR manquantes",IF(COUNTA(INDIRECT("TabRFR["&amp;YEAR(I464)&amp;"]"))&lt;&gt;COUNTA(TabRFR[Recherche RFR]),"Data RFR manquantes", IF(X464&lt;=INDEX(TabRFR[[2021]:[2025]],MATCH(BD!W464&amp;"-Très modestes",TabRFR[Recherche RFR],0),MATCH(TEXT(YEAR(BD!I464),"Standard"),TabRFR[[#Headers],[2021]:[2025]],0)),"Très Modeste",IF(X464&lt;=INDEX(TabRFR[[2021]:[2025]],MATCH(BD!W464&amp;"-modestes",TabRFR[Recherche RFR],0),MATCH(TEXT(YEAR(BD!I464),"Standard"),TabRFR[[#Headers],[2021]:[2025]],0)),"Modeste",IF(X464&lt;=INDEX(TabRFR[[2021]:[2025]],MATCH(BD!W464&amp;"-Intermédiaire",TabRFR[Recherche RFR],0),MATCH(TEXT(YEAR(BD!I464),"Standard"),TabRFR[[#Headers],[2021]:[2025]],0)),"Intermédiaire","Supérieur")))))))</f>
        <v>#VALUE!</v>
      </c>
      <c r="Z464" s="75"/>
      <c r="AA464" s="75" t="s">
        <v>3494</v>
      </c>
      <c r="AB464" s="75">
        <v>38500</v>
      </c>
      <c r="AC464" s="75" t="s">
        <v>2873</v>
      </c>
      <c r="AD464" s="73"/>
      <c r="AE464" s="102"/>
      <c r="AF464" s="75" t="s">
        <v>95</v>
      </c>
      <c r="AG464" s="75"/>
      <c r="AH464" s="74">
        <v>43306</v>
      </c>
      <c r="AI464" s="75"/>
      <c r="AJ464" s="75"/>
      <c r="AK464" s="75"/>
      <c r="AL464" s="75"/>
      <c r="AM464" s="75" t="s">
        <v>4368</v>
      </c>
      <c r="AN464" s="75" t="s">
        <v>917</v>
      </c>
      <c r="AO464" s="75" t="s">
        <v>3493</v>
      </c>
      <c r="AP464" s="75" t="s">
        <v>97</v>
      </c>
      <c r="AQ464" s="75"/>
      <c r="AR464" s="74">
        <v>43646</v>
      </c>
      <c r="AS464" s="102" t="s">
        <v>1404</v>
      </c>
      <c r="AT464" s="73" t="s">
        <v>3492</v>
      </c>
      <c r="AU464" s="75" t="s">
        <v>430</v>
      </c>
      <c r="AV464" s="75">
        <v>1979</v>
      </c>
      <c r="AW464" s="75" t="s">
        <v>100</v>
      </c>
      <c r="AX464" s="75" t="s">
        <v>2071</v>
      </c>
      <c r="AY464" s="75" t="s">
        <v>174</v>
      </c>
      <c r="AZ464" s="75" t="s">
        <v>1403</v>
      </c>
      <c r="BA464" s="75">
        <v>18</v>
      </c>
      <c r="BB464" s="75">
        <v>12</v>
      </c>
      <c r="BC464" s="75">
        <v>90.4</v>
      </c>
      <c r="BD464" s="75">
        <v>0</v>
      </c>
      <c r="BE464" s="75" t="s">
        <v>97</v>
      </c>
      <c r="BF464" s="75"/>
      <c r="BG464" s="75">
        <v>4960</v>
      </c>
      <c r="BH464" s="75"/>
      <c r="BI464" s="75"/>
      <c r="BJ464" s="75"/>
      <c r="BK464" s="75">
        <v>610</v>
      </c>
      <c r="BL464" s="75">
        <f t="shared" si="21"/>
        <v>5570</v>
      </c>
      <c r="BM464" s="103">
        <f t="shared" si="22"/>
        <v>306.35000000000002</v>
      </c>
      <c r="BN464" s="103">
        <f t="shared" si="23"/>
        <v>5876.35</v>
      </c>
      <c r="BO464" s="103">
        <v>5718</v>
      </c>
      <c r="BP464" s="75" t="s">
        <v>97</v>
      </c>
      <c r="BQ464" s="75"/>
      <c r="BR464" s="75"/>
      <c r="BS464" s="157">
        <v>2019</v>
      </c>
      <c r="BU464">
        <v>2019</v>
      </c>
    </row>
    <row r="465" spans="1:73" ht="43.15" customHeight="1" x14ac:dyDescent="0.25">
      <c r="A465" s="242" t="s">
        <v>749</v>
      </c>
      <c r="B465" s="242" t="s">
        <v>3491</v>
      </c>
      <c r="C465" s="159">
        <v>400</v>
      </c>
      <c r="D465" s="114">
        <v>43434</v>
      </c>
      <c r="E465" s="114">
        <v>43434</v>
      </c>
      <c r="F465" s="114"/>
      <c r="G465" s="114"/>
      <c r="H465" s="114">
        <v>43451</v>
      </c>
      <c r="I465" s="114">
        <v>43451</v>
      </c>
      <c r="J465" s="114">
        <v>43454</v>
      </c>
      <c r="K465" s="114"/>
      <c r="L465" s="114">
        <v>43542</v>
      </c>
      <c r="M465" s="114">
        <v>43460</v>
      </c>
      <c r="N465" s="114"/>
      <c r="O465" s="114">
        <v>43565</v>
      </c>
      <c r="P465" s="114">
        <v>43565</v>
      </c>
      <c r="Q465" s="114">
        <v>43566</v>
      </c>
      <c r="R465" s="80"/>
      <c r="S465" s="114"/>
      <c r="T465" s="75"/>
      <c r="U465" s="75"/>
      <c r="V465" s="75"/>
      <c r="W465" s="75">
        <v>3</v>
      </c>
      <c r="X465" s="75">
        <v>68674</v>
      </c>
      <c r="Y465" s="75" t="str">
        <f ca="1">IF(I465="",IF(D465="","",IF(W465+X465&lt;15,"Données Nb pers ou RFR manquantes",IF(COUNTA(INDIRECT("TabRFR["&amp;YEAR(D465)&amp;"]"))&lt;&gt;COUNTA(TabRFR[Recherche RFR]),"Data RFR manquantes", IF(X465&lt;=INDEX(TabRFR[[2021]:[2025]],MATCH(BD!W465&amp;"-Très modestes",TabRFR[Recherche RFR],0),MATCH(TEXT(YEAR(BD!D465),"Standard"),TabRFR[[#Headers],[2021]:[2025]],0)),"Très Modeste",IF(X465&lt;=INDEX(TabRFR[[2021]:[2025]],MATCH(BD!W465&amp;"-modestes",TabRFR[Recherche RFR],0),MATCH(TEXT(YEAR(BD!D465),"Standard"),TabRFR[[#Headers],[2021]:[2025]],0)),"Modeste",IF(X465&lt;=INDEX(TabRFR[[2021]:[2025]],MATCH(BD!W465&amp;"-Intermédiaire",TabRFR[Recherche RFR],0),MATCH(TEXT(YEAR(BD!D465),"Standard"),TabRFR[[#Headers],[2021]:[2025]],0)),"Intermédiaire","Supérieur")))))),IF(D465="","",IF(W465+X465&lt;15,"Données Nb pers ou RFR manquantes",IF(COUNTA(INDIRECT("TabRFR["&amp;YEAR(I465)&amp;"]"))&lt;&gt;COUNTA(TabRFR[Recherche RFR]),"Data RFR manquantes", IF(X465&lt;=INDEX(TabRFR[[2021]:[2025]],MATCH(BD!W465&amp;"-Très modestes",TabRFR[Recherche RFR],0),MATCH(TEXT(YEAR(BD!I465),"Standard"),TabRFR[[#Headers],[2021]:[2025]],0)),"Très Modeste",IF(X465&lt;=INDEX(TabRFR[[2021]:[2025]],MATCH(BD!W465&amp;"-modestes",TabRFR[Recherche RFR],0),MATCH(TEXT(YEAR(BD!I465),"Standard"),TabRFR[[#Headers],[2021]:[2025]],0)),"Modeste",IF(X465&lt;=INDEX(TabRFR[[2021]:[2025]],MATCH(BD!W465&amp;"-Intermédiaire",TabRFR[Recherche RFR],0),MATCH(TEXT(YEAR(BD!I465),"Standard"),TabRFR[[#Headers],[2021]:[2025]],0)),"Intermédiaire","Supérieur")))))))</f>
        <v>Data RFR manquantes</v>
      </c>
      <c r="Z465" s="75"/>
      <c r="AA465" s="75" t="s">
        <v>3490</v>
      </c>
      <c r="AB465" s="75">
        <v>38500</v>
      </c>
      <c r="AC465" s="75" t="s">
        <v>96</v>
      </c>
      <c r="AD465" s="73"/>
      <c r="AE465" s="102"/>
      <c r="AF465" s="75" t="s">
        <v>95</v>
      </c>
      <c r="AG465" s="75"/>
      <c r="AH465" s="74">
        <v>43191</v>
      </c>
      <c r="AI465" s="75"/>
      <c r="AJ465" s="75"/>
      <c r="AK465" s="75"/>
      <c r="AL465" s="75"/>
      <c r="AM465" s="75" t="s">
        <v>4356</v>
      </c>
      <c r="AN465" s="75" t="s">
        <v>96</v>
      </c>
      <c r="AO465" s="75" t="s">
        <v>3477</v>
      </c>
      <c r="AP465" s="75" t="s">
        <v>97</v>
      </c>
      <c r="AQ465" s="75"/>
      <c r="AR465" s="74">
        <v>43772</v>
      </c>
      <c r="AS465" s="102" t="s">
        <v>120</v>
      </c>
      <c r="AT465" s="73" t="s">
        <v>658</v>
      </c>
      <c r="AU465" s="75" t="s">
        <v>100</v>
      </c>
      <c r="AV465" s="75">
        <v>2000</v>
      </c>
      <c r="AW465" s="75" t="s">
        <v>100</v>
      </c>
      <c r="AX465" s="75" t="s">
        <v>2071</v>
      </c>
      <c r="AY465" s="75" t="s">
        <v>102</v>
      </c>
      <c r="AZ465" s="75" t="s">
        <v>3489</v>
      </c>
      <c r="BA465" s="75">
        <v>11</v>
      </c>
      <c r="BB465" s="75">
        <v>7.8</v>
      </c>
      <c r="BC465" s="75">
        <v>90.2</v>
      </c>
      <c r="BD465" s="75">
        <v>11</v>
      </c>
      <c r="BE465" s="75" t="s">
        <v>97</v>
      </c>
      <c r="BF465" s="75"/>
      <c r="BG465" s="75">
        <v>3290</v>
      </c>
      <c r="BH465" s="75"/>
      <c r="BI465" s="75"/>
      <c r="BJ465" s="75"/>
      <c r="BK465" s="75">
        <v>400</v>
      </c>
      <c r="BL465" s="75">
        <f t="shared" si="21"/>
        <v>3690</v>
      </c>
      <c r="BM465" s="103">
        <f t="shared" si="22"/>
        <v>202.95</v>
      </c>
      <c r="BN465" s="103">
        <f t="shared" si="23"/>
        <v>3892.95</v>
      </c>
      <c r="BO465" s="103">
        <f>4600+508</f>
        <v>5108</v>
      </c>
      <c r="BP465" s="75" t="s">
        <v>104</v>
      </c>
      <c r="BQ465" s="75"/>
      <c r="BR465" s="75"/>
      <c r="BS465" s="157">
        <v>2019</v>
      </c>
      <c r="BU465">
        <v>2019</v>
      </c>
    </row>
    <row r="466" spans="1:73" ht="43.15" customHeight="1" x14ac:dyDescent="0.25">
      <c r="A466" s="242" t="s">
        <v>749</v>
      </c>
      <c r="B466" s="242" t="s">
        <v>3488</v>
      </c>
      <c r="C466" s="159">
        <v>400</v>
      </c>
      <c r="D466" s="114">
        <v>43439</v>
      </c>
      <c r="E466" s="114">
        <v>43440</v>
      </c>
      <c r="F466" s="114"/>
      <c r="G466" s="114"/>
      <c r="H466" s="114">
        <v>43451</v>
      </c>
      <c r="I466" s="114">
        <v>43451</v>
      </c>
      <c r="J466" s="114">
        <v>43454</v>
      </c>
      <c r="K466" s="114"/>
      <c r="L466" s="114">
        <v>43523</v>
      </c>
      <c r="M466" s="114">
        <v>43475</v>
      </c>
      <c r="N466" s="114"/>
      <c r="O466" s="114">
        <v>43537</v>
      </c>
      <c r="P466" s="114">
        <v>43537</v>
      </c>
      <c r="Q466" s="114">
        <v>43543</v>
      </c>
      <c r="R466" s="80"/>
      <c r="S466" s="114"/>
      <c r="T466" s="75"/>
      <c r="U466" s="75"/>
      <c r="V466" s="75"/>
      <c r="W466" s="75">
        <v>3</v>
      </c>
      <c r="X466" s="75">
        <v>66246</v>
      </c>
      <c r="Y466" s="75" t="str">
        <f ca="1">IF(I466="",IF(D466="","",IF(W466+X466&lt;15,"Données Nb pers ou RFR manquantes",IF(COUNTA(INDIRECT("TabRFR["&amp;YEAR(D466)&amp;"]"))&lt;&gt;COUNTA(TabRFR[Recherche RFR]),"Data RFR manquantes", IF(X466&lt;=INDEX(TabRFR[[2021]:[2025]],MATCH(BD!W466&amp;"-Très modestes",TabRFR[Recherche RFR],0),MATCH(TEXT(YEAR(BD!D466),"Standard"),TabRFR[[#Headers],[2021]:[2025]],0)),"Très Modeste",IF(X466&lt;=INDEX(TabRFR[[2021]:[2025]],MATCH(BD!W466&amp;"-modestes",TabRFR[Recherche RFR],0),MATCH(TEXT(YEAR(BD!D466),"Standard"),TabRFR[[#Headers],[2021]:[2025]],0)),"Modeste",IF(X466&lt;=INDEX(TabRFR[[2021]:[2025]],MATCH(BD!W466&amp;"-Intermédiaire",TabRFR[Recherche RFR],0),MATCH(TEXT(YEAR(BD!D466),"Standard"),TabRFR[[#Headers],[2021]:[2025]],0)),"Intermédiaire","Supérieur")))))),IF(D466="","",IF(W466+X466&lt;15,"Données Nb pers ou RFR manquantes",IF(COUNTA(INDIRECT("TabRFR["&amp;YEAR(I466)&amp;"]"))&lt;&gt;COUNTA(TabRFR[Recherche RFR]),"Data RFR manquantes", IF(X466&lt;=INDEX(TabRFR[[2021]:[2025]],MATCH(BD!W466&amp;"-Très modestes",TabRFR[Recherche RFR],0),MATCH(TEXT(YEAR(BD!I466),"Standard"),TabRFR[[#Headers],[2021]:[2025]],0)),"Très Modeste",IF(X466&lt;=INDEX(TabRFR[[2021]:[2025]],MATCH(BD!W466&amp;"-modestes",TabRFR[Recherche RFR],0),MATCH(TEXT(YEAR(BD!I466),"Standard"),TabRFR[[#Headers],[2021]:[2025]],0)),"Modeste",IF(X466&lt;=INDEX(TabRFR[[2021]:[2025]],MATCH(BD!W466&amp;"-Intermédiaire",TabRFR[Recherche RFR],0),MATCH(TEXT(YEAR(BD!I466),"Standard"),TabRFR[[#Headers],[2021]:[2025]],0)),"Intermédiaire","Supérieur")))))))</f>
        <v>Data RFR manquantes</v>
      </c>
      <c r="Z466" s="75"/>
      <c r="AA466" s="75" t="s">
        <v>3487</v>
      </c>
      <c r="AB466" s="75">
        <v>38140</v>
      </c>
      <c r="AC466" s="75" t="s">
        <v>321</v>
      </c>
      <c r="AD466" s="73"/>
      <c r="AE466" s="102"/>
      <c r="AF466" s="75" t="s">
        <v>95</v>
      </c>
      <c r="AG466" s="75"/>
      <c r="AH466" s="74">
        <v>43435</v>
      </c>
      <c r="AI466" s="75"/>
      <c r="AJ466" s="75"/>
      <c r="AK466" s="75"/>
      <c r="AL466" s="75"/>
      <c r="AM466" s="75" t="s">
        <v>4035</v>
      </c>
      <c r="AN466" s="75" t="s">
        <v>108</v>
      </c>
      <c r="AO466" s="75" t="s">
        <v>3486</v>
      </c>
      <c r="AP466" s="75" t="s">
        <v>97</v>
      </c>
      <c r="AQ466" s="75"/>
      <c r="AR466" s="74">
        <v>43705</v>
      </c>
      <c r="AS466" s="102" t="s">
        <v>110</v>
      </c>
      <c r="AT466" s="73" t="s">
        <v>620</v>
      </c>
      <c r="AU466" s="75" t="s">
        <v>111</v>
      </c>
      <c r="AV466" s="75">
        <v>1995</v>
      </c>
      <c r="AW466" s="75" t="s">
        <v>100</v>
      </c>
      <c r="AX466" s="77" t="s">
        <v>112</v>
      </c>
      <c r="AY466" s="75" t="s">
        <v>1896</v>
      </c>
      <c r="AZ466" s="75" t="s">
        <v>3485</v>
      </c>
      <c r="BA466" s="75">
        <v>15</v>
      </c>
      <c r="BB466" s="75">
        <v>8</v>
      </c>
      <c r="BC466" s="75">
        <v>79</v>
      </c>
      <c r="BD466" s="75">
        <v>0.09</v>
      </c>
      <c r="BE466" s="75" t="s">
        <v>97</v>
      </c>
      <c r="BF466" s="75"/>
      <c r="BG466" s="75">
        <v>4800</v>
      </c>
      <c r="BH466" s="75"/>
      <c r="BI466" s="75"/>
      <c r="BJ466" s="75"/>
      <c r="BK466" s="75">
        <v>600</v>
      </c>
      <c r="BL466" s="75">
        <f t="shared" si="21"/>
        <v>5400</v>
      </c>
      <c r="BM466" s="103">
        <f t="shared" si="22"/>
        <v>297</v>
      </c>
      <c r="BN466" s="103">
        <f t="shared" si="23"/>
        <v>5697</v>
      </c>
      <c r="BO466" s="103">
        <v>5545</v>
      </c>
      <c r="BP466" s="75" t="s">
        <v>97</v>
      </c>
      <c r="BQ466" s="75"/>
      <c r="BR466" s="75"/>
      <c r="BS466" s="157">
        <v>2019</v>
      </c>
      <c r="BT466">
        <v>2020</v>
      </c>
      <c r="BU466">
        <v>2019</v>
      </c>
    </row>
    <row r="467" spans="1:73" ht="43.15" customHeight="1" x14ac:dyDescent="0.25">
      <c r="A467" s="241" t="s">
        <v>749</v>
      </c>
      <c r="B467" s="241" t="s">
        <v>3484</v>
      </c>
      <c r="C467" s="163">
        <v>800</v>
      </c>
      <c r="D467" s="76">
        <v>43439</v>
      </c>
      <c r="E467" s="76">
        <v>43440</v>
      </c>
      <c r="F467" s="76">
        <v>43451</v>
      </c>
      <c r="G467" s="76" t="s">
        <v>3483</v>
      </c>
      <c r="H467" s="76">
        <v>43455</v>
      </c>
      <c r="I467" s="76">
        <v>43455</v>
      </c>
      <c r="J467" s="76">
        <v>43461</v>
      </c>
      <c r="K467" s="218"/>
      <c r="L467" s="76">
        <v>43787</v>
      </c>
      <c r="M467" s="76">
        <v>43532</v>
      </c>
      <c r="N467" s="76"/>
      <c r="O467" s="76">
        <v>43803</v>
      </c>
      <c r="P467" s="76">
        <v>43803</v>
      </c>
      <c r="Q467" s="76">
        <v>43809</v>
      </c>
      <c r="R467" s="82"/>
      <c r="S467" s="76"/>
      <c r="T467" s="77"/>
      <c r="U467" s="77"/>
      <c r="V467" s="77"/>
      <c r="W467" s="77">
        <v>2</v>
      </c>
      <c r="X467" s="77">
        <v>23270</v>
      </c>
      <c r="Y467" s="75" t="str">
        <f ca="1">IF(I467="",IF(D467="","",IF(W467+X467&lt;15,"Données Nb pers ou RFR manquantes",IF(COUNTA(INDIRECT("TabRFR["&amp;YEAR(D467)&amp;"]"))&lt;&gt;COUNTA(TabRFR[Recherche RFR]),"Data RFR manquantes", IF(X467&lt;=INDEX(TabRFR[[2021]:[2025]],MATCH(BD!W467&amp;"-Très modestes",TabRFR[Recherche RFR],0),MATCH(TEXT(YEAR(BD!D467),"Standard"),TabRFR[[#Headers],[2021]:[2025]],0)),"Très Modeste",IF(X467&lt;=INDEX(TabRFR[[2021]:[2025]],MATCH(BD!W467&amp;"-modestes",TabRFR[Recherche RFR],0),MATCH(TEXT(YEAR(BD!D467),"Standard"),TabRFR[[#Headers],[2021]:[2025]],0)),"Modeste",IF(X467&lt;=INDEX(TabRFR[[2021]:[2025]],MATCH(BD!W467&amp;"-Intermédiaire",TabRFR[Recherche RFR],0),MATCH(TEXT(YEAR(BD!D467),"Standard"),TabRFR[[#Headers],[2021]:[2025]],0)),"Intermédiaire","Supérieur")))))),IF(D467="","",IF(W467+X467&lt;15,"Données Nb pers ou RFR manquantes",IF(COUNTA(INDIRECT("TabRFR["&amp;YEAR(I467)&amp;"]"))&lt;&gt;COUNTA(TabRFR[Recherche RFR]),"Data RFR manquantes", IF(X467&lt;=INDEX(TabRFR[[2021]:[2025]],MATCH(BD!W467&amp;"-Très modestes",TabRFR[Recherche RFR],0),MATCH(TEXT(YEAR(BD!I467),"Standard"),TabRFR[[#Headers],[2021]:[2025]],0)),"Très Modeste",IF(X467&lt;=INDEX(TabRFR[[2021]:[2025]],MATCH(BD!W467&amp;"-modestes",TabRFR[Recherche RFR],0),MATCH(TEXT(YEAR(BD!I467),"Standard"),TabRFR[[#Headers],[2021]:[2025]],0)),"Modeste",IF(X467&lt;=INDEX(TabRFR[[2021]:[2025]],MATCH(BD!W467&amp;"-Intermédiaire",TabRFR[Recherche RFR],0),MATCH(TEXT(YEAR(BD!I467),"Standard"),TabRFR[[#Headers],[2021]:[2025]],0)),"Intermédiaire","Supérieur")))))))</f>
        <v>Data RFR manquantes</v>
      </c>
      <c r="Z467" s="77"/>
      <c r="AA467" s="77" t="s">
        <v>3482</v>
      </c>
      <c r="AB467" s="77">
        <v>38210</v>
      </c>
      <c r="AC467" s="77" t="s">
        <v>195</v>
      </c>
      <c r="AD467" s="78"/>
      <c r="AE467" s="102"/>
      <c r="AF467" s="77" t="s">
        <v>95</v>
      </c>
      <c r="AG467" s="77"/>
      <c r="AH467" s="77">
        <v>1991</v>
      </c>
      <c r="AI467" s="77"/>
      <c r="AJ467" s="77"/>
      <c r="AK467" s="77"/>
      <c r="AL467" s="77"/>
      <c r="AM467" s="77" t="s">
        <v>1886</v>
      </c>
      <c r="AN467" s="77" t="s">
        <v>195</v>
      </c>
      <c r="AO467" s="77" t="s">
        <v>9</v>
      </c>
      <c r="AP467" s="77" t="s">
        <v>97</v>
      </c>
      <c r="AQ467" s="77"/>
      <c r="AR467" s="132">
        <v>43674</v>
      </c>
      <c r="AS467" s="102" t="s">
        <v>516</v>
      </c>
      <c r="AT467" s="78" t="s">
        <v>776</v>
      </c>
      <c r="AU467" s="77" t="s">
        <v>111</v>
      </c>
      <c r="AV467" s="77">
        <v>1990</v>
      </c>
      <c r="AW467" s="77" t="s">
        <v>100</v>
      </c>
      <c r="AX467" s="75" t="s">
        <v>2071</v>
      </c>
      <c r="AY467" s="77" t="s">
        <v>440</v>
      </c>
      <c r="AZ467" s="77" t="s">
        <v>3481</v>
      </c>
      <c r="BA467" s="77">
        <v>14</v>
      </c>
      <c r="BB467" s="77">
        <v>6.1</v>
      </c>
      <c r="BC467" s="77">
        <v>93.3</v>
      </c>
      <c r="BD467" s="77">
        <v>2E-3</v>
      </c>
      <c r="BE467" s="77" t="s">
        <v>97</v>
      </c>
      <c r="BF467" s="77"/>
      <c r="BG467" s="77">
        <v>3315.5</v>
      </c>
      <c r="BH467" s="77"/>
      <c r="BI467" s="77"/>
      <c r="BJ467" s="77"/>
      <c r="BK467" s="77">
        <v>500</v>
      </c>
      <c r="BL467" s="75">
        <f t="shared" si="21"/>
        <v>3815.5</v>
      </c>
      <c r="BM467" s="103">
        <f t="shared" si="22"/>
        <v>209.85249999999999</v>
      </c>
      <c r="BN467" s="103">
        <f t="shared" si="23"/>
        <v>4025.3525</v>
      </c>
      <c r="BO467" s="80">
        <v>4552.8500000000004</v>
      </c>
      <c r="BP467" s="77" t="s">
        <v>104</v>
      </c>
      <c r="BQ467" s="77"/>
      <c r="BR467" s="77"/>
      <c r="BS467" s="157">
        <v>2019</v>
      </c>
      <c r="BU467">
        <v>2019</v>
      </c>
    </row>
    <row r="468" spans="1:73" ht="43.15" customHeight="1" x14ac:dyDescent="0.25">
      <c r="A468" s="241" t="s">
        <v>749</v>
      </c>
      <c r="B468" s="245" t="s">
        <v>3480</v>
      </c>
      <c r="C468" s="159">
        <v>400</v>
      </c>
      <c r="D468" s="76">
        <v>43439</v>
      </c>
      <c r="E468" s="76">
        <v>43445</v>
      </c>
      <c r="F468" s="76">
        <v>43451</v>
      </c>
      <c r="G468" s="76" t="s">
        <v>3479</v>
      </c>
      <c r="H468" s="76">
        <v>43592</v>
      </c>
      <c r="I468" s="76">
        <v>43592</v>
      </c>
      <c r="J468" s="76">
        <v>43463</v>
      </c>
      <c r="K468" s="218"/>
      <c r="L468" s="76">
        <v>43509</v>
      </c>
      <c r="M468" s="76">
        <v>43464</v>
      </c>
      <c r="N468" s="219"/>
      <c r="O468" s="76">
        <v>43592</v>
      </c>
      <c r="P468" s="76">
        <v>43592</v>
      </c>
      <c r="Q468" s="76">
        <v>43704</v>
      </c>
      <c r="R468" s="82"/>
      <c r="S468" s="76"/>
      <c r="T468" s="77"/>
      <c r="U468" s="77"/>
      <c r="V468" s="77"/>
      <c r="W468" s="77">
        <v>4</v>
      </c>
      <c r="X468" s="77">
        <v>69230</v>
      </c>
      <c r="Y468" s="75" t="str">
        <f ca="1">IF(I468="",IF(D468="","",IF(W468+X468&lt;15,"Données Nb pers ou RFR manquantes",IF(COUNTA(INDIRECT("TabRFR["&amp;YEAR(D468)&amp;"]"))&lt;&gt;COUNTA(TabRFR[Recherche RFR]),"Data RFR manquantes", IF(X468&lt;=INDEX(TabRFR[[2021]:[2025]],MATCH(BD!W468&amp;"-Très modestes",TabRFR[Recherche RFR],0),MATCH(TEXT(YEAR(BD!D468),"Standard"),TabRFR[[#Headers],[2021]:[2025]],0)),"Très Modeste",IF(X468&lt;=INDEX(TabRFR[[2021]:[2025]],MATCH(BD!W468&amp;"-modestes",TabRFR[Recherche RFR],0),MATCH(TEXT(YEAR(BD!D468),"Standard"),TabRFR[[#Headers],[2021]:[2025]],0)),"Modeste",IF(X468&lt;=INDEX(TabRFR[[2021]:[2025]],MATCH(BD!W468&amp;"-Intermédiaire",TabRFR[Recherche RFR],0),MATCH(TEXT(YEAR(BD!D468),"Standard"),TabRFR[[#Headers],[2021]:[2025]],0)),"Intermédiaire","Supérieur")))))),IF(D468="","",IF(W468+X468&lt;15,"Données Nb pers ou RFR manquantes",IF(COUNTA(INDIRECT("TabRFR["&amp;YEAR(I468)&amp;"]"))&lt;&gt;COUNTA(TabRFR[Recherche RFR]),"Data RFR manquantes", IF(X468&lt;=INDEX(TabRFR[[2021]:[2025]],MATCH(BD!W468&amp;"-Très modestes",TabRFR[Recherche RFR],0),MATCH(TEXT(YEAR(BD!I468),"Standard"),TabRFR[[#Headers],[2021]:[2025]],0)),"Très Modeste",IF(X468&lt;=INDEX(TabRFR[[2021]:[2025]],MATCH(BD!W468&amp;"-modestes",TabRFR[Recherche RFR],0),MATCH(TEXT(YEAR(BD!I468),"Standard"),TabRFR[[#Headers],[2021]:[2025]],0)),"Modeste",IF(X468&lt;=INDEX(TabRFR[[2021]:[2025]],MATCH(BD!W468&amp;"-Intermédiaire",TabRFR[Recherche RFR],0),MATCH(TEXT(YEAR(BD!I468),"Standard"),TabRFR[[#Headers],[2021]:[2025]],0)),"Intermédiaire","Supérieur")))))))</f>
        <v>Data RFR manquantes</v>
      </c>
      <c r="Z468" s="77"/>
      <c r="AA468" s="77" t="s">
        <v>3478</v>
      </c>
      <c r="AB468" s="77">
        <v>38140</v>
      </c>
      <c r="AC468" s="77" t="s">
        <v>321</v>
      </c>
      <c r="AD468" s="78"/>
      <c r="AE468" s="102"/>
      <c r="AF468" s="77" t="s">
        <v>95</v>
      </c>
      <c r="AG468" s="77"/>
      <c r="AH468" s="77">
        <v>2013</v>
      </c>
      <c r="AI468" s="77"/>
      <c r="AJ468" s="77"/>
      <c r="AK468" s="77"/>
      <c r="AL468" s="77"/>
      <c r="AM468" s="77" t="s">
        <v>4356</v>
      </c>
      <c r="AN468" s="77" t="s">
        <v>96</v>
      </c>
      <c r="AO468" s="77" t="s">
        <v>3477</v>
      </c>
      <c r="AP468" s="77" t="s">
        <v>97</v>
      </c>
      <c r="AQ468" s="77"/>
      <c r="AR468" s="79">
        <v>43772</v>
      </c>
      <c r="AS468" s="102" t="s">
        <v>120</v>
      </c>
      <c r="AT468" s="78" t="s">
        <v>658</v>
      </c>
      <c r="AU468" s="77" t="s">
        <v>100</v>
      </c>
      <c r="AV468" s="77">
        <v>1998</v>
      </c>
      <c r="AW468" s="77" t="s">
        <v>100</v>
      </c>
      <c r="AX468" s="77" t="s">
        <v>112</v>
      </c>
      <c r="AY468" s="77" t="s">
        <v>190</v>
      </c>
      <c r="AZ468" s="77" t="s">
        <v>3476</v>
      </c>
      <c r="BA468" s="77">
        <v>36</v>
      </c>
      <c r="BB468" s="77">
        <v>6</v>
      </c>
      <c r="BC468" s="77">
        <v>80</v>
      </c>
      <c r="BD468" s="77">
        <v>0.1</v>
      </c>
      <c r="BE468" s="77" t="s">
        <v>97</v>
      </c>
      <c r="BF468" s="77"/>
      <c r="BG468" s="77">
        <v>2665</v>
      </c>
      <c r="BH468" s="77"/>
      <c r="BI468" s="77"/>
      <c r="BJ468" s="77"/>
      <c r="BK468" s="77">
        <v>640</v>
      </c>
      <c r="BL468" s="75">
        <f t="shared" si="21"/>
        <v>3305</v>
      </c>
      <c r="BM468" s="103">
        <f t="shared" si="22"/>
        <v>181.77500000000001</v>
      </c>
      <c r="BN468" s="103">
        <f t="shared" si="23"/>
        <v>3486.7750000000001</v>
      </c>
      <c r="BO468" s="80">
        <v>3488</v>
      </c>
      <c r="BP468" s="77" t="s">
        <v>104</v>
      </c>
      <c r="BQ468" s="77"/>
      <c r="BR468" s="77"/>
      <c r="BS468" s="157">
        <v>2019</v>
      </c>
      <c r="BT468">
        <v>2020</v>
      </c>
      <c r="BU468">
        <v>2019</v>
      </c>
    </row>
    <row r="469" spans="1:73" ht="43.15" customHeight="1" x14ac:dyDescent="0.25">
      <c r="A469" s="242" t="s">
        <v>749</v>
      </c>
      <c r="B469" s="242" t="s">
        <v>3475</v>
      </c>
      <c r="C469" s="159">
        <v>400</v>
      </c>
      <c r="D469" s="114">
        <v>43445</v>
      </c>
      <c r="E469" s="114">
        <v>43445</v>
      </c>
      <c r="F469" s="114"/>
      <c r="G469" s="114" t="s">
        <v>3474</v>
      </c>
      <c r="H469" s="114">
        <v>43476</v>
      </c>
      <c r="I469" s="114">
        <v>43477</v>
      </c>
      <c r="J469" s="114">
        <v>43494</v>
      </c>
      <c r="K469" s="76"/>
      <c r="L469" s="114">
        <v>43537</v>
      </c>
      <c r="M469" s="114">
        <v>43531</v>
      </c>
      <c r="N469" s="114"/>
      <c r="O469" s="114">
        <v>43565</v>
      </c>
      <c r="P469" s="114">
        <v>43565</v>
      </c>
      <c r="Q469" s="114">
        <v>43574</v>
      </c>
      <c r="R469" s="80"/>
      <c r="S469" s="114"/>
      <c r="T469" s="75"/>
      <c r="U469" s="75"/>
      <c r="V469" s="75"/>
      <c r="W469" s="75">
        <v>5</v>
      </c>
      <c r="X469" s="75">
        <v>85257</v>
      </c>
      <c r="Y469" s="75" t="str">
        <f ca="1">IF(I469="",IF(D469="","",IF(W469+X469&lt;15,"Données Nb pers ou RFR manquantes",IF(COUNTA(INDIRECT("TabRFR["&amp;YEAR(D469)&amp;"]"))&lt;&gt;COUNTA(TabRFR[Recherche RFR]),"Data RFR manquantes", IF(X469&lt;=INDEX(TabRFR[[2021]:[2025]],MATCH(BD!W469&amp;"-Très modestes",TabRFR[Recherche RFR],0),MATCH(TEXT(YEAR(BD!D469),"Standard"),TabRFR[[#Headers],[2021]:[2025]],0)),"Très Modeste",IF(X469&lt;=INDEX(TabRFR[[2021]:[2025]],MATCH(BD!W469&amp;"-modestes",TabRFR[Recherche RFR],0),MATCH(TEXT(YEAR(BD!D469),"Standard"),TabRFR[[#Headers],[2021]:[2025]],0)),"Modeste",IF(X469&lt;=INDEX(TabRFR[[2021]:[2025]],MATCH(BD!W469&amp;"-Intermédiaire",TabRFR[Recherche RFR],0),MATCH(TEXT(YEAR(BD!D469),"Standard"),TabRFR[[#Headers],[2021]:[2025]],0)),"Intermédiaire","Supérieur")))))),IF(D469="","",IF(W469+X469&lt;15,"Données Nb pers ou RFR manquantes",IF(COUNTA(INDIRECT("TabRFR["&amp;YEAR(I469)&amp;"]"))&lt;&gt;COUNTA(TabRFR[Recherche RFR]),"Data RFR manquantes", IF(X469&lt;=INDEX(TabRFR[[2021]:[2025]],MATCH(BD!W469&amp;"-Très modestes",TabRFR[Recherche RFR],0),MATCH(TEXT(YEAR(BD!I469),"Standard"),TabRFR[[#Headers],[2021]:[2025]],0)),"Très Modeste",IF(X469&lt;=INDEX(TabRFR[[2021]:[2025]],MATCH(BD!W469&amp;"-modestes",TabRFR[Recherche RFR],0),MATCH(TEXT(YEAR(BD!I469),"Standard"),TabRFR[[#Headers],[2021]:[2025]],0)),"Modeste",IF(X469&lt;=INDEX(TabRFR[[2021]:[2025]],MATCH(BD!W469&amp;"-Intermédiaire",TabRFR[Recherche RFR],0),MATCH(TEXT(YEAR(BD!I469),"Standard"),TabRFR[[#Headers],[2021]:[2025]],0)),"Intermédiaire","Supérieur")))))))</f>
        <v>Data RFR manquantes</v>
      </c>
      <c r="Z469" s="75"/>
      <c r="AA469" s="75" t="s">
        <v>3473</v>
      </c>
      <c r="AB469" s="75">
        <v>38500</v>
      </c>
      <c r="AC469" s="75" t="s">
        <v>96</v>
      </c>
      <c r="AD469" s="101"/>
      <c r="AE469" s="102"/>
      <c r="AF469" s="75" t="s">
        <v>95</v>
      </c>
      <c r="AG469" s="75"/>
      <c r="AH469" s="75">
        <v>36982</v>
      </c>
      <c r="AI469" s="75"/>
      <c r="AJ469" s="75"/>
      <c r="AK469" s="75"/>
      <c r="AL469" s="75"/>
      <c r="AM469" s="75" t="s">
        <v>4359</v>
      </c>
      <c r="AN469" s="75" t="s">
        <v>829</v>
      </c>
      <c r="AO469" s="75"/>
      <c r="AP469" s="75" t="s">
        <v>97</v>
      </c>
      <c r="AQ469" s="75"/>
      <c r="AR469" s="75">
        <v>43722</v>
      </c>
      <c r="AS469" s="102" t="s">
        <v>491</v>
      </c>
      <c r="AT469" s="101" t="s">
        <v>3208</v>
      </c>
      <c r="AU469" s="75" t="s">
        <v>100</v>
      </c>
      <c r="AV469" s="75">
        <v>2001</v>
      </c>
      <c r="AW469" s="75" t="s">
        <v>100</v>
      </c>
      <c r="AX469" s="75" t="s">
        <v>112</v>
      </c>
      <c r="AY469" s="75" t="s">
        <v>492</v>
      </c>
      <c r="AZ469" s="75" t="s">
        <v>3472</v>
      </c>
      <c r="BA469" s="75">
        <v>16</v>
      </c>
      <c r="BB469" s="75">
        <v>6.4</v>
      </c>
      <c r="BC469" s="75">
        <v>81</v>
      </c>
      <c r="BD469" s="75">
        <v>0.08</v>
      </c>
      <c r="BE469" s="75" t="s">
        <v>97</v>
      </c>
      <c r="BF469" s="75"/>
      <c r="BG469" s="75">
        <v>4497.63</v>
      </c>
      <c r="BH469" s="77"/>
      <c r="BI469" s="77"/>
      <c r="BJ469" s="77"/>
      <c r="BK469" s="75">
        <v>1</v>
      </c>
      <c r="BL469" s="75">
        <f t="shared" si="21"/>
        <v>4498.63</v>
      </c>
      <c r="BM469" s="103">
        <f t="shared" si="22"/>
        <v>247.42465000000001</v>
      </c>
      <c r="BN469" s="103">
        <f t="shared" si="23"/>
        <v>4746.05465</v>
      </c>
      <c r="BO469" s="103">
        <v>6506</v>
      </c>
      <c r="BP469" s="75" t="s">
        <v>104</v>
      </c>
      <c r="BQ469" s="75"/>
      <c r="BR469" s="75"/>
      <c r="BS469" s="157">
        <v>2019</v>
      </c>
      <c r="BT469">
        <v>2020</v>
      </c>
      <c r="BU469">
        <v>2019</v>
      </c>
    </row>
    <row r="470" spans="1:73" ht="43.15" customHeight="1" x14ac:dyDescent="0.25">
      <c r="A470" s="242" t="s">
        <v>90</v>
      </c>
      <c r="B470" s="242" t="s">
        <v>3471</v>
      </c>
      <c r="C470" s="159">
        <v>400</v>
      </c>
      <c r="D470" s="114">
        <v>43448</v>
      </c>
      <c r="E470" s="114">
        <v>43448</v>
      </c>
      <c r="F470" s="114"/>
      <c r="G470" s="114"/>
      <c r="H470" s="114">
        <v>43455</v>
      </c>
      <c r="I470" s="114">
        <v>43455</v>
      </c>
      <c r="J470" s="114">
        <v>43461</v>
      </c>
      <c r="K470" s="114"/>
      <c r="L470" s="114">
        <v>43511</v>
      </c>
      <c r="M470" s="114">
        <v>43465</v>
      </c>
      <c r="N470" s="114" t="s">
        <v>3468</v>
      </c>
      <c r="O470" s="114">
        <v>43537</v>
      </c>
      <c r="P470" s="114">
        <v>43537</v>
      </c>
      <c r="Q470" s="114">
        <v>43543</v>
      </c>
      <c r="R470" s="80"/>
      <c r="S470" s="114"/>
      <c r="T470" s="75"/>
      <c r="U470" s="75"/>
      <c r="V470" s="75"/>
      <c r="W470" s="75">
        <v>2</v>
      </c>
      <c r="X470" s="75">
        <v>28951</v>
      </c>
      <c r="Y470" s="75" t="str">
        <f ca="1">IF(I470="",IF(D470="","",IF(W470+X470&lt;15,"Données Nb pers ou RFR manquantes",IF(COUNTA(INDIRECT("TabRFR["&amp;YEAR(D470)&amp;"]"))&lt;&gt;COUNTA(TabRFR[Recherche RFR]),"Data RFR manquantes", IF(X470&lt;=INDEX(TabRFR[[2021]:[2025]],MATCH(BD!W470&amp;"-Très modestes",TabRFR[Recherche RFR],0),MATCH(TEXT(YEAR(BD!D470),"Standard"),TabRFR[[#Headers],[2021]:[2025]],0)),"Très Modeste",IF(X470&lt;=INDEX(TabRFR[[2021]:[2025]],MATCH(BD!W470&amp;"-modestes",TabRFR[Recherche RFR],0),MATCH(TEXT(YEAR(BD!D470),"Standard"),TabRFR[[#Headers],[2021]:[2025]],0)),"Modeste",IF(X470&lt;=INDEX(TabRFR[[2021]:[2025]],MATCH(BD!W470&amp;"-Intermédiaire",TabRFR[Recherche RFR],0),MATCH(TEXT(YEAR(BD!D470),"Standard"),TabRFR[[#Headers],[2021]:[2025]],0)),"Intermédiaire","Supérieur")))))),IF(D470="","",IF(W470+X470&lt;15,"Données Nb pers ou RFR manquantes",IF(COUNTA(INDIRECT("TabRFR["&amp;YEAR(I470)&amp;"]"))&lt;&gt;COUNTA(TabRFR[Recherche RFR]),"Data RFR manquantes", IF(X470&lt;=INDEX(TabRFR[[2021]:[2025]],MATCH(BD!W470&amp;"-Très modestes",TabRFR[Recherche RFR],0),MATCH(TEXT(YEAR(BD!I470),"Standard"),TabRFR[[#Headers],[2021]:[2025]],0)),"Très Modeste",IF(X470&lt;=INDEX(TabRFR[[2021]:[2025]],MATCH(BD!W470&amp;"-modestes",TabRFR[Recherche RFR],0),MATCH(TEXT(YEAR(BD!I470),"Standard"),TabRFR[[#Headers],[2021]:[2025]],0)),"Modeste",IF(X470&lt;=INDEX(TabRFR[[2021]:[2025]],MATCH(BD!W470&amp;"-Intermédiaire",TabRFR[Recherche RFR],0),MATCH(TEXT(YEAR(BD!I470),"Standard"),TabRFR[[#Headers],[2021]:[2025]],0)),"Intermédiaire","Supérieur")))))))</f>
        <v>Data RFR manquantes</v>
      </c>
      <c r="Z470" s="75"/>
      <c r="AA470" s="75" t="s">
        <v>470</v>
      </c>
      <c r="AB470" s="75">
        <v>38850</v>
      </c>
      <c r="AC470" s="75" t="s">
        <v>438</v>
      </c>
      <c r="AD470" s="73"/>
      <c r="AE470" s="102"/>
      <c r="AF470" s="75" t="s">
        <v>95</v>
      </c>
      <c r="AG470" s="75"/>
      <c r="AH470" s="74"/>
      <c r="AI470" s="75"/>
      <c r="AJ470" s="75"/>
      <c r="AK470" s="75"/>
      <c r="AL470" s="75"/>
      <c r="AM470" s="75" t="s">
        <v>4236</v>
      </c>
      <c r="AN470" s="75" t="s">
        <v>4091</v>
      </c>
      <c r="AO470" s="75" t="s">
        <v>163</v>
      </c>
      <c r="AP470" s="75" t="s">
        <v>97</v>
      </c>
      <c r="AQ470" s="75"/>
      <c r="AR470" s="74">
        <v>43725</v>
      </c>
      <c r="AS470" s="102" t="s">
        <v>164</v>
      </c>
      <c r="AT470" s="73" t="s">
        <v>608</v>
      </c>
      <c r="AU470" s="75" t="s">
        <v>111</v>
      </c>
      <c r="AV470" s="75">
        <v>1998</v>
      </c>
      <c r="AW470" s="75" t="s">
        <v>100</v>
      </c>
      <c r="AX470" s="75" t="s">
        <v>2071</v>
      </c>
      <c r="AY470" s="75" t="s">
        <v>1017</v>
      </c>
      <c r="AZ470" s="75" t="s">
        <v>3470</v>
      </c>
      <c r="BA470" s="75">
        <v>6</v>
      </c>
      <c r="BB470" s="75">
        <v>8.1999999999999993</v>
      </c>
      <c r="BC470" s="75">
        <v>87.7</v>
      </c>
      <c r="BD470" s="75">
        <v>0</v>
      </c>
      <c r="BE470" s="75" t="s">
        <v>97</v>
      </c>
      <c r="BF470" s="75"/>
      <c r="BG470" s="75">
        <v>2490</v>
      </c>
      <c r="BH470" s="75"/>
      <c r="BI470" s="75"/>
      <c r="BJ470" s="75"/>
      <c r="BK470" s="75">
        <v>1498</v>
      </c>
      <c r="BL470" s="75">
        <f t="shared" si="21"/>
        <v>3988</v>
      </c>
      <c r="BM470" s="103">
        <f t="shared" si="22"/>
        <v>219.34</v>
      </c>
      <c r="BN470" s="103">
        <f t="shared" si="23"/>
        <v>4207.34</v>
      </c>
      <c r="BO470" s="103"/>
      <c r="BP470" s="75" t="s">
        <v>97</v>
      </c>
      <c r="BQ470" s="75"/>
      <c r="BR470" s="75"/>
      <c r="BS470" s="157">
        <v>2019</v>
      </c>
      <c r="BU470">
        <v>2019</v>
      </c>
    </row>
    <row r="471" spans="1:73" ht="43.15" customHeight="1" x14ac:dyDescent="0.25">
      <c r="A471" s="241" t="s">
        <v>749</v>
      </c>
      <c r="B471" s="241" t="s">
        <v>3469</v>
      </c>
      <c r="C471" s="159">
        <v>800</v>
      </c>
      <c r="D471" s="76">
        <v>43448</v>
      </c>
      <c r="E471" s="76">
        <v>43448</v>
      </c>
      <c r="F471" s="76"/>
      <c r="G471" s="76"/>
      <c r="H471" s="76">
        <v>43472</v>
      </c>
      <c r="I471" s="76">
        <v>43472</v>
      </c>
      <c r="J471" s="76">
        <v>43494</v>
      </c>
      <c r="K471" s="218"/>
      <c r="L471" s="76">
        <v>43552</v>
      </c>
      <c r="M471" s="76">
        <v>43508</v>
      </c>
      <c r="N471" s="76" t="s">
        <v>3468</v>
      </c>
      <c r="O471" s="76">
        <v>43579</v>
      </c>
      <c r="P471" s="76">
        <v>43579</v>
      </c>
      <c r="Q471" s="76">
        <v>43634</v>
      </c>
      <c r="R471" s="82"/>
      <c r="S471" s="76"/>
      <c r="T471" s="77"/>
      <c r="U471" s="77"/>
      <c r="V471" s="77"/>
      <c r="W471" s="77">
        <v>2</v>
      </c>
      <c r="X471" s="77">
        <f>13637+ 11650</f>
        <v>25287</v>
      </c>
      <c r="Y471" s="75" t="str">
        <f ca="1">IF(I471="",IF(D471="","",IF(W471+X471&lt;15,"Données Nb pers ou RFR manquantes",IF(COUNTA(INDIRECT("TabRFR["&amp;YEAR(D471)&amp;"]"))&lt;&gt;COUNTA(TabRFR[Recherche RFR]),"Data RFR manquantes", IF(X471&lt;=INDEX(TabRFR[[2021]:[2025]],MATCH(BD!W471&amp;"-Très modestes",TabRFR[Recherche RFR],0),MATCH(TEXT(YEAR(BD!D471),"Standard"),TabRFR[[#Headers],[2021]:[2025]],0)),"Très Modeste",IF(X471&lt;=INDEX(TabRFR[[2021]:[2025]],MATCH(BD!W471&amp;"-modestes",TabRFR[Recherche RFR],0),MATCH(TEXT(YEAR(BD!D471),"Standard"),TabRFR[[#Headers],[2021]:[2025]],0)),"Modeste",IF(X471&lt;=INDEX(TabRFR[[2021]:[2025]],MATCH(BD!W471&amp;"-Intermédiaire",TabRFR[Recherche RFR],0),MATCH(TEXT(YEAR(BD!D471),"Standard"),TabRFR[[#Headers],[2021]:[2025]],0)),"Intermédiaire","Supérieur")))))),IF(D471="","",IF(W471+X471&lt;15,"Données Nb pers ou RFR manquantes",IF(COUNTA(INDIRECT("TabRFR["&amp;YEAR(I471)&amp;"]"))&lt;&gt;COUNTA(TabRFR[Recherche RFR]),"Data RFR manquantes", IF(X471&lt;=INDEX(TabRFR[[2021]:[2025]],MATCH(BD!W471&amp;"-Très modestes",TabRFR[Recherche RFR],0),MATCH(TEXT(YEAR(BD!I471),"Standard"),TabRFR[[#Headers],[2021]:[2025]],0)),"Très Modeste",IF(X471&lt;=INDEX(TabRFR[[2021]:[2025]],MATCH(BD!W471&amp;"-modestes",TabRFR[Recherche RFR],0),MATCH(TEXT(YEAR(BD!I471),"Standard"),TabRFR[[#Headers],[2021]:[2025]],0)),"Modeste",IF(X471&lt;=INDEX(TabRFR[[2021]:[2025]],MATCH(BD!W471&amp;"-Intermédiaire",TabRFR[Recherche RFR],0),MATCH(TEXT(YEAR(BD!I471),"Standard"),TabRFR[[#Headers],[2021]:[2025]],0)),"Intermédiaire","Supérieur")))))))</f>
        <v>Data RFR manquantes</v>
      </c>
      <c r="Z471" s="77"/>
      <c r="AA471" s="77" t="s">
        <v>1852</v>
      </c>
      <c r="AB471" s="77">
        <v>38210</v>
      </c>
      <c r="AC471" s="77" t="s">
        <v>195</v>
      </c>
      <c r="AD471" s="78"/>
      <c r="AE471" s="102"/>
      <c r="AF471" s="77" t="s">
        <v>95</v>
      </c>
      <c r="AG471" s="77"/>
      <c r="AH471" s="145">
        <v>40118</v>
      </c>
      <c r="AI471" s="77"/>
      <c r="AJ471" s="77"/>
      <c r="AK471" s="77"/>
      <c r="AL471" s="77"/>
      <c r="AM471" s="77" t="s">
        <v>4134</v>
      </c>
      <c r="AN471" s="77" t="s">
        <v>598</v>
      </c>
      <c r="AO471" s="77" t="s">
        <v>3467</v>
      </c>
      <c r="AP471" s="77" t="s">
        <v>97</v>
      </c>
      <c r="AQ471" s="77"/>
      <c r="AR471" s="79">
        <v>43793</v>
      </c>
      <c r="AS471" s="102" t="s">
        <v>3284</v>
      </c>
      <c r="AT471" s="78" t="s">
        <v>3283</v>
      </c>
      <c r="AU471" s="77" t="s">
        <v>100</v>
      </c>
      <c r="AV471" s="77">
        <v>2001</v>
      </c>
      <c r="AW471" s="77" t="s">
        <v>100</v>
      </c>
      <c r="AX471" s="75" t="s">
        <v>2071</v>
      </c>
      <c r="AY471" s="77" t="s">
        <v>316</v>
      </c>
      <c r="AZ471" s="77" t="s">
        <v>3466</v>
      </c>
      <c r="BA471" s="77">
        <v>0</v>
      </c>
      <c r="BB471" s="77">
        <v>7.4</v>
      </c>
      <c r="BC471" s="77">
        <v>91</v>
      </c>
      <c r="BD471" s="77">
        <v>1.2999999999999999E-2</v>
      </c>
      <c r="BE471" s="77" t="s">
        <v>97</v>
      </c>
      <c r="BF471" s="77"/>
      <c r="BG471" s="77">
        <v>1597</v>
      </c>
      <c r="BH471" s="77"/>
      <c r="BI471" s="77"/>
      <c r="BJ471" s="77"/>
      <c r="BK471" s="77">
        <v>805.69</v>
      </c>
      <c r="BL471" s="75">
        <f t="shared" si="21"/>
        <v>2402.69</v>
      </c>
      <c r="BM471" s="103">
        <f t="shared" si="22"/>
        <v>132.14795000000001</v>
      </c>
      <c r="BN471" s="103">
        <f t="shared" si="23"/>
        <v>2534.8379500000001</v>
      </c>
      <c r="BO471" s="80">
        <v>2534</v>
      </c>
      <c r="BP471" s="77" t="s">
        <v>97</v>
      </c>
      <c r="BQ471" s="77"/>
      <c r="BR471" s="77"/>
      <c r="BS471" s="157">
        <v>2019</v>
      </c>
      <c r="BU471">
        <v>2019</v>
      </c>
    </row>
    <row r="472" spans="1:73" ht="43.15" customHeight="1" x14ac:dyDescent="0.25">
      <c r="A472" s="241" t="s">
        <v>749</v>
      </c>
      <c r="B472" s="241" t="s">
        <v>3465</v>
      </c>
      <c r="C472" s="159">
        <v>400</v>
      </c>
      <c r="D472" s="76">
        <v>43448</v>
      </c>
      <c r="E472" s="76">
        <v>43448</v>
      </c>
      <c r="F472" s="76"/>
      <c r="G472" s="76"/>
      <c r="H472" s="76">
        <v>43496</v>
      </c>
      <c r="I472" s="76">
        <v>43496</v>
      </c>
      <c r="J472" s="76">
        <v>43508</v>
      </c>
      <c r="K472" s="218"/>
      <c r="L472" s="76">
        <v>43623</v>
      </c>
      <c r="M472" s="76">
        <v>43513</v>
      </c>
      <c r="N472" s="76">
        <v>43633</v>
      </c>
      <c r="O472" s="76">
        <v>43640</v>
      </c>
      <c r="P472" s="76">
        <v>43643</v>
      </c>
      <c r="Q472" s="76">
        <v>43671</v>
      </c>
      <c r="R472" s="82"/>
      <c r="S472" s="76"/>
      <c r="T472" s="77"/>
      <c r="U472" s="77"/>
      <c r="V472" s="77"/>
      <c r="W472" s="77">
        <v>4</v>
      </c>
      <c r="X472" s="77">
        <v>57354</v>
      </c>
      <c r="Y472" s="75" t="str">
        <f ca="1">IF(I472="",IF(D472="","",IF(W472+X472&lt;15,"Données Nb pers ou RFR manquantes",IF(COUNTA(INDIRECT("TabRFR["&amp;YEAR(D472)&amp;"]"))&lt;&gt;COUNTA(TabRFR[Recherche RFR]),"Data RFR manquantes", IF(X472&lt;=INDEX(TabRFR[[2021]:[2025]],MATCH(BD!W472&amp;"-Très modestes",TabRFR[Recherche RFR],0),MATCH(TEXT(YEAR(BD!D472),"Standard"),TabRFR[[#Headers],[2021]:[2025]],0)),"Très Modeste",IF(X472&lt;=INDEX(TabRFR[[2021]:[2025]],MATCH(BD!W472&amp;"-modestes",TabRFR[Recherche RFR],0),MATCH(TEXT(YEAR(BD!D472),"Standard"),TabRFR[[#Headers],[2021]:[2025]],0)),"Modeste",IF(X472&lt;=INDEX(TabRFR[[2021]:[2025]],MATCH(BD!W472&amp;"-Intermédiaire",TabRFR[Recherche RFR],0),MATCH(TEXT(YEAR(BD!D472),"Standard"),TabRFR[[#Headers],[2021]:[2025]],0)),"Intermédiaire","Supérieur")))))),IF(D472="","",IF(W472+X472&lt;15,"Données Nb pers ou RFR manquantes",IF(COUNTA(INDIRECT("TabRFR["&amp;YEAR(I472)&amp;"]"))&lt;&gt;COUNTA(TabRFR[Recherche RFR]),"Data RFR manquantes", IF(X472&lt;=INDEX(TabRFR[[2021]:[2025]],MATCH(BD!W472&amp;"-Très modestes",TabRFR[Recherche RFR],0),MATCH(TEXT(YEAR(BD!I472),"Standard"),TabRFR[[#Headers],[2021]:[2025]],0)),"Très Modeste",IF(X472&lt;=INDEX(TabRFR[[2021]:[2025]],MATCH(BD!W472&amp;"-modestes",TabRFR[Recherche RFR],0),MATCH(TEXT(YEAR(BD!I472),"Standard"),TabRFR[[#Headers],[2021]:[2025]],0)),"Modeste",IF(X472&lt;=INDEX(TabRFR[[2021]:[2025]],MATCH(BD!W472&amp;"-Intermédiaire",TabRFR[Recherche RFR],0),MATCH(TEXT(YEAR(BD!I472),"Standard"),TabRFR[[#Headers],[2021]:[2025]],0)),"Intermédiaire","Supérieur")))))))</f>
        <v>Data RFR manquantes</v>
      </c>
      <c r="Z472" s="77"/>
      <c r="AA472" s="77" t="s">
        <v>3464</v>
      </c>
      <c r="AB472" s="77">
        <v>38210</v>
      </c>
      <c r="AC472" s="77" t="s">
        <v>445</v>
      </c>
      <c r="AD472" s="78"/>
      <c r="AE472" s="102"/>
      <c r="AF472" s="77" t="s">
        <v>95</v>
      </c>
      <c r="AG472" s="77"/>
      <c r="AH472" s="77"/>
      <c r="AI472" s="77"/>
      <c r="AJ472" s="77"/>
      <c r="AK472" s="77"/>
      <c r="AL472" s="77"/>
      <c r="AM472" s="77" t="s">
        <v>1886</v>
      </c>
      <c r="AN472" s="77" t="s">
        <v>195</v>
      </c>
      <c r="AO472" s="77" t="s">
        <v>9</v>
      </c>
      <c r="AP472" s="77" t="s">
        <v>97</v>
      </c>
      <c r="AQ472" s="77"/>
      <c r="AR472" s="132">
        <v>43674</v>
      </c>
      <c r="AS472" s="102" t="s">
        <v>516</v>
      </c>
      <c r="AT472" s="78" t="s">
        <v>776</v>
      </c>
      <c r="AU472" s="77" t="s">
        <v>430</v>
      </c>
      <c r="AV472" s="77">
        <v>1980</v>
      </c>
      <c r="AW472" s="77" t="s">
        <v>100</v>
      </c>
      <c r="AX472" s="75" t="s">
        <v>2071</v>
      </c>
      <c r="AY472" s="77" t="s">
        <v>440</v>
      </c>
      <c r="AZ472" s="77" t="s">
        <v>3463</v>
      </c>
      <c r="BA472" s="77">
        <v>23</v>
      </c>
      <c r="BB472" s="77">
        <v>11.9</v>
      </c>
      <c r="BC472" s="77">
        <v>90</v>
      </c>
      <c r="BD472" s="77">
        <v>0.01</v>
      </c>
      <c r="BE472" s="77" t="s">
        <v>97</v>
      </c>
      <c r="BF472" s="77"/>
      <c r="BG472" s="77">
        <v>5068</v>
      </c>
      <c r="BH472" s="77"/>
      <c r="BI472" s="77"/>
      <c r="BJ472" s="77"/>
      <c r="BK472" s="77">
        <v>1280</v>
      </c>
      <c r="BL472" s="75">
        <f t="shared" si="21"/>
        <v>6348</v>
      </c>
      <c r="BM472" s="103">
        <f t="shared" si="22"/>
        <v>349.14</v>
      </c>
      <c r="BN472" s="103">
        <f t="shared" si="23"/>
        <v>6697.14</v>
      </c>
      <c r="BO472" s="80"/>
      <c r="BP472" s="77" t="s">
        <v>104</v>
      </c>
      <c r="BQ472" s="77"/>
      <c r="BR472" s="77"/>
      <c r="BS472" s="157">
        <v>2019</v>
      </c>
      <c r="BU472">
        <v>2019</v>
      </c>
    </row>
    <row r="473" spans="1:73" ht="43.15" customHeight="1" x14ac:dyDescent="0.25">
      <c r="A473" s="241" t="s">
        <v>90</v>
      </c>
      <c r="B473" s="241" t="s">
        <v>3462</v>
      </c>
      <c r="C473" s="163">
        <v>400</v>
      </c>
      <c r="D473" s="76">
        <v>43451</v>
      </c>
      <c r="E473" s="76">
        <v>43451</v>
      </c>
      <c r="F473" s="76"/>
      <c r="G473" s="76"/>
      <c r="H473" s="76">
        <v>43473</v>
      </c>
      <c r="I473" s="76">
        <v>43473</v>
      </c>
      <c r="J473" s="76">
        <v>43494</v>
      </c>
      <c r="K473" s="218"/>
      <c r="L473" s="223">
        <v>43818</v>
      </c>
      <c r="M473" s="76">
        <v>43822</v>
      </c>
      <c r="N473" s="76" t="s">
        <v>4094</v>
      </c>
      <c r="O473" s="76">
        <v>43840</v>
      </c>
      <c r="P473" s="76">
        <v>43840</v>
      </c>
      <c r="Q473" s="76">
        <v>43853</v>
      </c>
      <c r="R473" s="82"/>
      <c r="S473" s="76"/>
      <c r="T473" s="77"/>
      <c r="U473" s="77"/>
      <c r="V473" s="77"/>
      <c r="W473" s="77">
        <v>3</v>
      </c>
      <c r="X473" s="77">
        <v>43332</v>
      </c>
      <c r="Y473" s="75" t="str">
        <f ca="1">IF(I473="",IF(D473="","",IF(W473+X473&lt;15,"Données Nb pers ou RFR manquantes",IF(COUNTA(INDIRECT("TabRFR["&amp;YEAR(D473)&amp;"]"))&lt;&gt;COUNTA(TabRFR[Recherche RFR]),"Data RFR manquantes", IF(X473&lt;=INDEX(TabRFR[[2021]:[2025]],MATCH(BD!W473&amp;"-Très modestes",TabRFR[Recherche RFR],0),MATCH(TEXT(YEAR(BD!D473),"Standard"),TabRFR[[#Headers],[2021]:[2025]],0)),"Très Modeste",IF(X473&lt;=INDEX(TabRFR[[2021]:[2025]],MATCH(BD!W473&amp;"-modestes",TabRFR[Recherche RFR],0),MATCH(TEXT(YEAR(BD!D473),"Standard"),TabRFR[[#Headers],[2021]:[2025]],0)),"Modeste",IF(X473&lt;=INDEX(TabRFR[[2021]:[2025]],MATCH(BD!W473&amp;"-Intermédiaire",TabRFR[Recherche RFR],0),MATCH(TEXT(YEAR(BD!D473),"Standard"),TabRFR[[#Headers],[2021]:[2025]],0)),"Intermédiaire","Supérieur")))))),IF(D473="","",IF(W473+X473&lt;15,"Données Nb pers ou RFR manquantes",IF(COUNTA(INDIRECT("TabRFR["&amp;YEAR(I473)&amp;"]"))&lt;&gt;COUNTA(TabRFR[Recherche RFR]),"Data RFR manquantes", IF(X473&lt;=INDEX(TabRFR[[2021]:[2025]],MATCH(BD!W473&amp;"-Très modestes",TabRFR[Recherche RFR],0),MATCH(TEXT(YEAR(BD!I473),"Standard"),TabRFR[[#Headers],[2021]:[2025]],0)),"Très Modeste",IF(X473&lt;=INDEX(TabRFR[[2021]:[2025]],MATCH(BD!W473&amp;"-modestes",TabRFR[Recherche RFR],0),MATCH(TEXT(YEAR(BD!I473),"Standard"),TabRFR[[#Headers],[2021]:[2025]],0)),"Modeste",IF(X473&lt;=INDEX(TabRFR[[2021]:[2025]],MATCH(BD!W473&amp;"-Intermédiaire",TabRFR[Recherche RFR],0),MATCH(TEXT(YEAR(BD!I473),"Standard"),TabRFR[[#Headers],[2021]:[2025]],0)),"Intermédiaire","Supérieur")))))))</f>
        <v>Data RFR manquantes</v>
      </c>
      <c r="Z473" s="77"/>
      <c r="AA473" s="77" t="s">
        <v>1184</v>
      </c>
      <c r="AB473" s="77">
        <v>38850</v>
      </c>
      <c r="AC473" s="77" t="s">
        <v>438</v>
      </c>
      <c r="AD473" s="78"/>
      <c r="AE473" s="102"/>
      <c r="AF473" s="77" t="s">
        <v>95</v>
      </c>
      <c r="AG473" s="77"/>
      <c r="AH473" s="77">
        <v>1999</v>
      </c>
      <c r="AI473" s="77"/>
      <c r="AJ473" s="77"/>
      <c r="AK473" s="77"/>
      <c r="AL473" s="77"/>
      <c r="AM473" s="77" t="s">
        <v>3973</v>
      </c>
      <c r="AN473" s="77" t="s">
        <v>96</v>
      </c>
      <c r="AO473" s="77" t="s">
        <v>9</v>
      </c>
      <c r="AP473" s="77" t="s">
        <v>97</v>
      </c>
      <c r="AQ473" s="77"/>
      <c r="AR473" s="132">
        <v>43726</v>
      </c>
      <c r="AS473" s="102" t="s">
        <v>141</v>
      </c>
      <c r="AT473" s="78" t="s">
        <v>820</v>
      </c>
      <c r="AU473" s="77" t="s">
        <v>111</v>
      </c>
      <c r="AV473" s="77">
        <v>1999</v>
      </c>
      <c r="AW473" s="77" t="s">
        <v>100</v>
      </c>
      <c r="AX473" s="77" t="s">
        <v>112</v>
      </c>
      <c r="AY473" s="77" t="s">
        <v>144</v>
      </c>
      <c r="AZ473" s="77" t="s">
        <v>3855</v>
      </c>
      <c r="BA473" s="77">
        <v>35</v>
      </c>
      <c r="BB473" s="77">
        <v>5.9</v>
      </c>
      <c r="BC473" s="77">
        <v>80.2</v>
      </c>
      <c r="BD473" s="77">
        <v>0.09</v>
      </c>
      <c r="BE473" s="77" t="s">
        <v>97</v>
      </c>
      <c r="BF473" s="77"/>
      <c r="BG473" s="77">
        <f>3280-540</f>
        <v>2740</v>
      </c>
      <c r="BH473" s="77"/>
      <c r="BI473" s="77"/>
      <c r="BJ473" s="77"/>
      <c r="BK473" s="77">
        <v>540</v>
      </c>
      <c r="BL473" s="75">
        <f t="shared" si="21"/>
        <v>3280</v>
      </c>
      <c r="BM473" s="103">
        <f t="shared" si="22"/>
        <v>180.4</v>
      </c>
      <c r="BN473" s="103">
        <f t="shared" si="23"/>
        <v>3460.4</v>
      </c>
      <c r="BO473" s="80"/>
      <c r="BP473" s="77" t="s">
        <v>104</v>
      </c>
      <c r="BQ473" s="77"/>
      <c r="BR473" s="77"/>
      <c r="BS473" s="157">
        <v>2019</v>
      </c>
      <c r="BT473">
        <v>2020</v>
      </c>
      <c r="BU473">
        <v>2019</v>
      </c>
    </row>
    <row r="474" spans="1:73" ht="43.15" customHeight="1" x14ac:dyDescent="0.25">
      <c r="A474" s="241" t="s">
        <v>90</v>
      </c>
      <c r="B474" s="241" t="s">
        <v>3461</v>
      </c>
      <c r="C474" s="159">
        <v>400</v>
      </c>
      <c r="D474" s="76">
        <v>43451</v>
      </c>
      <c r="E474" s="76">
        <v>43451</v>
      </c>
      <c r="F474" s="76">
        <v>43473</v>
      </c>
      <c r="G474" s="76" t="s">
        <v>3460</v>
      </c>
      <c r="H474" s="76">
        <v>43481</v>
      </c>
      <c r="I474" s="76">
        <v>43481</v>
      </c>
      <c r="J474" s="76">
        <v>43494</v>
      </c>
      <c r="K474" s="218"/>
      <c r="L474" s="76">
        <v>43523</v>
      </c>
      <c r="M474" s="76">
        <v>43496</v>
      </c>
      <c r="N474" s="83" t="s">
        <v>3459</v>
      </c>
      <c r="O474" s="76">
        <v>43550</v>
      </c>
      <c r="P474" s="76">
        <v>43550</v>
      </c>
      <c r="Q474" s="76">
        <v>43634</v>
      </c>
      <c r="R474" s="80"/>
      <c r="S474" s="76"/>
      <c r="T474" s="77"/>
      <c r="U474" s="77"/>
      <c r="V474" s="77"/>
      <c r="W474" s="77">
        <v>2</v>
      </c>
      <c r="X474" s="77">
        <v>42271</v>
      </c>
      <c r="Y474" s="75" t="str">
        <f ca="1">IF(I474="",IF(D474="","",IF(W474+X474&lt;15,"Données Nb pers ou RFR manquantes",IF(COUNTA(INDIRECT("TabRFR["&amp;YEAR(D474)&amp;"]"))&lt;&gt;COUNTA(TabRFR[Recherche RFR]),"Data RFR manquantes", IF(X474&lt;=INDEX(TabRFR[[2021]:[2025]],MATCH(BD!W474&amp;"-Très modestes",TabRFR[Recherche RFR],0),MATCH(TEXT(YEAR(BD!D474),"Standard"),TabRFR[[#Headers],[2021]:[2025]],0)),"Très Modeste",IF(X474&lt;=INDEX(TabRFR[[2021]:[2025]],MATCH(BD!W474&amp;"-modestes",TabRFR[Recherche RFR],0),MATCH(TEXT(YEAR(BD!D474),"Standard"),TabRFR[[#Headers],[2021]:[2025]],0)),"Modeste",IF(X474&lt;=INDEX(TabRFR[[2021]:[2025]],MATCH(BD!W474&amp;"-Intermédiaire",TabRFR[Recherche RFR],0),MATCH(TEXT(YEAR(BD!D474),"Standard"),TabRFR[[#Headers],[2021]:[2025]],0)),"Intermédiaire","Supérieur")))))),IF(D474="","",IF(W474+X474&lt;15,"Données Nb pers ou RFR manquantes",IF(COUNTA(INDIRECT("TabRFR["&amp;YEAR(I474)&amp;"]"))&lt;&gt;COUNTA(TabRFR[Recherche RFR]),"Data RFR manquantes", IF(X474&lt;=INDEX(TabRFR[[2021]:[2025]],MATCH(BD!W474&amp;"-Très modestes",TabRFR[Recherche RFR],0),MATCH(TEXT(YEAR(BD!I474),"Standard"),TabRFR[[#Headers],[2021]:[2025]],0)),"Très Modeste",IF(X474&lt;=INDEX(TabRFR[[2021]:[2025]],MATCH(BD!W474&amp;"-modestes",TabRFR[Recherche RFR],0),MATCH(TEXT(YEAR(BD!I474),"Standard"),TabRFR[[#Headers],[2021]:[2025]],0)),"Modeste",IF(X474&lt;=INDEX(TabRFR[[2021]:[2025]],MATCH(BD!W474&amp;"-Intermédiaire",TabRFR[Recherche RFR],0),MATCH(TEXT(YEAR(BD!I474),"Standard"),TabRFR[[#Headers],[2021]:[2025]],0)),"Intermédiaire","Supérieur")))))))</f>
        <v>Data RFR manquantes</v>
      </c>
      <c r="Z474" s="77"/>
      <c r="AA474" s="77" t="s">
        <v>3458</v>
      </c>
      <c r="AB474" s="77">
        <v>38620</v>
      </c>
      <c r="AC474" s="77" t="s">
        <v>851</v>
      </c>
      <c r="AD474" s="78"/>
      <c r="AE474" s="102"/>
      <c r="AF474" s="77" t="s">
        <v>125</v>
      </c>
      <c r="AG474" s="77"/>
      <c r="AH474" s="77">
        <v>2000</v>
      </c>
      <c r="AI474" s="77">
        <v>82</v>
      </c>
      <c r="AJ474" s="77" t="s">
        <v>3457</v>
      </c>
      <c r="AK474" s="77">
        <v>38620</v>
      </c>
      <c r="AL474" s="77" t="s">
        <v>3456</v>
      </c>
      <c r="AM474" s="77" t="s">
        <v>3973</v>
      </c>
      <c r="AN474" s="77" t="s">
        <v>96</v>
      </c>
      <c r="AO474" s="77" t="s">
        <v>3455</v>
      </c>
      <c r="AP474" s="77" t="s">
        <v>97</v>
      </c>
      <c r="AQ474" s="77"/>
      <c r="AR474" s="79">
        <v>43772</v>
      </c>
      <c r="AS474" s="102" t="s">
        <v>120</v>
      </c>
      <c r="AT474" s="78" t="s">
        <v>658</v>
      </c>
      <c r="AU474" s="77" t="s">
        <v>100</v>
      </c>
      <c r="AV474" s="77">
        <v>1990</v>
      </c>
      <c r="AW474" s="77" t="s">
        <v>100</v>
      </c>
      <c r="AX474" s="77" t="s">
        <v>112</v>
      </c>
      <c r="AY474" s="77" t="s">
        <v>190</v>
      </c>
      <c r="AZ474" s="77" t="s">
        <v>3454</v>
      </c>
      <c r="BA474" s="77">
        <v>6.5</v>
      </c>
      <c r="BB474" s="77">
        <v>30</v>
      </c>
      <c r="BC474" s="77">
        <v>80.2</v>
      </c>
      <c r="BD474" s="77">
        <v>0.03</v>
      </c>
      <c r="BE474" s="77" t="s">
        <v>97</v>
      </c>
      <c r="BF474" s="77"/>
      <c r="BG474" s="77">
        <v>1933.65</v>
      </c>
      <c r="BH474" s="77"/>
      <c r="BI474" s="77"/>
      <c r="BJ474" s="77"/>
      <c r="BK474" s="77">
        <v>300</v>
      </c>
      <c r="BL474" s="75">
        <f t="shared" si="21"/>
        <v>2233.65</v>
      </c>
      <c r="BM474" s="103">
        <f t="shared" si="22"/>
        <v>122.85075000000001</v>
      </c>
      <c r="BN474" s="103">
        <f t="shared" si="23"/>
        <v>2356.5007500000002</v>
      </c>
      <c r="BO474" s="80">
        <f>2800+229</f>
        <v>3029</v>
      </c>
      <c r="BP474" s="77" t="s">
        <v>97</v>
      </c>
      <c r="BQ474" s="77"/>
      <c r="BR474" s="77"/>
      <c r="BS474" s="157">
        <v>2019</v>
      </c>
      <c r="BT474">
        <v>2020</v>
      </c>
      <c r="BU474">
        <v>2019</v>
      </c>
    </row>
    <row r="475" spans="1:73" ht="43.15" customHeight="1" x14ac:dyDescent="0.25">
      <c r="A475" s="242" t="s">
        <v>90</v>
      </c>
      <c r="B475" s="242" t="s">
        <v>3453</v>
      </c>
      <c r="C475" s="159">
        <v>400</v>
      </c>
      <c r="D475" s="114">
        <v>43454</v>
      </c>
      <c r="E475" s="114"/>
      <c r="F475" s="114"/>
      <c r="G475" s="114"/>
      <c r="H475" s="114">
        <v>43473</v>
      </c>
      <c r="I475" s="114">
        <v>43473</v>
      </c>
      <c r="J475" s="114">
        <v>43494</v>
      </c>
      <c r="K475" s="114"/>
      <c r="L475" s="114">
        <v>43517</v>
      </c>
      <c r="M475" s="114">
        <v>43495</v>
      </c>
      <c r="N475" s="114"/>
      <c r="O475" s="114">
        <v>43532</v>
      </c>
      <c r="P475" s="114">
        <v>43532</v>
      </c>
      <c r="Q475" s="114">
        <v>43532</v>
      </c>
      <c r="R475" s="80"/>
      <c r="S475" s="114"/>
      <c r="T475" s="75"/>
      <c r="U475" s="75"/>
      <c r="V475" s="75"/>
      <c r="W475" s="75">
        <v>2</v>
      </c>
      <c r="X475" s="75">
        <v>35012</v>
      </c>
      <c r="Y475" s="75" t="str">
        <f ca="1">IF(I475="",IF(D475="","",IF(W475+X475&lt;15,"Données Nb pers ou RFR manquantes",IF(COUNTA(INDIRECT("TabRFR["&amp;YEAR(D475)&amp;"]"))&lt;&gt;COUNTA(TabRFR[Recherche RFR]),"Data RFR manquantes", IF(X475&lt;=INDEX(TabRFR[[2021]:[2025]],MATCH(BD!W475&amp;"-Très modestes",TabRFR[Recherche RFR],0),MATCH(TEXT(YEAR(BD!D475),"Standard"),TabRFR[[#Headers],[2021]:[2025]],0)),"Très Modeste",IF(X475&lt;=INDEX(TabRFR[[2021]:[2025]],MATCH(BD!W475&amp;"-modestes",TabRFR[Recherche RFR],0),MATCH(TEXT(YEAR(BD!D475),"Standard"),TabRFR[[#Headers],[2021]:[2025]],0)),"Modeste",IF(X475&lt;=INDEX(TabRFR[[2021]:[2025]],MATCH(BD!W475&amp;"-Intermédiaire",TabRFR[Recherche RFR],0),MATCH(TEXT(YEAR(BD!D475),"Standard"),TabRFR[[#Headers],[2021]:[2025]],0)),"Intermédiaire","Supérieur")))))),IF(D475="","",IF(W475+X475&lt;15,"Données Nb pers ou RFR manquantes",IF(COUNTA(INDIRECT("TabRFR["&amp;YEAR(I475)&amp;"]"))&lt;&gt;COUNTA(TabRFR[Recherche RFR]),"Data RFR manquantes", IF(X475&lt;=INDEX(TabRFR[[2021]:[2025]],MATCH(BD!W475&amp;"-Très modestes",TabRFR[Recherche RFR],0),MATCH(TEXT(YEAR(BD!I475),"Standard"),TabRFR[[#Headers],[2021]:[2025]],0)),"Très Modeste",IF(X475&lt;=INDEX(TabRFR[[2021]:[2025]],MATCH(BD!W475&amp;"-modestes",TabRFR[Recherche RFR],0),MATCH(TEXT(YEAR(BD!I475),"Standard"),TabRFR[[#Headers],[2021]:[2025]],0)),"Modeste",IF(X475&lt;=INDEX(TabRFR[[2021]:[2025]],MATCH(BD!W475&amp;"-Intermédiaire",TabRFR[Recherche RFR],0),MATCH(TEXT(YEAR(BD!I475),"Standard"),TabRFR[[#Headers],[2021]:[2025]],0)),"Intermédiaire","Supérieur")))))))</f>
        <v>Data RFR manquantes</v>
      </c>
      <c r="Z475" s="75"/>
      <c r="AA475" s="75" t="s">
        <v>3452</v>
      </c>
      <c r="AB475" s="75">
        <v>38500</v>
      </c>
      <c r="AC475" s="75" t="s">
        <v>94</v>
      </c>
      <c r="AD475" s="73"/>
      <c r="AE475" s="102"/>
      <c r="AF475" s="75" t="s">
        <v>95</v>
      </c>
      <c r="AG475" s="75"/>
      <c r="AH475" s="130">
        <v>29373</v>
      </c>
      <c r="AI475" s="130"/>
      <c r="AJ475" s="75"/>
      <c r="AK475" s="75"/>
      <c r="AL475" s="75"/>
      <c r="AM475" s="75" t="s">
        <v>4348</v>
      </c>
      <c r="AN475" s="75" t="s">
        <v>96</v>
      </c>
      <c r="AO475" s="75" t="s">
        <v>3451</v>
      </c>
      <c r="AP475" s="75" t="s">
        <v>97</v>
      </c>
      <c r="AQ475" s="75"/>
      <c r="AR475" s="74">
        <v>43698</v>
      </c>
      <c r="AS475" s="102" t="s">
        <v>98</v>
      </c>
      <c r="AT475" s="73" t="s">
        <v>802</v>
      </c>
      <c r="AU475" s="75" t="s">
        <v>111</v>
      </c>
      <c r="AV475" s="75">
        <v>1981</v>
      </c>
      <c r="AW475" s="75" t="s">
        <v>100</v>
      </c>
      <c r="AX475" s="75" t="s">
        <v>2071</v>
      </c>
      <c r="AY475" s="75" t="s">
        <v>102</v>
      </c>
      <c r="AZ475" s="75" t="s">
        <v>3450</v>
      </c>
      <c r="BA475" s="75">
        <v>18</v>
      </c>
      <c r="BB475" s="75">
        <v>10</v>
      </c>
      <c r="BC475" s="75">
        <v>90.4</v>
      </c>
      <c r="BD475" s="75">
        <v>3.0000000000000001E-3</v>
      </c>
      <c r="BE475" s="75" t="s">
        <v>97</v>
      </c>
      <c r="BF475" s="75"/>
      <c r="BG475" s="75">
        <v>3827</v>
      </c>
      <c r="BH475" s="75"/>
      <c r="BI475" s="75"/>
      <c r="BJ475" s="75"/>
      <c r="BK475" s="75">
        <v>653</v>
      </c>
      <c r="BL475" s="75">
        <f t="shared" si="21"/>
        <v>4480</v>
      </c>
      <c r="BM475" s="103">
        <f t="shared" si="22"/>
        <v>246.4</v>
      </c>
      <c r="BN475" s="103">
        <f t="shared" si="23"/>
        <v>4726.3999999999996</v>
      </c>
      <c r="BO475" s="103">
        <v>3726</v>
      </c>
      <c r="BP475" s="75" t="s">
        <v>97</v>
      </c>
      <c r="BQ475" s="75"/>
      <c r="BR475" s="75"/>
      <c r="BS475" s="157">
        <v>2019</v>
      </c>
      <c r="BU475">
        <v>2019</v>
      </c>
    </row>
    <row r="476" spans="1:73" ht="43.15" customHeight="1" x14ac:dyDescent="0.25">
      <c r="A476" s="241" t="s">
        <v>90</v>
      </c>
      <c r="B476" s="241" t="s">
        <v>3449</v>
      </c>
      <c r="C476" s="159">
        <v>400</v>
      </c>
      <c r="D476" s="76">
        <v>43460</v>
      </c>
      <c r="E476" s="76">
        <v>43468</v>
      </c>
      <c r="F476" s="76">
        <v>43473</v>
      </c>
      <c r="G476" s="76"/>
      <c r="H476" s="76">
        <v>43481</v>
      </c>
      <c r="I476" s="76">
        <v>43481</v>
      </c>
      <c r="J476" s="76">
        <v>43515</v>
      </c>
      <c r="K476" s="218"/>
      <c r="L476" s="76">
        <v>43601</v>
      </c>
      <c r="M476" s="76">
        <v>43528</v>
      </c>
      <c r="N476" s="76"/>
      <c r="O476" s="76">
        <v>43620</v>
      </c>
      <c r="P476" s="76">
        <v>43620</v>
      </c>
      <c r="Q476" s="76">
        <v>43620</v>
      </c>
      <c r="R476" s="80"/>
      <c r="S476" s="76"/>
      <c r="T476" s="77"/>
      <c r="U476" s="77"/>
      <c r="V476" s="77"/>
      <c r="W476" s="77">
        <v>2</v>
      </c>
      <c r="X476" s="77">
        <v>61508</v>
      </c>
      <c r="Y476" s="75" t="str">
        <f ca="1">IF(I476="",IF(D476="","",IF(W476+X476&lt;15,"Données Nb pers ou RFR manquantes",IF(COUNTA(INDIRECT("TabRFR["&amp;YEAR(D476)&amp;"]"))&lt;&gt;COUNTA(TabRFR[Recherche RFR]),"Data RFR manquantes", IF(X476&lt;=INDEX(TabRFR[[2021]:[2025]],MATCH(BD!W476&amp;"-Très modestes",TabRFR[Recherche RFR],0),MATCH(TEXT(YEAR(BD!D476),"Standard"),TabRFR[[#Headers],[2021]:[2025]],0)),"Très Modeste",IF(X476&lt;=INDEX(TabRFR[[2021]:[2025]],MATCH(BD!W476&amp;"-modestes",TabRFR[Recherche RFR],0),MATCH(TEXT(YEAR(BD!D476),"Standard"),TabRFR[[#Headers],[2021]:[2025]],0)),"Modeste",IF(X476&lt;=INDEX(TabRFR[[2021]:[2025]],MATCH(BD!W476&amp;"-Intermédiaire",TabRFR[Recherche RFR],0),MATCH(TEXT(YEAR(BD!D476),"Standard"),TabRFR[[#Headers],[2021]:[2025]],0)),"Intermédiaire","Supérieur")))))),IF(D476="","",IF(W476+X476&lt;15,"Données Nb pers ou RFR manquantes",IF(COUNTA(INDIRECT("TabRFR["&amp;YEAR(I476)&amp;"]"))&lt;&gt;COUNTA(TabRFR[Recherche RFR]),"Data RFR manquantes", IF(X476&lt;=INDEX(TabRFR[[2021]:[2025]],MATCH(BD!W476&amp;"-Très modestes",TabRFR[Recherche RFR],0),MATCH(TEXT(YEAR(BD!I476),"Standard"),TabRFR[[#Headers],[2021]:[2025]],0)),"Très Modeste",IF(X476&lt;=INDEX(TabRFR[[2021]:[2025]],MATCH(BD!W476&amp;"-modestes",TabRFR[Recherche RFR],0),MATCH(TEXT(YEAR(BD!I476),"Standard"),TabRFR[[#Headers],[2021]:[2025]],0)),"Modeste",IF(X476&lt;=INDEX(TabRFR[[2021]:[2025]],MATCH(BD!W476&amp;"-Intermédiaire",TabRFR[Recherche RFR],0),MATCH(TEXT(YEAR(BD!I476),"Standard"),TabRFR[[#Headers],[2021]:[2025]],0)),"Intermédiaire","Supérieur")))))))</f>
        <v>Data RFR manquantes</v>
      </c>
      <c r="Z476" s="77"/>
      <c r="AA476" s="77" t="s">
        <v>3448</v>
      </c>
      <c r="AB476" s="77">
        <v>38340</v>
      </c>
      <c r="AC476" s="77" t="s">
        <v>108</v>
      </c>
      <c r="AD476" s="78"/>
      <c r="AE476" s="102"/>
      <c r="AF476" s="77" t="s">
        <v>95</v>
      </c>
      <c r="AG476" s="77"/>
      <c r="AH476" s="79">
        <v>43430</v>
      </c>
      <c r="AI476" s="77"/>
      <c r="AJ476" s="77"/>
      <c r="AK476" s="77"/>
      <c r="AL476" s="77"/>
      <c r="AM476" s="77" t="s">
        <v>4395</v>
      </c>
      <c r="AN476" s="77" t="s">
        <v>3708</v>
      </c>
      <c r="AO476" s="77" t="s">
        <v>3447</v>
      </c>
      <c r="AP476" s="77" t="s">
        <v>97</v>
      </c>
      <c r="AQ476" s="77"/>
      <c r="AR476" s="79">
        <v>43564</v>
      </c>
      <c r="AS476" s="102" t="s">
        <v>644</v>
      </c>
      <c r="AT476" s="78" t="s">
        <v>680</v>
      </c>
      <c r="AU476" s="77" t="s">
        <v>430</v>
      </c>
      <c r="AV476" s="77">
        <v>1970</v>
      </c>
      <c r="AW476" s="77" t="s">
        <v>100</v>
      </c>
      <c r="AX476" s="77" t="s">
        <v>112</v>
      </c>
      <c r="AY476" s="77" t="s">
        <v>646</v>
      </c>
      <c r="AZ476" s="77" t="s">
        <v>3446</v>
      </c>
      <c r="BA476" s="77">
        <v>13</v>
      </c>
      <c r="BB476" s="77">
        <v>5</v>
      </c>
      <c r="BC476" s="77">
        <v>85</v>
      </c>
      <c r="BD476" s="77">
        <v>5.7000000000000002E-2</v>
      </c>
      <c r="BE476" s="77" t="s">
        <v>374</v>
      </c>
      <c r="BF476" s="77"/>
      <c r="BG476" s="77">
        <v>5139.6099999999997</v>
      </c>
      <c r="BH476" s="77"/>
      <c r="BI476" s="77"/>
      <c r="BJ476" s="77"/>
      <c r="BK476" s="77">
        <v>4050</v>
      </c>
      <c r="BL476" s="75">
        <f t="shared" si="21"/>
        <v>9189.61</v>
      </c>
      <c r="BM476" s="103">
        <f t="shared" si="22"/>
        <v>505.42855000000003</v>
      </c>
      <c r="BN476" s="103">
        <f t="shared" si="23"/>
        <v>9695.0385500000011</v>
      </c>
      <c r="BO476" s="80">
        <v>9740</v>
      </c>
      <c r="BP476" s="77" t="s">
        <v>104</v>
      </c>
      <c r="BQ476" s="77"/>
      <c r="BR476" s="77"/>
      <c r="BS476" s="157">
        <v>2019</v>
      </c>
      <c r="BT476">
        <v>2020</v>
      </c>
      <c r="BU476">
        <v>2019</v>
      </c>
    </row>
    <row r="477" spans="1:73" ht="43.15" customHeight="1" x14ac:dyDescent="0.25">
      <c r="A477" s="31" t="s">
        <v>749</v>
      </c>
      <c r="B477" s="31" t="s">
        <v>3445</v>
      </c>
      <c r="C477" s="163" t="s">
        <v>9</v>
      </c>
      <c r="D477" s="76">
        <v>43467</v>
      </c>
      <c r="E477" s="76">
        <v>43468</v>
      </c>
      <c r="F477" s="76"/>
      <c r="G477" s="76"/>
      <c r="H477" s="76">
        <v>43476</v>
      </c>
      <c r="I477" s="76">
        <v>43476</v>
      </c>
      <c r="J477" s="76">
        <v>43494</v>
      </c>
      <c r="K477" s="218"/>
      <c r="L477" s="76" t="s">
        <v>3746</v>
      </c>
      <c r="M477" s="76" t="s">
        <v>4177</v>
      </c>
      <c r="N477" s="76"/>
      <c r="O477" s="76"/>
      <c r="P477" s="76"/>
      <c r="Q477" s="76"/>
      <c r="R477" s="82"/>
      <c r="S477" s="76"/>
      <c r="T477" s="77"/>
      <c r="U477" s="77"/>
      <c r="V477" s="77"/>
      <c r="W477" s="77">
        <v>3</v>
      </c>
      <c r="X477" s="77">
        <v>30192</v>
      </c>
      <c r="Y477" s="75" t="str">
        <f ca="1">IF(I477="",IF(D477="","",IF(W477+X477&lt;15,"Données Nb pers ou RFR manquantes",IF(COUNTA(INDIRECT("TabRFR["&amp;YEAR(D477)&amp;"]"))&lt;&gt;COUNTA(TabRFR[Recherche RFR]),"Data RFR manquantes", IF(X477&lt;=INDEX(TabRFR[[2021]:[2025]],MATCH(BD!W477&amp;"-Très modestes",TabRFR[Recherche RFR],0),MATCH(TEXT(YEAR(BD!D477),"Standard"),TabRFR[[#Headers],[2021]:[2025]],0)),"Très Modeste",IF(X477&lt;=INDEX(TabRFR[[2021]:[2025]],MATCH(BD!W477&amp;"-modestes",TabRFR[Recherche RFR],0),MATCH(TEXT(YEAR(BD!D477),"Standard"),TabRFR[[#Headers],[2021]:[2025]],0)),"Modeste",IF(X477&lt;=INDEX(TabRFR[[2021]:[2025]],MATCH(BD!W477&amp;"-Intermédiaire",TabRFR[Recherche RFR],0),MATCH(TEXT(YEAR(BD!D477),"Standard"),TabRFR[[#Headers],[2021]:[2025]],0)),"Intermédiaire","Supérieur")))))),IF(D477="","",IF(W477+X477&lt;15,"Données Nb pers ou RFR manquantes",IF(COUNTA(INDIRECT("TabRFR["&amp;YEAR(I477)&amp;"]"))&lt;&gt;COUNTA(TabRFR[Recherche RFR]),"Data RFR manquantes", IF(X477&lt;=INDEX(TabRFR[[2021]:[2025]],MATCH(BD!W477&amp;"-Très modestes",TabRFR[Recherche RFR],0),MATCH(TEXT(YEAR(BD!I477),"Standard"),TabRFR[[#Headers],[2021]:[2025]],0)),"Très Modeste",IF(X477&lt;=INDEX(TabRFR[[2021]:[2025]],MATCH(BD!W477&amp;"-modestes",TabRFR[Recherche RFR],0),MATCH(TEXT(YEAR(BD!I477),"Standard"),TabRFR[[#Headers],[2021]:[2025]],0)),"Modeste",IF(X477&lt;=INDEX(TabRFR[[2021]:[2025]],MATCH(BD!W477&amp;"-Intermédiaire",TabRFR[Recherche RFR],0),MATCH(TEXT(YEAR(BD!I477),"Standard"),TabRFR[[#Headers],[2021]:[2025]],0)),"Intermédiaire","Supérieur")))))))</f>
        <v>Data RFR manquantes</v>
      </c>
      <c r="Z477" s="77"/>
      <c r="AA477" s="77" t="s">
        <v>3444</v>
      </c>
      <c r="AB477" s="77">
        <v>38500</v>
      </c>
      <c r="AC477" s="77" t="s">
        <v>118</v>
      </c>
      <c r="AD477" s="78"/>
      <c r="AE477" s="102"/>
      <c r="AF477" s="77" t="s">
        <v>95</v>
      </c>
      <c r="AG477" s="77"/>
      <c r="AH477" s="79">
        <v>43454</v>
      </c>
      <c r="AI477" s="77"/>
      <c r="AJ477" s="77"/>
      <c r="AK477" s="77"/>
      <c r="AL477" s="77"/>
      <c r="AM477" s="77" t="s">
        <v>3973</v>
      </c>
      <c r="AN477" s="77" t="s">
        <v>96</v>
      </c>
      <c r="AO477" s="77"/>
      <c r="AP477" s="77"/>
      <c r="AQ477" s="77"/>
      <c r="AR477" s="79"/>
      <c r="AS477" s="102" t="s">
        <v>141</v>
      </c>
      <c r="AT477" s="78" t="s">
        <v>820</v>
      </c>
      <c r="AU477" s="77" t="s">
        <v>430</v>
      </c>
      <c r="AV477" s="77">
        <v>1980</v>
      </c>
      <c r="AW477" s="77" t="s">
        <v>100</v>
      </c>
      <c r="AX477" s="75" t="s">
        <v>2071</v>
      </c>
      <c r="AY477" s="77" t="s">
        <v>440</v>
      </c>
      <c r="AZ477" s="77" t="s">
        <v>441</v>
      </c>
      <c r="BA477" s="77">
        <v>8</v>
      </c>
      <c r="BB477" s="77">
        <v>9</v>
      </c>
      <c r="BC477" s="77">
        <v>90.5</v>
      </c>
      <c r="BD477" s="77">
        <v>0</v>
      </c>
      <c r="BE477" s="77" t="s">
        <v>97</v>
      </c>
      <c r="BF477" s="77"/>
      <c r="BG477" s="77">
        <v>3090</v>
      </c>
      <c r="BH477" s="77"/>
      <c r="BI477" s="77"/>
      <c r="BJ477" s="77"/>
      <c r="BK477" s="77">
        <v>1876.2</v>
      </c>
      <c r="BL477" s="75">
        <f t="shared" si="21"/>
        <v>4966.2</v>
      </c>
      <c r="BM477" s="103">
        <f t="shared" si="22"/>
        <v>273.14100000000002</v>
      </c>
      <c r="BN477" s="103">
        <f t="shared" si="23"/>
        <v>5239.3409999999994</v>
      </c>
      <c r="BO477" s="80"/>
      <c r="BP477" s="77" t="s">
        <v>97</v>
      </c>
      <c r="BQ477" s="77"/>
      <c r="BR477" s="77"/>
      <c r="BS477" s="157">
        <v>2019</v>
      </c>
      <c r="BU477" t="s">
        <v>4180</v>
      </c>
    </row>
    <row r="478" spans="1:73" ht="43.15" customHeight="1" x14ac:dyDescent="0.25">
      <c r="A478" s="242" t="s">
        <v>749</v>
      </c>
      <c r="B478" s="242" t="s">
        <v>3443</v>
      </c>
      <c r="C478" s="159">
        <v>400</v>
      </c>
      <c r="D478" s="114">
        <v>43468</v>
      </c>
      <c r="E478" s="114">
        <v>43469</v>
      </c>
      <c r="F478" s="114">
        <v>43476</v>
      </c>
      <c r="G478" s="114" t="s">
        <v>3442</v>
      </c>
      <c r="H478" s="114">
        <v>43476</v>
      </c>
      <c r="I478" s="114">
        <v>43476</v>
      </c>
      <c r="J478" s="114">
        <v>43494</v>
      </c>
      <c r="K478" s="76"/>
      <c r="L478" s="114">
        <v>43549</v>
      </c>
      <c r="M478" s="114">
        <v>43522</v>
      </c>
      <c r="N478" s="114" t="s">
        <v>3441</v>
      </c>
      <c r="O478" s="114">
        <v>43566</v>
      </c>
      <c r="P478" s="114">
        <v>43566</v>
      </c>
      <c r="Q478" s="114">
        <v>43574</v>
      </c>
      <c r="R478" s="80"/>
      <c r="S478" s="114"/>
      <c r="T478" s="75"/>
      <c r="U478" s="75"/>
      <c r="V478" s="75"/>
      <c r="W478" s="75">
        <v>4</v>
      </c>
      <c r="X478" s="75">
        <v>48009</v>
      </c>
      <c r="Y478" s="75" t="str">
        <f ca="1">IF(I478="",IF(D478="","",IF(W478+X478&lt;15,"Données Nb pers ou RFR manquantes",IF(COUNTA(INDIRECT("TabRFR["&amp;YEAR(D478)&amp;"]"))&lt;&gt;COUNTA(TabRFR[Recherche RFR]),"Data RFR manquantes", IF(X478&lt;=INDEX(TabRFR[[2021]:[2025]],MATCH(BD!W478&amp;"-Très modestes",TabRFR[Recherche RFR],0),MATCH(TEXT(YEAR(BD!D478),"Standard"),TabRFR[[#Headers],[2021]:[2025]],0)),"Très Modeste",IF(X478&lt;=INDEX(TabRFR[[2021]:[2025]],MATCH(BD!W478&amp;"-modestes",TabRFR[Recherche RFR],0),MATCH(TEXT(YEAR(BD!D478),"Standard"),TabRFR[[#Headers],[2021]:[2025]],0)),"Modeste",IF(X478&lt;=INDEX(TabRFR[[2021]:[2025]],MATCH(BD!W478&amp;"-Intermédiaire",TabRFR[Recherche RFR],0),MATCH(TEXT(YEAR(BD!D478),"Standard"),TabRFR[[#Headers],[2021]:[2025]],0)),"Intermédiaire","Supérieur")))))),IF(D478="","",IF(W478+X478&lt;15,"Données Nb pers ou RFR manquantes",IF(COUNTA(INDIRECT("TabRFR["&amp;YEAR(I478)&amp;"]"))&lt;&gt;COUNTA(TabRFR[Recherche RFR]),"Data RFR manquantes", IF(X478&lt;=INDEX(TabRFR[[2021]:[2025]],MATCH(BD!W478&amp;"-Très modestes",TabRFR[Recherche RFR],0),MATCH(TEXT(YEAR(BD!I478),"Standard"),TabRFR[[#Headers],[2021]:[2025]],0)),"Très Modeste",IF(X478&lt;=INDEX(TabRFR[[2021]:[2025]],MATCH(BD!W478&amp;"-modestes",TabRFR[Recherche RFR],0),MATCH(TEXT(YEAR(BD!I478),"Standard"),TabRFR[[#Headers],[2021]:[2025]],0)),"Modeste",IF(X478&lt;=INDEX(TabRFR[[2021]:[2025]],MATCH(BD!W478&amp;"-Intermédiaire",TabRFR[Recherche RFR],0),MATCH(TEXT(YEAR(BD!I478),"Standard"),TabRFR[[#Headers],[2021]:[2025]],0)),"Intermédiaire","Supérieur")))))))</f>
        <v>Data RFR manquantes</v>
      </c>
      <c r="Z478" s="75"/>
      <c r="AA478" s="75" t="s">
        <v>3440</v>
      </c>
      <c r="AB478" s="75">
        <v>38430</v>
      </c>
      <c r="AC478" s="75" t="s">
        <v>217</v>
      </c>
      <c r="AD478" s="101"/>
      <c r="AE478" s="102"/>
      <c r="AF478" s="75"/>
      <c r="AG478" s="75"/>
      <c r="AH478" s="75"/>
      <c r="AI478" s="75"/>
      <c r="AJ478" s="75"/>
      <c r="AK478" s="75"/>
      <c r="AL478" s="75"/>
      <c r="AM478" s="75" t="s">
        <v>350</v>
      </c>
      <c r="AN478" s="75" t="s">
        <v>451</v>
      </c>
      <c r="AO478" s="75" t="s">
        <v>351</v>
      </c>
      <c r="AP478" s="75" t="s">
        <v>97</v>
      </c>
      <c r="AQ478" s="75"/>
      <c r="AR478" s="75">
        <v>43572</v>
      </c>
      <c r="AS478" s="102" t="s">
        <v>352</v>
      </c>
      <c r="AT478" s="101">
        <v>438920220</v>
      </c>
      <c r="AU478" s="75" t="s">
        <v>100</v>
      </c>
      <c r="AV478" s="75">
        <v>1990</v>
      </c>
      <c r="AW478" s="75" t="s">
        <v>100</v>
      </c>
      <c r="AX478" s="75" t="s">
        <v>2071</v>
      </c>
      <c r="AY478" s="75" t="s">
        <v>251</v>
      </c>
      <c r="AZ478" s="75" t="s">
        <v>3439</v>
      </c>
      <c r="BA478" s="75">
        <v>0</v>
      </c>
      <c r="BB478" s="75">
        <v>9.1</v>
      </c>
      <c r="BC478" s="75">
        <v>91.8</v>
      </c>
      <c r="BD478" s="75">
        <v>4.0000000000000001E-3</v>
      </c>
      <c r="BE478" s="75" t="s">
        <v>97</v>
      </c>
      <c r="BF478" s="75"/>
      <c r="BG478" s="75">
        <v>3935.55</v>
      </c>
      <c r="BH478" s="77"/>
      <c r="BI478" s="77"/>
      <c r="BJ478" s="77"/>
      <c r="BK478" s="75">
        <f>714+701.8</f>
        <v>1415.8</v>
      </c>
      <c r="BL478" s="75">
        <f t="shared" si="21"/>
        <v>5351.35</v>
      </c>
      <c r="BM478" s="103">
        <f t="shared" si="22"/>
        <v>294.32425000000001</v>
      </c>
      <c r="BN478" s="103">
        <f t="shared" si="23"/>
        <v>5645.67425</v>
      </c>
      <c r="BO478" s="103">
        <v>5709</v>
      </c>
      <c r="BP478" s="75" t="s">
        <v>97</v>
      </c>
      <c r="BQ478" s="75"/>
      <c r="BR478" s="75"/>
      <c r="BS478" s="157">
        <v>2019</v>
      </c>
      <c r="BU478">
        <v>2019</v>
      </c>
    </row>
    <row r="479" spans="1:73" ht="43.15" customHeight="1" x14ac:dyDescent="0.25">
      <c r="A479" s="242" t="s">
        <v>749</v>
      </c>
      <c r="B479" s="242" t="s">
        <v>3438</v>
      </c>
      <c r="C479" s="159">
        <v>400</v>
      </c>
      <c r="D479" s="114">
        <v>43476</v>
      </c>
      <c r="E479" s="114">
        <v>43476</v>
      </c>
      <c r="F479" s="114">
        <v>43488</v>
      </c>
      <c r="G479" s="114" t="s">
        <v>3437</v>
      </c>
      <c r="H479" s="114">
        <v>43508</v>
      </c>
      <c r="I479" s="114">
        <v>43508</v>
      </c>
      <c r="J479" s="114">
        <v>43515</v>
      </c>
      <c r="K479" s="114"/>
      <c r="L479" s="114">
        <v>43557</v>
      </c>
      <c r="M479" s="114">
        <v>43543</v>
      </c>
      <c r="N479" s="114"/>
      <c r="O479" s="114">
        <v>43565</v>
      </c>
      <c r="P479" s="114">
        <v>43565</v>
      </c>
      <c r="Q479" s="114">
        <v>43566</v>
      </c>
      <c r="R479" s="80"/>
      <c r="S479" s="114"/>
      <c r="T479" s="75"/>
      <c r="U479" s="75"/>
      <c r="V479" s="75"/>
      <c r="W479" s="75">
        <v>2</v>
      </c>
      <c r="X479" s="75">
        <v>36597</v>
      </c>
      <c r="Y479" s="75" t="str">
        <f ca="1">IF(I479="",IF(D479="","",IF(W479+X479&lt;15,"Données Nb pers ou RFR manquantes",IF(COUNTA(INDIRECT("TabRFR["&amp;YEAR(D479)&amp;"]"))&lt;&gt;COUNTA(TabRFR[Recherche RFR]),"Data RFR manquantes", IF(X479&lt;=INDEX(TabRFR[[2021]:[2025]],MATCH(BD!W479&amp;"-Très modestes",TabRFR[Recherche RFR],0),MATCH(TEXT(YEAR(BD!D479),"Standard"),TabRFR[[#Headers],[2021]:[2025]],0)),"Très Modeste",IF(X479&lt;=INDEX(TabRFR[[2021]:[2025]],MATCH(BD!W479&amp;"-modestes",TabRFR[Recherche RFR],0),MATCH(TEXT(YEAR(BD!D479),"Standard"),TabRFR[[#Headers],[2021]:[2025]],0)),"Modeste",IF(X479&lt;=INDEX(TabRFR[[2021]:[2025]],MATCH(BD!W479&amp;"-Intermédiaire",TabRFR[Recherche RFR],0),MATCH(TEXT(YEAR(BD!D479),"Standard"),TabRFR[[#Headers],[2021]:[2025]],0)),"Intermédiaire","Supérieur")))))),IF(D479="","",IF(W479+X479&lt;15,"Données Nb pers ou RFR manquantes",IF(COUNTA(INDIRECT("TabRFR["&amp;YEAR(I479)&amp;"]"))&lt;&gt;COUNTA(TabRFR[Recherche RFR]),"Data RFR manquantes", IF(X479&lt;=INDEX(TabRFR[[2021]:[2025]],MATCH(BD!W479&amp;"-Très modestes",TabRFR[Recherche RFR],0),MATCH(TEXT(YEAR(BD!I479),"Standard"),TabRFR[[#Headers],[2021]:[2025]],0)),"Très Modeste",IF(X479&lt;=INDEX(TabRFR[[2021]:[2025]],MATCH(BD!W479&amp;"-modestes",TabRFR[Recherche RFR],0),MATCH(TEXT(YEAR(BD!I479),"Standard"),TabRFR[[#Headers],[2021]:[2025]],0)),"Modeste",IF(X479&lt;=INDEX(TabRFR[[2021]:[2025]],MATCH(BD!W479&amp;"-Intermédiaire",TabRFR[Recherche RFR],0),MATCH(TEXT(YEAR(BD!I479),"Standard"),TabRFR[[#Headers],[2021]:[2025]],0)),"Intermédiaire","Supérieur")))))))</f>
        <v>Data RFR manquantes</v>
      </c>
      <c r="Z479" s="75"/>
      <c r="AA479" s="75" t="s">
        <v>3436</v>
      </c>
      <c r="AB479" s="75">
        <v>38430</v>
      </c>
      <c r="AC479" s="75" t="s">
        <v>217</v>
      </c>
      <c r="AD479" s="73"/>
      <c r="AE479" s="102"/>
      <c r="AF479" s="75" t="s">
        <v>95</v>
      </c>
      <c r="AG479" s="75"/>
      <c r="AH479" s="130"/>
      <c r="AI479" s="130"/>
      <c r="AJ479" s="75"/>
      <c r="AK479" s="75"/>
      <c r="AL479" s="75"/>
      <c r="AM479" s="75" t="s">
        <v>218</v>
      </c>
      <c r="AN479" s="75" t="s">
        <v>217</v>
      </c>
      <c r="AO479" s="75" t="s">
        <v>219</v>
      </c>
      <c r="AP479" s="75" t="s">
        <v>97</v>
      </c>
      <c r="AQ479" s="75"/>
      <c r="AR479" s="74">
        <v>43764</v>
      </c>
      <c r="AS479" s="102" t="s">
        <v>220</v>
      </c>
      <c r="AT479" s="73" t="s">
        <v>620</v>
      </c>
      <c r="AU479" s="75" t="s">
        <v>430</v>
      </c>
      <c r="AV479" s="75">
        <v>1990</v>
      </c>
      <c r="AW479" s="75" t="s">
        <v>111</v>
      </c>
      <c r="AX479" s="75" t="s">
        <v>112</v>
      </c>
      <c r="AY479" s="75" t="s">
        <v>121</v>
      </c>
      <c r="AZ479" s="75" t="s">
        <v>3435</v>
      </c>
      <c r="BA479" s="75">
        <v>23</v>
      </c>
      <c r="BB479" s="75">
        <v>10</v>
      </c>
      <c r="BC479" s="75">
        <v>78</v>
      </c>
      <c r="BD479" s="75">
        <v>7.0000000000000007E-2</v>
      </c>
      <c r="BE479" s="75" t="s">
        <v>97</v>
      </c>
      <c r="BF479" s="75"/>
      <c r="BG479" s="75">
        <v>3346.8</v>
      </c>
      <c r="BH479" s="75"/>
      <c r="BI479" s="75"/>
      <c r="BJ479" s="75"/>
      <c r="BK479" s="75">
        <v>1339.03</v>
      </c>
      <c r="BL479" s="75">
        <f t="shared" si="21"/>
        <v>4685.83</v>
      </c>
      <c r="BM479" s="103">
        <f t="shared" si="22"/>
        <v>257.72064999999998</v>
      </c>
      <c r="BN479" s="103">
        <f t="shared" si="23"/>
        <v>4943.5506500000001</v>
      </c>
      <c r="BO479" s="103">
        <f>4936</f>
        <v>4936</v>
      </c>
      <c r="BP479" s="75" t="s">
        <v>97</v>
      </c>
      <c r="BQ479" s="75"/>
      <c r="BR479" s="75"/>
      <c r="BS479" s="157">
        <v>2019</v>
      </c>
      <c r="BT479" s="235">
        <v>43770</v>
      </c>
      <c r="BU479">
        <v>2019</v>
      </c>
    </row>
    <row r="480" spans="1:73" ht="43.15" customHeight="1" x14ac:dyDescent="0.25">
      <c r="A480" s="31" t="s">
        <v>749</v>
      </c>
      <c r="B480" s="31" t="s">
        <v>3434</v>
      </c>
      <c r="C480" s="163" t="s">
        <v>9</v>
      </c>
      <c r="D480" s="76">
        <v>43476</v>
      </c>
      <c r="E480" s="76">
        <v>43476</v>
      </c>
      <c r="F480" s="76">
        <v>43489</v>
      </c>
      <c r="G480" s="76" t="s">
        <v>3433</v>
      </c>
      <c r="H480" s="76"/>
      <c r="I480" s="76">
        <v>43496</v>
      </c>
      <c r="J480" s="76">
        <v>43508</v>
      </c>
      <c r="K480" s="218"/>
      <c r="L480" s="76" t="s">
        <v>3746</v>
      </c>
      <c r="M480" s="76"/>
      <c r="N480" s="76"/>
      <c r="O480" s="76"/>
      <c r="P480" s="76"/>
      <c r="Q480" s="76"/>
      <c r="R480" s="82"/>
      <c r="S480" s="76">
        <v>43721</v>
      </c>
      <c r="T480" s="253" t="s">
        <v>3785</v>
      </c>
      <c r="U480" s="77"/>
      <c r="V480" s="77"/>
      <c r="W480" s="77">
        <v>4</v>
      </c>
      <c r="X480" s="77">
        <v>151196</v>
      </c>
      <c r="Y480" s="75" t="str">
        <f ca="1">IF(I480="",IF(D480="","",IF(W480+X480&lt;15,"Données Nb pers ou RFR manquantes",IF(COUNTA(INDIRECT("TabRFR["&amp;YEAR(D480)&amp;"]"))&lt;&gt;COUNTA(TabRFR[Recherche RFR]),"Data RFR manquantes", IF(X480&lt;=INDEX(TabRFR[[2021]:[2025]],MATCH(BD!W480&amp;"-Très modestes",TabRFR[Recherche RFR],0),MATCH(TEXT(YEAR(BD!D480),"Standard"),TabRFR[[#Headers],[2021]:[2025]],0)),"Très Modeste",IF(X480&lt;=INDEX(TabRFR[[2021]:[2025]],MATCH(BD!W480&amp;"-modestes",TabRFR[Recherche RFR],0),MATCH(TEXT(YEAR(BD!D480),"Standard"),TabRFR[[#Headers],[2021]:[2025]],0)),"Modeste",IF(X480&lt;=INDEX(TabRFR[[2021]:[2025]],MATCH(BD!W480&amp;"-Intermédiaire",TabRFR[Recherche RFR],0),MATCH(TEXT(YEAR(BD!D480),"Standard"),TabRFR[[#Headers],[2021]:[2025]],0)),"Intermédiaire","Supérieur")))))),IF(D480="","",IF(W480+X480&lt;15,"Données Nb pers ou RFR manquantes",IF(COUNTA(INDIRECT("TabRFR["&amp;YEAR(I480)&amp;"]"))&lt;&gt;COUNTA(TabRFR[Recherche RFR]),"Data RFR manquantes", IF(X480&lt;=INDEX(TabRFR[[2021]:[2025]],MATCH(BD!W480&amp;"-Très modestes",TabRFR[Recherche RFR],0),MATCH(TEXT(YEAR(BD!I480),"Standard"),TabRFR[[#Headers],[2021]:[2025]],0)),"Très Modeste",IF(X480&lt;=INDEX(TabRFR[[2021]:[2025]],MATCH(BD!W480&amp;"-modestes",TabRFR[Recherche RFR],0),MATCH(TEXT(YEAR(BD!I480),"Standard"),TabRFR[[#Headers],[2021]:[2025]],0)),"Modeste",IF(X480&lt;=INDEX(TabRFR[[2021]:[2025]],MATCH(BD!W480&amp;"-Intermédiaire",TabRFR[Recherche RFR],0),MATCH(TEXT(YEAR(BD!I480),"Standard"),TabRFR[[#Headers],[2021]:[2025]],0)),"Intermédiaire","Supérieur")))))))</f>
        <v>Data RFR manquantes</v>
      </c>
      <c r="Z480" s="77"/>
      <c r="AA480" s="77" t="s">
        <v>3432</v>
      </c>
      <c r="AB480" s="77">
        <v>38850</v>
      </c>
      <c r="AC480" s="77" t="s">
        <v>4304</v>
      </c>
      <c r="AD480" s="78"/>
      <c r="AE480" s="102"/>
      <c r="AF480" s="77" t="s">
        <v>95</v>
      </c>
      <c r="AG480" s="77"/>
      <c r="AH480" s="77">
        <v>1998</v>
      </c>
      <c r="AI480" s="77"/>
      <c r="AJ480" s="77"/>
      <c r="AK480" s="77"/>
      <c r="AL480" s="77"/>
      <c r="AM480" s="77" t="s">
        <v>4130</v>
      </c>
      <c r="AN480" s="77" t="s">
        <v>4349</v>
      </c>
      <c r="AO480" s="77" t="s">
        <v>3431</v>
      </c>
      <c r="AP480" s="77" t="s">
        <v>97</v>
      </c>
      <c r="AQ480" s="77"/>
      <c r="AR480" s="79">
        <v>43545</v>
      </c>
      <c r="AS480" s="102" t="s">
        <v>337</v>
      </c>
      <c r="AT480" s="78">
        <v>474934316</v>
      </c>
      <c r="AU480" s="77" t="s">
        <v>430</v>
      </c>
      <c r="AV480" s="77">
        <v>1998</v>
      </c>
      <c r="AW480" s="77" t="s">
        <v>111</v>
      </c>
      <c r="AX480" s="77" t="s">
        <v>112</v>
      </c>
      <c r="AY480" s="77" t="s">
        <v>338</v>
      </c>
      <c r="AZ480" s="77" t="s">
        <v>651</v>
      </c>
      <c r="BA480" s="77">
        <v>33</v>
      </c>
      <c r="BB480" s="77">
        <v>10</v>
      </c>
      <c r="BC480" s="77">
        <v>80.8</v>
      </c>
      <c r="BD480" s="77">
        <v>0.09</v>
      </c>
      <c r="BE480" s="77" t="s">
        <v>97</v>
      </c>
      <c r="BF480" s="77"/>
      <c r="BG480" s="77">
        <v>5372</v>
      </c>
      <c r="BH480" s="77"/>
      <c r="BI480" s="77"/>
      <c r="BJ480" s="77"/>
      <c r="BK480" s="77">
        <v>1783</v>
      </c>
      <c r="BL480" s="75">
        <f t="shared" si="21"/>
        <v>7155</v>
      </c>
      <c r="BM480" s="103">
        <f t="shared" si="22"/>
        <v>393.52499999999998</v>
      </c>
      <c r="BN480" s="103">
        <f t="shared" si="23"/>
        <v>7548.5249999999996</v>
      </c>
      <c r="BO480" s="80"/>
      <c r="BP480" s="77" t="s">
        <v>104</v>
      </c>
      <c r="BQ480" s="77"/>
      <c r="BR480" s="77"/>
      <c r="BS480" s="157">
        <v>2019</v>
      </c>
      <c r="BU480" t="s">
        <v>4180</v>
      </c>
    </row>
    <row r="481" spans="1:73" ht="43.15" customHeight="1" x14ac:dyDescent="0.25">
      <c r="A481" s="241" t="s">
        <v>90</v>
      </c>
      <c r="B481" s="241" t="s">
        <v>3430</v>
      </c>
      <c r="C481" s="163" t="s">
        <v>9</v>
      </c>
      <c r="D481" s="76">
        <v>43479</v>
      </c>
      <c r="E481" s="76">
        <v>43480</v>
      </c>
      <c r="F481" s="76"/>
      <c r="G481" s="76"/>
      <c r="H481" s="76">
        <v>43496</v>
      </c>
      <c r="I481" s="76">
        <v>43496</v>
      </c>
      <c r="J481" s="76">
        <v>43508</v>
      </c>
      <c r="K481" s="218"/>
      <c r="L481" s="76">
        <v>44012</v>
      </c>
      <c r="M481" s="220">
        <v>43461</v>
      </c>
      <c r="N481" s="76"/>
      <c r="O481" s="76"/>
      <c r="P481" s="76"/>
      <c r="Q481" s="76">
        <v>44074</v>
      </c>
      <c r="R481" s="82"/>
      <c r="S481" s="76"/>
      <c r="T481" s="77"/>
      <c r="U481" s="77"/>
      <c r="V481" s="77"/>
      <c r="W481" s="77">
        <v>2</v>
      </c>
      <c r="X481" s="77">
        <v>54432</v>
      </c>
      <c r="Y481" s="75" t="str">
        <f ca="1">IF(I481="",IF(D481="","",IF(W481+X481&lt;15,"Données Nb pers ou RFR manquantes",IF(COUNTA(INDIRECT("TabRFR["&amp;YEAR(D481)&amp;"]"))&lt;&gt;COUNTA(TabRFR[Recherche RFR]),"Data RFR manquantes", IF(X481&lt;=INDEX(TabRFR[[2021]:[2025]],MATCH(BD!W481&amp;"-Très modestes",TabRFR[Recherche RFR],0),MATCH(TEXT(YEAR(BD!D481),"Standard"),TabRFR[[#Headers],[2021]:[2025]],0)),"Très Modeste",IF(X481&lt;=INDEX(TabRFR[[2021]:[2025]],MATCH(BD!W481&amp;"-modestes",TabRFR[Recherche RFR],0),MATCH(TEXT(YEAR(BD!D481),"Standard"),TabRFR[[#Headers],[2021]:[2025]],0)),"Modeste",IF(X481&lt;=INDEX(TabRFR[[2021]:[2025]],MATCH(BD!W481&amp;"-Intermédiaire",TabRFR[Recherche RFR],0),MATCH(TEXT(YEAR(BD!D481),"Standard"),TabRFR[[#Headers],[2021]:[2025]],0)),"Intermédiaire","Supérieur")))))),IF(D481="","",IF(W481+X481&lt;15,"Données Nb pers ou RFR manquantes",IF(COUNTA(INDIRECT("TabRFR["&amp;YEAR(I481)&amp;"]"))&lt;&gt;COUNTA(TabRFR[Recherche RFR]),"Data RFR manquantes", IF(X481&lt;=INDEX(TabRFR[[2021]:[2025]],MATCH(BD!W481&amp;"-Très modestes",TabRFR[Recherche RFR],0),MATCH(TEXT(YEAR(BD!I481),"Standard"),TabRFR[[#Headers],[2021]:[2025]],0)),"Très Modeste",IF(X481&lt;=INDEX(TabRFR[[2021]:[2025]],MATCH(BD!W481&amp;"-modestes",TabRFR[Recherche RFR],0),MATCH(TEXT(YEAR(BD!I481),"Standard"),TabRFR[[#Headers],[2021]:[2025]],0)),"Modeste",IF(X481&lt;=INDEX(TabRFR[[2021]:[2025]],MATCH(BD!W481&amp;"-Intermédiaire",TabRFR[Recherche RFR],0),MATCH(TEXT(YEAR(BD!I481),"Standard"),TabRFR[[#Headers],[2021]:[2025]],0)),"Intermédiaire","Supérieur")))))))</f>
        <v>Data RFR manquantes</v>
      </c>
      <c r="Z481" s="77"/>
      <c r="AA481" s="77" t="s">
        <v>3429</v>
      </c>
      <c r="AB481" s="77">
        <v>38340</v>
      </c>
      <c r="AC481" s="77" t="s">
        <v>3796</v>
      </c>
      <c r="AD481" s="78"/>
      <c r="AE481" s="102"/>
      <c r="AF481" s="77" t="s">
        <v>95</v>
      </c>
      <c r="AG481" s="77"/>
      <c r="AH481" s="145">
        <v>43282</v>
      </c>
      <c r="AI481" s="77"/>
      <c r="AJ481" s="77"/>
      <c r="AK481" s="77"/>
      <c r="AL481" s="77"/>
      <c r="AM481" s="77" t="s">
        <v>4236</v>
      </c>
      <c r="AN481" s="77" t="s">
        <v>4091</v>
      </c>
      <c r="AO481" s="77" t="s">
        <v>163</v>
      </c>
      <c r="AP481" s="77" t="s">
        <v>97</v>
      </c>
      <c r="AQ481" s="77"/>
      <c r="AR481" s="79">
        <v>43725</v>
      </c>
      <c r="AS481" s="102" t="s">
        <v>164</v>
      </c>
      <c r="AT481" s="78" t="s">
        <v>608</v>
      </c>
      <c r="AU481" s="77" t="s">
        <v>100</v>
      </c>
      <c r="AV481" s="77"/>
      <c r="AW481" s="77" t="s">
        <v>100</v>
      </c>
      <c r="AX481" s="75" t="s">
        <v>2071</v>
      </c>
      <c r="AY481" s="77" t="s">
        <v>440</v>
      </c>
      <c r="AZ481" s="77" t="s">
        <v>3428</v>
      </c>
      <c r="BA481" s="77">
        <v>11</v>
      </c>
      <c r="BB481" s="77">
        <v>12</v>
      </c>
      <c r="BC481" s="77">
        <v>89</v>
      </c>
      <c r="BD481" s="77">
        <v>0</v>
      </c>
      <c r="BE481" s="77" t="s">
        <v>97</v>
      </c>
      <c r="BF481" s="77"/>
      <c r="BG481" s="77">
        <v>5931</v>
      </c>
      <c r="BH481" s="77"/>
      <c r="BI481" s="77"/>
      <c r="BJ481" s="77"/>
      <c r="BK481" s="77">
        <v>590</v>
      </c>
      <c r="BL481" s="75">
        <f t="shared" si="21"/>
        <v>6521</v>
      </c>
      <c r="BM481" s="103">
        <f t="shared" si="22"/>
        <v>358.65500000000003</v>
      </c>
      <c r="BN481" s="103">
        <f t="shared" si="23"/>
        <v>6879.6549999999997</v>
      </c>
      <c r="BO481" s="80"/>
      <c r="BP481" s="77" t="s">
        <v>97</v>
      </c>
      <c r="BQ481" s="77"/>
      <c r="BR481" s="77"/>
      <c r="BS481" s="157">
        <v>2019</v>
      </c>
      <c r="BU481">
        <v>2020</v>
      </c>
    </row>
    <row r="482" spans="1:73" ht="43.15" customHeight="1" x14ac:dyDescent="0.25">
      <c r="A482" s="241" t="s">
        <v>90</v>
      </c>
      <c r="B482" s="241" t="s">
        <v>3427</v>
      </c>
      <c r="C482" s="163">
        <v>800</v>
      </c>
      <c r="D482" s="76">
        <v>43481</v>
      </c>
      <c r="E482" s="76">
        <v>43482</v>
      </c>
      <c r="F482" s="76"/>
      <c r="G482" s="76"/>
      <c r="H482" s="76">
        <v>43496</v>
      </c>
      <c r="I482" s="76">
        <v>43496</v>
      </c>
      <c r="J482" s="76">
        <v>43508</v>
      </c>
      <c r="K482" s="218"/>
      <c r="L482" s="76">
        <v>43537</v>
      </c>
      <c r="M482" s="76">
        <v>43524</v>
      </c>
      <c r="N482" s="76" t="s">
        <v>3426</v>
      </c>
      <c r="O482" s="76">
        <v>43727</v>
      </c>
      <c r="P482" s="76">
        <v>43727</v>
      </c>
      <c r="Q482" s="76">
        <v>43746</v>
      </c>
      <c r="R482" s="82"/>
      <c r="S482" s="76"/>
      <c r="T482" s="77"/>
      <c r="U482" s="77"/>
      <c r="V482" s="77"/>
      <c r="W482" s="77">
        <v>2</v>
      </c>
      <c r="X482" s="77">
        <v>18414</v>
      </c>
      <c r="Y482" s="75" t="str">
        <f ca="1">IF(I482="",IF(D482="","",IF(W482+X482&lt;15,"Données Nb pers ou RFR manquantes",IF(COUNTA(INDIRECT("TabRFR["&amp;YEAR(D482)&amp;"]"))&lt;&gt;COUNTA(TabRFR[Recherche RFR]),"Data RFR manquantes", IF(X482&lt;=INDEX(TabRFR[[2021]:[2025]],MATCH(BD!W482&amp;"-Très modestes",TabRFR[Recherche RFR],0),MATCH(TEXT(YEAR(BD!D482),"Standard"),TabRFR[[#Headers],[2021]:[2025]],0)),"Très Modeste",IF(X482&lt;=INDEX(TabRFR[[2021]:[2025]],MATCH(BD!W482&amp;"-modestes",TabRFR[Recherche RFR],0),MATCH(TEXT(YEAR(BD!D482),"Standard"),TabRFR[[#Headers],[2021]:[2025]],0)),"Modeste",IF(X482&lt;=INDEX(TabRFR[[2021]:[2025]],MATCH(BD!W482&amp;"-Intermédiaire",TabRFR[Recherche RFR],0),MATCH(TEXT(YEAR(BD!D482),"Standard"),TabRFR[[#Headers],[2021]:[2025]],0)),"Intermédiaire","Supérieur")))))),IF(D482="","",IF(W482+X482&lt;15,"Données Nb pers ou RFR manquantes",IF(COUNTA(INDIRECT("TabRFR["&amp;YEAR(I482)&amp;"]"))&lt;&gt;COUNTA(TabRFR[Recherche RFR]),"Data RFR manquantes", IF(X482&lt;=INDEX(TabRFR[[2021]:[2025]],MATCH(BD!W482&amp;"-Très modestes",TabRFR[Recherche RFR],0),MATCH(TEXT(YEAR(BD!I482),"Standard"),TabRFR[[#Headers],[2021]:[2025]],0)),"Très Modeste",IF(X482&lt;=INDEX(TabRFR[[2021]:[2025]],MATCH(BD!W482&amp;"-modestes",TabRFR[Recherche RFR],0),MATCH(TEXT(YEAR(BD!I482),"Standard"),TabRFR[[#Headers],[2021]:[2025]],0)),"Modeste",IF(X482&lt;=INDEX(TabRFR[[2021]:[2025]],MATCH(BD!W482&amp;"-Intermédiaire",TabRFR[Recherche RFR],0),MATCH(TEXT(YEAR(BD!I482),"Standard"),TabRFR[[#Headers],[2021]:[2025]],0)),"Intermédiaire","Supérieur")))))))</f>
        <v>Data RFR manquantes</v>
      </c>
      <c r="Z482" s="77"/>
      <c r="AA482" s="77" t="s">
        <v>473</v>
      </c>
      <c r="AB482" s="77">
        <v>38960</v>
      </c>
      <c r="AC482" s="77" t="s">
        <v>2378</v>
      </c>
      <c r="AD482" s="78"/>
      <c r="AE482" s="102"/>
      <c r="AF482" s="77" t="s">
        <v>95</v>
      </c>
      <c r="AG482" s="77"/>
      <c r="AH482" s="77">
        <v>1998</v>
      </c>
      <c r="AI482" s="77"/>
      <c r="AJ482" s="77"/>
      <c r="AK482" s="77"/>
      <c r="AL482" s="77"/>
      <c r="AM482" s="77" t="s">
        <v>4130</v>
      </c>
      <c r="AN482" s="77" t="s">
        <v>4349</v>
      </c>
      <c r="AO482" s="77" t="s">
        <v>3425</v>
      </c>
      <c r="AP482" s="77" t="s">
        <v>97</v>
      </c>
      <c r="AQ482" s="77"/>
      <c r="AR482" s="79">
        <v>43545</v>
      </c>
      <c r="AS482" s="102" t="s">
        <v>337</v>
      </c>
      <c r="AT482" s="78" t="s">
        <v>691</v>
      </c>
      <c r="AU482" s="77" t="s">
        <v>100</v>
      </c>
      <c r="AV482" s="77">
        <v>1998</v>
      </c>
      <c r="AW482" s="77" t="s">
        <v>100</v>
      </c>
      <c r="AX482" s="77" t="s">
        <v>112</v>
      </c>
      <c r="AY482" s="77" t="s">
        <v>338</v>
      </c>
      <c r="AZ482" s="77" t="s">
        <v>3424</v>
      </c>
      <c r="BA482" s="77">
        <v>37</v>
      </c>
      <c r="BB482" s="77">
        <v>8</v>
      </c>
      <c r="BC482" s="77">
        <v>78.400000000000006</v>
      </c>
      <c r="BD482" s="77">
        <v>0.06</v>
      </c>
      <c r="BE482" s="77" t="s">
        <v>97</v>
      </c>
      <c r="BF482" s="77"/>
      <c r="BG482" s="77">
        <v>2499</v>
      </c>
      <c r="BH482" s="77"/>
      <c r="BI482" s="77"/>
      <c r="BJ482" s="77"/>
      <c r="BK482" s="77">
        <v>700</v>
      </c>
      <c r="BL482" s="75">
        <f t="shared" si="21"/>
        <v>3199</v>
      </c>
      <c r="BM482" s="103">
        <f t="shared" si="22"/>
        <v>175.94499999999999</v>
      </c>
      <c r="BN482" s="103">
        <f t="shared" si="23"/>
        <v>3374.9450000000002</v>
      </c>
      <c r="BO482" s="80">
        <v>4851</v>
      </c>
      <c r="BP482" s="77" t="s">
        <v>104</v>
      </c>
      <c r="BQ482" s="77"/>
      <c r="BR482" s="77"/>
      <c r="BS482" s="157">
        <v>2019</v>
      </c>
      <c r="BT482" s="235">
        <v>43770</v>
      </c>
      <c r="BU482">
        <v>2019</v>
      </c>
    </row>
    <row r="483" spans="1:73" ht="43.15" customHeight="1" x14ac:dyDescent="0.25">
      <c r="A483" s="242" t="s">
        <v>90</v>
      </c>
      <c r="B483" s="242" t="s">
        <v>3423</v>
      </c>
      <c r="C483" s="159">
        <v>400</v>
      </c>
      <c r="D483" s="114">
        <v>43486</v>
      </c>
      <c r="E483" s="114">
        <v>43486</v>
      </c>
      <c r="F483" s="114"/>
      <c r="G483" s="114"/>
      <c r="H483" s="114">
        <v>43496</v>
      </c>
      <c r="I483" s="114">
        <v>43496</v>
      </c>
      <c r="J483" s="114">
        <v>43508</v>
      </c>
      <c r="K483" s="114"/>
      <c r="L483" s="114">
        <v>43560</v>
      </c>
      <c r="M483" s="114">
        <v>43557</v>
      </c>
      <c r="N483" s="114"/>
      <c r="O483" s="114">
        <v>43565</v>
      </c>
      <c r="P483" s="114">
        <v>43565</v>
      </c>
      <c r="Q483" s="114">
        <v>43566</v>
      </c>
      <c r="R483" s="80"/>
      <c r="S483" s="114"/>
      <c r="T483" s="75" t="s">
        <v>464</v>
      </c>
      <c r="U483" s="75"/>
      <c r="V483" s="75"/>
      <c r="W483" s="75">
        <v>2</v>
      </c>
      <c r="X483" s="75">
        <v>82890</v>
      </c>
      <c r="Y483" s="75" t="str">
        <f ca="1">IF(I483="",IF(D483="","",IF(W483+X483&lt;15,"Données Nb pers ou RFR manquantes",IF(COUNTA(INDIRECT("TabRFR["&amp;YEAR(D483)&amp;"]"))&lt;&gt;COUNTA(TabRFR[Recherche RFR]),"Data RFR manquantes", IF(X483&lt;=INDEX(TabRFR[[2021]:[2025]],MATCH(BD!W483&amp;"-Très modestes",TabRFR[Recherche RFR],0),MATCH(TEXT(YEAR(BD!D483),"Standard"),TabRFR[[#Headers],[2021]:[2025]],0)),"Très Modeste",IF(X483&lt;=INDEX(TabRFR[[2021]:[2025]],MATCH(BD!W483&amp;"-modestes",TabRFR[Recherche RFR],0),MATCH(TEXT(YEAR(BD!D483),"Standard"),TabRFR[[#Headers],[2021]:[2025]],0)),"Modeste",IF(X483&lt;=INDEX(TabRFR[[2021]:[2025]],MATCH(BD!W483&amp;"-Intermédiaire",TabRFR[Recherche RFR],0),MATCH(TEXT(YEAR(BD!D483),"Standard"),TabRFR[[#Headers],[2021]:[2025]],0)),"Intermédiaire","Supérieur")))))),IF(D483="","",IF(W483+X483&lt;15,"Données Nb pers ou RFR manquantes",IF(COUNTA(INDIRECT("TabRFR["&amp;YEAR(I483)&amp;"]"))&lt;&gt;COUNTA(TabRFR[Recherche RFR]),"Data RFR manquantes", IF(X483&lt;=INDEX(TabRFR[[2021]:[2025]],MATCH(BD!W483&amp;"-Très modestes",TabRFR[Recherche RFR],0),MATCH(TEXT(YEAR(BD!I483),"Standard"),TabRFR[[#Headers],[2021]:[2025]],0)),"Très Modeste",IF(X483&lt;=INDEX(TabRFR[[2021]:[2025]],MATCH(BD!W483&amp;"-modestes",TabRFR[Recherche RFR],0),MATCH(TEXT(YEAR(BD!I483),"Standard"),TabRFR[[#Headers],[2021]:[2025]],0)),"Modeste",IF(X483&lt;=INDEX(TabRFR[[2021]:[2025]],MATCH(BD!W483&amp;"-Intermédiaire",TabRFR[Recherche RFR],0),MATCH(TEXT(YEAR(BD!I483),"Standard"),TabRFR[[#Headers],[2021]:[2025]],0)),"Intermédiaire","Supérieur")))))))</f>
        <v>Data RFR manquantes</v>
      </c>
      <c r="Z483" s="75"/>
      <c r="AA483" s="75" t="s">
        <v>3422</v>
      </c>
      <c r="AB483" s="75">
        <v>38430</v>
      </c>
      <c r="AC483" s="75" t="s">
        <v>217</v>
      </c>
      <c r="AD483" s="73"/>
      <c r="AE483" s="102"/>
      <c r="AF483" s="75" t="s">
        <v>95</v>
      </c>
      <c r="AG483" s="75"/>
      <c r="AH483" s="130"/>
      <c r="AI483" s="130"/>
      <c r="AJ483" s="75"/>
      <c r="AK483" s="75"/>
      <c r="AL483" s="75"/>
      <c r="AM483" s="75" t="s">
        <v>218</v>
      </c>
      <c r="AN483" s="75" t="s">
        <v>217</v>
      </c>
      <c r="AO483" s="75" t="s">
        <v>219</v>
      </c>
      <c r="AP483" s="75" t="s">
        <v>97</v>
      </c>
      <c r="AQ483" s="75"/>
      <c r="AR483" s="74">
        <v>43764</v>
      </c>
      <c r="AS483" s="102" t="s">
        <v>220</v>
      </c>
      <c r="AT483" s="73" t="s">
        <v>620</v>
      </c>
      <c r="AU483" s="75" t="s">
        <v>111</v>
      </c>
      <c r="AV483" s="75"/>
      <c r="AW483" s="75" t="s">
        <v>100</v>
      </c>
      <c r="AX483" s="75" t="s">
        <v>112</v>
      </c>
      <c r="AY483" s="75" t="s">
        <v>121</v>
      </c>
      <c r="AZ483" s="75" t="s">
        <v>3421</v>
      </c>
      <c r="BA483" s="75">
        <v>22</v>
      </c>
      <c r="BB483" s="75">
        <v>6.4</v>
      </c>
      <c r="BC483" s="75">
        <v>78</v>
      </c>
      <c r="BD483" s="75">
        <v>0.1</v>
      </c>
      <c r="BE483" s="75" t="s">
        <v>97</v>
      </c>
      <c r="BF483" s="75"/>
      <c r="BG483" s="75">
        <v>2344.0300000000002</v>
      </c>
      <c r="BH483" s="75"/>
      <c r="BI483" s="75"/>
      <c r="BJ483" s="75"/>
      <c r="BK483" s="75">
        <v>1007.94</v>
      </c>
      <c r="BL483" s="75">
        <f t="shared" si="21"/>
        <v>3351.9700000000003</v>
      </c>
      <c r="BM483" s="103">
        <f t="shared" si="22"/>
        <v>184.35835</v>
      </c>
      <c r="BN483" s="103">
        <f t="shared" si="23"/>
        <v>3536.3283500000002</v>
      </c>
      <c r="BO483" s="103">
        <v>3536</v>
      </c>
      <c r="BP483" s="75" t="s">
        <v>97</v>
      </c>
      <c r="BQ483" s="75"/>
      <c r="BR483" s="75"/>
      <c r="BS483" s="157">
        <v>2019</v>
      </c>
      <c r="BT483" s="235">
        <v>43770</v>
      </c>
      <c r="BU483">
        <v>2019</v>
      </c>
    </row>
    <row r="484" spans="1:73" ht="43.15" customHeight="1" x14ac:dyDescent="0.25">
      <c r="A484" s="242" t="s">
        <v>749</v>
      </c>
      <c r="B484" s="242" t="s">
        <v>3420</v>
      </c>
      <c r="C484" s="159">
        <v>400</v>
      </c>
      <c r="D484" s="114">
        <v>43487</v>
      </c>
      <c r="E484" s="114">
        <v>43487</v>
      </c>
      <c r="F484" s="114"/>
      <c r="G484" s="114"/>
      <c r="H484" s="114">
        <v>43508</v>
      </c>
      <c r="I484" s="114">
        <v>43508</v>
      </c>
      <c r="J484" s="114">
        <v>43515</v>
      </c>
      <c r="K484" s="114"/>
      <c r="L484" s="114">
        <v>43539</v>
      </c>
      <c r="M484" s="114">
        <v>43524</v>
      </c>
      <c r="N484" s="114" t="s">
        <v>3419</v>
      </c>
      <c r="O484" s="114">
        <v>43579</v>
      </c>
      <c r="P484" s="114">
        <v>43579</v>
      </c>
      <c r="Q484" s="114">
        <v>43602</v>
      </c>
      <c r="R484" s="80"/>
      <c r="S484" s="114"/>
      <c r="T484" s="75"/>
      <c r="U484" s="75"/>
      <c r="V484" s="75"/>
      <c r="W484" s="75">
        <v>2</v>
      </c>
      <c r="X484" s="75">
        <v>39189</v>
      </c>
      <c r="Y484" s="75" t="str">
        <f ca="1">IF(I484="",IF(D484="","",IF(W484+X484&lt;15,"Données Nb pers ou RFR manquantes",IF(COUNTA(INDIRECT("TabRFR["&amp;YEAR(D484)&amp;"]"))&lt;&gt;COUNTA(TabRFR[Recherche RFR]),"Data RFR manquantes", IF(X484&lt;=INDEX(TabRFR[[2021]:[2025]],MATCH(BD!W484&amp;"-Très modestes",TabRFR[Recherche RFR],0),MATCH(TEXT(YEAR(BD!D484),"Standard"),TabRFR[[#Headers],[2021]:[2025]],0)),"Très Modeste",IF(X484&lt;=INDEX(TabRFR[[2021]:[2025]],MATCH(BD!W484&amp;"-modestes",TabRFR[Recherche RFR],0),MATCH(TEXT(YEAR(BD!D484),"Standard"),TabRFR[[#Headers],[2021]:[2025]],0)),"Modeste",IF(X484&lt;=INDEX(TabRFR[[2021]:[2025]],MATCH(BD!W484&amp;"-Intermédiaire",TabRFR[Recherche RFR],0),MATCH(TEXT(YEAR(BD!D484),"Standard"),TabRFR[[#Headers],[2021]:[2025]],0)),"Intermédiaire","Supérieur")))))),IF(D484="","",IF(W484+X484&lt;15,"Données Nb pers ou RFR manquantes",IF(COUNTA(INDIRECT("TabRFR["&amp;YEAR(I484)&amp;"]"))&lt;&gt;COUNTA(TabRFR[Recherche RFR]),"Data RFR manquantes", IF(X484&lt;=INDEX(TabRFR[[2021]:[2025]],MATCH(BD!W484&amp;"-Très modestes",TabRFR[Recherche RFR],0),MATCH(TEXT(YEAR(BD!I484),"Standard"),TabRFR[[#Headers],[2021]:[2025]],0)),"Très Modeste",IF(X484&lt;=INDEX(TabRFR[[2021]:[2025]],MATCH(BD!W484&amp;"-modestes",TabRFR[Recherche RFR],0),MATCH(TEXT(YEAR(BD!I484),"Standard"),TabRFR[[#Headers],[2021]:[2025]],0)),"Modeste",IF(X484&lt;=INDEX(TabRFR[[2021]:[2025]],MATCH(BD!W484&amp;"-Intermédiaire",TabRFR[Recherche RFR],0),MATCH(TEXT(YEAR(BD!I484),"Standard"),TabRFR[[#Headers],[2021]:[2025]],0)),"Intermédiaire","Supérieur")))))))</f>
        <v>Data RFR manquantes</v>
      </c>
      <c r="Z484" s="75"/>
      <c r="AA484" s="75" t="s">
        <v>3418</v>
      </c>
      <c r="AB484" s="75">
        <v>38500</v>
      </c>
      <c r="AC484" s="75" t="s">
        <v>94</v>
      </c>
      <c r="AD484" s="73"/>
      <c r="AE484" s="102"/>
      <c r="AF484" s="75" t="s">
        <v>95</v>
      </c>
      <c r="AG484" s="75"/>
      <c r="AH484" s="130"/>
      <c r="AI484" s="130"/>
      <c r="AJ484" s="75"/>
      <c r="AK484" s="75"/>
      <c r="AL484" s="75"/>
      <c r="AM484" s="75" t="s">
        <v>3973</v>
      </c>
      <c r="AN484" s="75" t="s">
        <v>96</v>
      </c>
      <c r="AO484" s="75" t="s">
        <v>9</v>
      </c>
      <c r="AP484" s="75" t="s">
        <v>97</v>
      </c>
      <c r="AQ484" s="75"/>
      <c r="AR484" s="74">
        <v>43726</v>
      </c>
      <c r="AS484" s="102" t="s">
        <v>141</v>
      </c>
      <c r="AT484" s="73" t="s">
        <v>820</v>
      </c>
      <c r="AU484" s="75" t="s">
        <v>111</v>
      </c>
      <c r="AV484" s="75">
        <v>1990</v>
      </c>
      <c r="AW484" s="75" t="s">
        <v>111</v>
      </c>
      <c r="AX484" s="75" t="s">
        <v>112</v>
      </c>
      <c r="AY484" s="75" t="s">
        <v>1249</v>
      </c>
      <c r="AZ484" s="75" t="s">
        <v>3417</v>
      </c>
      <c r="BA484" s="75">
        <v>26</v>
      </c>
      <c r="BB484" s="75">
        <v>12.8</v>
      </c>
      <c r="BC484" s="75">
        <v>80</v>
      </c>
      <c r="BD484" s="75">
        <v>0.09</v>
      </c>
      <c r="BE484" s="75" t="s">
        <v>97</v>
      </c>
      <c r="BF484" s="75"/>
      <c r="BG484" s="75">
        <v>4875</v>
      </c>
      <c r="BH484" s="75"/>
      <c r="BI484" s="75"/>
      <c r="BJ484" s="75"/>
      <c r="BK484" s="75">
        <v>790</v>
      </c>
      <c r="BL484" s="75">
        <f t="shared" si="21"/>
        <v>5665</v>
      </c>
      <c r="BM484" s="103">
        <f t="shared" si="22"/>
        <v>311.57499999999999</v>
      </c>
      <c r="BN484" s="103">
        <f t="shared" si="23"/>
        <v>5976.5749999999998</v>
      </c>
      <c r="BO484" s="103">
        <v>5976</v>
      </c>
      <c r="BP484" s="75" t="s">
        <v>97</v>
      </c>
      <c r="BQ484" s="75"/>
      <c r="BR484" s="75"/>
      <c r="BS484" s="157">
        <v>2019</v>
      </c>
      <c r="BT484" s="235">
        <v>43770</v>
      </c>
      <c r="BU484">
        <v>2019</v>
      </c>
    </row>
    <row r="485" spans="1:73" ht="43.15" customHeight="1" x14ac:dyDescent="0.25">
      <c r="A485" s="241" t="s">
        <v>749</v>
      </c>
      <c r="B485" s="241" t="s">
        <v>3416</v>
      </c>
      <c r="C485" s="163">
        <v>800</v>
      </c>
      <c r="D485" s="76">
        <v>43488</v>
      </c>
      <c r="E485" s="76">
        <v>43488</v>
      </c>
      <c r="F485" s="76"/>
      <c r="G485" s="76"/>
      <c r="H485" s="76">
        <v>43508</v>
      </c>
      <c r="I485" s="76">
        <v>43508</v>
      </c>
      <c r="J485" s="76">
        <v>43515</v>
      </c>
      <c r="K485" s="218"/>
      <c r="L485" s="76">
        <v>43832</v>
      </c>
      <c r="M485" s="76">
        <v>43812</v>
      </c>
      <c r="N485" s="76"/>
      <c r="O485" s="76">
        <v>43837</v>
      </c>
      <c r="P485" s="76">
        <v>43837</v>
      </c>
      <c r="Q485" s="76">
        <v>43853</v>
      </c>
      <c r="R485" s="82"/>
      <c r="S485" s="76"/>
      <c r="T485" s="77"/>
      <c r="U485" s="77"/>
      <c r="V485" s="77"/>
      <c r="W485" s="77">
        <v>4</v>
      </c>
      <c r="X485" s="77">
        <v>21884</v>
      </c>
      <c r="Y485" s="75" t="str">
        <f ca="1">IF(I485="",IF(D485="","",IF(W485+X485&lt;15,"Données Nb pers ou RFR manquantes",IF(COUNTA(INDIRECT("TabRFR["&amp;YEAR(D485)&amp;"]"))&lt;&gt;COUNTA(TabRFR[Recherche RFR]),"Data RFR manquantes", IF(X485&lt;=INDEX(TabRFR[[2021]:[2025]],MATCH(BD!W485&amp;"-Très modestes",TabRFR[Recherche RFR],0),MATCH(TEXT(YEAR(BD!D485),"Standard"),TabRFR[[#Headers],[2021]:[2025]],0)),"Très Modeste",IF(X485&lt;=INDEX(TabRFR[[2021]:[2025]],MATCH(BD!W485&amp;"-modestes",TabRFR[Recherche RFR],0),MATCH(TEXT(YEAR(BD!D485),"Standard"),TabRFR[[#Headers],[2021]:[2025]],0)),"Modeste",IF(X485&lt;=INDEX(TabRFR[[2021]:[2025]],MATCH(BD!W485&amp;"-Intermédiaire",TabRFR[Recherche RFR],0),MATCH(TEXT(YEAR(BD!D485),"Standard"),TabRFR[[#Headers],[2021]:[2025]],0)),"Intermédiaire","Supérieur")))))),IF(D485="","",IF(W485+X485&lt;15,"Données Nb pers ou RFR manquantes",IF(COUNTA(INDIRECT("TabRFR["&amp;YEAR(I485)&amp;"]"))&lt;&gt;COUNTA(TabRFR[Recherche RFR]),"Data RFR manquantes", IF(X485&lt;=INDEX(TabRFR[[2021]:[2025]],MATCH(BD!W485&amp;"-Très modestes",TabRFR[Recherche RFR],0),MATCH(TEXT(YEAR(BD!I485),"Standard"),TabRFR[[#Headers],[2021]:[2025]],0)),"Très Modeste",IF(X485&lt;=INDEX(TabRFR[[2021]:[2025]],MATCH(BD!W485&amp;"-modestes",TabRFR[Recherche RFR],0),MATCH(TEXT(YEAR(BD!I485),"Standard"),TabRFR[[#Headers],[2021]:[2025]],0)),"Modeste",IF(X485&lt;=INDEX(TabRFR[[2021]:[2025]],MATCH(BD!W485&amp;"-Intermédiaire",TabRFR[Recherche RFR],0),MATCH(TEXT(YEAR(BD!I485),"Standard"),TabRFR[[#Headers],[2021]:[2025]],0)),"Intermédiaire","Supérieur")))))))</f>
        <v>Data RFR manquantes</v>
      </c>
      <c r="Z485" s="77"/>
      <c r="AA485" s="77" t="s">
        <v>3415</v>
      </c>
      <c r="AB485" s="77">
        <v>38210</v>
      </c>
      <c r="AC485" s="77" t="s">
        <v>195</v>
      </c>
      <c r="AD485" s="78"/>
      <c r="AE485" s="102"/>
      <c r="AF485" s="77" t="s">
        <v>95</v>
      </c>
      <c r="AG485" s="77"/>
      <c r="AH485" s="77"/>
      <c r="AI485" s="77"/>
      <c r="AJ485" s="77"/>
      <c r="AK485" s="77"/>
      <c r="AL485" s="77"/>
      <c r="AM485" s="77" t="s">
        <v>4348</v>
      </c>
      <c r="AN485" s="77" t="s">
        <v>96</v>
      </c>
      <c r="AO485" s="77" t="s">
        <v>3313</v>
      </c>
      <c r="AP485" s="77" t="s">
        <v>97</v>
      </c>
      <c r="AQ485" s="77"/>
      <c r="AR485" s="79">
        <v>43698</v>
      </c>
      <c r="AS485" s="102" t="s">
        <v>98</v>
      </c>
      <c r="AT485" s="78" t="s">
        <v>802</v>
      </c>
      <c r="AU485" s="77" t="s">
        <v>100</v>
      </c>
      <c r="AV485" s="77">
        <v>1992</v>
      </c>
      <c r="AW485" s="77" t="s">
        <v>100</v>
      </c>
      <c r="AX485" s="77" t="s">
        <v>112</v>
      </c>
      <c r="AY485" s="77" t="s">
        <v>873</v>
      </c>
      <c r="AZ485" s="77" t="s">
        <v>1368</v>
      </c>
      <c r="BA485" s="77">
        <v>12</v>
      </c>
      <c r="BB485" s="77">
        <v>9.1999999999999993</v>
      </c>
      <c r="BC485" s="77">
        <v>77</v>
      </c>
      <c r="BD485" s="77">
        <v>0.04</v>
      </c>
      <c r="BE485" s="77" t="s">
        <v>97</v>
      </c>
      <c r="BF485" s="77"/>
      <c r="BG485" s="77">
        <v>2113.1799999999998</v>
      </c>
      <c r="BH485" s="77"/>
      <c r="BI485" s="77"/>
      <c r="BJ485" s="77"/>
      <c r="BK485" s="77">
        <v>94.95</v>
      </c>
      <c r="BL485" s="75">
        <f t="shared" si="21"/>
        <v>2208.1299999999997</v>
      </c>
      <c r="BM485" s="103">
        <f t="shared" si="22"/>
        <v>121.44714999999998</v>
      </c>
      <c r="BN485" s="103">
        <f t="shared" si="23"/>
        <v>2329.5771499999996</v>
      </c>
      <c r="BO485" s="80">
        <v>2587.92</v>
      </c>
      <c r="BP485" s="77" t="s">
        <v>97</v>
      </c>
      <c r="BQ485" s="77"/>
      <c r="BR485" s="77"/>
      <c r="BS485" s="157">
        <v>2019</v>
      </c>
      <c r="BT485" s="235">
        <v>43770</v>
      </c>
      <c r="BU485">
        <v>2019</v>
      </c>
    </row>
    <row r="486" spans="1:73" ht="43.15" customHeight="1" x14ac:dyDescent="0.25">
      <c r="A486" s="242" t="s">
        <v>749</v>
      </c>
      <c r="B486" s="242" t="s">
        <v>3414</v>
      </c>
      <c r="C486" s="159">
        <v>400</v>
      </c>
      <c r="D486" s="114">
        <v>43488</v>
      </c>
      <c r="E486" s="114">
        <v>43488</v>
      </c>
      <c r="F486" s="114"/>
      <c r="G486" s="114"/>
      <c r="H486" s="114">
        <v>43508</v>
      </c>
      <c r="I486" s="114">
        <v>43508</v>
      </c>
      <c r="J486" s="114">
        <v>43515</v>
      </c>
      <c r="K486" s="114"/>
      <c r="L486" s="114">
        <v>43535</v>
      </c>
      <c r="M486" s="114">
        <v>43526</v>
      </c>
      <c r="N486" s="114"/>
      <c r="O486" s="114">
        <v>43550</v>
      </c>
      <c r="P486" s="114">
        <v>43550</v>
      </c>
      <c r="Q486" s="114">
        <v>43602</v>
      </c>
      <c r="R486" s="80"/>
      <c r="S486" s="114"/>
      <c r="T486" s="75"/>
      <c r="U486" s="75"/>
      <c r="V486" s="75"/>
      <c r="W486" s="75">
        <v>3</v>
      </c>
      <c r="X486" s="75">
        <v>79341</v>
      </c>
      <c r="Y486" s="75" t="str">
        <f ca="1">IF(I486="",IF(D486="","",IF(W486+X486&lt;15,"Données Nb pers ou RFR manquantes",IF(COUNTA(INDIRECT("TabRFR["&amp;YEAR(D486)&amp;"]"))&lt;&gt;COUNTA(TabRFR[Recherche RFR]),"Data RFR manquantes", IF(X486&lt;=INDEX(TabRFR[[2021]:[2025]],MATCH(BD!W486&amp;"-Très modestes",TabRFR[Recherche RFR],0),MATCH(TEXT(YEAR(BD!D486),"Standard"),TabRFR[[#Headers],[2021]:[2025]],0)),"Très Modeste",IF(X486&lt;=INDEX(TabRFR[[2021]:[2025]],MATCH(BD!W486&amp;"-modestes",TabRFR[Recherche RFR],0),MATCH(TEXT(YEAR(BD!D486),"Standard"),TabRFR[[#Headers],[2021]:[2025]],0)),"Modeste",IF(X486&lt;=INDEX(TabRFR[[2021]:[2025]],MATCH(BD!W486&amp;"-Intermédiaire",TabRFR[Recherche RFR],0),MATCH(TEXT(YEAR(BD!D486),"Standard"),TabRFR[[#Headers],[2021]:[2025]],0)),"Intermédiaire","Supérieur")))))),IF(D486="","",IF(W486+X486&lt;15,"Données Nb pers ou RFR manquantes",IF(COUNTA(INDIRECT("TabRFR["&amp;YEAR(I486)&amp;"]"))&lt;&gt;COUNTA(TabRFR[Recherche RFR]),"Data RFR manquantes", IF(X486&lt;=INDEX(TabRFR[[2021]:[2025]],MATCH(BD!W486&amp;"-Très modestes",TabRFR[Recherche RFR],0),MATCH(TEXT(YEAR(BD!I486),"Standard"),TabRFR[[#Headers],[2021]:[2025]],0)),"Très Modeste",IF(X486&lt;=INDEX(TabRFR[[2021]:[2025]],MATCH(BD!W486&amp;"-modestes",TabRFR[Recherche RFR],0),MATCH(TEXT(YEAR(BD!I486),"Standard"),TabRFR[[#Headers],[2021]:[2025]],0)),"Modeste",IF(X486&lt;=INDEX(TabRFR[[2021]:[2025]],MATCH(BD!W486&amp;"-Intermédiaire",TabRFR[Recherche RFR],0),MATCH(TEXT(YEAR(BD!I486),"Standard"),TabRFR[[#Headers],[2021]:[2025]],0)),"Intermédiaire","Supérieur")))))))</f>
        <v>Data RFR manquantes</v>
      </c>
      <c r="Z486" s="75"/>
      <c r="AA486" s="75" t="s">
        <v>3413</v>
      </c>
      <c r="AB486" s="75">
        <v>38960</v>
      </c>
      <c r="AC486" s="75" t="s">
        <v>2378</v>
      </c>
      <c r="AD486" s="73"/>
      <c r="AE486" s="102"/>
      <c r="AF486" s="75" t="s">
        <v>95</v>
      </c>
      <c r="AG486" s="75"/>
      <c r="AH486" s="130"/>
      <c r="AI486" s="130"/>
      <c r="AJ486" s="75"/>
      <c r="AK486" s="75"/>
      <c r="AL486" s="75"/>
      <c r="AM486" s="75" t="s">
        <v>4236</v>
      </c>
      <c r="AN486" s="75" t="s">
        <v>4091</v>
      </c>
      <c r="AO486" s="75" t="s">
        <v>163</v>
      </c>
      <c r="AP486" s="75" t="s">
        <v>97</v>
      </c>
      <c r="AQ486" s="75"/>
      <c r="AR486" s="74">
        <v>43725</v>
      </c>
      <c r="AS486" s="102" t="s">
        <v>164</v>
      </c>
      <c r="AT486" s="73" t="s">
        <v>608</v>
      </c>
      <c r="AU486" s="75" t="s">
        <v>100</v>
      </c>
      <c r="AV486" s="75">
        <v>1988</v>
      </c>
      <c r="AW486" s="75" t="s">
        <v>100</v>
      </c>
      <c r="AX486" s="75" t="s">
        <v>112</v>
      </c>
      <c r="AY486" s="75" t="s">
        <v>3412</v>
      </c>
      <c r="AZ486" s="75" t="s">
        <v>3411</v>
      </c>
      <c r="BA486" s="75">
        <v>33</v>
      </c>
      <c r="BB486" s="75">
        <v>7</v>
      </c>
      <c r="BC486" s="75">
        <v>80</v>
      </c>
      <c r="BD486" s="75">
        <v>7.0000000000000007E-2</v>
      </c>
      <c r="BE486" s="75" t="s">
        <v>928</v>
      </c>
      <c r="BF486" s="75"/>
      <c r="BG486" s="75">
        <v>2674</v>
      </c>
      <c r="BH486" s="75"/>
      <c r="BI486" s="75"/>
      <c r="BJ486" s="75"/>
      <c r="BK486" s="75">
        <v>390</v>
      </c>
      <c r="BL486" s="75">
        <f t="shared" si="21"/>
        <v>3064</v>
      </c>
      <c r="BM486" s="103">
        <f t="shared" si="22"/>
        <v>168.52</v>
      </c>
      <c r="BN486" s="103">
        <f t="shared" si="23"/>
        <v>3232.52</v>
      </c>
      <c r="BO486" s="103">
        <v>3232.52</v>
      </c>
      <c r="BP486" s="75" t="s">
        <v>104</v>
      </c>
      <c r="BQ486" s="75"/>
      <c r="BR486" s="75"/>
      <c r="BS486" s="157">
        <v>2019</v>
      </c>
      <c r="BT486" s="235">
        <v>43770</v>
      </c>
      <c r="BU486">
        <v>2019</v>
      </c>
    </row>
    <row r="487" spans="1:73" ht="43.15" customHeight="1" x14ac:dyDescent="0.25">
      <c r="A487" s="241" t="s">
        <v>90</v>
      </c>
      <c r="B487" s="241" t="s">
        <v>3410</v>
      </c>
      <c r="C487" s="159">
        <v>400</v>
      </c>
      <c r="D487" s="76">
        <v>43493</v>
      </c>
      <c r="E487" s="76">
        <v>43494</v>
      </c>
      <c r="F487" s="76"/>
      <c r="G487" s="83" t="s">
        <v>3409</v>
      </c>
      <c r="H487" s="76">
        <v>43515</v>
      </c>
      <c r="I487" s="76">
        <v>43515</v>
      </c>
      <c r="J487" s="76">
        <v>43515</v>
      </c>
      <c r="K487" s="218"/>
      <c r="L487" s="76">
        <v>43629</v>
      </c>
      <c r="M487" s="76">
        <v>43532</v>
      </c>
      <c r="N487" s="76"/>
      <c r="O487" s="76">
        <v>43643</v>
      </c>
      <c r="P487" s="76">
        <v>43643</v>
      </c>
      <c r="Q487" s="76">
        <v>43671</v>
      </c>
      <c r="R487" s="82"/>
      <c r="S487" s="76"/>
      <c r="T487" s="77"/>
      <c r="U487" s="77"/>
      <c r="V487" s="77"/>
      <c r="W487" s="77">
        <v>4</v>
      </c>
      <c r="X487" s="77">
        <v>44088</v>
      </c>
      <c r="Y487" s="75" t="str">
        <f ca="1">IF(I487="",IF(D487="","",IF(W487+X487&lt;15,"Données Nb pers ou RFR manquantes",IF(COUNTA(INDIRECT("TabRFR["&amp;YEAR(D487)&amp;"]"))&lt;&gt;COUNTA(TabRFR[Recherche RFR]),"Data RFR manquantes", IF(X487&lt;=INDEX(TabRFR[[2021]:[2025]],MATCH(BD!W487&amp;"-Très modestes",TabRFR[Recherche RFR],0),MATCH(TEXT(YEAR(BD!D487),"Standard"),TabRFR[[#Headers],[2021]:[2025]],0)),"Très Modeste",IF(X487&lt;=INDEX(TabRFR[[2021]:[2025]],MATCH(BD!W487&amp;"-modestes",TabRFR[Recherche RFR],0),MATCH(TEXT(YEAR(BD!D487),"Standard"),TabRFR[[#Headers],[2021]:[2025]],0)),"Modeste",IF(X487&lt;=INDEX(TabRFR[[2021]:[2025]],MATCH(BD!W487&amp;"-Intermédiaire",TabRFR[Recherche RFR],0),MATCH(TEXT(YEAR(BD!D487),"Standard"),TabRFR[[#Headers],[2021]:[2025]],0)),"Intermédiaire","Supérieur")))))),IF(D487="","",IF(W487+X487&lt;15,"Données Nb pers ou RFR manquantes",IF(COUNTA(INDIRECT("TabRFR["&amp;YEAR(I487)&amp;"]"))&lt;&gt;COUNTA(TabRFR[Recherche RFR]),"Data RFR manquantes", IF(X487&lt;=INDEX(TabRFR[[2021]:[2025]],MATCH(BD!W487&amp;"-Très modestes",TabRFR[Recherche RFR],0),MATCH(TEXT(YEAR(BD!I487),"Standard"),TabRFR[[#Headers],[2021]:[2025]],0)),"Très Modeste",IF(X487&lt;=INDEX(TabRFR[[2021]:[2025]],MATCH(BD!W487&amp;"-modestes",TabRFR[Recherche RFR],0),MATCH(TEXT(YEAR(BD!I487),"Standard"),TabRFR[[#Headers],[2021]:[2025]],0)),"Modeste",IF(X487&lt;=INDEX(TabRFR[[2021]:[2025]],MATCH(BD!W487&amp;"-Intermédiaire",TabRFR[Recherche RFR],0),MATCH(TEXT(YEAR(BD!I487),"Standard"),TabRFR[[#Headers],[2021]:[2025]],0)),"Intermédiaire","Supérieur")))))))</f>
        <v>Data RFR manquantes</v>
      </c>
      <c r="Z487" s="77"/>
      <c r="AA487" s="77" t="s">
        <v>3408</v>
      </c>
      <c r="AB487" s="77">
        <v>38430</v>
      </c>
      <c r="AC487" s="77" t="s">
        <v>217</v>
      </c>
      <c r="AD487" s="78"/>
      <c r="AE487" s="102"/>
      <c r="AF487" s="77"/>
      <c r="AG487" s="77"/>
      <c r="AH487" s="77"/>
      <c r="AI487" s="77"/>
      <c r="AJ487" s="77"/>
      <c r="AK487" s="77"/>
      <c r="AL487" s="77"/>
      <c r="AM487" s="77" t="s">
        <v>1886</v>
      </c>
      <c r="AN487" s="77" t="s">
        <v>195</v>
      </c>
      <c r="AO487" s="77" t="s">
        <v>9</v>
      </c>
      <c r="AP487" s="77" t="s">
        <v>97</v>
      </c>
      <c r="AQ487" s="77"/>
      <c r="AR487" s="132">
        <v>43674</v>
      </c>
      <c r="AS487" s="102" t="s">
        <v>516</v>
      </c>
      <c r="AT487" s="78" t="s">
        <v>776</v>
      </c>
      <c r="AU487" s="77" t="s">
        <v>111</v>
      </c>
      <c r="AV487" s="77">
        <v>1960</v>
      </c>
      <c r="AW487" s="77" t="s">
        <v>100</v>
      </c>
      <c r="AX487" s="75" t="s">
        <v>2071</v>
      </c>
      <c r="AY487" s="77" t="s">
        <v>440</v>
      </c>
      <c r="AZ487" s="77" t="s">
        <v>517</v>
      </c>
      <c r="BA487" s="77">
        <v>14</v>
      </c>
      <c r="BB487" s="77">
        <v>6.1</v>
      </c>
      <c r="BC487" s="77">
        <v>93.3</v>
      </c>
      <c r="BD487" s="77">
        <v>2E-3</v>
      </c>
      <c r="BE487" s="77" t="s">
        <v>97</v>
      </c>
      <c r="BF487" s="77"/>
      <c r="BG487" s="77">
        <v>3183</v>
      </c>
      <c r="BH487" s="77"/>
      <c r="BI487" s="77"/>
      <c r="BJ487" s="77"/>
      <c r="BK487" s="77">
        <v>400</v>
      </c>
      <c r="BL487" s="75">
        <f t="shared" si="21"/>
        <v>3583</v>
      </c>
      <c r="BM487" s="103">
        <f t="shared" si="22"/>
        <v>197.065</v>
      </c>
      <c r="BN487" s="103">
        <f t="shared" si="23"/>
        <v>3780.0650000000001</v>
      </c>
      <c r="BO487" s="80">
        <v>3936</v>
      </c>
      <c r="BP487" s="77" t="s">
        <v>97</v>
      </c>
      <c r="BQ487" s="77"/>
      <c r="BR487" s="77"/>
      <c r="BS487" s="157">
        <v>2019</v>
      </c>
      <c r="BU487">
        <v>2019</v>
      </c>
    </row>
    <row r="488" spans="1:73" ht="43.15" customHeight="1" x14ac:dyDescent="0.25">
      <c r="A488" s="241" t="s">
        <v>749</v>
      </c>
      <c r="B488" s="241" t="s">
        <v>3407</v>
      </c>
      <c r="C488" s="163">
        <v>400</v>
      </c>
      <c r="D488" s="76">
        <v>43489</v>
      </c>
      <c r="E488" s="76">
        <v>43489</v>
      </c>
      <c r="F488" s="76">
        <v>43508</v>
      </c>
      <c r="G488" s="76" t="s">
        <v>3406</v>
      </c>
      <c r="H488" s="76">
        <v>43511</v>
      </c>
      <c r="I488" s="76">
        <v>43514</v>
      </c>
      <c r="J488" s="76">
        <v>43515</v>
      </c>
      <c r="K488" s="218"/>
      <c r="L488" s="76" t="s">
        <v>3746</v>
      </c>
      <c r="M488" s="76">
        <v>43712</v>
      </c>
      <c r="N488" s="76"/>
      <c r="O488" s="76">
        <v>43727</v>
      </c>
      <c r="P488" s="76">
        <v>43727</v>
      </c>
      <c r="Q488" s="76">
        <v>43746</v>
      </c>
      <c r="R488" s="82"/>
      <c r="S488" s="76"/>
      <c r="T488" s="77"/>
      <c r="U488" s="77"/>
      <c r="V488" s="77"/>
      <c r="W488" s="77">
        <v>3</v>
      </c>
      <c r="X488" s="77">
        <v>43049</v>
      </c>
      <c r="Y488" s="75" t="str">
        <f ca="1">IF(I488="",IF(D488="","",IF(W488+X488&lt;15,"Données Nb pers ou RFR manquantes",IF(COUNTA(INDIRECT("TabRFR["&amp;YEAR(D488)&amp;"]"))&lt;&gt;COUNTA(TabRFR[Recherche RFR]),"Data RFR manquantes", IF(X488&lt;=INDEX(TabRFR[[2021]:[2025]],MATCH(BD!W488&amp;"-Très modestes",TabRFR[Recherche RFR],0),MATCH(TEXT(YEAR(BD!D488),"Standard"),TabRFR[[#Headers],[2021]:[2025]],0)),"Très Modeste",IF(X488&lt;=INDEX(TabRFR[[2021]:[2025]],MATCH(BD!W488&amp;"-modestes",TabRFR[Recherche RFR],0),MATCH(TEXT(YEAR(BD!D488),"Standard"),TabRFR[[#Headers],[2021]:[2025]],0)),"Modeste",IF(X488&lt;=INDEX(TabRFR[[2021]:[2025]],MATCH(BD!W488&amp;"-Intermédiaire",TabRFR[Recherche RFR],0),MATCH(TEXT(YEAR(BD!D488),"Standard"),TabRFR[[#Headers],[2021]:[2025]],0)),"Intermédiaire","Supérieur")))))),IF(D488="","",IF(W488+X488&lt;15,"Données Nb pers ou RFR manquantes",IF(COUNTA(INDIRECT("TabRFR["&amp;YEAR(I488)&amp;"]"))&lt;&gt;COUNTA(TabRFR[Recherche RFR]),"Data RFR manquantes", IF(X488&lt;=INDEX(TabRFR[[2021]:[2025]],MATCH(BD!W488&amp;"-Très modestes",TabRFR[Recherche RFR],0),MATCH(TEXT(YEAR(BD!I488),"Standard"),TabRFR[[#Headers],[2021]:[2025]],0)),"Très Modeste",IF(X488&lt;=INDEX(TabRFR[[2021]:[2025]],MATCH(BD!W488&amp;"-modestes",TabRFR[Recherche RFR],0),MATCH(TEXT(YEAR(BD!I488),"Standard"),TabRFR[[#Headers],[2021]:[2025]],0)),"Modeste",IF(X488&lt;=INDEX(TabRFR[[2021]:[2025]],MATCH(BD!W488&amp;"-Intermédiaire",TabRFR[Recherche RFR],0),MATCH(TEXT(YEAR(BD!I488),"Standard"),TabRFR[[#Headers],[2021]:[2025]],0)),"Intermédiaire","Supérieur")))))))</f>
        <v>Data RFR manquantes</v>
      </c>
      <c r="Z488" s="77"/>
      <c r="AA488" s="77" t="s">
        <v>3405</v>
      </c>
      <c r="AB488" s="77">
        <v>38340</v>
      </c>
      <c r="AC488" s="77" t="s">
        <v>108</v>
      </c>
      <c r="AD488" s="78"/>
      <c r="AE488" s="102"/>
      <c r="AF488" s="77" t="s">
        <v>95</v>
      </c>
      <c r="AG488" s="77"/>
      <c r="AH488" s="145">
        <v>42644</v>
      </c>
      <c r="AI488" s="77"/>
      <c r="AJ488" s="77"/>
      <c r="AK488" s="77"/>
      <c r="AL488" s="77"/>
      <c r="AM488" s="77" t="s">
        <v>4191</v>
      </c>
      <c r="AN488" s="77" t="s">
        <v>96</v>
      </c>
      <c r="AO488" s="77" t="s">
        <v>229</v>
      </c>
      <c r="AP488" s="77"/>
      <c r="AQ488" s="132">
        <v>43681</v>
      </c>
      <c r="AR488" s="79">
        <v>43681</v>
      </c>
      <c r="AS488" s="102" t="s">
        <v>230</v>
      </c>
      <c r="AT488" s="78" t="s">
        <v>563</v>
      </c>
      <c r="AU488" s="77" t="s">
        <v>111</v>
      </c>
      <c r="AV488" s="77" t="s">
        <v>231</v>
      </c>
      <c r="AW488" s="77" t="s">
        <v>100</v>
      </c>
      <c r="AX488" s="75" t="s">
        <v>2071</v>
      </c>
      <c r="AY488" s="77" t="s">
        <v>232</v>
      </c>
      <c r="AZ488" s="77" t="s">
        <v>2186</v>
      </c>
      <c r="BA488" s="77">
        <v>10</v>
      </c>
      <c r="BB488" s="77" t="s">
        <v>3404</v>
      </c>
      <c r="BC488" s="77">
        <v>92.7</v>
      </c>
      <c r="BD488" s="77">
        <v>5.5999999999999999E-3</v>
      </c>
      <c r="BE488" s="77" t="s">
        <v>374</v>
      </c>
      <c r="BF488" s="77"/>
      <c r="BG488" s="77">
        <v>7163</v>
      </c>
      <c r="BH488" s="77"/>
      <c r="BI488" s="77"/>
      <c r="BJ488" s="77"/>
      <c r="BK488" s="77">
        <v>680</v>
      </c>
      <c r="BL488" s="75">
        <f t="shared" si="21"/>
        <v>7843</v>
      </c>
      <c r="BM488" s="103">
        <f t="shared" si="22"/>
        <v>431.36500000000001</v>
      </c>
      <c r="BN488" s="103">
        <f t="shared" si="23"/>
        <v>8274.3649999999998</v>
      </c>
      <c r="BO488" s="80"/>
      <c r="BP488" s="77" t="s">
        <v>97</v>
      </c>
      <c r="BQ488" s="77"/>
      <c r="BR488" s="77"/>
      <c r="BS488" s="157">
        <v>2019</v>
      </c>
      <c r="BU488">
        <v>2019</v>
      </c>
    </row>
    <row r="489" spans="1:73" ht="43.15" customHeight="1" x14ac:dyDescent="0.25">
      <c r="A489" s="241" t="s">
        <v>90</v>
      </c>
      <c r="B489" s="241" t="s">
        <v>3403</v>
      </c>
      <c r="C489" s="159">
        <v>400</v>
      </c>
      <c r="D489" s="76">
        <v>43496</v>
      </c>
      <c r="E489" s="76">
        <v>43496</v>
      </c>
      <c r="F489" s="76"/>
      <c r="G489" s="83" t="s">
        <v>3402</v>
      </c>
      <c r="H489" s="76">
        <v>43515</v>
      </c>
      <c r="I489" s="76">
        <v>43515</v>
      </c>
      <c r="J489" s="76">
        <v>43515</v>
      </c>
      <c r="K489" s="218"/>
      <c r="L489" s="76">
        <v>43619</v>
      </c>
      <c r="M489" s="76">
        <v>43610</v>
      </c>
      <c r="N489" s="76" t="s">
        <v>330</v>
      </c>
      <c r="O489" s="76">
        <v>43643</v>
      </c>
      <c r="P489" s="76">
        <v>43643</v>
      </c>
      <c r="Q489" s="76">
        <v>43671</v>
      </c>
      <c r="R489" s="82"/>
      <c r="S489" s="76"/>
      <c r="T489" s="77"/>
      <c r="U489" s="77"/>
      <c r="V489" s="77"/>
      <c r="W489" s="77">
        <v>1</v>
      </c>
      <c r="X489" s="77">
        <v>21712</v>
      </c>
      <c r="Y489" s="75" t="str">
        <f ca="1">IF(I489="",IF(D489="","",IF(W489+X489&lt;15,"Données Nb pers ou RFR manquantes",IF(COUNTA(INDIRECT("TabRFR["&amp;YEAR(D489)&amp;"]"))&lt;&gt;COUNTA(TabRFR[Recherche RFR]),"Data RFR manquantes", IF(X489&lt;=INDEX(TabRFR[[2021]:[2025]],MATCH(BD!W489&amp;"-Très modestes",TabRFR[Recherche RFR],0),MATCH(TEXT(YEAR(BD!D489),"Standard"),TabRFR[[#Headers],[2021]:[2025]],0)),"Très Modeste",IF(X489&lt;=INDEX(TabRFR[[2021]:[2025]],MATCH(BD!W489&amp;"-modestes",TabRFR[Recherche RFR],0),MATCH(TEXT(YEAR(BD!D489),"Standard"),TabRFR[[#Headers],[2021]:[2025]],0)),"Modeste",IF(X489&lt;=INDEX(TabRFR[[2021]:[2025]],MATCH(BD!W489&amp;"-Intermédiaire",TabRFR[Recherche RFR],0),MATCH(TEXT(YEAR(BD!D489),"Standard"),TabRFR[[#Headers],[2021]:[2025]],0)),"Intermédiaire","Supérieur")))))),IF(D489="","",IF(W489+X489&lt;15,"Données Nb pers ou RFR manquantes",IF(COUNTA(INDIRECT("TabRFR["&amp;YEAR(I489)&amp;"]"))&lt;&gt;COUNTA(TabRFR[Recherche RFR]),"Data RFR manquantes", IF(X489&lt;=INDEX(TabRFR[[2021]:[2025]],MATCH(BD!W489&amp;"-Très modestes",TabRFR[Recherche RFR],0),MATCH(TEXT(YEAR(BD!I489),"Standard"),TabRFR[[#Headers],[2021]:[2025]],0)),"Très Modeste",IF(X489&lt;=INDEX(TabRFR[[2021]:[2025]],MATCH(BD!W489&amp;"-modestes",TabRFR[Recherche RFR],0),MATCH(TEXT(YEAR(BD!I489),"Standard"),TabRFR[[#Headers],[2021]:[2025]],0)),"Modeste",IF(X489&lt;=INDEX(TabRFR[[2021]:[2025]],MATCH(BD!W489&amp;"-Intermédiaire",TabRFR[Recherche RFR],0),MATCH(TEXT(YEAR(BD!I489),"Standard"),TabRFR[[#Headers],[2021]:[2025]],0)),"Intermédiaire","Supérieur")))))))</f>
        <v>Data RFR manquantes</v>
      </c>
      <c r="Z489" s="77"/>
      <c r="AA489" s="77" t="s">
        <v>1273</v>
      </c>
      <c r="AB489" s="77">
        <v>38850</v>
      </c>
      <c r="AC489" s="77" t="s">
        <v>242</v>
      </c>
      <c r="AD489" s="78"/>
      <c r="AE489" s="102"/>
      <c r="AF489" s="77" t="s">
        <v>95</v>
      </c>
      <c r="AG489" s="77"/>
      <c r="AH489" s="79">
        <v>43433</v>
      </c>
      <c r="AI489" s="77"/>
      <c r="AJ489" s="77"/>
      <c r="AK489" s="77"/>
      <c r="AL489" s="77"/>
      <c r="AM489" s="77" t="s">
        <v>3973</v>
      </c>
      <c r="AN489" s="77" t="s">
        <v>96</v>
      </c>
      <c r="AO489" s="77" t="s">
        <v>9</v>
      </c>
      <c r="AP489" s="77" t="s">
        <v>97</v>
      </c>
      <c r="AQ489" s="77"/>
      <c r="AR489" s="132">
        <v>43726</v>
      </c>
      <c r="AS489" s="102" t="s">
        <v>141</v>
      </c>
      <c r="AT489" s="78" t="s">
        <v>820</v>
      </c>
      <c r="AU489" s="77" t="s">
        <v>430</v>
      </c>
      <c r="AV489" s="77" t="s">
        <v>9</v>
      </c>
      <c r="AW489" s="77" t="s">
        <v>100</v>
      </c>
      <c r="AX489" s="75" t="s">
        <v>2071</v>
      </c>
      <c r="AY489" s="77" t="s">
        <v>440</v>
      </c>
      <c r="AZ489" s="77" t="s">
        <v>3401</v>
      </c>
      <c r="BA489" s="77">
        <v>8</v>
      </c>
      <c r="BB489" s="77">
        <v>8.1999999999999993</v>
      </c>
      <c r="BC489" s="77">
        <v>87.7</v>
      </c>
      <c r="BD489" s="77">
        <v>0</v>
      </c>
      <c r="BE489" s="77" t="s">
        <v>97</v>
      </c>
      <c r="BF489" s="77"/>
      <c r="BG489" s="77">
        <v>2490</v>
      </c>
      <c r="BH489" s="77"/>
      <c r="BI489" s="77"/>
      <c r="BJ489" s="77"/>
      <c r="BK489" s="77">
        <v>1030.9000000000001</v>
      </c>
      <c r="BL489" s="75">
        <f t="shared" si="21"/>
        <v>3520.9</v>
      </c>
      <c r="BM489" s="103">
        <f t="shared" si="22"/>
        <v>193.64950000000002</v>
      </c>
      <c r="BN489" s="103">
        <f t="shared" si="23"/>
        <v>3714.5495000000001</v>
      </c>
      <c r="BO489" s="80">
        <v>3714</v>
      </c>
      <c r="BP489" s="77" t="s">
        <v>97</v>
      </c>
      <c r="BQ489" s="77"/>
      <c r="BR489" s="77"/>
      <c r="BS489" s="157">
        <v>2019</v>
      </c>
      <c r="BU489">
        <v>2019</v>
      </c>
    </row>
    <row r="490" spans="1:73" ht="43.15" customHeight="1" x14ac:dyDescent="0.25">
      <c r="A490" s="241" t="s">
        <v>90</v>
      </c>
      <c r="B490" s="241" t="s">
        <v>3400</v>
      </c>
      <c r="C490" s="163">
        <v>800</v>
      </c>
      <c r="D490" s="76">
        <v>43502</v>
      </c>
      <c r="E490" s="76">
        <v>43503</v>
      </c>
      <c r="F490" s="76"/>
      <c r="G490" s="76"/>
      <c r="H490" s="76">
        <v>43515</v>
      </c>
      <c r="I490" s="76">
        <v>43515</v>
      </c>
      <c r="J490" s="76">
        <v>43515</v>
      </c>
      <c r="K490" s="218"/>
      <c r="L490" s="76">
        <v>43706</v>
      </c>
      <c r="M490" s="76">
        <v>43598</v>
      </c>
      <c r="N490" s="76"/>
      <c r="O490" s="76">
        <v>43727</v>
      </c>
      <c r="P490" s="76">
        <v>43727</v>
      </c>
      <c r="Q490" s="76">
        <v>43746</v>
      </c>
      <c r="R490" s="82"/>
      <c r="S490" s="76"/>
      <c r="T490" s="77"/>
      <c r="U490" s="77"/>
      <c r="V490" s="77"/>
      <c r="W490" s="77">
        <v>4</v>
      </c>
      <c r="X490" s="77">
        <v>30078</v>
      </c>
      <c r="Y490" s="75" t="str">
        <f ca="1">IF(I490="",IF(D490="","",IF(W490+X490&lt;15,"Données Nb pers ou RFR manquantes",IF(COUNTA(INDIRECT("TabRFR["&amp;YEAR(D490)&amp;"]"))&lt;&gt;COUNTA(TabRFR[Recherche RFR]),"Data RFR manquantes", IF(X490&lt;=INDEX(TabRFR[[2021]:[2025]],MATCH(BD!W490&amp;"-Très modestes",TabRFR[Recherche RFR],0),MATCH(TEXT(YEAR(BD!D490),"Standard"),TabRFR[[#Headers],[2021]:[2025]],0)),"Très Modeste",IF(X490&lt;=INDEX(TabRFR[[2021]:[2025]],MATCH(BD!W490&amp;"-modestes",TabRFR[Recherche RFR],0),MATCH(TEXT(YEAR(BD!D490),"Standard"),TabRFR[[#Headers],[2021]:[2025]],0)),"Modeste",IF(X490&lt;=INDEX(TabRFR[[2021]:[2025]],MATCH(BD!W490&amp;"-Intermédiaire",TabRFR[Recherche RFR],0),MATCH(TEXT(YEAR(BD!D490),"Standard"),TabRFR[[#Headers],[2021]:[2025]],0)),"Intermédiaire","Supérieur")))))),IF(D490="","",IF(W490+X490&lt;15,"Données Nb pers ou RFR manquantes",IF(COUNTA(INDIRECT("TabRFR["&amp;YEAR(I490)&amp;"]"))&lt;&gt;COUNTA(TabRFR[Recherche RFR]),"Data RFR manquantes", IF(X490&lt;=INDEX(TabRFR[[2021]:[2025]],MATCH(BD!W490&amp;"-Très modestes",TabRFR[Recherche RFR],0),MATCH(TEXT(YEAR(BD!I490),"Standard"),TabRFR[[#Headers],[2021]:[2025]],0)),"Très Modeste",IF(X490&lt;=INDEX(TabRFR[[2021]:[2025]],MATCH(BD!W490&amp;"-modestes",TabRFR[Recherche RFR],0),MATCH(TEXT(YEAR(BD!I490),"Standard"),TabRFR[[#Headers],[2021]:[2025]],0)),"Modeste",IF(X490&lt;=INDEX(TabRFR[[2021]:[2025]],MATCH(BD!W490&amp;"-Intermédiaire",TabRFR[Recherche RFR],0),MATCH(TEXT(YEAR(BD!I490),"Standard"),TabRFR[[#Headers],[2021]:[2025]],0)),"Intermédiaire","Supérieur")))))))</f>
        <v>Data RFR manquantes</v>
      </c>
      <c r="Z490" s="77"/>
      <c r="AA490" s="77" t="s">
        <v>3399</v>
      </c>
      <c r="AB490" s="77">
        <v>38850</v>
      </c>
      <c r="AC490" s="77" t="s">
        <v>438</v>
      </c>
      <c r="AD490" s="78"/>
      <c r="AE490" s="102"/>
      <c r="AF490" s="77" t="s">
        <v>95</v>
      </c>
      <c r="AG490" s="77"/>
      <c r="AH490" s="79">
        <v>42795</v>
      </c>
      <c r="AI490" s="77"/>
      <c r="AJ490" s="77"/>
      <c r="AK490" s="77"/>
      <c r="AL490" s="77"/>
      <c r="AM490" s="77" t="s">
        <v>4357</v>
      </c>
      <c r="AN490" s="77" t="s">
        <v>4109</v>
      </c>
      <c r="AO490" s="77" t="s">
        <v>3339</v>
      </c>
      <c r="AP490" s="77" t="s">
        <v>97</v>
      </c>
      <c r="AQ490" s="77" t="s">
        <v>154</v>
      </c>
      <c r="AR490" s="79">
        <v>43903</v>
      </c>
      <c r="AS490" s="102" t="s">
        <v>156</v>
      </c>
      <c r="AT490" s="78" t="s">
        <v>3398</v>
      </c>
      <c r="AU490" s="77" t="s">
        <v>111</v>
      </c>
      <c r="AV490" s="77">
        <v>1984</v>
      </c>
      <c r="AW490" s="77" t="s">
        <v>100</v>
      </c>
      <c r="AX490" s="77" t="s">
        <v>112</v>
      </c>
      <c r="AY490" s="77" t="s">
        <v>344</v>
      </c>
      <c r="AZ490" s="77" t="s">
        <v>3397</v>
      </c>
      <c r="BA490" s="77">
        <v>31</v>
      </c>
      <c r="BB490" s="77">
        <v>10</v>
      </c>
      <c r="BC490" s="77">
        <v>76</v>
      </c>
      <c r="BD490" s="77">
        <v>0.08</v>
      </c>
      <c r="BE490" s="77" t="s">
        <v>97</v>
      </c>
      <c r="BF490" s="77"/>
      <c r="BG490" s="77">
        <v>1948.19</v>
      </c>
      <c r="BH490" s="77"/>
      <c r="BI490" s="77"/>
      <c r="BJ490" s="77"/>
      <c r="BK490" s="77">
        <v>969.62</v>
      </c>
      <c r="BL490" s="75">
        <f t="shared" si="21"/>
        <v>2917.81</v>
      </c>
      <c r="BM490" s="103">
        <f t="shared" si="22"/>
        <v>160.47954999999999</v>
      </c>
      <c r="BN490" s="103">
        <f t="shared" si="23"/>
        <v>3078.28955</v>
      </c>
      <c r="BO490" s="80"/>
      <c r="BP490" s="77" t="s">
        <v>97</v>
      </c>
      <c r="BQ490" s="77"/>
      <c r="BR490" s="77"/>
      <c r="BS490" s="157">
        <v>2019</v>
      </c>
      <c r="BT490" s="235">
        <v>43770</v>
      </c>
      <c r="BU490">
        <v>2019</v>
      </c>
    </row>
    <row r="491" spans="1:73" ht="43.15" customHeight="1" x14ac:dyDescent="0.25">
      <c r="A491" s="242" t="s">
        <v>90</v>
      </c>
      <c r="B491" s="242" t="s">
        <v>3396</v>
      </c>
      <c r="C491" s="159">
        <v>400</v>
      </c>
      <c r="D491" s="114">
        <v>43503</v>
      </c>
      <c r="E491" s="114">
        <v>43503</v>
      </c>
      <c r="F491" s="114"/>
      <c r="G491" s="114"/>
      <c r="H491" s="114">
        <v>43515</v>
      </c>
      <c r="I491" s="114">
        <v>43515</v>
      </c>
      <c r="J491" s="114">
        <v>43515</v>
      </c>
      <c r="K491" s="114"/>
      <c r="L491" s="114">
        <v>43556</v>
      </c>
      <c r="M491" s="114">
        <v>43531</v>
      </c>
      <c r="N491" s="114" t="s">
        <v>3395</v>
      </c>
      <c r="O491" s="114">
        <v>43579</v>
      </c>
      <c r="P491" s="114">
        <v>43579</v>
      </c>
      <c r="Q491" s="114">
        <v>43602</v>
      </c>
      <c r="R491" s="80"/>
      <c r="S491" s="114"/>
      <c r="T491" s="75"/>
      <c r="U491" s="75"/>
      <c r="V491" s="75"/>
      <c r="W491" s="75">
        <v>3</v>
      </c>
      <c r="X491" s="75">
        <v>37364</v>
      </c>
      <c r="Y491" s="75" t="str">
        <f ca="1">IF(I491="",IF(D491="","",IF(W491+X491&lt;15,"Données Nb pers ou RFR manquantes",IF(COUNTA(INDIRECT("TabRFR["&amp;YEAR(D491)&amp;"]"))&lt;&gt;COUNTA(TabRFR[Recherche RFR]),"Data RFR manquantes", IF(X491&lt;=INDEX(TabRFR[[2021]:[2025]],MATCH(BD!W491&amp;"-Très modestes",TabRFR[Recherche RFR],0),MATCH(TEXT(YEAR(BD!D491),"Standard"),TabRFR[[#Headers],[2021]:[2025]],0)),"Très Modeste",IF(X491&lt;=INDEX(TabRFR[[2021]:[2025]],MATCH(BD!W491&amp;"-modestes",TabRFR[Recherche RFR],0),MATCH(TEXT(YEAR(BD!D491),"Standard"),TabRFR[[#Headers],[2021]:[2025]],0)),"Modeste",IF(X491&lt;=INDEX(TabRFR[[2021]:[2025]],MATCH(BD!W491&amp;"-Intermédiaire",TabRFR[Recherche RFR],0),MATCH(TEXT(YEAR(BD!D491),"Standard"),TabRFR[[#Headers],[2021]:[2025]],0)),"Intermédiaire","Supérieur")))))),IF(D491="","",IF(W491+X491&lt;15,"Données Nb pers ou RFR manquantes",IF(COUNTA(INDIRECT("TabRFR["&amp;YEAR(I491)&amp;"]"))&lt;&gt;COUNTA(TabRFR[Recherche RFR]),"Data RFR manquantes", IF(X491&lt;=INDEX(TabRFR[[2021]:[2025]],MATCH(BD!W491&amp;"-Très modestes",TabRFR[Recherche RFR],0),MATCH(TEXT(YEAR(BD!I491),"Standard"),TabRFR[[#Headers],[2021]:[2025]],0)),"Très Modeste",IF(X491&lt;=INDEX(TabRFR[[2021]:[2025]],MATCH(BD!W491&amp;"-modestes",TabRFR[Recherche RFR],0),MATCH(TEXT(YEAR(BD!I491),"Standard"),TabRFR[[#Headers],[2021]:[2025]],0)),"Modeste",IF(X491&lt;=INDEX(TabRFR[[2021]:[2025]],MATCH(BD!W491&amp;"-Intermédiaire",TabRFR[Recherche RFR],0),MATCH(TEXT(YEAR(BD!I491),"Standard"),TabRFR[[#Headers],[2021]:[2025]],0)),"Intermédiaire","Supérieur")))))))</f>
        <v>Data RFR manquantes</v>
      </c>
      <c r="Z491" s="75"/>
      <c r="AA491" s="75" t="s">
        <v>3394</v>
      </c>
      <c r="AB491" s="75">
        <v>38500</v>
      </c>
      <c r="AC491" s="75" t="s">
        <v>96</v>
      </c>
      <c r="AD491" s="73"/>
      <c r="AE491" s="102"/>
      <c r="AF491" s="75" t="s">
        <v>95</v>
      </c>
      <c r="AG491" s="75"/>
      <c r="AH491" s="130">
        <v>43475</v>
      </c>
      <c r="AI491" s="130"/>
      <c r="AJ491" s="75"/>
      <c r="AK491" s="75"/>
      <c r="AL491" s="75"/>
      <c r="AM491" s="75" t="s">
        <v>3973</v>
      </c>
      <c r="AN491" s="75" t="s">
        <v>96</v>
      </c>
      <c r="AO491" s="75" t="s">
        <v>9</v>
      </c>
      <c r="AP491" s="75" t="s">
        <v>97</v>
      </c>
      <c r="AQ491" s="75"/>
      <c r="AR491" s="74">
        <v>43726</v>
      </c>
      <c r="AS491" s="102" t="s">
        <v>141</v>
      </c>
      <c r="AT491" s="73" t="s">
        <v>820</v>
      </c>
      <c r="AU491" s="75" t="s">
        <v>100</v>
      </c>
      <c r="AV491" s="75">
        <v>2005</v>
      </c>
      <c r="AW491" s="75" t="s">
        <v>100</v>
      </c>
      <c r="AX491" s="75" t="s">
        <v>112</v>
      </c>
      <c r="AY491" s="75" t="s">
        <v>3222</v>
      </c>
      <c r="AZ491" s="75" t="s">
        <v>3393</v>
      </c>
      <c r="BA491" s="75">
        <v>24</v>
      </c>
      <c r="BB491" s="75">
        <v>7.5</v>
      </c>
      <c r="BC491" s="75">
        <v>81</v>
      </c>
      <c r="BD491" s="75">
        <v>7.0000000000000007E-2</v>
      </c>
      <c r="BE491" s="75" t="s">
        <v>97</v>
      </c>
      <c r="BF491" s="75"/>
      <c r="BG491" s="75">
        <v>2305</v>
      </c>
      <c r="BH491" s="75"/>
      <c r="BI491" s="75"/>
      <c r="BJ491" s="75"/>
      <c r="BK491" s="75">
        <v>690</v>
      </c>
      <c r="BL491" s="75">
        <f t="shared" si="21"/>
        <v>2995</v>
      </c>
      <c r="BM491" s="103">
        <f t="shared" si="22"/>
        <v>164.72499999999999</v>
      </c>
      <c r="BN491" s="103">
        <f t="shared" si="23"/>
        <v>3159.7249999999999</v>
      </c>
      <c r="BO491" s="103"/>
      <c r="BP491" s="75" t="s">
        <v>97</v>
      </c>
      <c r="BQ491" s="75"/>
      <c r="BR491" s="75"/>
      <c r="BS491" s="157">
        <v>2019</v>
      </c>
      <c r="BT491" s="235">
        <v>43770</v>
      </c>
      <c r="BU491">
        <v>2019</v>
      </c>
    </row>
    <row r="492" spans="1:73" ht="43.15" customHeight="1" x14ac:dyDescent="0.25">
      <c r="A492" s="241" t="s">
        <v>90</v>
      </c>
      <c r="B492" s="241" t="s">
        <v>3392</v>
      </c>
      <c r="C492" s="159">
        <v>400</v>
      </c>
      <c r="D492" s="76">
        <v>43504</v>
      </c>
      <c r="E492" s="76">
        <v>43507</v>
      </c>
      <c r="F492" s="76">
        <v>43515</v>
      </c>
      <c r="G492" s="76" t="s">
        <v>3391</v>
      </c>
      <c r="H492" s="76">
        <v>43532</v>
      </c>
      <c r="I492" s="76">
        <v>43532</v>
      </c>
      <c r="J492" s="76">
        <v>43537</v>
      </c>
      <c r="K492" s="218"/>
      <c r="L492" s="76">
        <v>43636</v>
      </c>
      <c r="M492" s="76">
        <v>43613</v>
      </c>
      <c r="N492" s="76" t="s">
        <v>3659</v>
      </c>
      <c r="O492" s="76">
        <v>43663</v>
      </c>
      <c r="P492" s="76">
        <v>43663</v>
      </c>
      <c r="Q492" s="76">
        <v>43671</v>
      </c>
      <c r="R492" s="82"/>
      <c r="S492" s="76"/>
      <c r="T492" s="77"/>
      <c r="U492" s="77"/>
      <c r="V492" s="77"/>
      <c r="W492" s="77">
        <v>6</v>
      </c>
      <c r="X492" s="77">
        <v>80978</v>
      </c>
      <c r="Y492" s="75" t="str">
        <f ca="1">IF(I492="",IF(D492="","",IF(W492+X492&lt;15,"Données Nb pers ou RFR manquantes",IF(COUNTA(INDIRECT("TabRFR["&amp;YEAR(D492)&amp;"]"))&lt;&gt;COUNTA(TabRFR[Recherche RFR]),"Data RFR manquantes", IF(X492&lt;=INDEX(TabRFR[[2021]:[2025]],MATCH(BD!W492&amp;"-Très modestes",TabRFR[Recherche RFR],0),MATCH(TEXT(YEAR(BD!D492),"Standard"),TabRFR[[#Headers],[2021]:[2025]],0)),"Très Modeste",IF(X492&lt;=INDEX(TabRFR[[2021]:[2025]],MATCH(BD!W492&amp;"-modestes",TabRFR[Recherche RFR],0),MATCH(TEXT(YEAR(BD!D492),"Standard"),TabRFR[[#Headers],[2021]:[2025]],0)),"Modeste",IF(X492&lt;=INDEX(TabRFR[[2021]:[2025]],MATCH(BD!W492&amp;"-Intermédiaire",TabRFR[Recherche RFR],0),MATCH(TEXT(YEAR(BD!D492),"Standard"),TabRFR[[#Headers],[2021]:[2025]],0)),"Intermédiaire","Supérieur")))))),IF(D492="","",IF(W492+X492&lt;15,"Données Nb pers ou RFR manquantes",IF(COUNTA(INDIRECT("TabRFR["&amp;YEAR(I492)&amp;"]"))&lt;&gt;COUNTA(TabRFR[Recherche RFR]),"Data RFR manquantes", IF(X492&lt;=INDEX(TabRFR[[2021]:[2025]],MATCH(BD!W492&amp;"-Très modestes",TabRFR[Recherche RFR],0),MATCH(TEXT(YEAR(BD!I492),"Standard"),TabRFR[[#Headers],[2021]:[2025]],0)),"Très Modeste",IF(X492&lt;=INDEX(TabRFR[[2021]:[2025]],MATCH(BD!W492&amp;"-modestes",TabRFR[Recherche RFR],0),MATCH(TEXT(YEAR(BD!I492),"Standard"),TabRFR[[#Headers],[2021]:[2025]],0)),"Modeste",IF(X492&lt;=INDEX(TabRFR[[2021]:[2025]],MATCH(BD!W492&amp;"-Intermédiaire",TabRFR[Recherche RFR],0),MATCH(TEXT(YEAR(BD!I492),"Standard"),TabRFR[[#Headers],[2021]:[2025]],0)),"Intermédiaire","Supérieur")))))))</f>
        <v>Data RFR manquantes</v>
      </c>
      <c r="Z492" s="77"/>
      <c r="AA492" s="77" t="s">
        <v>3390</v>
      </c>
      <c r="AB492" s="77">
        <v>38850</v>
      </c>
      <c r="AC492" s="77" t="s">
        <v>242</v>
      </c>
      <c r="AD492" s="78"/>
      <c r="AE492" s="102"/>
      <c r="AF492" s="77" t="s">
        <v>95</v>
      </c>
      <c r="AG492" s="77"/>
      <c r="AH492" s="77"/>
      <c r="AI492" s="77"/>
      <c r="AJ492" s="77"/>
      <c r="AK492" s="77"/>
      <c r="AL492" s="77"/>
      <c r="AM492" s="77" t="s">
        <v>1886</v>
      </c>
      <c r="AN492" s="77" t="s">
        <v>195</v>
      </c>
      <c r="AO492" s="77" t="s">
        <v>196</v>
      </c>
      <c r="AP492" s="77" t="s">
        <v>97</v>
      </c>
      <c r="AQ492" s="77"/>
      <c r="AR492" s="132">
        <v>43674</v>
      </c>
      <c r="AS492" s="102" t="s">
        <v>516</v>
      </c>
      <c r="AT492" s="78" t="s">
        <v>776</v>
      </c>
      <c r="AU492" s="77" t="s">
        <v>111</v>
      </c>
      <c r="AV492" s="77">
        <v>1989</v>
      </c>
      <c r="AW492" s="77" t="s">
        <v>100</v>
      </c>
      <c r="AX492" s="77" t="s">
        <v>112</v>
      </c>
      <c r="AY492" s="77" t="s">
        <v>440</v>
      </c>
      <c r="AZ492" s="77" t="s">
        <v>3389</v>
      </c>
      <c r="BA492" s="77">
        <v>36</v>
      </c>
      <c r="BB492" s="77">
        <v>15.6</v>
      </c>
      <c r="BC492" s="77">
        <v>78</v>
      </c>
      <c r="BD492" s="77">
        <v>7.0000000000000001E-3</v>
      </c>
      <c r="BE492" s="77" t="s">
        <v>97</v>
      </c>
      <c r="BF492" s="77"/>
      <c r="BG492" s="77">
        <v>5040</v>
      </c>
      <c r="BH492" s="77"/>
      <c r="BI492" s="77"/>
      <c r="BJ492" s="77"/>
      <c r="BK492" s="77">
        <v>640</v>
      </c>
      <c r="BL492" s="75">
        <f t="shared" si="21"/>
        <v>5680</v>
      </c>
      <c r="BM492" s="103">
        <f t="shared" si="22"/>
        <v>312.39999999999998</v>
      </c>
      <c r="BN492" s="103">
        <f t="shared" si="23"/>
        <v>5992.4</v>
      </c>
      <c r="BO492" s="80"/>
      <c r="BP492" s="77" t="s">
        <v>104</v>
      </c>
      <c r="BQ492" s="77"/>
      <c r="BR492" s="77"/>
      <c r="BS492" s="157">
        <v>2019</v>
      </c>
      <c r="BT492" s="235">
        <v>43770</v>
      </c>
      <c r="BU492">
        <v>2019</v>
      </c>
    </row>
    <row r="493" spans="1:73" ht="43.15" customHeight="1" x14ac:dyDescent="0.25">
      <c r="A493" s="241" t="s">
        <v>90</v>
      </c>
      <c r="B493" s="241" t="s">
        <v>3388</v>
      </c>
      <c r="C493" s="159">
        <v>400</v>
      </c>
      <c r="D493" s="76">
        <v>43507</v>
      </c>
      <c r="E493" s="76">
        <v>43507</v>
      </c>
      <c r="F493" s="76"/>
      <c r="G493" s="146" t="s">
        <v>3387</v>
      </c>
      <c r="H493" s="76">
        <v>43515</v>
      </c>
      <c r="I493" s="76">
        <v>43515</v>
      </c>
      <c r="J493" s="76">
        <v>43515</v>
      </c>
      <c r="K493" s="218"/>
      <c r="L493" s="76">
        <v>43536</v>
      </c>
      <c r="M493" s="76">
        <v>43532</v>
      </c>
      <c r="N493" s="76"/>
      <c r="O493" s="76" t="s">
        <v>3386</v>
      </c>
      <c r="P493" s="76">
        <v>43552</v>
      </c>
      <c r="Q493" s="76">
        <v>43572</v>
      </c>
      <c r="R493" s="82"/>
      <c r="S493" s="76"/>
      <c r="T493" s="77"/>
      <c r="U493" s="77"/>
      <c r="V493" s="77"/>
      <c r="W493" s="77">
        <v>4</v>
      </c>
      <c r="X493" s="77">
        <v>170322</v>
      </c>
      <c r="Y493" s="75" t="str">
        <f ca="1">IF(I493="",IF(D493="","",IF(W493+X493&lt;15,"Données Nb pers ou RFR manquantes",IF(COUNTA(INDIRECT("TabRFR["&amp;YEAR(D493)&amp;"]"))&lt;&gt;COUNTA(TabRFR[Recherche RFR]),"Data RFR manquantes", IF(X493&lt;=INDEX(TabRFR[[2021]:[2025]],MATCH(BD!W493&amp;"-Très modestes",TabRFR[Recherche RFR],0),MATCH(TEXT(YEAR(BD!D493),"Standard"),TabRFR[[#Headers],[2021]:[2025]],0)),"Très Modeste",IF(X493&lt;=INDEX(TabRFR[[2021]:[2025]],MATCH(BD!W493&amp;"-modestes",TabRFR[Recherche RFR],0),MATCH(TEXT(YEAR(BD!D493),"Standard"),TabRFR[[#Headers],[2021]:[2025]],0)),"Modeste",IF(X493&lt;=INDEX(TabRFR[[2021]:[2025]],MATCH(BD!W493&amp;"-Intermédiaire",TabRFR[Recherche RFR],0),MATCH(TEXT(YEAR(BD!D493),"Standard"),TabRFR[[#Headers],[2021]:[2025]],0)),"Intermédiaire","Supérieur")))))),IF(D493="","",IF(W493+X493&lt;15,"Données Nb pers ou RFR manquantes",IF(COUNTA(INDIRECT("TabRFR["&amp;YEAR(I493)&amp;"]"))&lt;&gt;COUNTA(TabRFR[Recherche RFR]),"Data RFR manquantes", IF(X493&lt;=INDEX(TabRFR[[2021]:[2025]],MATCH(BD!W493&amp;"-Très modestes",TabRFR[Recherche RFR],0),MATCH(TEXT(YEAR(BD!I493),"Standard"),TabRFR[[#Headers],[2021]:[2025]],0)),"Très Modeste",IF(X493&lt;=INDEX(TabRFR[[2021]:[2025]],MATCH(BD!W493&amp;"-modestes",TabRFR[Recherche RFR],0),MATCH(TEXT(YEAR(BD!I493),"Standard"),TabRFR[[#Headers],[2021]:[2025]],0)),"Modeste",IF(X493&lt;=INDEX(TabRFR[[2021]:[2025]],MATCH(BD!W493&amp;"-Intermédiaire",TabRFR[Recherche RFR],0),MATCH(TEXT(YEAR(BD!I493),"Standard"),TabRFR[[#Headers],[2021]:[2025]],0)),"Intermédiaire","Supérieur")))))))</f>
        <v>Data RFR manquantes</v>
      </c>
      <c r="Z493" s="77"/>
      <c r="AA493" s="77" t="s">
        <v>3385</v>
      </c>
      <c r="AB493" s="77">
        <v>38210</v>
      </c>
      <c r="AC493" s="77" t="s">
        <v>445</v>
      </c>
      <c r="AD493" s="78"/>
      <c r="AE493" s="102"/>
      <c r="AF493" s="77" t="s">
        <v>95</v>
      </c>
      <c r="AG493" s="77"/>
      <c r="AH493" s="145">
        <v>37469</v>
      </c>
      <c r="AI493" s="77"/>
      <c r="AJ493" s="77"/>
      <c r="AK493" s="77"/>
      <c r="AL493" s="77"/>
      <c r="AM493" s="77" t="s">
        <v>218</v>
      </c>
      <c r="AN493" s="77" t="s">
        <v>217</v>
      </c>
      <c r="AO493" s="77" t="s">
        <v>219</v>
      </c>
      <c r="AP493" s="77" t="s">
        <v>97</v>
      </c>
      <c r="AQ493" s="77"/>
      <c r="AR493" s="79">
        <v>43764</v>
      </c>
      <c r="AS493" s="102" t="s">
        <v>220</v>
      </c>
      <c r="AT493" s="78" t="s">
        <v>620</v>
      </c>
      <c r="AU493" s="77" t="s">
        <v>111</v>
      </c>
      <c r="AV493" s="77">
        <v>1976</v>
      </c>
      <c r="AW493" s="77" t="s">
        <v>111</v>
      </c>
      <c r="AX493" s="77" t="s">
        <v>112</v>
      </c>
      <c r="AY493" s="77" t="s">
        <v>878</v>
      </c>
      <c r="AZ493" s="77" t="s">
        <v>3384</v>
      </c>
      <c r="BA493" s="77">
        <v>34</v>
      </c>
      <c r="BB493" s="77">
        <v>13</v>
      </c>
      <c r="BC493" s="77">
        <v>81.2</v>
      </c>
      <c r="BD493" s="77">
        <v>0.04</v>
      </c>
      <c r="BE493" s="77" t="s">
        <v>97</v>
      </c>
      <c r="BF493" s="77"/>
      <c r="BG493" s="77">
        <v>3173</v>
      </c>
      <c r="BH493" s="77"/>
      <c r="BI493" s="77"/>
      <c r="BJ493" s="77"/>
      <c r="BK493" s="77">
        <v>1150</v>
      </c>
      <c r="BL493" s="75">
        <f t="shared" si="21"/>
        <v>4323</v>
      </c>
      <c r="BM493" s="103">
        <f t="shared" si="22"/>
        <v>237.76500000000001</v>
      </c>
      <c r="BN493" s="103">
        <f t="shared" si="23"/>
        <v>4560.7650000000003</v>
      </c>
      <c r="BO493" s="80">
        <f>BN493</f>
        <v>4560.7650000000003</v>
      </c>
      <c r="BP493" s="77" t="s">
        <v>97</v>
      </c>
      <c r="BQ493" s="77"/>
      <c r="BR493" s="77"/>
      <c r="BS493" s="157">
        <v>2019</v>
      </c>
      <c r="BT493" s="235">
        <v>43770</v>
      </c>
      <c r="BU493">
        <v>2019</v>
      </c>
    </row>
    <row r="494" spans="1:73" ht="43.15" customHeight="1" x14ac:dyDescent="0.25">
      <c r="A494" s="31" t="s">
        <v>90</v>
      </c>
      <c r="B494" s="31" t="s">
        <v>3383</v>
      </c>
      <c r="C494" s="163" t="s">
        <v>9</v>
      </c>
      <c r="D494" s="76">
        <v>43509</v>
      </c>
      <c r="E494" s="76">
        <v>43514</v>
      </c>
      <c r="F494" s="76">
        <v>43537</v>
      </c>
      <c r="G494" s="83" t="s">
        <v>3738</v>
      </c>
      <c r="H494" s="76"/>
      <c r="I494" s="76"/>
      <c r="J494" s="76"/>
      <c r="K494" s="218"/>
      <c r="L494" s="76"/>
      <c r="M494" s="76"/>
      <c r="N494" s="76"/>
      <c r="O494" s="76"/>
      <c r="P494" s="76"/>
      <c r="Q494" s="76"/>
      <c r="R494" s="82"/>
      <c r="S494" s="76">
        <v>43721</v>
      </c>
      <c r="T494" s="77" t="s">
        <v>3786</v>
      </c>
      <c r="U494" s="77"/>
      <c r="V494" s="77"/>
      <c r="W494" s="77">
        <v>2</v>
      </c>
      <c r="X494" s="77">
        <v>32390</v>
      </c>
      <c r="Y494" s="75" t="str">
        <f ca="1">IF(I494="",IF(D494="","",IF(W494+X494&lt;15,"Données Nb pers ou RFR manquantes",IF(COUNTA(INDIRECT("TabRFR["&amp;YEAR(D494)&amp;"]"))&lt;&gt;COUNTA(TabRFR[Recherche RFR]),"Data RFR manquantes", IF(X494&lt;=INDEX(TabRFR[[2021]:[2025]],MATCH(BD!W494&amp;"-Très modestes",TabRFR[Recherche RFR],0),MATCH(TEXT(YEAR(BD!D494),"Standard"),TabRFR[[#Headers],[2021]:[2025]],0)),"Très Modeste",IF(X494&lt;=INDEX(TabRFR[[2021]:[2025]],MATCH(BD!W494&amp;"-modestes",TabRFR[Recherche RFR],0),MATCH(TEXT(YEAR(BD!D494),"Standard"),TabRFR[[#Headers],[2021]:[2025]],0)),"Modeste",IF(X494&lt;=INDEX(TabRFR[[2021]:[2025]],MATCH(BD!W494&amp;"-Intermédiaire",TabRFR[Recherche RFR],0),MATCH(TEXT(YEAR(BD!D494),"Standard"),TabRFR[[#Headers],[2021]:[2025]],0)),"Intermédiaire","Supérieur")))))),IF(D494="","",IF(W494+X494&lt;15,"Données Nb pers ou RFR manquantes",IF(COUNTA(INDIRECT("TabRFR["&amp;YEAR(I494)&amp;"]"))&lt;&gt;COUNTA(TabRFR[Recherche RFR]),"Data RFR manquantes", IF(X494&lt;=INDEX(TabRFR[[2021]:[2025]],MATCH(BD!W494&amp;"-Très modestes",TabRFR[Recherche RFR],0),MATCH(TEXT(YEAR(BD!I494),"Standard"),TabRFR[[#Headers],[2021]:[2025]],0)),"Très Modeste",IF(X494&lt;=INDEX(TabRFR[[2021]:[2025]],MATCH(BD!W494&amp;"-modestes",TabRFR[Recherche RFR],0),MATCH(TEXT(YEAR(BD!I494),"Standard"),TabRFR[[#Headers],[2021]:[2025]],0)),"Modeste",IF(X494&lt;=INDEX(TabRFR[[2021]:[2025]],MATCH(BD!W494&amp;"-Intermédiaire",TabRFR[Recherche RFR],0),MATCH(TEXT(YEAR(BD!I494),"Standard"),TabRFR[[#Headers],[2021]:[2025]],0)),"Intermédiaire","Supérieur")))))))</f>
        <v>Data RFR manquantes</v>
      </c>
      <c r="Z494" s="77"/>
      <c r="AA494" s="77" t="s">
        <v>3382</v>
      </c>
      <c r="AB494" s="77">
        <v>38850</v>
      </c>
      <c r="AC494" s="77" t="s">
        <v>438</v>
      </c>
      <c r="AD494" s="78"/>
      <c r="AE494" s="102"/>
      <c r="AF494" s="77" t="s">
        <v>95</v>
      </c>
      <c r="AG494" s="77"/>
      <c r="AH494" s="79">
        <v>43468</v>
      </c>
      <c r="AI494" s="77"/>
      <c r="AJ494" s="77"/>
      <c r="AK494" s="77"/>
      <c r="AL494" s="77"/>
      <c r="AM494" s="77" t="s">
        <v>4406</v>
      </c>
      <c r="AN494" s="77" t="s">
        <v>170</v>
      </c>
      <c r="AO494" s="77" t="s">
        <v>3381</v>
      </c>
      <c r="AP494" s="84" t="s">
        <v>104</v>
      </c>
      <c r="AQ494" s="77"/>
      <c r="AR494" s="79"/>
      <c r="AS494" s="102" t="s">
        <v>3380</v>
      </c>
      <c r="AT494" s="78" t="s">
        <v>3379</v>
      </c>
      <c r="AU494" s="77" t="s">
        <v>430</v>
      </c>
      <c r="AV494" s="77">
        <v>1981</v>
      </c>
      <c r="AW494" s="77" t="s">
        <v>100</v>
      </c>
      <c r="AX494" s="75" t="s">
        <v>2071</v>
      </c>
      <c r="AY494" s="77" t="s">
        <v>3378</v>
      </c>
      <c r="AZ494" s="77" t="s">
        <v>3377</v>
      </c>
      <c r="BA494" s="77">
        <v>14.3</v>
      </c>
      <c r="BB494" s="77">
        <v>8.1999999999999993</v>
      </c>
      <c r="BC494" s="77">
        <v>91.1</v>
      </c>
      <c r="BD494" s="77">
        <v>1.0999999999999999E-2</v>
      </c>
      <c r="BE494" s="77" t="s">
        <v>374</v>
      </c>
      <c r="BF494" s="77"/>
      <c r="BG494" s="77">
        <v>5109</v>
      </c>
      <c r="BH494" s="77"/>
      <c r="BI494" s="77"/>
      <c r="BJ494" s="77"/>
      <c r="BK494" s="77">
        <v>450</v>
      </c>
      <c r="BL494" s="75">
        <f t="shared" si="21"/>
        <v>5559</v>
      </c>
      <c r="BM494" s="103">
        <f t="shared" si="22"/>
        <v>305.745</v>
      </c>
      <c r="BN494" s="103">
        <f t="shared" si="23"/>
        <v>5864.7449999999999</v>
      </c>
      <c r="BO494" s="80"/>
      <c r="BP494" s="77" t="s">
        <v>97</v>
      </c>
      <c r="BQ494" s="77"/>
      <c r="BR494" s="77"/>
      <c r="BS494" s="157">
        <v>2019</v>
      </c>
      <c r="BU494" t="s">
        <v>4180</v>
      </c>
    </row>
    <row r="495" spans="1:73" ht="43.15" customHeight="1" x14ac:dyDescent="0.25">
      <c r="A495" s="241" t="s">
        <v>90</v>
      </c>
      <c r="B495" s="241" t="s">
        <v>3376</v>
      </c>
      <c r="C495" s="159">
        <v>800</v>
      </c>
      <c r="D495" s="76">
        <v>43523</v>
      </c>
      <c r="E495" s="76">
        <v>43523</v>
      </c>
      <c r="F495" s="76">
        <v>43537</v>
      </c>
      <c r="G495" s="83" t="s">
        <v>3375</v>
      </c>
      <c r="H495" s="76">
        <v>43550</v>
      </c>
      <c r="I495" s="76">
        <v>43550</v>
      </c>
      <c r="J495" s="76">
        <v>43551</v>
      </c>
      <c r="K495" s="218"/>
      <c r="L495" s="76">
        <v>43619</v>
      </c>
      <c r="M495" s="76">
        <v>43553</v>
      </c>
      <c r="N495" s="76" t="s">
        <v>9</v>
      </c>
      <c r="O495" s="76">
        <v>43643</v>
      </c>
      <c r="P495" s="76">
        <v>43643</v>
      </c>
      <c r="Q495" s="76">
        <v>43671</v>
      </c>
      <c r="R495" s="82"/>
      <c r="S495" s="76"/>
      <c r="T495" s="77"/>
      <c r="U495" s="77"/>
      <c r="V495" s="77"/>
      <c r="W495" s="77">
        <v>2</v>
      </c>
      <c r="X495" s="77">
        <f>23094+3501</f>
        <v>26595</v>
      </c>
      <c r="Y495" s="75" t="str">
        <f ca="1">IF(I495="",IF(D495="","",IF(W495+X495&lt;15,"Données Nb pers ou RFR manquantes",IF(COUNTA(INDIRECT("TabRFR["&amp;YEAR(D495)&amp;"]"))&lt;&gt;COUNTA(TabRFR[Recherche RFR]),"Data RFR manquantes", IF(X495&lt;=INDEX(TabRFR[[2021]:[2025]],MATCH(BD!W495&amp;"-Très modestes",TabRFR[Recherche RFR],0),MATCH(TEXT(YEAR(BD!D495),"Standard"),TabRFR[[#Headers],[2021]:[2025]],0)),"Très Modeste",IF(X495&lt;=INDEX(TabRFR[[2021]:[2025]],MATCH(BD!W495&amp;"-modestes",TabRFR[Recherche RFR],0),MATCH(TEXT(YEAR(BD!D495),"Standard"),TabRFR[[#Headers],[2021]:[2025]],0)),"Modeste",IF(X495&lt;=INDEX(TabRFR[[2021]:[2025]],MATCH(BD!W495&amp;"-Intermédiaire",TabRFR[Recherche RFR],0),MATCH(TEXT(YEAR(BD!D495),"Standard"),TabRFR[[#Headers],[2021]:[2025]],0)),"Intermédiaire","Supérieur")))))),IF(D495="","",IF(W495+X495&lt;15,"Données Nb pers ou RFR manquantes",IF(COUNTA(INDIRECT("TabRFR["&amp;YEAR(I495)&amp;"]"))&lt;&gt;COUNTA(TabRFR[Recherche RFR]),"Data RFR manquantes", IF(X495&lt;=INDEX(TabRFR[[2021]:[2025]],MATCH(BD!W495&amp;"-Très modestes",TabRFR[Recherche RFR],0),MATCH(TEXT(YEAR(BD!I495),"Standard"),TabRFR[[#Headers],[2021]:[2025]],0)),"Très Modeste",IF(X495&lt;=INDEX(TabRFR[[2021]:[2025]],MATCH(BD!W495&amp;"-modestes",TabRFR[Recherche RFR],0),MATCH(TEXT(YEAR(BD!I495),"Standard"),TabRFR[[#Headers],[2021]:[2025]],0)),"Modeste",IF(X495&lt;=INDEX(TabRFR[[2021]:[2025]],MATCH(BD!W495&amp;"-Intermédiaire",TabRFR[Recherche RFR],0),MATCH(TEXT(YEAR(BD!I495),"Standard"),TabRFR[[#Headers],[2021]:[2025]],0)),"Intermédiaire","Supérieur")))))))</f>
        <v>Data RFR manquantes</v>
      </c>
      <c r="Z495" s="77"/>
      <c r="AA495" s="77" t="s">
        <v>3374</v>
      </c>
      <c r="AB495" s="77">
        <v>38620</v>
      </c>
      <c r="AC495" s="77" t="s">
        <v>857</v>
      </c>
      <c r="AD495" s="78"/>
      <c r="AE495" s="102"/>
      <c r="AF495" s="77" t="s">
        <v>95</v>
      </c>
      <c r="AG495" s="77"/>
      <c r="AH495" s="77"/>
      <c r="AI495" s="77"/>
      <c r="AJ495" s="77"/>
      <c r="AK495" s="77"/>
      <c r="AL495" s="77"/>
      <c r="AM495" s="77" t="s">
        <v>4258</v>
      </c>
      <c r="AN495" s="77" t="s">
        <v>451</v>
      </c>
      <c r="AO495" s="77" t="s">
        <v>9</v>
      </c>
      <c r="AP495" s="77" t="s">
        <v>97</v>
      </c>
      <c r="AQ495" s="77"/>
      <c r="AR495" s="79">
        <v>43678</v>
      </c>
      <c r="AS495" s="102" t="s">
        <v>698</v>
      </c>
      <c r="AT495" s="78" t="s">
        <v>699</v>
      </c>
      <c r="AU495" s="77" t="s">
        <v>430</v>
      </c>
      <c r="AV495" s="77">
        <v>1972</v>
      </c>
      <c r="AW495" s="77" t="s">
        <v>100</v>
      </c>
      <c r="AX495" s="77" t="s">
        <v>112</v>
      </c>
      <c r="AY495" s="77" t="s">
        <v>1695</v>
      </c>
      <c r="AZ495" s="77" t="s">
        <v>3373</v>
      </c>
      <c r="BA495" s="77">
        <v>40</v>
      </c>
      <c r="BB495" s="77">
        <v>8.6999999999999993</v>
      </c>
      <c r="BC495" s="77">
        <v>75</v>
      </c>
      <c r="BD495" s="77">
        <v>0.08</v>
      </c>
      <c r="BE495" s="77" t="s">
        <v>97</v>
      </c>
      <c r="BF495" s="77"/>
      <c r="BG495" s="77">
        <v>2471</v>
      </c>
      <c r="BH495" s="77"/>
      <c r="BI495" s="77"/>
      <c r="BJ495" s="77"/>
      <c r="BK495" s="77">
        <v>1280</v>
      </c>
      <c r="BL495" s="75">
        <f t="shared" si="21"/>
        <v>3751</v>
      </c>
      <c r="BM495" s="103">
        <f t="shared" si="22"/>
        <v>206.30500000000001</v>
      </c>
      <c r="BN495" s="103">
        <f t="shared" si="23"/>
        <v>3957.3049999999998</v>
      </c>
      <c r="BO495" s="80"/>
      <c r="BP495" s="77" t="s">
        <v>97</v>
      </c>
      <c r="BQ495" s="77"/>
      <c r="BR495" s="77"/>
      <c r="BS495" s="157">
        <v>2019</v>
      </c>
      <c r="BT495" s="235">
        <v>43770</v>
      </c>
      <c r="BU495">
        <v>2019</v>
      </c>
    </row>
    <row r="496" spans="1:73" ht="43.15" customHeight="1" x14ac:dyDescent="0.25">
      <c r="A496" s="241" t="s">
        <v>90</v>
      </c>
      <c r="B496" s="241" t="s">
        <v>3372</v>
      </c>
      <c r="C496" s="159">
        <v>800</v>
      </c>
      <c r="D496" s="76">
        <v>43528</v>
      </c>
      <c r="E496" s="76">
        <v>43528</v>
      </c>
      <c r="F496" s="76">
        <v>43537</v>
      </c>
      <c r="G496" s="83" t="s">
        <v>3371</v>
      </c>
      <c r="H496" s="76">
        <v>43594</v>
      </c>
      <c r="I496" s="76">
        <v>43594</v>
      </c>
      <c r="J496" s="76">
        <v>43605</v>
      </c>
      <c r="K496" s="218"/>
      <c r="L496" s="76">
        <v>43658</v>
      </c>
      <c r="M496" s="76">
        <v>43620</v>
      </c>
      <c r="N496" s="76"/>
      <c r="O496" s="76">
        <v>43663</v>
      </c>
      <c r="P496" s="76">
        <v>43663</v>
      </c>
      <c r="Q496" s="76">
        <v>43671</v>
      </c>
      <c r="R496" s="82"/>
      <c r="S496" s="76"/>
      <c r="T496" s="77"/>
      <c r="U496" s="77"/>
      <c r="V496" s="77"/>
      <c r="W496" s="77">
        <v>1</v>
      </c>
      <c r="X496" s="77">
        <v>13901</v>
      </c>
      <c r="Y496" s="75" t="str">
        <f ca="1">IF(I496="",IF(D496="","",IF(W496+X496&lt;15,"Données Nb pers ou RFR manquantes",IF(COUNTA(INDIRECT("TabRFR["&amp;YEAR(D496)&amp;"]"))&lt;&gt;COUNTA(TabRFR[Recherche RFR]),"Data RFR manquantes", IF(X496&lt;=INDEX(TabRFR[[2021]:[2025]],MATCH(BD!W496&amp;"-Très modestes",TabRFR[Recherche RFR],0),MATCH(TEXT(YEAR(BD!D496),"Standard"),TabRFR[[#Headers],[2021]:[2025]],0)),"Très Modeste",IF(X496&lt;=INDEX(TabRFR[[2021]:[2025]],MATCH(BD!W496&amp;"-modestes",TabRFR[Recherche RFR],0),MATCH(TEXT(YEAR(BD!D496),"Standard"),TabRFR[[#Headers],[2021]:[2025]],0)),"Modeste",IF(X496&lt;=INDEX(TabRFR[[2021]:[2025]],MATCH(BD!W496&amp;"-Intermédiaire",TabRFR[Recherche RFR],0),MATCH(TEXT(YEAR(BD!D496),"Standard"),TabRFR[[#Headers],[2021]:[2025]],0)),"Intermédiaire","Supérieur")))))),IF(D496="","",IF(W496+X496&lt;15,"Données Nb pers ou RFR manquantes",IF(COUNTA(INDIRECT("TabRFR["&amp;YEAR(I496)&amp;"]"))&lt;&gt;COUNTA(TabRFR[Recherche RFR]),"Data RFR manquantes", IF(X496&lt;=INDEX(TabRFR[[2021]:[2025]],MATCH(BD!W496&amp;"-Très modestes",TabRFR[Recherche RFR],0),MATCH(TEXT(YEAR(BD!I496),"Standard"),TabRFR[[#Headers],[2021]:[2025]],0)),"Très Modeste",IF(X496&lt;=INDEX(TabRFR[[2021]:[2025]],MATCH(BD!W496&amp;"-modestes",TabRFR[Recherche RFR],0),MATCH(TEXT(YEAR(BD!I496),"Standard"),TabRFR[[#Headers],[2021]:[2025]],0)),"Modeste",IF(X496&lt;=INDEX(TabRFR[[2021]:[2025]],MATCH(BD!W496&amp;"-Intermédiaire",TabRFR[Recherche RFR],0),MATCH(TEXT(YEAR(BD!I496),"Standard"),TabRFR[[#Headers],[2021]:[2025]],0)),"Intermédiaire","Supérieur")))))))</f>
        <v>Data RFR manquantes</v>
      </c>
      <c r="Z496" s="77"/>
      <c r="AA496" s="77" t="s">
        <v>3370</v>
      </c>
      <c r="AB496" s="77">
        <v>38210</v>
      </c>
      <c r="AC496" s="77" t="s">
        <v>195</v>
      </c>
      <c r="AD496" s="78"/>
      <c r="AE496" s="102"/>
      <c r="AF496" s="77" t="s">
        <v>95</v>
      </c>
      <c r="AG496" s="77"/>
      <c r="AH496" s="77"/>
      <c r="AI496" s="77"/>
      <c r="AJ496" s="77"/>
      <c r="AK496" s="77"/>
      <c r="AL496" s="77"/>
      <c r="AM496" s="77" t="s">
        <v>218</v>
      </c>
      <c r="AN496" s="77" t="s">
        <v>217</v>
      </c>
      <c r="AO496" s="77" t="s">
        <v>219</v>
      </c>
      <c r="AP496" s="77" t="s">
        <v>97</v>
      </c>
      <c r="AQ496" s="77"/>
      <c r="AR496" s="79">
        <v>43764</v>
      </c>
      <c r="AS496" s="102" t="s">
        <v>220</v>
      </c>
      <c r="AT496" s="78" t="s">
        <v>620</v>
      </c>
      <c r="AU496" s="77" t="s">
        <v>100</v>
      </c>
      <c r="AV496" s="77">
        <v>2000</v>
      </c>
      <c r="AW496" s="77" t="s">
        <v>100</v>
      </c>
      <c r="AX496" s="77" t="s">
        <v>112</v>
      </c>
      <c r="AY496" s="77" t="s">
        <v>3240</v>
      </c>
      <c r="AZ496" s="77" t="s">
        <v>3369</v>
      </c>
      <c r="BA496" s="77">
        <v>29</v>
      </c>
      <c r="BB496" s="77">
        <v>6</v>
      </c>
      <c r="BC496" s="77">
        <v>78</v>
      </c>
      <c r="BD496" s="77">
        <v>0.11</v>
      </c>
      <c r="BE496" s="77" t="s">
        <v>97</v>
      </c>
      <c r="BF496" s="77"/>
      <c r="BG496" s="77">
        <f>1312+2060.15</f>
        <v>3372.15</v>
      </c>
      <c r="BH496" s="77"/>
      <c r="BI496" s="77"/>
      <c r="BJ496" s="77"/>
      <c r="BK496" s="77">
        <v>1034.8</v>
      </c>
      <c r="BL496" s="75">
        <f t="shared" si="21"/>
        <v>4406.95</v>
      </c>
      <c r="BM496" s="103">
        <f t="shared" si="22"/>
        <v>242.38225</v>
      </c>
      <c r="BN496" s="103">
        <f t="shared" si="23"/>
        <v>4649.3322499999995</v>
      </c>
      <c r="BO496" s="80">
        <v>4649</v>
      </c>
      <c r="BP496" s="77" t="s">
        <v>104</v>
      </c>
      <c r="BQ496" s="77"/>
      <c r="BR496" s="77"/>
      <c r="BS496" s="157">
        <v>2019</v>
      </c>
      <c r="BT496" s="235">
        <v>43770</v>
      </c>
      <c r="BU496">
        <v>2019</v>
      </c>
    </row>
    <row r="497" spans="1:73" ht="43.15" customHeight="1" x14ac:dyDescent="0.25">
      <c r="A497" s="242" t="s">
        <v>90</v>
      </c>
      <c r="B497" s="242" t="s">
        <v>3368</v>
      </c>
      <c r="C497" s="159">
        <v>800</v>
      </c>
      <c r="D497" s="114">
        <v>43530</v>
      </c>
      <c r="E497" s="114">
        <v>43530</v>
      </c>
      <c r="F497" s="114"/>
      <c r="G497" s="114"/>
      <c r="H497" s="114">
        <v>43538</v>
      </c>
      <c r="I497" s="114">
        <v>43538</v>
      </c>
      <c r="J497" s="114">
        <v>43544</v>
      </c>
      <c r="K497" s="114"/>
      <c r="L497" s="114">
        <v>43560</v>
      </c>
      <c r="M497" s="114">
        <v>43550</v>
      </c>
      <c r="N497" s="114"/>
      <c r="O497" s="114">
        <v>43565</v>
      </c>
      <c r="P497" s="114">
        <v>43565</v>
      </c>
      <c r="Q497" s="114">
        <v>43566</v>
      </c>
      <c r="R497" s="100"/>
      <c r="S497" s="114"/>
      <c r="T497" s="75"/>
      <c r="U497" s="75"/>
      <c r="V497" s="75"/>
      <c r="W497" s="75">
        <v>1</v>
      </c>
      <c r="X497" s="75">
        <v>14407</v>
      </c>
      <c r="Y497" s="75" t="str">
        <f ca="1">IF(I497="",IF(D497="","",IF(W497+X497&lt;15,"Données Nb pers ou RFR manquantes",IF(COUNTA(INDIRECT("TabRFR["&amp;YEAR(D497)&amp;"]"))&lt;&gt;COUNTA(TabRFR[Recherche RFR]),"Data RFR manquantes", IF(X497&lt;=INDEX(TabRFR[[2021]:[2025]],MATCH(BD!W497&amp;"-Très modestes",TabRFR[Recherche RFR],0),MATCH(TEXT(YEAR(BD!D497),"Standard"),TabRFR[[#Headers],[2021]:[2025]],0)),"Très Modeste",IF(X497&lt;=INDEX(TabRFR[[2021]:[2025]],MATCH(BD!W497&amp;"-modestes",TabRFR[Recherche RFR],0),MATCH(TEXT(YEAR(BD!D497),"Standard"),TabRFR[[#Headers],[2021]:[2025]],0)),"Modeste",IF(X497&lt;=INDEX(TabRFR[[2021]:[2025]],MATCH(BD!W497&amp;"-Intermédiaire",TabRFR[Recherche RFR],0),MATCH(TEXT(YEAR(BD!D497),"Standard"),TabRFR[[#Headers],[2021]:[2025]],0)),"Intermédiaire","Supérieur")))))),IF(D497="","",IF(W497+X497&lt;15,"Données Nb pers ou RFR manquantes",IF(COUNTA(INDIRECT("TabRFR["&amp;YEAR(I497)&amp;"]"))&lt;&gt;COUNTA(TabRFR[Recherche RFR]),"Data RFR manquantes", IF(X497&lt;=INDEX(TabRFR[[2021]:[2025]],MATCH(BD!W497&amp;"-Très modestes",TabRFR[Recherche RFR],0),MATCH(TEXT(YEAR(BD!I497),"Standard"),TabRFR[[#Headers],[2021]:[2025]],0)),"Très Modeste",IF(X497&lt;=INDEX(TabRFR[[2021]:[2025]],MATCH(BD!W497&amp;"-modestes",TabRFR[Recherche RFR],0),MATCH(TEXT(YEAR(BD!I497),"Standard"),TabRFR[[#Headers],[2021]:[2025]],0)),"Modeste",IF(X497&lt;=INDEX(TabRFR[[2021]:[2025]],MATCH(BD!W497&amp;"-Intermédiaire",TabRFR[Recherche RFR],0),MATCH(TEXT(YEAR(BD!I497),"Standard"),TabRFR[[#Headers],[2021]:[2025]],0)),"Intermédiaire","Supérieur")))))))</f>
        <v>Data RFR manquantes</v>
      </c>
      <c r="Z497" s="75"/>
      <c r="AA497" s="75" t="s">
        <v>3367</v>
      </c>
      <c r="AB497" s="75">
        <v>38490</v>
      </c>
      <c r="AC497" s="75" t="s">
        <v>1133</v>
      </c>
      <c r="AD497" s="73"/>
      <c r="AE497" s="102"/>
      <c r="AF497" s="75"/>
      <c r="AG497" s="75"/>
      <c r="AH497" s="130"/>
      <c r="AI497" s="130"/>
      <c r="AJ497" s="75"/>
      <c r="AK497" s="75"/>
      <c r="AL497" s="75"/>
      <c r="AM497" s="75" t="s">
        <v>4236</v>
      </c>
      <c r="AN497" s="75" t="s">
        <v>4091</v>
      </c>
      <c r="AO497" s="75" t="s">
        <v>163</v>
      </c>
      <c r="AP497" s="75" t="s">
        <v>97</v>
      </c>
      <c r="AQ497" s="75"/>
      <c r="AR497" s="74">
        <v>43725</v>
      </c>
      <c r="AS497" s="102" t="s">
        <v>164</v>
      </c>
      <c r="AT497" s="73" t="s">
        <v>608</v>
      </c>
      <c r="AU497" s="75" t="s">
        <v>172</v>
      </c>
      <c r="AV497" s="75" t="s">
        <v>1088</v>
      </c>
      <c r="AW497" s="75" t="s">
        <v>100</v>
      </c>
      <c r="AX497" s="75" t="s">
        <v>2071</v>
      </c>
      <c r="AY497" s="75" t="s">
        <v>440</v>
      </c>
      <c r="AZ497" s="75" t="s">
        <v>3366</v>
      </c>
      <c r="BA497" s="75">
        <v>8</v>
      </c>
      <c r="BB497" s="75">
        <v>8.1999999999999993</v>
      </c>
      <c r="BC497" s="75">
        <v>87.7</v>
      </c>
      <c r="BD497" s="75">
        <v>0</v>
      </c>
      <c r="BE497" s="75" t="s">
        <v>97</v>
      </c>
      <c r="BF497" s="75"/>
      <c r="BG497" s="75">
        <v>2744.5</v>
      </c>
      <c r="BH497" s="75"/>
      <c r="BI497" s="75"/>
      <c r="BJ497" s="75"/>
      <c r="BK497" s="75">
        <v>590</v>
      </c>
      <c r="BL497" s="75">
        <f t="shared" si="21"/>
        <v>3334.5</v>
      </c>
      <c r="BM497" s="103">
        <f t="shared" si="22"/>
        <v>183.39750000000001</v>
      </c>
      <c r="BN497" s="103">
        <f t="shared" si="23"/>
        <v>3517.8975</v>
      </c>
      <c r="BO497" s="103"/>
      <c r="BP497" s="75" t="s">
        <v>104</v>
      </c>
      <c r="BQ497" s="75"/>
      <c r="BR497" s="75"/>
      <c r="BS497" s="157">
        <v>2019</v>
      </c>
      <c r="BU497">
        <v>2019</v>
      </c>
    </row>
    <row r="498" spans="1:73" ht="43.15" customHeight="1" x14ac:dyDescent="0.25">
      <c r="A498" s="242" t="s">
        <v>3365</v>
      </c>
      <c r="B498" s="242" t="s">
        <v>3364</v>
      </c>
      <c r="C498" s="159">
        <v>400</v>
      </c>
      <c r="D498" s="114">
        <v>43531</v>
      </c>
      <c r="E498" s="114">
        <v>43531</v>
      </c>
      <c r="F498" s="114"/>
      <c r="G498" s="114"/>
      <c r="H498" s="114">
        <v>43538</v>
      </c>
      <c r="I498" s="114">
        <v>43538</v>
      </c>
      <c r="J498" s="114">
        <v>43551</v>
      </c>
      <c r="K498" s="114"/>
      <c r="L498" s="114">
        <v>43580</v>
      </c>
      <c r="M498" s="114">
        <v>43571</v>
      </c>
      <c r="N498" s="114"/>
      <c r="O498" s="114">
        <v>43601</v>
      </c>
      <c r="P498" s="114">
        <v>43601</v>
      </c>
      <c r="Q498" s="114">
        <v>43602</v>
      </c>
      <c r="R498" s="80"/>
      <c r="S498" s="114"/>
      <c r="T498" s="75"/>
      <c r="U498" s="75"/>
      <c r="V498" s="75"/>
      <c r="W498" s="75">
        <v>1</v>
      </c>
      <c r="X498" s="75">
        <v>21807</v>
      </c>
      <c r="Y498" s="75" t="str">
        <f ca="1">IF(I498="",IF(D498="","",IF(W498+X498&lt;15,"Données Nb pers ou RFR manquantes",IF(COUNTA(INDIRECT("TabRFR["&amp;YEAR(D498)&amp;"]"))&lt;&gt;COUNTA(TabRFR[Recherche RFR]),"Data RFR manquantes", IF(X498&lt;=INDEX(TabRFR[[2021]:[2025]],MATCH(BD!W498&amp;"-Très modestes",TabRFR[Recherche RFR],0),MATCH(TEXT(YEAR(BD!D498),"Standard"),TabRFR[[#Headers],[2021]:[2025]],0)),"Très Modeste",IF(X498&lt;=INDEX(TabRFR[[2021]:[2025]],MATCH(BD!W498&amp;"-modestes",TabRFR[Recherche RFR],0),MATCH(TEXT(YEAR(BD!D498),"Standard"),TabRFR[[#Headers],[2021]:[2025]],0)),"Modeste",IF(X498&lt;=INDEX(TabRFR[[2021]:[2025]],MATCH(BD!W498&amp;"-Intermédiaire",TabRFR[Recherche RFR],0),MATCH(TEXT(YEAR(BD!D498),"Standard"),TabRFR[[#Headers],[2021]:[2025]],0)),"Intermédiaire","Supérieur")))))),IF(D498="","",IF(W498+X498&lt;15,"Données Nb pers ou RFR manquantes",IF(COUNTA(INDIRECT("TabRFR["&amp;YEAR(I498)&amp;"]"))&lt;&gt;COUNTA(TabRFR[Recherche RFR]),"Data RFR manquantes", IF(X498&lt;=INDEX(TabRFR[[2021]:[2025]],MATCH(BD!W498&amp;"-Très modestes",TabRFR[Recherche RFR],0),MATCH(TEXT(YEAR(BD!I498),"Standard"),TabRFR[[#Headers],[2021]:[2025]],0)),"Très Modeste",IF(X498&lt;=INDEX(TabRFR[[2021]:[2025]],MATCH(BD!W498&amp;"-modestes",TabRFR[Recherche RFR],0),MATCH(TEXT(YEAR(BD!I498),"Standard"),TabRFR[[#Headers],[2021]:[2025]],0)),"Modeste",IF(X498&lt;=INDEX(TabRFR[[2021]:[2025]],MATCH(BD!W498&amp;"-Intermédiaire",TabRFR[Recherche RFR],0),MATCH(TEXT(YEAR(BD!I498),"Standard"),TabRFR[[#Headers],[2021]:[2025]],0)),"Intermédiaire","Supérieur")))))))</f>
        <v>Data RFR manquantes</v>
      </c>
      <c r="Z498" s="75"/>
      <c r="AA498" s="75" t="s">
        <v>3363</v>
      </c>
      <c r="AB498" s="75">
        <v>38620</v>
      </c>
      <c r="AC498" s="75" t="s">
        <v>783</v>
      </c>
      <c r="AD498" s="73"/>
      <c r="AE498" s="102"/>
      <c r="AF498" s="75" t="s">
        <v>95</v>
      </c>
      <c r="AG498" s="75"/>
      <c r="AH498" s="130"/>
      <c r="AI498" s="130"/>
      <c r="AJ498" s="75"/>
      <c r="AK498" s="75"/>
      <c r="AL498" s="75"/>
      <c r="AM498" s="75" t="s">
        <v>4236</v>
      </c>
      <c r="AN498" s="75" t="s">
        <v>4091</v>
      </c>
      <c r="AO498" s="75" t="s">
        <v>163</v>
      </c>
      <c r="AP498" s="75" t="s">
        <v>97</v>
      </c>
      <c r="AQ498" s="75"/>
      <c r="AR498" s="74">
        <v>43725</v>
      </c>
      <c r="AS498" s="102" t="s">
        <v>164</v>
      </c>
      <c r="AT498" s="73" t="s">
        <v>608</v>
      </c>
      <c r="AU498" s="75" t="s">
        <v>100</v>
      </c>
      <c r="AV498" s="75" t="s">
        <v>1088</v>
      </c>
      <c r="AW498" s="75" t="s">
        <v>100</v>
      </c>
      <c r="AX498" s="75" t="s">
        <v>2071</v>
      </c>
      <c r="AY498" s="75" t="s">
        <v>440</v>
      </c>
      <c r="AZ498" s="75" t="s">
        <v>811</v>
      </c>
      <c r="BA498" s="75">
        <v>16</v>
      </c>
      <c r="BB498" s="75">
        <v>9.1</v>
      </c>
      <c r="BC498" s="75">
        <v>91.8</v>
      </c>
      <c r="BD498" s="75">
        <v>3.0000000000000001E-3</v>
      </c>
      <c r="BE498" s="75" t="s">
        <v>97</v>
      </c>
      <c r="BF498" s="75"/>
      <c r="BG498" s="75">
        <v>4697</v>
      </c>
      <c r="BH498" s="75"/>
      <c r="BI498" s="75"/>
      <c r="BJ498" s="75"/>
      <c r="BK498" s="75">
        <v>590</v>
      </c>
      <c r="BL498" s="75">
        <f t="shared" si="21"/>
        <v>5287</v>
      </c>
      <c r="BM498" s="103">
        <f t="shared" si="22"/>
        <v>290.78500000000003</v>
      </c>
      <c r="BN498" s="103">
        <f t="shared" si="23"/>
        <v>5577.7849999999999</v>
      </c>
      <c r="BO498" s="103"/>
      <c r="BP498" s="75" t="s">
        <v>97</v>
      </c>
      <c r="BQ498" s="75"/>
      <c r="BR498" s="75"/>
      <c r="BS498" s="157">
        <v>2019</v>
      </c>
      <c r="BU498">
        <v>2019</v>
      </c>
    </row>
    <row r="499" spans="1:73" ht="43.15" customHeight="1" x14ac:dyDescent="0.25">
      <c r="A499" s="241" t="s">
        <v>3358</v>
      </c>
      <c r="B499" s="241" t="s">
        <v>3362</v>
      </c>
      <c r="C499" s="159">
        <v>400</v>
      </c>
      <c r="D499" s="76">
        <v>43535</v>
      </c>
      <c r="E499" s="76">
        <v>43538</v>
      </c>
      <c r="F499" s="76"/>
      <c r="G499" s="76"/>
      <c r="H499" s="76">
        <v>43550</v>
      </c>
      <c r="I499" s="76">
        <v>43550</v>
      </c>
      <c r="J499" s="76">
        <v>43551</v>
      </c>
      <c r="K499" s="218"/>
      <c r="L499" s="76">
        <v>43572</v>
      </c>
      <c r="M499" s="76">
        <v>43553</v>
      </c>
      <c r="N499" s="76"/>
      <c r="O499" s="76">
        <v>43606</v>
      </c>
      <c r="P499" s="76">
        <v>43606</v>
      </c>
      <c r="Q499" s="76">
        <v>43655</v>
      </c>
      <c r="R499" s="82"/>
      <c r="S499" s="76"/>
      <c r="T499" s="77"/>
      <c r="U499" s="77"/>
      <c r="V499" s="77"/>
      <c r="W499" s="77">
        <v>4</v>
      </c>
      <c r="X499" s="77">
        <v>52605</v>
      </c>
      <c r="Y499" s="75" t="str">
        <f ca="1">IF(I499="",IF(D499="","",IF(W499+X499&lt;15,"Données Nb pers ou RFR manquantes",IF(COUNTA(INDIRECT("TabRFR["&amp;YEAR(D499)&amp;"]"))&lt;&gt;COUNTA(TabRFR[Recherche RFR]),"Data RFR manquantes", IF(X499&lt;=INDEX(TabRFR[[2021]:[2025]],MATCH(BD!W499&amp;"-Très modestes",TabRFR[Recherche RFR],0),MATCH(TEXT(YEAR(BD!D499),"Standard"),TabRFR[[#Headers],[2021]:[2025]],0)),"Très Modeste",IF(X499&lt;=INDEX(TabRFR[[2021]:[2025]],MATCH(BD!W499&amp;"-modestes",TabRFR[Recherche RFR],0),MATCH(TEXT(YEAR(BD!D499),"Standard"),TabRFR[[#Headers],[2021]:[2025]],0)),"Modeste",IF(X499&lt;=INDEX(TabRFR[[2021]:[2025]],MATCH(BD!W499&amp;"-Intermédiaire",TabRFR[Recherche RFR],0),MATCH(TEXT(YEAR(BD!D499),"Standard"),TabRFR[[#Headers],[2021]:[2025]],0)),"Intermédiaire","Supérieur")))))),IF(D499="","",IF(W499+X499&lt;15,"Données Nb pers ou RFR manquantes",IF(COUNTA(INDIRECT("TabRFR["&amp;YEAR(I499)&amp;"]"))&lt;&gt;COUNTA(TabRFR[Recherche RFR]),"Data RFR manquantes", IF(X499&lt;=INDEX(TabRFR[[2021]:[2025]],MATCH(BD!W499&amp;"-Très modestes",TabRFR[Recherche RFR],0),MATCH(TEXT(YEAR(BD!I499),"Standard"),TabRFR[[#Headers],[2021]:[2025]],0)),"Très Modeste",IF(X499&lt;=INDEX(TabRFR[[2021]:[2025]],MATCH(BD!W499&amp;"-modestes",TabRFR[Recherche RFR],0),MATCH(TEXT(YEAR(BD!I499),"Standard"),TabRFR[[#Headers],[2021]:[2025]],0)),"Modeste",IF(X499&lt;=INDEX(TabRFR[[2021]:[2025]],MATCH(BD!W499&amp;"-Intermédiaire",TabRFR[Recherche RFR],0),MATCH(TEXT(YEAR(BD!I499),"Standard"),TabRFR[[#Headers],[2021]:[2025]],0)),"Intermédiaire","Supérieur")))))))</f>
        <v>Data RFR manquantes</v>
      </c>
      <c r="Z499" s="77"/>
      <c r="AA499" s="77" t="s">
        <v>3361</v>
      </c>
      <c r="AB499" s="77">
        <v>38430</v>
      </c>
      <c r="AC499" s="77" t="s">
        <v>217</v>
      </c>
      <c r="AD499" s="78"/>
      <c r="AE499" s="102"/>
      <c r="AF499" s="77" t="s">
        <v>95</v>
      </c>
      <c r="AG499" s="77"/>
      <c r="AH499" s="77"/>
      <c r="AI499" s="77"/>
      <c r="AJ499" s="77"/>
      <c r="AK499" s="77"/>
      <c r="AL499" s="77"/>
      <c r="AM499" s="77" t="s">
        <v>4389</v>
      </c>
      <c r="AN499" s="77" t="s">
        <v>416</v>
      </c>
      <c r="AO499" s="147" t="s">
        <v>9</v>
      </c>
      <c r="AP499" s="77" t="s">
        <v>97</v>
      </c>
      <c r="AQ499" s="77"/>
      <c r="AR499" s="79">
        <v>43771</v>
      </c>
      <c r="AS499" s="102" t="s">
        <v>9</v>
      </c>
      <c r="AT499" s="78" t="s">
        <v>3360</v>
      </c>
      <c r="AU499" s="77" t="s">
        <v>111</v>
      </c>
      <c r="AV499" s="77">
        <v>1990</v>
      </c>
      <c r="AW499" s="77" t="s">
        <v>100</v>
      </c>
      <c r="AX499" s="75" t="s">
        <v>2071</v>
      </c>
      <c r="AY499" s="77" t="s">
        <v>419</v>
      </c>
      <c r="AZ499" s="77" t="s">
        <v>3359</v>
      </c>
      <c r="BA499" s="77">
        <v>30</v>
      </c>
      <c r="BB499" s="77">
        <v>6.3</v>
      </c>
      <c r="BC499" s="77">
        <v>89</v>
      </c>
      <c r="BD499" s="77">
        <v>1.7999999999999999E-2</v>
      </c>
      <c r="BE499" s="77" t="s">
        <v>374</v>
      </c>
      <c r="BF499" s="77"/>
      <c r="BG499" s="77">
        <v>5771.78</v>
      </c>
      <c r="BH499" s="77"/>
      <c r="BI499" s="77"/>
      <c r="BJ499" s="77"/>
      <c r="BK499" s="77">
        <v>494</v>
      </c>
      <c r="BL499" s="75">
        <f t="shared" si="21"/>
        <v>6265.78</v>
      </c>
      <c r="BM499" s="103">
        <f t="shared" si="22"/>
        <v>344.61789999999996</v>
      </c>
      <c r="BN499" s="103">
        <f t="shared" si="23"/>
        <v>6610.3978999999999</v>
      </c>
      <c r="BO499" s="80"/>
      <c r="BP499" s="77" t="s">
        <v>104</v>
      </c>
      <c r="BQ499" s="77"/>
      <c r="BR499" s="77"/>
      <c r="BS499" s="157">
        <v>2019</v>
      </c>
      <c r="BU499">
        <v>2019</v>
      </c>
    </row>
    <row r="500" spans="1:73" ht="43.15" customHeight="1" x14ac:dyDescent="0.25">
      <c r="A500" s="241" t="s">
        <v>3358</v>
      </c>
      <c r="B500" s="241" t="s">
        <v>3357</v>
      </c>
      <c r="C500" s="159">
        <v>400</v>
      </c>
      <c r="D500" s="76">
        <v>43536</v>
      </c>
      <c r="E500" s="76">
        <v>43538</v>
      </c>
      <c r="F500" s="76"/>
      <c r="G500" s="76"/>
      <c r="H500" s="76">
        <v>43552</v>
      </c>
      <c r="I500" s="76">
        <v>43552</v>
      </c>
      <c r="J500" s="76">
        <v>43566</v>
      </c>
      <c r="K500" s="218"/>
      <c r="L500" s="76">
        <v>43640</v>
      </c>
      <c r="M500" s="76">
        <v>43633</v>
      </c>
      <c r="N500" s="76"/>
      <c r="O500" s="76">
        <v>43643</v>
      </c>
      <c r="P500" s="76">
        <v>43643</v>
      </c>
      <c r="Q500" s="76">
        <v>43671</v>
      </c>
      <c r="R500" s="82"/>
      <c r="S500" s="76"/>
      <c r="T500" s="77"/>
      <c r="U500" s="77"/>
      <c r="V500" s="77"/>
      <c r="W500" s="77">
        <v>2</v>
      </c>
      <c r="X500" s="77">
        <v>62019</v>
      </c>
      <c r="Y500" s="75" t="str">
        <f ca="1">IF(I500="",IF(D500="","",IF(W500+X500&lt;15,"Données Nb pers ou RFR manquantes",IF(COUNTA(INDIRECT("TabRFR["&amp;YEAR(D500)&amp;"]"))&lt;&gt;COUNTA(TabRFR[Recherche RFR]),"Data RFR manquantes", IF(X500&lt;=INDEX(TabRFR[[2021]:[2025]],MATCH(BD!W500&amp;"-Très modestes",TabRFR[Recherche RFR],0),MATCH(TEXT(YEAR(BD!D500),"Standard"),TabRFR[[#Headers],[2021]:[2025]],0)),"Très Modeste",IF(X500&lt;=INDEX(TabRFR[[2021]:[2025]],MATCH(BD!W500&amp;"-modestes",TabRFR[Recherche RFR],0),MATCH(TEXT(YEAR(BD!D500),"Standard"),TabRFR[[#Headers],[2021]:[2025]],0)),"Modeste",IF(X500&lt;=INDEX(TabRFR[[2021]:[2025]],MATCH(BD!W500&amp;"-Intermédiaire",TabRFR[Recherche RFR],0),MATCH(TEXT(YEAR(BD!D500),"Standard"),TabRFR[[#Headers],[2021]:[2025]],0)),"Intermédiaire","Supérieur")))))),IF(D500="","",IF(W500+X500&lt;15,"Données Nb pers ou RFR manquantes",IF(COUNTA(INDIRECT("TabRFR["&amp;YEAR(I500)&amp;"]"))&lt;&gt;COUNTA(TabRFR[Recherche RFR]),"Data RFR manquantes", IF(X500&lt;=INDEX(TabRFR[[2021]:[2025]],MATCH(BD!W500&amp;"-Très modestes",TabRFR[Recherche RFR],0),MATCH(TEXT(YEAR(BD!I500),"Standard"),TabRFR[[#Headers],[2021]:[2025]],0)),"Très Modeste",IF(X500&lt;=INDEX(TabRFR[[2021]:[2025]],MATCH(BD!W500&amp;"-modestes",TabRFR[Recherche RFR],0),MATCH(TEXT(YEAR(BD!I500),"Standard"),TabRFR[[#Headers],[2021]:[2025]],0)),"Modeste",IF(X500&lt;=INDEX(TabRFR[[2021]:[2025]],MATCH(BD!W500&amp;"-Intermédiaire",TabRFR[Recherche RFR],0),MATCH(TEXT(YEAR(BD!I500),"Standard"),TabRFR[[#Headers],[2021]:[2025]],0)),"Intermédiaire","Supérieur")))))))</f>
        <v>Data RFR manquantes</v>
      </c>
      <c r="Z500" s="77"/>
      <c r="AA500" s="77" t="s">
        <v>3356</v>
      </c>
      <c r="AB500" s="77">
        <v>38500</v>
      </c>
      <c r="AC500" s="77" t="s">
        <v>96</v>
      </c>
      <c r="AD500" s="78"/>
      <c r="AE500" s="102"/>
      <c r="AF500" s="77" t="s">
        <v>95</v>
      </c>
      <c r="AG500" s="77"/>
      <c r="AH500" s="77"/>
      <c r="AI500" s="77"/>
      <c r="AJ500" s="77"/>
      <c r="AK500" s="77"/>
      <c r="AL500" s="77"/>
      <c r="AM500" s="77" t="s">
        <v>4348</v>
      </c>
      <c r="AN500" s="77" t="s">
        <v>96</v>
      </c>
      <c r="AO500" s="147" t="s">
        <v>3313</v>
      </c>
      <c r="AP500" s="77" t="s">
        <v>97</v>
      </c>
      <c r="AQ500" s="77"/>
      <c r="AR500" s="79">
        <v>43698</v>
      </c>
      <c r="AS500" s="102" t="s">
        <v>98</v>
      </c>
      <c r="AT500" s="78" t="s">
        <v>802</v>
      </c>
      <c r="AU500" s="77" t="s">
        <v>111</v>
      </c>
      <c r="AV500" s="77">
        <v>1974</v>
      </c>
      <c r="AW500" s="77" t="s">
        <v>100</v>
      </c>
      <c r="AX500" s="75" t="s">
        <v>2071</v>
      </c>
      <c r="AY500" s="77" t="s">
        <v>102</v>
      </c>
      <c r="AZ500" s="77" t="s">
        <v>3355</v>
      </c>
      <c r="BA500" s="77">
        <v>18</v>
      </c>
      <c r="BB500" s="77">
        <v>10</v>
      </c>
      <c r="BC500" s="77">
        <v>90.4</v>
      </c>
      <c r="BD500" s="77">
        <v>0</v>
      </c>
      <c r="BE500" s="77" t="s">
        <v>97</v>
      </c>
      <c r="BF500" s="77"/>
      <c r="BG500" s="77">
        <v>2862</v>
      </c>
      <c r="BH500" s="77"/>
      <c r="BI500" s="77"/>
      <c r="BJ500" s="77"/>
      <c r="BK500" s="77">
        <v>2800</v>
      </c>
      <c r="BL500" s="75">
        <f t="shared" si="21"/>
        <v>5662</v>
      </c>
      <c r="BM500" s="103">
        <f t="shared" si="22"/>
        <v>311.41000000000003</v>
      </c>
      <c r="BN500" s="103">
        <f t="shared" si="23"/>
        <v>5973.41</v>
      </c>
      <c r="BO500" s="80"/>
      <c r="BP500" s="77" t="s">
        <v>97</v>
      </c>
      <c r="BQ500" s="77"/>
      <c r="BR500" s="77"/>
      <c r="BS500" s="157">
        <v>2019</v>
      </c>
      <c r="BU500">
        <v>2019</v>
      </c>
    </row>
    <row r="501" spans="1:73" ht="43.15" customHeight="1" x14ac:dyDescent="0.25">
      <c r="A501" s="241" t="s">
        <v>3736</v>
      </c>
      <c r="B501" s="241" t="s">
        <v>3354</v>
      </c>
      <c r="C501" s="163">
        <v>400</v>
      </c>
      <c r="D501" s="76">
        <v>43537</v>
      </c>
      <c r="E501" s="76">
        <v>43538</v>
      </c>
      <c r="F501" s="76">
        <v>43699</v>
      </c>
      <c r="G501" s="76" t="s">
        <v>3734</v>
      </c>
      <c r="H501" s="76">
        <v>43718</v>
      </c>
      <c r="I501" s="76">
        <v>43718</v>
      </c>
      <c r="J501" s="76">
        <v>43724</v>
      </c>
      <c r="K501" s="218"/>
      <c r="L501" s="76">
        <v>43784</v>
      </c>
      <c r="M501" s="76">
        <v>43753</v>
      </c>
      <c r="N501" s="76" t="s">
        <v>3735</v>
      </c>
      <c r="O501" s="76">
        <v>43787</v>
      </c>
      <c r="P501" s="76">
        <v>43787</v>
      </c>
      <c r="Q501" s="76">
        <v>43787</v>
      </c>
      <c r="R501" s="82"/>
      <c r="S501" s="76"/>
      <c r="T501" s="77"/>
      <c r="U501" s="77"/>
      <c r="V501" s="77"/>
      <c r="W501" s="77">
        <v>2</v>
      </c>
      <c r="X501" s="77">
        <v>29687</v>
      </c>
      <c r="Y501" s="75" t="str">
        <f ca="1">IF(I501="",IF(D501="","",IF(W501+X501&lt;15,"Données Nb pers ou RFR manquantes",IF(COUNTA(INDIRECT("TabRFR["&amp;YEAR(D501)&amp;"]"))&lt;&gt;COUNTA(TabRFR[Recherche RFR]),"Data RFR manquantes", IF(X501&lt;=INDEX(TabRFR[[2021]:[2025]],MATCH(BD!W501&amp;"-Très modestes",TabRFR[Recherche RFR],0),MATCH(TEXT(YEAR(BD!D501),"Standard"),TabRFR[[#Headers],[2021]:[2025]],0)),"Très Modeste",IF(X501&lt;=INDEX(TabRFR[[2021]:[2025]],MATCH(BD!W501&amp;"-modestes",TabRFR[Recherche RFR],0),MATCH(TEXT(YEAR(BD!D501),"Standard"),TabRFR[[#Headers],[2021]:[2025]],0)),"Modeste",IF(X501&lt;=INDEX(TabRFR[[2021]:[2025]],MATCH(BD!W501&amp;"-Intermédiaire",TabRFR[Recherche RFR],0),MATCH(TEXT(YEAR(BD!D501),"Standard"),TabRFR[[#Headers],[2021]:[2025]],0)),"Intermédiaire","Supérieur")))))),IF(D501="","",IF(W501+X501&lt;15,"Données Nb pers ou RFR manquantes",IF(COUNTA(INDIRECT("TabRFR["&amp;YEAR(I501)&amp;"]"))&lt;&gt;COUNTA(TabRFR[Recherche RFR]),"Data RFR manquantes", IF(X501&lt;=INDEX(TabRFR[[2021]:[2025]],MATCH(BD!W501&amp;"-Très modestes",TabRFR[Recherche RFR],0),MATCH(TEXT(YEAR(BD!I501),"Standard"),TabRFR[[#Headers],[2021]:[2025]],0)),"Très Modeste",IF(X501&lt;=INDEX(TabRFR[[2021]:[2025]],MATCH(BD!W501&amp;"-modestes",TabRFR[Recherche RFR],0),MATCH(TEXT(YEAR(BD!I501),"Standard"),TabRFR[[#Headers],[2021]:[2025]],0)),"Modeste",IF(X501&lt;=INDEX(TabRFR[[2021]:[2025]],MATCH(BD!W501&amp;"-Intermédiaire",TabRFR[Recherche RFR],0),MATCH(TEXT(YEAR(BD!I501),"Standard"),TabRFR[[#Headers],[2021]:[2025]],0)),"Intermédiaire","Supérieur")))))))</f>
        <v>Data RFR manquantes</v>
      </c>
      <c r="Z501" s="77"/>
      <c r="AA501" s="77" t="s">
        <v>3353</v>
      </c>
      <c r="AB501" s="77">
        <v>38850</v>
      </c>
      <c r="AC501" s="77" t="s">
        <v>4304</v>
      </c>
      <c r="AD501" s="78"/>
      <c r="AE501" s="102"/>
      <c r="AF501" s="77" t="s">
        <v>95</v>
      </c>
      <c r="AG501" s="77"/>
      <c r="AH501" s="77"/>
      <c r="AI501" s="77"/>
      <c r="AJ501" s="77"/>
      <c r="AK501" s="77"/>
      <c r="AL501" s="77"/>
      <c r="AM501" s="77" t="s">
        <v>4356</v>
      </c>
      <c r="AN501" s="77" t="s">
        <v>96</v>
      </c>
      <c r="AO501" s="77" t="s">
        <v>119</v>
      </c>
      <c r="AP501" s="77" t="s">
        <v>97</v>
      </c>
      <c r="AQ501" s="77"/>
      <c r="AR501" s="79">
        <v>43772</v>
      </c>
      <c r="AS501" s="102" t="s">
        <v>120</v>
      </c>
      <c r="AT501" s="78" t="s">
        <v>658</v>
      </c>
      <c r="AU501" s="77" t="s">
        <v>99</v>
      </c>
      <c r="AV501" s="77">
        <v>2001</v>
      </c>
      <c r="AW501" s="77" t="s">
        <v>100</v>
      </c>
      <c r="AX501" s="75" t="s">
        <v>2071</v>
      </c>
      <c r="AY501" s="77" t="s">
        <v>102</v>
      </c>
      <c r="AZ501" s="77" t="s">
        <v>3216</v>
      </c>
      <c r="BA501" s="77">
        <v>17</v>
      </c>
      <c r="BB501" s="77">
        <v>8.1</v>
      </c>
      <c r="BC501" s="77">
        <v>90.9</v>
      </c>
      <c r="BD501" s="77">
        <v>0</v>
      </c>
      <c r="BE501" s="77" t="s">
        <v>97</v>
      </c>
      <c r="BF501" s="77"/>
      <c r="BG501" s="77">
        <v>3890</v>
      </c>
      <c r="BH501" s="77"/>
      <c r="BI501" s="77"/>
      <c r="BJ501" s="77"/>
      <c r="BK501" s="77">
        <v>420</v>
      </c>
      <c r="BL501" s="75">
        <f t="shared" si="21"/>
        <v>4310</v>
      </c>
      <c r="BM501" s="103">
        <f t="shared" si="22"/>
        <v>237.05</v>
      </c>
      <c r="BN501" s="103">
        <f t="shared" si="23"/>
        <v>4547.05</v>
      </c>
      <c r="BO501" s="80">
        <v>4880.3689999999997</v>
      </c>
      <c r="BP501" s="77" t="s">
        <v>97</v>
      </c>
      <c r="BQ501" s="77"/>
      <c r="BR501" s="77"/>
      <c r="BS501" s="157">
        <v>2019</v>
      </c>
      <c r="BU501">
        <v>2019</v>
      </c>
    </row>
    <row r="502" spans="1:73" ht="43.15" customHeight="1" x14ac:dyDescent="0.25">
      <c r="A502" s="31" t="s">
        <v>3305</v>
      </c>
      <c r="B502" s="31" t="s">
        <v>3352</v>
      </c>
      <c r="C502" s="163" t="s">
        <v>9</v>
      </c>
      <c r="D502" s="76">
        <v>43537</v>
      </c>
      <c r="E502" s="76">
        <v>43538</v>
      </c>
      <c r="F502" s="76"/>
      <c r="G502" s="76" t="s">
        <v>3351</v>
      </c>
      <c r="H502" s="76"/>
      <c r="I502" s="76"/>
      <c r="J502" s="76"/>
      <c r="K502" s="218"/>
      <c r="L502" s="76"/>
      <c r="M502" s="76"/>
      <c r="N502" s="76"/>
      <c r="O502" s="76"/>
      <c r="P502" s="76"/>
      <c r="Q502" s="76"/>
      <c r="R502" s="82"/>
      <c r="S502" s="76">
        <v>43699</v>
      </c>
      <c r="T502" s="77" t="s">
        <v>904</v>
      </c>
      <c r="U502" s="77"/>
      <c r="V502" s="77"/>
      <c r="W502" s="77">
        <v>2</v>
      </c>
      <c r="X502" s="77">
        <v>47852</v>
      </c>
      <c r="Y502" s="75" t="str">
        <f ca="1">IF(I502="",IF(D502="","",IF(W502+X502&lt;15,"Données Nb pers ou RFR manquantes",IF(COUNTA(INDIRECT("TabRFR["&amp;YEAR(D502)&amp;"]"))&lt;&gt;COUNTA(TabRFR[Recherche RFR]),"Data RFR manquantes", IF(X502&lt;=INDEX(TabRFR[[2021]:[2025]],MATCH(BD!W502&amp;"-Très modestes",TabRFR[Recherche RFR],0),MATCH(TEXT(YEAR(BD!D502),"Standard"),TabRFR[[#Headers],[2021]:[2025]],0)),"Très Modeste",IF(X502&lt;=INDEX(TabRFR[[2021]:[2025]],MATCH(BD!W502&amp;"-modestes",TabRFR[Recherche RFR],0),MATCH(TEXT(YEAR(BD!D502),"Standard"),TabRFR[[#Headers],[2021]:[2025]],0)),"Modeste",IF(X502&lt;=INDEX(TabRFR[[2021]:[2025]],MATCH(BD!W502&amp;"-Intermédiaire",TabRFR[Recherche RFR],0),MATCH(TEXT(YEAR(BD!D502),"Standard"),TabRFR[[#Headers],[2021]:[2025]],0)),"Intermédiaire","Supérieur")))))),IF(D502="","",IF(W502+X502&lt;15,"Données Nb pers ou RFR manquantes",IF(COUNTA(INDIRECT("TabRFR["&amp;YEAR(I502)&amp;"]"))&lt;&gt;COUNTA(TabRFR[Recherche RFR]),"Data RFR manquantes", IF(X502&lt;=INDEX(TabRFR[[2021]:[2025]],MATCH(BD!W502&amp;"-Très modestes",TabRFR[Recherche RFR],0),MATCH(TEXT(YEAR(BD!I502),"Standard"),TabRFR[[#Headers],[2021]:[2025]],0)),"Très Modeste",IF(X502&lt;=INDEX(TabRFR[[2021]:[2025]],MATCH(BD!W502&amp;"-modestes",TabRFR[Recherche RFR],0),MATCH(TEXT(YEAR(BD!I502),"Standard"),TabRFR[[#Headers],[2021]:[2025]],0)),"Modeste",IF(X502&lt;=INDEX(TabRFR[[2021]:[2025]],MATCH(BD!W502&amp;"-Intermédiaire",TabRFR[Recherche RFR],0),MATCH(TEXT(YEAR(BD!I502),"Standard"),TabRFR[[#Headers],[2021]:[2025]],0)),"Intermédiaire","Supérieur")))))))</f>
        <v>Data RFR manquantes</v>
      </c>
      <c r="Z502" s="77"/>
      <c r="AA502" s="77" t="s">
        <v>1111</v>
      </c>
      <c r="AB502" s="77">
        <v>38210</v>
      </c>
      <c r="AC502" s="77" t="s">
        <v>195</v>
      </c>
      <c r="AD502" s="78"/>
      <c r="AE502" s="102"/>
      <c r="AF502" s="77" t="s">
        <v>95</v>
      </c>
      <c r="AG502" s="77"/>
      <c r="AH502" s="77"/>
      <c r="AI502" s="77"/>
      <c r="AJ502" s="77"/>
      <c r="AK502" s="77"/>
      <c r="AL502" s="77"/>
      <c r="AM502" s="77" t="s">
        <v>4401</v>
      </c>
      <c r="AN502" s="77" t="s">
        <v>4402</v>
      </c>
      <c r="AO502" s="77" t="s">
        <v>3350</v>
      </c>
      <c r="AP502" s="77" t="s">
        <v>97</v>
      </c>
      <c r="AQ502" s="77"/>
      <c r="AR502" s="79">
        <v>43678</v>
      </c>
      <c r="AS502" s="102" t="s">
        <v>3349</v>
      </c>
      <c r="AT502" s="78" t="s">
        <v>3348</v>
      </c>
      <c r="AU502" s="77" t="s">
        <v>99</v>
      </c>
      <c r="AV502" s="77">
        <v>1900</v>
      </c>
      <c r="AW502" s="77" t="s">
        <v>111</v>
      </c>
      <c r="AX502" s="77" t="s">
        <v>464</v>
      </c>
      <c r="AY502" s="77" t="s">
        <v>3347</v>
      </c>
      <c r="AZ502" s="77"/>
      <c r="BA502" s="77"/>
      <c r="BB502" s="77"/>
      <c r="BC502" s="77"/>
      <c r="BD502" s="77"/>
      <c r="BE502" s="77"/>
      <c r="BF502" s="77"/>
      <c r="BG502" s="77"/>
      <c r="BH502" s="77"/>
      <c r="BI502" s="77"/>
      <c r="BJ502" s="77"/>
      <c r="BK502" s="77"/>
      <c r="BL502" s="75">
        <f t="shared" si="21"/>
        <v>0</v>
      </c>
      <c r="BM502" s="103">
        <f t="shared" si="22"/>
        <v>0</v>
      </c>
      <c r="BN502" s="103">
        <f t="shared" si="23"/>
        <v>0</v>
      </c>
      <c r="BO502" s="80"/>
      <c r="BP502" s="77"/>
      <c r="BQ502" s="77"/>
      <c r="BR502" s="77"/>
      <c r="BS502" s="157">
        <v>2019</v>
      </c>
      <c r="BU502" t="s">
        <v>4180</v>
      </c>
    </row>
    <row r="503" spans="1:73" ht="43.15" customHeight="1" x14ac:dyDescent="0.25">
      <c r="A503" s="241" t="s">
        <v>90</v>
      </c>
      <c r="B503" s="241" t="s">
        <v>3346</v>
      </c>
      <c r="C503" s="163">
        <v>400</v>
      </c>
      <c r="D503" s="76">
        <v>43595</v>
      </c>
      <c r="E503" s="76">
        <v>43601</v>
      </c>
      <c r="F503" s="76"/>
      <c r="G503" s="76"/>
      <c r="H503" s="76">
        <v>43608</v>
      </c>
      <c r="I503" s="76">
        <v>43608</v>
      </c>
      <c r="J503" s="76">
        <v>43612</v>
      </c>
      <c r="K503" s="218"/>
      <c r="L503" s="76">
        <v>43650</v>
      </c>
      <c r="M503" s="76">
        <v>43627</v>
      </c>
      <c r="N503" s="76" t="s">
        <v>3694</v>
      </c>
      <c r="O503" s="76">
        <v>43676</v>
      </c>
      <c r="P503" s="76">
        <v>43676</v>
      </c>
      <c r="Q503" s="76">
        <v>43712</v>
      </c>
      <c r="R503" s="82"/>
      <c r="S503" s="76"/>
      <c r="T503" s="77"/>
      <c r="U503" s="77"/>
      <c r="V503" s="77"/>
      <c r="W503" s="77">
        <v>2</v>
      </c>
      <c r="X503" s="77">
        <v>63106</v>
      </c>
      <c r="Y503" s="75" t="str">
        <f ca="1">IF(I503="",IF(D503="","",IF(W503+X503&lt;15,"Données Nb pers ou RFR manquantes",IF(COUNTA(INDIRECT("TabRFR["&amp;YEAR(D503)&amp;"]"))&lt;&gt;COUNTA(TabRFR[Recherche RFR]),"Data RFR manquantes", IF(X503&lt;=INDEX(TabRFR[[2021]:[2025]],MATCH(BD!W503&amp;"-Très modestes",TabRFR[Recherche RFR],0),MATCH(TEXT(YEAR(BD!D503),"Standard"),TabRFR[[#Headers],[2021]:[2025]],0)),"Très Modeste",IF(X503&lt;=INDEX(TabRFR[[2021]:[2025]],MATCH(BD!W503&amp;"-modestes",TabRFR[Recherche RFR],0),MATCH(TEXT(YEAR(BD!D503),"Standard"),TabRFR[[#Headers],[2021]:[2025]],0)),"Modeste",IF(X503&lt;=INDEX(TabRFR[[2021]:[2025]],MATCH(BD!W503&amp;"-Intermédiaire",TabRFR[Recherche RFR],0),MATCH(TEXT(YEAR(BD!D503),"Standard"),TabRFR[[#Headers],[2021]:[2025]],0)),"Intermédiaire","Supérieur")))))),IF(D503="","",IF(W503+X503&lt;15,"Données Nb pers ou RFR manquantes",IF(COUNTA(INDIRECT("TabRFR["&amp;YEAR(I503)&amp;"]"))&lt;&gt;COUNTA(TabRFR[Recherche RFR]),"Data RFR manquantes", IF(X503&lt;=INDEX(TabRFR[[2021]:[2025]],MATCH(BD!W503&amp;"-Très modestes",TabRFR[Recherche RFR],0),MATCH(TEXT(YEAR(BD!I503),"Standard"),TabRFR[[#Headers],[2021]:[2025]],0)),"Très Modeste",IF(X503&lt;=INDEX(TabRFR[[2021]:[2025]],MATCH(BD!W503&amp;"-modestes",TabRFR[Recherche RFR],0),MATCH(TEXT(YEAR(BD!I503),"Standard"),TabRFR[[#Headers],[2021]:[2025]],0)),"Modeste",IF(X503&lt;=INDEX(TabRFR[[2021]:[2025]],MATCH(BD!W503&amp;"-Intermédiaire",TabRFR[Recherche RFR],0),MATCH(TEXT(YEAR(BD!I503),"Standard"),TabRFR[[#Headers],[2021]:[2025]],0)),"Intermédiaire","Supérieur")))))))</f>
        <v>Data RFR manquantes</v>
      </c>
      <c r="Z503" s="77"/>
      <c r="AA503" s="77" t="s">
        <v>3345</v>
      </c>
      <c r="AB503" s="77">
        <v>38210</v>
      </c>
      <c r="AC503" s="77" t="s">
        <v>195</v>
      </c>
      <c r="AD503" s="78"/>
      <c r="AE503" s="102"/>
      <c r="AF503" s="77" t="s">
        <v>95</v>
      </c>
      <c r="AG503" s="77"/>
      <c r="AH503" s="77"/>
      <c r="AI503" s="77"/>
      <c r="AJ503" s="77"/>
      <c r="AK503" s="77"/>
      <c r="AL503" s="77"/>
      <c r="AM503" s="77" t="s">
        <v>4359</v>
      </c>
      <c r="AN503" s="77" t="s">
        <v>829</v>
      </c>
      <c r="AO503" s="77"/>
      <c r="AP503" s="77" t="s">
        <v>97</v>
      </c>
      <c r="AQ503" s="77"/>
      <c r="AR503" s="79">
        <v>43722</v>
      </c>
      <c r="AS503" s="102" t="s">
        <v>491</v>
      </c>
      <c r="AT503" s="78" t="s">
        <v>3208</v>
      </c>
      <c r="AU503" s="77" t="s">
        <v>111</v>
      </c>
      <c r="AV503" s="77" t="s">
        <v>9</v>
      </c>
      <c r="AW503" s="77" t="s">
        <v>100</v>
      </c>
      <c r="AX503" s="77" t="s">
        <v>112</v>
      </c>
      <c r="AY503" s="77" t="s">
        <v>492</v>
      </c>
      <c r="AZ503" s="77" t="s">
        <v>3344</v>
      </c>
      <c r="BA503" s="77">
        <v>20</v>
      </c>
      <c r="BB503" s="77">
        <v>5</v>
      </c>
      <c r="BC503" s="77">
        <v>80</v>
      </c>
      <c r="BD503" s="77">
        <v>0.08</v>
      </c>
      <c r="BE503" s="77" t="s">
        <v>97</v>
      </c>
      <c r="BF503" s="77"/>
      <c r="BG503" s="77">
        <v>3118</v>
      </c>
      <c r="BH503" s="77"/>
      <c r="BI503" s="77"/>
      <c r="BJ503" s="77"/>
      <c r="BK503" s="77">
        <v>672</v>
      </c>
      <c r="BL503" s="75">
        <f t="shared" si="21"/>
        <v>3790</v>
      </c>
      <c r="BM503" s="103">
        <f t="shared" si="22"/>
        <v>208.45</v>
      </c>
      <c r="BN503" s="103">
        <f t="shared" si="23"/>
        <v>3998.45</v>
      </c>
      <c r="BO503" s="80"/>
      <c r="BP503" s="77" t="s">
        <v>97</v>
      </c>
      <c r="BQ503" s="77"/>
      <c r="BR503" s="77"/>
      <c r="BS503" s="157">
        <v>2019</v>
      </c>
      <c r="BT503">
        <v>2020</v>
      </c>
      <c r="BU503">
        <v>2019</v>
      </c>
    </row>
    <row r="504" spans="1:73" ht="43.15" customHeight="1" x14ac:dyDescent="0.25">
      <c r="A504" s="241" t="s">
        <v>3305</v>
      </c>
      <c r="B504" s="241" t="s">
        <v>3343</v>
      </c>
      <c r="C504" s="159">
        <v>400</v>
      </c>
      <c r="D504" s="76">
        <v>43542</v>
      </c>
      <c r="E504" s="76">
        <v>43549</v>
      </c>
      <c r="F504" s="76" t="s">
        <v>9</v>
      </c>
      <c r="G504" s="76" t="s">
        <v>9</v>
      </c>
      <c r="H504" s="76">
        <v>43565</v>
      </c>
      <c r="I504" s="76">
        <v>43565</v>
      </c>
      <c r="J504" s="76">
        <v>43574</v>
      </c>
      <c r="K504" s="218"/>
      <c r="L504" s="76">
        <v>43619</v>
      </c>
      <c r="M504" s="76">
        <v>43612</v>
      </c>
      <c r="N504" s="76"/>
      <c r="O504" s="76">
        <v>43633</v>
      </c>
      <c r="P504" s="76">
        <v>43633</v>
      </c>
      <c r="Q504" s="76">
        <v>43671</v>
      </c>
      <c r="R504" s="82"/>
      <c r="S504" s="76"/>
      <c r="T504" s="77"/>
      <c r="U504" s="77"/>
      <c r="V504" s="77"/>
      <c r="W504" s="77">
        <v>2</v>
      </c>
      <c r="X504" s="77">
        <v>72234</v>
      </c>
      <c r="Y504" s="75" t="str">
        <f ca="1">IF(I504="",IF(D504="","",IF(W504+X504&lt;15,"Données Nb pers ou RFR manquantes",IF(COUNTA(INDIRECT("TabRFR["&amp;YEAR(D504)&amp;"]"))&lt;&gt;COUNTA(TabRFR[Recherche RFR]),"Data RFR manquantes", IF(X504&lt;=INDEX(TabRFR[[2021]:[2025]],MATCH(BD!W504&amp;"-Très modestes",TabRFR[Recherche RFR],0),MATCH(TEXT(YEAR(BD!D504),"Standard"),TabRFR[[#Headers],[2021]:[2025]],0)),"Très Modeste",IF(X504&lt;=INDEX(TabRFR[[2021]:[2025]],MATCH(BD!W504&amp;"-modestes",TabRFR[Recherche RFR],0),MATCH(TEXT(YEAR(BD!D504),"Standard"),TabRFR[[#Headers],[2021]:[2025]],0)),"Modeste",IF(X504&lt;=INDEX(TabRFR[[2021]:[2025]],MATCH(BD!W504&amp;"-Intermédiaire",TabRFR[Recherche RFR],0),MATCH(TEXT(YEAR(BD!D504),"Standard"),TabRFR[[#Headers],[2021]:[2025]],0)),"Intermédiaire","Supérieur")))))),IF(D504="","",IF(W504+X504&lt;15,"Données Nb pers ou RFR manquantes",IF(COUNTA(INDIRECT("TabRFR["&amp;YEAR(I504)&amp;"]"))&lt;&gt;COUNTA(TabRFR[Recherche RFR]),"Data RFR manquantes", IF(X504&lt;=INDEX(TabRFR[[2021]:[2025]],MATCH(BD!W504&amp;"-Très modestes",TabRFR[Recherche RFR],0),MATCH(TEXT(YEAR(BD!I504),"Standard"),TabRFR[[#Headers],[2021]:[2025]],0)),"Très Modeste",IF(X504&lt;=INDEX(TabRFR[[2021]:[2025]],MATCH(BD!W504&amp;"-modestes",TabRFR[Recherche RFR],0),MATCH(TEXT(YEAR(BD!I504),"Standard"),TabRFR[[#Headers],[2021]:[2025]],0)),"Modeste",IF(X504&lt;=INDEX(TabRFR[[2021]:[2025]],MATCH(BD!W504&amp;"-Intermédiaire",TabRFR[Recherche RFR],0),MATCH(TEXT(YEAR(BD!I504),"Standard"),TabRFR[[#Headers],[2021]:[2025]],0)),"Intermédiaire","Supérieur")))))))</f>
        <v>Data RFR manquantes</v>
      </c>
      <c r="Z504" s="77"/>
      <c r="AA504" s="77" t="s">
        <v>3342</v>
      </c>
      <c r="AB504" s="77">
        <v>38620</v>
      </c>
      <c r="AC504" s="77" t="s">
        <v>1386</v>
      </c>
      <c r="AD504" s="78"/>
      <c r="AE504" s="102"/>
      <c r="AF504" s="77" t="s">
        <v>95</v>
      </c>
      <c r="AG504" s="77"/>
      <c r="AH504" s="77"/>
      <c r="AI504" s="77"/>
      <c r="AJ504" s="77"/>
      <c r="AK504" s="77"/>
      <c r="AL504" s="77"/>
      <c r="AM504" s="77" t="s">
        <v>4354</v>
      </c>
      <c r="AN504" s="77" t="s">
        <v>3333</v>
      </c>
      <c r="AO504" s="77" t="s">
        <v>3332</v>
      </c>
      <c r="AP504" s="77" t="s">
        <v>97</v>
      </c>
      <c r="AQ504" s="77"/>
      <c r="AR504" s="79">
        <v>43667</v>
      </c>
      <c r="AS504" s="102" t="s">
        <v>2176</v>
      </c>
      <c r="AT504" s="78" t="s">
        <v>3331</v>
      </c>
      <c r="AU504" s="77" t="s">
        <v>111</v>
      </c>
      <c r="AV504" s="77"/>
      <c r="AW504" s="77" t="s">
        <v>100</v>
      </c>
      <c r="AX504" s="77" t="s">
        <v>112</v>
      </c>
      <c r="AY504" s="77" t="s">
        <v>251</v>
      </c>
      <c r="AZ504" s="77" t="s">
        <v>3341</v>
      </c>
      <c r="BA504" s="77">
        <v>30</v>
      </c>
      <c r="BB504" s="77">
        <v>6</v>
      </c>
      <c r="BC504" s="77">
        <v>76</v>
      </c>
      <c r="BD504" s="77">
        <v>0.08</v>
      </c>
      <c r="BE504" s="77" t="s">
        <v>97</v>
      </c>
      <c r="BF504" s="77"/>
      <c r="BG504" s="77">
        <v>2573</v>
      </c>
      <c r="BH504" s="77"/>
      <c r="BI504" s="77"/>
      <c r="BJ504" s="77"/>
      <c r="BK504" s="77">
        <v>980</v>
      </c>
      <c r="BL504" s="75">
        <f t="shared" si="21"/>
        <v>3553</v>
      </c>
      <c r="BM504" s="103">
        <f t="shared" si="22"/>
        <v>195.41499999999999</v>
      </c>
      <c r="BN504" s="103">
        <f t="shared" si="23"/>
        <v>3748.415</v>
      </c>
      <c r="BO504" s="80">
        <v>5610</v>
      </c>
      <c r="BP504" s="77" t="s">
        <v>97</v>
      </c>
      <c r="BQ504" s="77"/>
      <c r="BR504" s="77"/>
      <c r="BS504" s="157">
        <v>2019</v>
      </c>
      <c r="BT504" s="235">
        <v>43770</v>
      </c>
      <c r="BU504">
        <v>2019</v>
      </c>
    </row>
    <row r="505" spans="1:73" ht="43.15" customHeight="1" x14ac:dyDescent="0.25">
      <c r="A505" s="241" t="s">
        <v>3305</v>
      </c>
      <c r="B505" s="241" t="s">
        <v>3340</v>
      </c>
      <c r="C505" s="159">
        <v>400</v>
      </c>
      <c r="D505" s="76">
        <v>43542</v>
      </c>
      <c r="E505" s="76">
        <v>43549</v>
      </c>
      <c r="F505" s="76" t="s">
        <v>9</v>
      </c>
      <c r="G505" s="76" t="s">
        <v>9</v>
      </c>
      <c r="H505" s="76">
        <v>43565</v>
      </c>
      <c r="I505" s="76">
        <v>43565</v>
      </c>
      <c r="J505" s="76">
        <v>43574</v>
      </c>
      <c r="K505" s="218"/>
      <c r="L505" s="76">
        <v>43649</v>
      </c>
      <c r="M505" s="76">
        <v>43612</v>
      </c>
      <c r="N505" s="76"/>
      <c r="O505" s="76">
        <v>43663</v>
      </c>
      <c r="P505" s="76">
        <v>43663</v>
      </c>
      <c r="Q505" s="76">
        <v>43671</v>
      </c>
      <c r="R505" s="82"/>
      <c r="S505" s="76"/>
      <c r="T505" s="77"/>
      <c r="U505" s="77"/>
      <c r="V505" s="77"/>
      <c r="W505" s="77">
        <v>4</v>
      </c>
      <c r="X505" s="77">
        <v>39345</v>
      </c>
      <c r="Y505" s="75" t="str">
        <f ca="1">IF(I505="",IF(D505="","",IF(W505+X505&lt;15,"Données Nb pers ou RFR manquantes",IF(COUNTA(INDIRECT("TabRFR["&amp;YEAR(D505)&amp;"]"))&lt;&gt;COUNTA(TabRFR[Recherche RFR]),"Data RFR manquantes", IF(X505&lt;=INDEX(TabRFR[[2021]:[2025]],MATCH(BD!W505&amp;"-Très modestes",TabRFR[Recherche RFR],0),MATCH(TEXT(YEAR(BD!D505),"Standard"),TabRFR[[#Headers],[2021]:[2025]],0)),"Très Modeste",IF(X505&lt;=INDEX(TabRFR[[2021]:[2025]],MATCH(BD!W505&amp;"-modestes",TabRFR[Recherche RFR],0),MATCH(TEXT(YEAR(BD!D505),"Standard"),TabRFR[[#Headers],[2021]:[2025]],0)),"Modeste",IF(X505&lt;=INDEX(TabRFR[[2021]:[2025]],MATCH(BD!W505&amp;"-Intermédiaire",TabRFR[Recherche RFR],0),MATCH(TEXT(YEAR(BD!D505),"Standard"),TabRFR[[#Headers],[2021]:[2025]],0)),"Intermédiaire","Supérieur")))))),IF(D505="","",IF(W505+X505&lt;15,"Données Nb pers ou RFR manquantes",IF(COUNTA(INDIRECT("TabRFR["&amp;YEAR(I505)&amp;"]"))&lt;&gt;COUNTA(TabRFR[Recherche RFR]),"Data RFR manquantes", IF(X505&lt;=INDEX(TabRFR[[2021]:[2025]],MATCH(BD!W505&amp;"-Très modestes",TabRFR[Recherche RFR],0),MATCH(TEXT(YEAR(BD!I505),"Standard"),TabRFR[[#Headers],[2021]:[2025]],0)),"Très Modeste",IF(X505&lt;=INDEX(TabRFR[[2021]:[2025]],MATCH(BD!W505&amp;"-modestes",TabRFR[Recherche RFR],0),MATCH(TEXT(YEAR(BD!I505),"Standard"),TabRFR[[#Headers],[2021]:[2025]],0)),"Modeste",IF(X505&lt;=INDEX(TabRFR[[2021]:[2025]],MATCH(BD!W505&amp;"-Intermédiaire",TabRFR[Recherche RFR],0),MATCH(TEXT(YEAR(BD!I505),"Standard"),TabRFR[[#Headers],[2021]:[2025]],0)),"Intermédiaire","Supérieur")))))))</f>
        <v>Data RFR manquantes</v>
      </c>
      <c r="Z505" s="77"/>
      <c r="AA505" s="77" t="s">
        <v>2322</v>
      </c>
      <c r="AB505" s="77">
        <v>38140</v>
      </c>
      <c r="AC505" s="77" t="s">
        <v>321</v>
      </c>
      <c r="AD505" s="78"/>
      <c r="AE505" s="102"/>
      <c r="AF505" s="77" t="s">
        <v>95</v>
      </c>
      <c r="AG505" s="77"/>
      <c r="AH505" s="77"/>
      <c r="AI505" s="77"/>
      <c r="AJ505" s="77"/>
      <c r="AK505" s="77"/>
      <c r="AL505" s="77"/>
      <c r="AM505" s="77" t="s">
        <v>4357</v>
      </c>
      <c r="AN505" s="77" t="s">
        <v>4109</v>
      </c>
      <c r="AO505" s="77" t="s">
        <v>3339</v>
      </c>
      <c r="AP505" s="77" t="s">
        <v>97</v>
      </c>
      <c r="AQ505" s="77" t="s">
        <v>154</v>
      </c>
      <c r="AR505" s="79">
        <v>43903</v>
      </c>
      <c r="AS505" s="102" t="s">
        <v>156</v>
      </c>
      <c r="AT505" s="78" t="s">
        <v>722</v>
      </c>
      <c r="AU505" s="77" t="s">
        <v>111</v>
      </c>
      <c r="AV505" s="77"/>
      <c r="AW505" s="77" t="s">
        <v>100</v>
      </c>
      <c r="AX505" s="75" t="s">
        <v>2071</v>
      </c>
      <c r="AY505" s="77" t="s">
        <v>157</v>
      </c>
      <c r="AZ505" s="77" t="s">
        <v>3338</v>
      </c>
      <c r="BA505" s="77">
        <v>14</v>
      </c>
      <c r="BB505" s="77">
        <v>11</v>
      </c>
      <c r="BC505" s="77">
        <v>89</v>
      </c>
      <c r="BD505" s="77">
        <v>2E-3</v>
      </c>
      <c r="BE505" s="77" t="s">
        <v>97</v>
      </c>
      <c r="BF505" s="77"/>
      <c r="BG505" s="77">
        <v>2279.25</v>
      </c>
      <c r="BH505" s="77"/>
      <c r="BI505" s="77"/>
      <c r="BJ505" s="77"/>
      <c r="BK505" s="77">
        <v>1623.57</v>
      </c>
      <c r="BL505" s="75">
        <f t="shared" si="21"/>
        <v>3902.8199999999997</v>
      </c>
      <c r="BM505" s="103">
        <f t="shared" si="22"/>
        <v>214.65509999999998</v>
      </c>
      <c r="BN505" s="103">
        <f t="shared" si="23"/>
        <v>4117.4750999999997</v>
      </c>
      <c r="BO505" s="80"/>
      <c r="BP505" s="77" t="s">
        <v>97</v>
      </c>
      <c r="BQ505" s="77"/>
      <c r="BR505" s="77"/>
      <c r="BS505" s="157">
        <v>2019</v>
      </c>
      <c r="BU505">
        <v>2019</v>
      </c>
    </row>
    <row r="506" spans="1:73" ht="43.15" customHeight="1" x14ac:dyDescent="0.25">
      <c r="A506" s="241" t="s">
        <v>3305</v>
      </c>
      <c r="B506" s="241" t="s">
        <v>3337</v>
      </c>
      <c r="C506" s="163">
        <v>400</v>
      </c>
      <c r="D506" s="76">
        <v>43544</v>
      </c>
      <c r="E506" s="76">
        <v>43549</v>
      </c>
      <c r="F506" s="76" t="s">
        <v>9</v>
      </c>
      <c r="G506" s="76" t="s">
        <v>9</v>
      </c>
      <c r="H506" s="76">
        <v>43565</v>
      </c>
      <c r="I506" s="76">
        <v>43565</v>
      </c>
      <c r="J506" s="76">
        <v>43574</v>
      </c>
      <c r="K506" s="218"/>
      <c r="L506" s="76">
        <v>43773</v>
      </c>
      <c r="M506" s="76">
        <v>43672</v>
      </c>
      <c r="N506" s="76" t="s">
        <v>9</v>
      </c>
      <c r="O506" s="76">
        <v>43775</v>
      </c>
      <c r="P506" s="76">
        <v>43775</v>
      </c>
      <c r="Q506" s="76">
        <v>43787</v>
      </c>
      <c r="R506" s="82"/>
      <c r="S506" s="76"/>
      <c r="T506" s="77"/>
      <c r="U506" s="77"/>
      <c r="V506" s="77"/>
      <c r="W506" s="77">
        <v>2</v>
      </c>
      <c r="X506" s="77">
        <v>56353</v>
      </c>
      <c r="Y506" s="75" t="str">
        <f ca="1">IF(I506="",IF(D506="","",IF(W506+X506&lt;15,"Données Nb pers ou RFR manquantes",IF(COUNTA(INDIRECT("TabRFR["&amp;YEAR(D506)&amp;"]"))&lt;&gt;COUNTA(TabRFR[Recherche RFR]),"Data RFR manquantes", IF(X506&lt;=INDEX(TabRFR[[2021]:[2025]],MATCH(BD!W506&amp;"-Très modestes",TabRFR[Recherche RFR],0),MATCH(TEXT(YEAR(BD!D506),"Standard"),TabRFR[[#Headers],[2021]:[2025]],0)),"Très Modeste",IF(X506&lt;=INDEX(TabRFR[[2021]:[2025]],MATCH(BD!W506&amp;"-modestes",TabRFR[Recherche RFR],0),MATCH(TEXT(YEAR(BD!D506),"Standard"),TabRFR[[#Headers],[2021]:[2025]],0)),"Modeste",IF(X506&lt;=INDEX(TabRFR[[2021]:[2025]],MATCH(BD!W506&amp;"-Intermédiaire",TabRFR[Recherche RFR],0),MATCH(TEXT(YEAR(BD!D506),"Standard"),TabRFR[[#Headers],[2021]:[2025]],0)),"Intermédiaire","Supérieur")))))),IF(D506="","",IF(W506+X506&lt;15,"Données Nb pers ou RFR manquantes",IF(COUNTA(INDIRECT("TabRFR["&amp;YEAR(I506)&amp;"]"))&lt;&gt;COUNTA(TabRFR[Recherche RFR]),"Data RFR manquantes", IF(X506&lt;=INDEX(TabRFR[[2021]:[2025]],MATCH(BD!W506&amp;"-Très modestes",TabRFR[Recherche RFR],0),MATCH(TEXT(YEAR(BD!I506),"Standard"),TabRFR[[#Headers],[2021]:[2025]],0)),"Très Modeste",IF(X506&lt;=INDEX(TabRFR[[2021]:[2025]],MATCH(BD!W506&amp;"-modestes",TabRFR[Recherche RFR],0),MATCH(TEXT(YEAR(BD!I506),"Standard"),TabRFR[[#Headers],[2021]:[2025]],0)),"Modeste",IF(X506&lt;=INDEX(TabRFR[[2021]:[2025]],MATCH(BD!W506&amp;"-Intermédiaire",TabRFR[Recherche RFR],0),MATCH(TEXT(YEAR(BD!I506),"Standard"),TabRFR[[#Headers],[2021]:[2025]],0)),"Intermédiaire","Supérieur")))))))</f>
        <v>Data RFR manquantes</v>
      </c>
      <c r="Z506" s="77"/>
      <c r="AA506" s="77" t="s">
        <v>3336</v>
      </c>
      <c r="AB506" s="77">
        <v>38140</v>
      </c>
      <c r="AC506" s="77" t="s">
        <v>3048</v>
      </c>
      <c r="AD506" s="78"/>
      <c r="AE506" s="102"/>
      <c r="AF506" s="77" t="s">
        <v>95</v>
      </c>
      <c r="AG506" s="77"/>
      <c r="AH506" s="77">
        <v>2018</v>
      </c>
      <c r="AI506" s="77"/>
      <c r="AJ506" s="77"/>
      <c r="AK506" s="77"/>
      <c r="AL506" s="77"/>
      <c r="AM506" s="77" t="s">
        <v>4130</v>
      </c>
      <c r="AN506" s="77" t="s">
        <v>4349</v>
      </c>
      <c r="AO506" s="77" t="s">
        <v>336</v>
      </c>
      <c r="AP506" s="77" t="s">
        <v>97</v>
      </c>
      <c r="AQ506" s="77"/>
      <c r="AR506" s="79">
        <v>43545</v>
      </c>
      <c r="AS506" s="102" t="s">
        <v>337</v>
      </c>
      <c r="AT506" s="78" t="s">
        <v>691</v>
      </c>
      <c r="AU506" s="77" t="s">
        <v>111</v>
      </c>
      <c r="AV506" s="77">
        <v>1990</v>
      </c>
      <c r="AW506" s="77" t="s">
        <v>111</v>
      </c>
      <c r="AX506" s="77" t="s">
        <v>112</v>
      </c>
      <c r="AY506" s="77" t="s">
        <v>338</v>
      </c>
      <c r="AZ506" s="77">
        <v>787</v>
      </c>
      <c r="BA506" s="77">
        <v>25</v>
      </c>
      <c r="BB506" s="77">
        <v>14</v>
      </c>
      <c r="BC506" s="77">
        <v>76</v>
      </c>
      <c r="BD506" s="77">
        <v>0.09</v>
      </c>
      <c r="BE506" s="77" t="s">
        <v>97</v>
      </c>
      <c r="BF506" s="77"/>
      <c r="BG506" s="77">
        <v>3068</v>
      </c>
      <c r="BH506" s="77"/>
      <c r="BI506" s="77"/>
      <c r="BJ506" s="77"/>
      <c r="BK506" s="77">
        <v>1191</v>
      </c>
      <c r="BL506" s="75">
        <f t="shared" si="21"/>
        <v>4259</v>
      </c>
      <c r="BM506" s="103">
        <f t="shared" si="22"/>
        <v>234.245</v>
      </c>
      <c r="BN506" s="103">
        <f t="shared" si="23"/>
        <v>4493.2449999999999</v>
      </c>
      <c r="BO506" s="80">
        <v>9600</v>
      </c>
      <c r="BP506" s="77" t="s">
        <v>97</v>
      </c>
      <c r="BQ506" s="77"/>
      <c r="BR506" s="77"/>
      <c r="BS506" s="157">
        <v>2019</v>
      </c>
      <c r="BT506" s="235">
        <v>43770</v>
      </c>
      <c r="BU506">
        <v>2019</v>
      </c>
    </row>
    <row r="507" spans="1:73" ht="43.15" customHeight="1" x14ac:dyDescent="0.25">
      <c r="A507" s="241" t="s">
        <v>3305</v>
      </c>
      <c r="B507" s="241" t="s">
        <v>3335</v>
      </c>
      <c r="C507" s="163">
        <v>400</v>
      </c>
      <c r="D507" s="76">
        <v>43544</v>
      </c>
      <c r="E507" s="76">
        <v>43549</v>
      </c>
      <c r="F507" s="76" t="s">
        <v>9</v>
      </c>
      <c r="G507" s="76" t="s">
        <v>9</v>
      </c>
      <c r="H507" s="76">
        <v>43565</v>
      </c>
      <c r="I507" s="76">
        <v>43565</v>
      </c>
      <c r="J507" s="76">
        <v>43574</v>
      </c>
      <c r="K507" s="218"/>
      <c r="L507" s="76">
        <v>43781</v>
      </c>
      <c r="M507" s="76">
        <v>43761</v>
      </c>
      <c r="N507" s="76" t="s">
        <v>9</v>
      </c>
      <c r="O507" s="76">
        <v>43782</v>
      </c>
      <c r="P507" s="76">
        <v>43782</v>
      </c>
      <c r="Q507" s="76">
        <v>43787</v>
      </c>
      <c r="R507" s="82"/>
      <c r="S507" s="76"/>
      <c r="T507" s="77"/>
      <c r="U507" s="77"/>
      <c r="V507" s="77"/>
      <c r="W507" s="77">
        <v>3</v>
      </c>
      <c r="X507" s="77">
        <v>93305</v>
      </c>
      <c r="Y507" s="75" t="str">
        <f ca="1">IF(I507="",IF(D507="","",IF(W507+X507&lt;15,"Données Nb pers ou RFR manquantes",IF(COUNTA(INDIRECT("TabRFR["&amp;YEAR(D507)&amp;"]"))&lt;&gt;COUNTA(TabRFR[Recherche RFR]),"Data RFR manquantes", IF(X507&lt;=INDEX(TabRFR[[2021]:[2025]],MATCH(BD!W507&amp;"-Très modestes",TabRFR[Recherche RFR],0),MATCH(TEXT(YEAR(BD!D507),"Standard"),TabRFR[[#Headers],[2021]:[2025]],0)),"Très Modeste",IF(X507&lt;=INDEX(TabRFR[[2021]:[2025]],MATCH(BD!W507&amp;"-modestes",TabRFR[Recherche RFR],0),MATCH(TEXT(YEAR(BD!D507),"Standard"),TabRFR[[#Headers],[2021]:[2025]],0)),"Modeste",IF(X507&lt;=INDEX(TabRFR[[2021]:[2025]],MATCH(BD!W507&amp;"-Intermédiaire",TabRFR[Recherche RFR],0),MATCH(TEXT(YEAR(BD!D507),"Standard"),TabRFR[[#Headers],[2021]:[2025]],0)),"Intermédiaire","Supérieur")))))),IF(D507="","",IF(W507+X507&lt;15,"Données Nb pers ou RFR manquantes",IF(COUNTA(INDIRECT("TabRFR["&amp;YEAR(I507)&amp;"]"))&lt;&gt;COUNTA(TabRFR[Recherche RFR]),"Data RFR manquantes", IF(X507&lt;=INDEX(TabRFR[[2021]:[2025]],MATCH(BD!W507&amp;"-Très modestes",TabRFR[Recherche RFR],0),MATCH(TEXT(YEAR(BD!I507),"Standard"),TabRFR[[#Headers],[2021]:[2025]],0)),"Très Modeste",IF(X507&lt;=INDEX(TabRFR[[2021]:[2025]],MATCH(BD!W507&amp;"-modestes",TabRFR[Recherche RFR],0),MATCH(TEXT(YEAR(BD!I507),"Standard"),TabRFR[[#Headers],[2021]:[2025]],0)),"Modeste",IF(X507&lt;=INDEX(TabRFR[[2021]:[2025]],MATCH(BD!W507&amp;"-Intermédiaire",TabRFR[Recherche RFR],0),MATCH(TEXT(YEAR(BD!I507),"Standard"),TabRFR[[#Headers],[2021]:[2025]],0)),"Intermédiaire","Supérieur")))))))</f>
        <v>Data RFR manquantes</v>
      </c>
      <c r="Z507" s="77"/>
      <c r="AA507" s="77" t="s">
        <v>3334</v>
      </c>
      <c r="AB507" s="77">
        <v>38730</v>
      </c>
      <c r="AC507" s="77" t="s">
        <v>4304</v>
      </c>
      <c r="AD507" s="78"/>
      <c r="AE507" s="102"/>
      <c r="AF507" s="77" t="s">
        <v>95</v>
      </c>
      <c r="AG507" s="77"/>
      <c r="AH507" s="77"/>
      <c r="AI507" s="77"/>
      <c r="AJ507" s="77"/>
      <c r="AK507" s="77"/>
      <c r="AL507" s="77"/>
      <c r="AM507" s="77" t="s">
        <v>4354</v>
      </c>
      <c r="AN507" s="77" t="s">
        <v>3333</v>
      </c>
      <c r="AO507" s="77" t="s">
        <v>3332</v>
      </c>
      <c r="AP507" s="77" t="s">
        <v>97</v>
      </c>
      <c r="AQ507" s="77"/>
      <c r="AR507" s="79">
        <v>43667</v>
      </c>
      <c r="AS507" s="102" t="s">
        <v>2176</v>
      </c>
      <c r="AT507" s="78" t="s">
        <v>3331</v>
      </c>
      <c r="AU507" s="77" t="s">
        <v>99</v>
      </c>
      <c r="AV507" s="77">
        <v>1993</v>
      </c>
      <c r="AW507" s="77" t="s">
        <v>100</v>
      </c>
      <c r="AX507" s="77" t="s">
        <v>112</v>
      </c>
      <c r="AY507" s="77" t="s">
        <v>3330</v>
      </c>
      <c r="AZ507" s="77" t="s">
        <v>3329</v>
      </c>
      <c r="BA507" s="77">
        <v>18</v>
      </c>
      <c r="BB507" s="77">
        <v>6.4</v>
      </c>
      <c r="BC507" s="77">
        <v>81.7</v>
      </c>
      <c r="BD507" s="77">
        <v>7.0000000000000007E-2</v>
      </c>
      <c r="BE507" s="77" t="s">
        <v>374</v>
      </c>
      <c r="BF507" s="77"/>
      <c r="BG507" s="77">
        <v>3990</v>
      </c>
      <c r="BH507" s="77"/>
      <c r="BI507" s="77"/>
      <c r="BJ507" s="77"/>
      <c r="BK507" s="77">
        <v>1490</v>
      </c>
      <c r="BL507" s="75">
        <f t="shared" si="21"/>
        <v>5480</v>
      </c>
      <c r="BM507" s="103">
        <f t="shared" si="22"/>
        <v>301.39999999999998</v>
      </c>
      <c r="BN507" s="103">
        <f t="shared" si="23"/>
        <v>5781.4</v>
      </c>
      <c r="BO507" s="80">
        <v>9487.1200000000008</v>
      </c>
      <c r="BP507" s="77" t="s">
        <v>97</v>
      </c>
      <c r="BQ507" s="77"/>
      <c r="BR507" s="77"/>
      <c r="BS507" s="157">
        <v>2019</v>
      </c>
      <c r="BT507" s="235">
        <v>43770</v>
      </c>
      <c r="BU507">
        <v>2019</v>
      </c>
    </row>
    <row r="508" spans="1:73" ht="43.15" customHeight="1" x14ac:dyDescent="0.25">
      <c r="A508" s="241" t="s">
        <v>3305</v>
      </c>
      <c r="B508" s="241" t="s">
        <v>3328</v>
      </c>
      <c r="C508" s="163">
        <v>800</v>
      </c>
      <c r="D508" s="76">
        <v>43546</v>
      </c>
      <c r="E508" s="76"/>
      <c r="F508" s="76">
        <v>17998</v>
      </c>
      <c r="G508" s="76" t="s">
        <v>9</v>
      </c>
      <c r="H508" s="76">
        <v>43579</v>
      </c>
      <c r="I508" s="76">
        <v>43579</v>
      </c>
      <c r="J508" s="76">
        <v>43591</v>
      </c>
      <c r="K508" s="218"/>
      <c r="L508" s="76">
        <v>43622</v>
      </c>
      <c r="M508" s="76">
        <v>43604</v>
      </c>
      <c r="N508" s="76"/>
      <c r="O508" s="76">
        <v>43633</v>
      </c>
      <c r="P508" s="76"/>
      <c r="Q508" s="76">
        <v>43671</v>
      </c>
      <c r="R508" s="82"/>
      <c r="S508" s="76"/>
      <c r="T508" s="77"/>
      <c r="U508" s="77"/>
      <c r="V508" s="77"/>
      <c r="W508" s="77">
        <v>2</v>
      </c>
      <c r="X508" s="77">
        <v>18248</v>
      </c>
      <c r="Y508" s="75" t="str">
        <f ca="1">IF(I508="",IF(D508="","",IF(W508+X508&lt;15,"Données Nb pers ou RFR manquantes",IF(COUNTA(INDIRECT("TabRFR["&amp;YEAR(D508)&amp;"]"))&lt;&gt;COUNTA(TabRFR[Recherche RFR]),"Data RFR manquantes", IF(X508&lt;=INDEX(TabRFR[[2021]:[2025]],MATCH(BD!W508&amp;"-Très modestes",TabRFR[Recherche RFR],0),MATCH(TEXT(YEAR(BD!D508),"Standard"),TabRFR[[#Headers],[2021]:[2025]],0)),"Très Modeste",IF(X508&lt;=INDEX(TabRFR[[2021]:[2025]],MATCH(BD!W508&amp;"-modestes",TabRFR[Recherche RFR],0),MATCH(TEXT(YEAR(BD!D508),"Standard"),TabRFR[[#Headers],[2021]:[2025]],0)),"Modeste",IF(X508&lt;=INDEX(TabRFR[[2021]:[2025]],MATCH(BD!W508&amp;"-Intermédiaire",TabRFR[Recherche RFR],0),MATCH(TEXT(YEAR(BD!D508),"Standard"),TabRFR[[#Headers],[2021]:[2025]],0)),"Intermédiaire","Supérieur")))))),IF(D508="","",IF(W508+X508&lt;15,"Données Nb pers ou RFR manquantes",IF(COUNTA(INDIRECT("TabRFR["&amp;YEAR(I508)&amp;"]"))&lt;&gt;COUNTA(TabRFR[Recherche RFR]),"Data RFR manquantes", IF(X508&lt;=INDEX(TabRFR[[2021]:[2025]],MATCH(BD!W508&amp;"-Très modestes",TabRFR[Recherche RFR],0),MATCH(TEXT(YEAR(BD!I508),"Standard"),TabRFR[[#Headers],[2021]:[2025]],0)),"Très Modeste",IF(X508&lt;=INDEX(TabRFR[[2021]:[2025]],MATCH(BD!W508&amp;"-modestes",TabRFR[Recherche RFR],0),MATCH(TEXT(YEAR(BD!I508),"Standard"),TabRFR[[#Headers],[2021]:[2025]],0)),"Modeste",IF(X508&lt;=INDEX(TabRFR[[2021]:[2025]],MATCH(BD!W508&amp;"-Intermédiaire",TabRFR[Recherche RFR],0),MATCH(TEXT(YEAR(BD!I508),"Standard"),TabRFR[[#Headers],[2021]:[2025]],0)),"Intermédiaire","Supérieur")))))))</f>
        <v>Data RFR manquantes</v>
      </c>
      <c r="Z508" s="77"/>
      <c r="AA508" s="77" t="s">
        <v>3327</v>
      </c>
      <c r="AB508" s="77">
        <v>38850</v>
      </c>
      <c r="AC508" s="77" t="s">
        <v>4304</v>
      </c>
      <c r="AD508" s="78"/>
      <c r="AE508" s="102"/>
      <c r="AF508" s="77" t="s">
        <v>95</v>
      </c>
      <c r="AG508" s="77"/>
      <c r="AH508" s="77"/>
      <c r="AI508" s="77"/>
      <c r="AJ508" s="77"/>
      <c r="AK508" s="77"/>
      <c r="AL508" s="77"/>
      <c r="AM508" s="77" t="s">
        <v>4236</v>
      </c>
      <c r="AN508" s="77" t="s">
        <v>4091</v>
      </c>
      <c r="AO508" s="77" t="s">
        <v>163</v>
      </c>
      <c r="AP508" s="77" t="s">
        <v>97</v>
      </c>
      <c r="AQ508" s="77"/>
      <c r="AR508" s="79">
        <v>43725</v>
      </c>
      <c r="AS508" s="102" t="s">
        <v>164</v>
      </c>
      <c r="AT508" s="78" t="s">
        <v>608</v>
      </c>
      <c r="AU508" s="77" t="s">
        <v>111</v>
      </c>
      <c r="AV508" s="77" t="s">
        <v>1088</v>
      </c>
      <c r="AW508" s="77" t="s">
        <v>111</v>
      </c>
      <c r="AX508" s="75" t="s">
        <v>2071</v>
      </c>
      <c r="AY508" s="77" t="s">
        <v>440</v>
      </c>
      <c r="AZ508" s="77" t="s">
        <v>3326</v>
      </c>
      <c r="BA508" s="77">
        <v>19</v>
      </c>
      <c r="BB508" s="77">
        <v>9</v>
      </c>
      <c r="BC508" s="77">
        <v>90.7</v>
      </c>
      <c r="BD508" s="77">
        <v>0.01</v>
      </c>
      <c r="BE508" s="77" t="s">
        <v>97</v>
      </c>
      <c r="BF508" s="77"/>
      <c r="BG508" s="77">
        <v>3935</v>
      </c>
      <c r="BH508" s="77"/>
      <c r="BI508" s="77"/>
      <c r="BJ508" s="77"/>
      <c r="BK508" s="77">
        <v>790</v>
      </c>
      <c r="BL508" s="75">
        <f t="shared" si="21"/>
        <v>4725</v>
      </c>
      <c r="BM508" s="103">
        <f t="shared" si="22"/>
        <v>259.875</v>
      </c>
      <c r="BN508" s="103">
        <f t="shared" si="23"/>
        <v>4984.875</v>
      </c>
      <c r="BO508" s="80">
        <v>4984</v>
      </c>
      <c r="BP508" s="77" t="s">
        <v>97</v>
      </c>
      <c r="BQ508" s="77"/>
      <c r="BR508" s="77"/>
      <c r="BS508" s="157">
        <v>2019</v>
      </c>
      <c r="BU508">
        <v>2019</v>
      </c>
    </row>
    <row r="509" spans="1:73" ht="43.15" customHeight="1" x14ac:dyDescent="0.25">
      <c r="A509" s="241" t="s">
        <v>3305</v>
      </c>
      <c r="B509" s="241" t="s">
        <v>3325</v>
      </c>
      <c r="C509" s="163">
        <v>400</v>
      </c>
      <c r="D509" s="76">
        <v>43550</v>
      </c>
      <c r="E509" s="76">
        <v>43563</v>
      </c>
      <c r="F509" s="76"/>
      <c r="G509" s="76"/>
      <c r="H509" s="76">
        <v>43566</v>
      </c>
      <c r="I509" s="76">
        <v>43566</v>
      </c>
      <c r="J509" s="76">
        <v>43574</v>
      </c>
      <c r="K509" s="218"/>
      <c r="L509" s="76">
        <v>43649</v>
      </c>
      <c r="M509" s="76">
        <v>43638</v>
      </c>
      <c r="N509" s="76"/>
      <c r="O509" s="76">
        <v>43691</v>
      </c>
      <c r="P509" s="76">
        <v>43691</v>
      </c>
      <c r="Q509" s="76">
        <v>43712</v>
      </c>
      <c r="R509" s="82"/>
      <c r="S509" s="76"/>
      <c r="T509" s="77"/>
      <c r="U509" s="77"/>
      <c r="V509" s="77"/>
      <c r="W509" s="77">
        <v>5</v>
      </c>
      <c r="X509" s="77">
        <v>50512</v>
      </c>
      <c r="Y509" s="75" t="str">
        <f ca="1">IF(I509="",IF(D509="","",IF(W509+X509&lt;15,"Données Nb pers ou RFR manquantes",IF(COUNTA(INDIRECT("TabRFR["&amp;YEAR(D509)&amp;"]"))&lt;&gt;COUNTA(TabRFR[Recherche RFR]),"Data RFR manquantes", IF(X509&lt;=INDEX(TabRFR[[2021]:[2025]],MATCH(BD!W509&amp;"-Très modestes",TabRFR[Recherche RFR],0),MATCH(TEXT(YEAR(BD!D509),"Standard"),TabRFR[[#Headers],[2021]:[2025]],0)),"Très Modeste",IF(X509&lt;=INDEX(TabRFR[[2021]:[2025]],MATCH(BD!W509&amp;"-modestes",TabRFR[Recherche RFR],0),MATCH(TEXT(YEAR(BD!D509),"Standard"),TabRFR[[#Headers],[2021]:[2025]],0)),"Modeste",IF(X509&lt;=INDEX(TabRFR[[2021]:[2025]],MATCH(BD!W509&amp;"-Intermédiaire",TabRFR[Recherche RFR],0),MATCH(TEXT(YEAR(BD!D509),"Standard"),TabRFR[[#Headers],[2021]:[2025]],0)),"Intermédiaire","Supérieur")))))),IF(D509="","",IF(W509+X509&lt;15,"Données Nb pers ou RFR manquantes",IF(COUNTA(INDIRECT("TabRFR["&amp;YEAR(I509)&amp;"]"))&lt;&gt;COUNTA(TabRFR[Recherche RFR]),"Data RFR manquantes", IF(X509&lt;=INDEX(TabRFR[[2021]:[2025]],MATCH(BD!W509&amp;"-Très modestes",TabRFR[Recherche RFR],0),MATCH(TEXT(YEAR(BD!I509),"Standard"),TabRFR[[#Headers],[2021]:[2025]],0)),"Très Modeste",IF(X509&lt;=INDEX(TabRFR[[2021]:[2025]],MATCH(BD!W509&amp;"-modestes",TabRFR[Recherche RFR],0),MATCH(TEXT(YEAR(BD!I509),"Standard"),TabRFR[[#Headers],[2021]:[2025]],0)),"Modeste",IF(X509&lt;=INDEX(TabRFR[[2021]:[2025]],MATCH(BD!W509&amp;"-Intermédiaire",TabRFR[Recherche RFR],0),MATCH(TEXT(YEAR(BD!I509),"Standard"),TabRFR[[#Headers],[2021]:[2025]],0)),"Intermédiaire","Supérieur")))))))</f>
        <v>Data RFR manquantes</v>
      </c>
      <c r="Z509" s="77"/>
      <c r="AA509" s="77" t="s">
        <v>3324</v>
      </c>
      <c r="AB509" s="77">
        <v>38500</v>
      </c>
      <c r="AC509" s="77" t="s">
        <v>96</v>
      </c>
      <c r="AD509" s="78"/>
      <c r="AE509" s="102"/>
      <c r="AF509" s="77" t="s">
        <v>95</v>
      </c>
      <c r="AG509" s="77"/>
      <c r="AH509" s="77"/>
      <c r="AI509" s="77"/>
      <c r="AJ509" s="77"/>
      <c r="AK509" s="77"/>
      <c r="AL509" s="77"/>
      <c r="AM509" s="77" t="s">
        <v>4356</v>
      </c>
      <c r="AN509" s="77" t="s">
        <v>96</v>
      </c>
      <c r="AO509" s="77" t="s">
        <v>119</v>
      </c>
      <c r="AP509" s="77" t="s">
        <v>97</v>
      </c>
      <c r="AQ509" s="77"/>
      <c r="AR509" s="79">
        <v>43772</v>
      </c>
      <c r="AS509" s="102" t="s">
        <v>120</v>
      </c>
      <c r="AT509" s="78" t="s">
        <v>658</v>
      </c>
      <c r="AU509" s="77" t="s">
        <v>2317</v>
      </c>
      <c r="AV509" s="77">
        <v>1960</v>
      </c>
      <c r="AW509" s="77" t="s">
        <v>100</v>
      </c>
      <c r="AX509" s="77" t="s">
        <v>112</v>
      </c>
      <c r="AY509" s="77" t="s">
        <v>190</v>
      </c>
      <c r="AZ509" s="77" t="s">
        <v>3323</v>
      </c>
      <c r="BA509" s="77">
        <v>33</v>
      </c>
      <c r="BB509" s="77">
        <v>5</v>
      </c>
      <c r="BC509" s="77">
        <v>80.2</v>
      </c>
      <c r="BD509" s="77">
        <v>0.08</v>
      </c>
      <c r="BE509" s="77" t="s">
        <v>97</v>
      </c>
      <c r="BF509" s="77"/>
      <c r="BG509" s="77">
        <v>1986.09</v>
      </c>
      <c r="BH509" s="77"/>
      <c r="BI509" s="77"/>
      <c r="BJ509" s="77"/>
      <c r="BK509" s="77">
        <v>250</v>
      </c>
      <c r="BL509" s="75">
        <f t="shared" si="21"/>
        <v>2236.09</v>
      </c>
      <c r="BM509" s="103">
        <f t="shared" si="22"/>
        <v>122.98495000000001</v>
      </c>
      <c r="BN509" s="103">
        <f t="shared" si="23"/>
        <v>2359.0749500000002</v>
      </c>
      <c r="BO509" s="80">
        <f>(490+2037)*1.055</f>
        <v>2665.9849999999997</v>
      </c>
      <c r="BP509" s="77" t="s">
        <v>97</v>
      </c>
      <c r="BQ509" s="77"/>
      <c r="BR509" s="77"/>
      <c r="BS509" s="157">
        <v>2019</v>
      </c>
      <c r="BT509" s="235">
        <v>43770</v>
      </c>
      <c r="BU509">
        <v>2019</v>
      </c>
    </row>
    <row r="510" spans="1:73" ht="43.15" customHeight="1" x14ac:dyDescent="0.25">
      <c r="A510" s="241" t="s">
        <v>3305</v>
      </c>
      <c r="B510" s="241" t="s">
        <v>3322</v>
      </c>
      <c r="C510" s="163">
        <v>400</v>
      </c>
      <c r="D510" s="76">
        <v>43551</v>
      </c>
      <c r="E510" s="76">
        <v>43563</v>
      </c>
      <c r="F510" s="76" t="s">
        <v>9</v>
      </c>
      <c r="G510" s="76" t="s">
        <v>9</v>
      </c>
      <c r="H510" s="76">
        <v>43566</v>
      </c>
      <c r="I510" s="76">
        <v>43566</v>
      </c>
      <c r="J510" s="76">
        <v>43574</v>
      </c>
      <c r="K510" s="218"/>
      <c r="L510" s="76">
        <v>43762</v>
      </c>
      <c r="M510" s="76">
        <v>43590</v>
      </c>
      <c r="N510" s="76" t="s">
        <v>9</v>
      </c>
      <c r="O510" s="76">
        <v>43775</v>
      </c>
      <c r="P510" s="76">
        <v>43775</v>
      </c>
      <c r="Q510" s="76">
        <v>43787</v>
      </c>
      <c r="R510" s="82"/>
      <c r="S510" s="76"/>
      <c r="T510" s="77"/>
      <c r="U510" s="77"/>
      <c r="V510" s="77"/>
      <c r="W510" s="77">
        <v>4</v>
      </c>
      <c r="X510" s="77">
        <v>68610</v>
      </c>
      <c r="Y510" s="75" t="str">
        <f ca="1">IF(I510="",IF(D510="","",IF(W510+X510&lt;15,"Données Nb pers ou RFR manquantes",IF(COUNTA(INDIRECT("TabRFR["&amp;YEAR(D510)&amp;"]"))&lt;&gt;COUNTA(TabRFR[Recherche RFR]),"Data RFR manquantes", IF(X510&lt;=INDEX(TabRFR[[2021]:[2025]],MATCH(BD!W510&amp;"-Très modestes",TabRFR[Recherche RFR],0),MATCH(TEXT(YEAR(BD!D510),"Standard"),TabRFR[[#Headers],[2021]:[2025]],0)),"Très Modeste",IF(X510&lt;=INDEX(TabRFR[[2021]:[2025]],MATCH(BD!W510&amp;"-modestes",TabRFR[Recherche RFR],0),MATCH(TEXT(YEAR(BD!D510),"Standard"),TabRFR[[#Headers],[2021]:[2025]],0)),"Modeste",IF(X510&lt;=INDEX(TabRFR[[2021]:[2025]],MATCH(BD!W510&amp;"-Intermédiaire",TabRFR[Recherche RFR],0),MATCH(TEXT(YEAR(BD!D510),"Standard"),TabRFR[[#Headers],[2021]:[2025]],0)),"Intermédiaire","Supérieur")))))),IF(D510="","",IF(W510+X510&lt;15,"Données Nb pers ou RFR manquantes",IF(COUNTA(INDIRECT("TabRFR["&amp;YEAR(I510)&amp;"]"))&lt;&gt;COUNTA(TabRFR[Recherche RFR]),"Data RFR manquantes", IF(X510&lt;=INDEX(TabRFR[[2021]:[2025]],MATCH(BD!W510&amp;"-Très modestes",TabRFR[Recherche RFR],0),MATCH(TEXT(YEAR(BD!I510),"Standard"),TabRFR[[#Headers],[2021]:[2025]],0)),"Très Modeste",IF(X510&lt;=INDEX(TabRFR[[2021]:[2025]],MATCH(BD!W510&amp;"-modestes",TabRFR[Recherche RFR],0),MATCH(TEXT(YEAR(BD!I510),"Standard"),TabRFR[[#Headers],[2021]:[2025]],0)),"Modeste",IF(X510&lt;=INDEX(TabRFR[[2021]:[2025]],MATCH(BD!W510&amp;"-Intermédiaire",TabRFR[Recherche RFR],0),MATCH(TEXT(YEAR(BD!I510),"Standard"),TabRFR[[#Headers],[2021]:[2025]],0)),"Intermédiaire","Supérieur")))))))</f>
        <v>Data RFR manquantes</v>
      </c>
      <c r="Z510" s="77"/>
      <c r="AA510" s="77" t="s">
        <v>3321</v>
      </c>
      <c r="AB510" s="77">
        <v>38500</v>
      </c>
      <c r="AC510" s="77" t="s">
        <v>118</v>
      </c>
      <c r="AD510" s="78"/>
      <c r="AE510" s="102"/>
      <c r="AF510" s="77" t="s">
        <v>95</v>
      </c>
      <c r="AG510" s="77"/>
      <c r="AH510" s="77"/>
      <c r="AI510" s="77"/>
      <c r="AJ510" s="77"/>
      <c r="AK510" s="77"/>
      <c r="AL510" s="77"/>
      <c r="AM510" s="77" t="s">
        <v>4356</v>
      </c>
      <c r="AN510" s="77" t="s">
        <v>96</v>
      </c>
      <c r="AO510" s="77" t="s">
        <v>119</v>
      </c>
      <c r="AP510" s="77" t="s">
        <v>97</v>
      </c>
      <c r="AQ510" s="77"/>
      <c r="AR510" s="79">
        <v>43772</v>
      </c>
      <c r="AS510" s="102" t="s">
        <v>120</v>
      </c>
      <c r="AT510" s="78" t="s">
        <v>658</v>
      </c>
      <c r="AU510" s="77" t="s">
        <v>111</v>
      </c>
      <c r="AV510" s="77">
        <v>1980</v>
      </c>
      <c r="AW510" s="77" t="s">
        <v>100</v>
      </c>
      <c r="AX510" s="77" t="s">
        <v>112</v>
      </c>
      <c r="AY510" s="77" t="s">
        <v>907</v>
      </c>
      <c r="AZ510" s="77" t="s">
        <v>3320</v>
      </c>
      <c r="BA510" s="77">
        <v>29</v>
      </c>
      <c r="BB510" s="77">
        <v>8</v>
      </c>
      <c r="BC510" s="77">
        <v>80</v>
      </c>
      <c r="BD510" s="77">
        <v>0.03</v>
      </c>
      <c r="BE510" s="77" t="s">
        <v>374</v>
      </c>
      <c r="BF510" s="77"/>
      <c r="BG510" s="77">
        <v>3189.57</v>
      </c>
      <c r="BH510" s="77"/>
      <c r="BI510" s="77"/>
      <c r="BJ510" s="77"/>
      <c r="BK510" s="77">
        <v>450</v>
      </c>
      <c r="BL510" s="75">
        <f t="shared" si="21"/>
        <v>3639.57</v>
      </c>
      <c r="BM510" s="103">
        <f t="shared" si="22"/>
        <v>200.17635000000001</v>
      </c>
      <c r="BN510" s="103">
        <f t="shared" si="23"/>
        <v>3839.7463500000003</v>
      </c>
      <c r="BO510" s="80">
        <v>5000</v>
      </c>
      <c r="BP510" s="77" t="s">
        <v>104</v>
      </c>
      <c r="BQ510" s="77"/>
      <c r="BR510" s="77"/>
      <c r="BS510" s="157">
        <v>2019</v>
      </c>
      <c r="BT510" s="235">
        <v>43770</v>
      </c>
      <c r="BU510">
        <v>2019</v>
      </c>
    </row>
    <row r="511" spans="1:73" ht="43.15" customHeight="1" x14ac:dyDescent="0.25">
      <c r="A511" s="240" t="s">
        <v>3305</v>
      </c>
      <c r="B511" s="240" t="s">
        <v>3319</v>
      </c>
      <c r="C511" s="169" t="s">
        <v>9</v>
      </c>
      <c r="D511" s="146">
        <v>43558</v>
      </c>
      <c r="E511" s="146">
        <v>43563</v>
      </c>
      <c r="F511" s="76"/>
      <c r="G511" s="76" t="s">
        <v>3318</v>
      </c>
      <c r="H511" s="146"/>
      <c r="I511" s="146"/>
      <c r="J511" s="146"/>
      <c r="K511" s="221"/>
      <c r="L511" s="146"/>
      <c r="M511" s="146"/>
      <c r="N511" s="146"/>
      <c r="O511" s="146"/>
      <c r="P511" s="146"/>
      <c r="Q511" s="146"/>
      <c r="R511" s="148"/>
      <c r="S511" s="146">
        <v>43831</v>
      </c>
      <c r="T511" s="149"/>
      <c r="U511" s="149"/>
      <c r="V511" s="149"/>
      <c r="W511" s="149">
        <v>2</v>
      </c>
      <c r="X511" s="149"/>
      <c r="Y511" s="75" t="str">
        <f ca="1">IF(I511="",IF(D511="","",IF(W511+X511&lt;15,"Données Nb pers ou RFR manquantes",IF(COUNTA(INDIRECT("TabRFR["&amp;YEAR(D511)&amp;"]"))&lt;&gt;COUNTA(TabRFR[Recherche RFR]),"Data RFR manquantes", IF(X511&lt;=INDEX(TabRFR[[2021]:[2025]],MATCH(BD!W511&amp;"-Très modestes",TabRFR[Recherche RFR],0),MATCH(TEXT(YEAR(BD!D511),"Standard"),TabRFR[[#Headers],[2021]:[2025]],0)),"Très Modeste",IF(X511&lt;=INDEX(TabRFR[[2021]:[2025]],MATCH(BD!W511&amp;"-modestes",TabRFR[Recherche RFR],0),MATCH(TEXT(YEAR(BD!D511),"Standard"),TabRFR[[#Headers],[2021]:[2025]],0)),"Modeste",IF(X511&lt;=INDEX(TabRFR[[2021]:[2025]],MATCH(BD!W511&amp;"-Intermédiaire",TabRFR[Recherche RFR],0),MATCH(TEXT(YEAR(BD!D511),"Standard"),TabRFR[[#Headers],[2021]:[2025]],0)),"Intermédiaire","Supérieur")))))),IF(D511="","",IF(W511+X511&lt;15,"Données Nb pers ou RFR manquantes",IF(COUNTA(INDIRECT("TabRFR["&amp;YEAR(I511)&amp;"]"))&lt;&gt;COUNTA(TabRFR[Recherche RFR]),"Data RFR manquantes", IF(X511&lt;=INDEX(TabRFR[[2021]:[2025]],MATCH(BD!W511&amp;"-Très modestes",TabRFR[Recherche RFR],0),MATCH(TEXT(YEAR(BD!I511),"Standard"),TabRFR[[#Headers],[2021]:[2025]],0)),"Très Modeste",IF(X511&lt;=INDEX(TabRFR[[2021]:[2025]],MATCH(BD!W511&amp;"-modestes",TabRFR[Recherche RFR],0),MATCH(TEXT(YEAR(BD!I511),"Standard"),TabRFR[[#Headers],[2021]:[2025]],0)),"Modeste",IF(X511&lt;=INDEX(TabRFR[[2021]:[2025]],MATCH(BD!W511&amp;"-Intermédiaire",TabRFR[Recherche RFR],0),MATCH(TEXT(YEAR(BD!I511),"Standard"),TabRFR[[#Headers],[2021]:[2025]],0)),"Intermédiaire","Supérieur")))))))</f>
        <v>Données Nb pers ou RFR manquantes</v>
      </c>
      <c r="Z511" s="149"/>
      <c r="AA511" s="149" t="s">
        <v>4059</v>
      </c>
      <c r="AB511" s="149">
        <v>38210</v>
      </c>
      <c r="AC511" s="149" t="s">
        <v>3247</v>
      </c>
      <c r="AD511" s="150"/>
      <c r="AE511" s="102"/>
      <c r="AF511" s="149" t="s">
        <v>95</v>
      </c>
      <c r="AG511" s="149"/>
      <c r="AH511" s="149"/>
      <c r="AI511" s="149"/>
      <c r="AJ511" s="149"/>
      <c r="AK511" s="149"/>
      <c r="AL511" s="149"/>
      <c r="AM511" s="149" t="s">
        <v>464</v>
      </c>
      <c r="AN511" s="149"/>
      <c r="AO511" s="149"/>
      <c r="AP511" s="149"/>
      <c r="AQ511" s="149"/>
      <c r="AR511" s="151"/>
      <c r="AS511" s="102"/>
      <c r="AT511" s="150"/>
      <c r="AU511" s="149"/>
      <c r="AV511" s="149"/>
      <c r="AW511" s="149"/>
      <c r="AX511" s="149"/>
      <c r="AY511" s="149"/>
      <c r="AZ511" s="149"/>
      <c r="BA511" s="149"/>
      <c r="BB511" s="149"/>
      <c r="BC511" s="149"/>
      <c r="BD511" s="149"/>
      <c r="BE511" s="149"/>
      <c r="BF511" s="149"/>
      <c r="BG511" s="149"/>
      <c r="BH511" s="149"/>
      <c r="BI511" s="149"/>
      <c r="BJ511" s="149"/>
      <c r="BK511" s="149"/>
      <c r="BL511" s="75">
        <f t="shared" si="21"/>
        <v>0</v>
      </c>
      <c r="BM511" s="103">
        <f t="shared" si="22"/>
        <v>0</v>
      </c>
      <c r="BN511" s="103">
        <f t="shared" si="23"/>
        <v>0</v>
      </c>
      <c r="BO511" s="152"/>
      <c r="BP511" s="149"/>
      <c r="BQ511" s="149"/>
      <c r="BR511" s="149"/>
      <c r="BS511" s="157">
        <v>2019</v>
      </c>
      <c r="BU511" t="s">
        <v>4180</v>
      </c>
    </row>
    <row r="512" spans="1:73" ht="43.15" customHeight="1" x14ac:dyDescent="0.25">
      <c r="A512" s="241" t="s">
        <v>3317</v>
      </c>
      <c r="B512" s="241" t="s">
        <v>3316</v>
      </c>
      <c r="C512" s="163">
        <v>400</v>
      </c>
      <c r="D512" s="76">
        <v>43558</v>
      </c>
      <c r="E512" s="76">
        <v>43563</v>
      </c>
      <c r="F512" s="76">
        <v>43566</v>
      </c>
      <c r="G512" s="76" t="s">
        <v>3315</v>
      </c>
      <c r="H512" s="76">
        <v>43594</v>
      </c>
      <c r="I512" s="76">
        <v>43594</v>
      </c>
      <c r="J512" s="76">
        <v>43605</v>
      </c>
      <c r="K512" s="218"/>
      <c r="L512" s="76">
        <v>43731</v>
      </c>
      <c r="M512" s="76">
        <v>43677</v>
      </c>
      <c r="N512" s="76" t="s">
        <v>9</v>
      </c>
      <c r="O512" s="76">
        <v>43733</v>
      </c>
      <c r="P512" s="76">
        <v>43733</v>
      </c>
      <c r="Q512" s="76">
        <v>43747</v>
      </c>
      <c r="R512" s="82"/>
      <c r="S512" s="76"/>
      <c r="T512" s="77"/>
      <c r="U512" s="77"/>
      <c r="V512" s="77"/>
      <c r="W512" s="77">
        <v>3</v>
      </c>
      <c r="X512" s="77">
        <v>56046</v>
      </c>
      <c r="Y512" s="75" t="str">
        <f ca="1">IF(I512="",IF(D512="","",IF(W512+X512&lt;15,"Données Nb pers ou RFR manquantes",IF(COUNTA(INDIRECT("TabRFR["&amp;YEAR(D512)&amp;"]"))&lt;&gt;COUNTA(TabRFR[Recherche RFR]),"Data RFR manquantes", IF(X512&lt;=INDEX(TabRFR[[2021]:[2025]],MATCH(BD!W512&amp;"-Très modestes",TabRFR[Recherche RFR],0),MATCH(TEXT(YEAR(BD!D512),"Standard"),TabRFR[[#Headers],[2021]:[2025]],0)),"Très Modeste",IF(X512&lt;=INDEX(TabRFR[[2021]:[2025]],MATCH(BD!W512&amp;"-modestes",TabRFR[Recherche RFR],0),MATCH(TEXT(YEAR(BD!D512),"Standard"),TabRFR[[#Headers],[2021]:[2025]],0)),"Modeste",IF(X512&lt;=INDEX(TabRFR[[2021]:[2025]],MATCH(BD!W512&amp;"-Intermédiaire",TabRFR[Recherche RFR],0),MATCH(TEXT(YEAR(BD!D512),"Standard"),TabRFR[[#Headers],[2021]:[2025]],0)),"Intermédiaire","Supérieur")))))),IF(D512="","",IF(W512+X512&lt;15,"Données Nb pers ou RFR manquantes",IF(COUNTA(INDIRECT("TabRFR["&amp;YEAR(I512)&amp;"]"))&lt;&gt;COUNTA(TabRFR[Recherche RFR]),"Data RFR manquantes", IF(X512&lt;=INDEX(TabRFR[[2021]:[2025]],MATCH(BD!W512&amp;"-Très modestes",TabRFR[Recherche RFR],0),MATCH(TEXT(YEAR(BD!I512),"Standard"),TabRFR[[#Headers],[2021]:[2025]],0)),"Très Modeste",IF(X512&lt;=INDEX(TabRFR[[2021]:[2025]],MATCH(BD!W512&amp;"-modestes",TabRFR[Recherche RFR],0),MATCH(TEXT(YEAR(BD!I512),"Standard"),TabRFR[[#Headers],[2021]:[2025]],0)),"Modeste",IF(X512&lt;=INDEX(TabRFR[[2021]:[2025]],MATCH(BD!W512&amp;"-Intermédiaire",TabRFR[Recherche RFR],0),MATCH(TEXT(YEAR(BD!I512),"Standard"),TabRFR[[#Headers],[2021]:[2025]],0)),"Intermédiaire","Supérieur")))))))</f>
        <v>Data RFR manquantes</v>
      </c>
      <c r="Z512" s="77"/>
      <c r="AA512" s="77" t="s">
        <v>3314</v>
      </c>
      <c r="AB512" s="77">
        <v>38500</v>
      </c>
      <c r="AC512" s="77" t="s">
        <v>118</v>
      </c>
      <c r="AD512" s="78"/>
      <c r="AE512" s="102"/>
      <c r="AF512" s="77" t="s">
        <v>95</v>
      </c>
      <c r="AG512" s="77"/>
      <c r="AH512" s="77"/>
      <c r="AI512" s="77"/>
      <c r="AJ512" s="77"/>
      <c r="AK512" s="77"/>
      <c r="AL512" s="77"/>
      <c r="AM512" s="77" t="s">
        <v>4348</v>
      </c>
      <c r="AN512" s="77" t="s">
        <v>96</v>
      </c>
      <c r="AO512" s="147" t="s">
        <v>3313</v>
      </c>
      <c r="AP512" s="77" t="s">
        <v>97</v>
      </c>
      <c r="AQ512" s="77"/>
      <c r="AR512" s="79">
        <v>43698</v>
      </c>
      <c r="AS512" s="102" t="s">
        <v>98</v>
      </c>
      <c r="AT512" s="78" t="s">
        <v>802</v>
      </c>
      <c r="AU512" s="77" t="s">
        <v>430</v>
      </c>
      <c r="AV512" s="77">
        <v>1981</v>
      </c>
      <c r="AW512" s="77" t="s">
        <v>100</v>
      </c>
      <c r="AX512" s="77" t="s">
        <v>112</v>
      </c>
      <c r="AY512" s="77" t="s">
        <v>251</v>
      </c>
      <c r="AZ512" s="77" t="s">
        <v>3312</v>
      </c>
      <c r="BA512" s="77">
        <v>14</v>
      </c>
      <c r="BB512" s="77">
        <v>7</v>
      </c>
      <c r="BC512" s="77">
        <v>77</v>
      </c>
      <c r="BD512" s="77">
        <v>7.0000000000000007E-2</v>
      </c>
      <c r="BE512" s="77" t="s">
        <v>97</v>
      </c>
      <c r="BF512" s="77"/>
      <c r="BG512" s="77">
        <v>5030</v>
      </c>
      <c r="BH512" s="77"/>
      <c r="BI512" s="77"/>
      <c r="BJ512" s="77"/>
      <c r="BK512" s="77">
        <v>923</v>
      </c>
      <c r="BL512" s="75">
        <f t="shared" si="21"/>
        <v>5953</v>
      </c>
      <c r="BM512" s="103">
        <f t="shared" si="22"/>
        <v>327.41500000000002</v>
      </c>
      <c r="BN512" s="103">
        <f t="shared" si="23"/>
        <v>6280.415</v>
      </c>
      <c r="BO512" s="80">
        <v>4557.6000000000004</v>
      </c>
      <c r="BP512" s="77" t="s">
        <v>97</v>
      </c>
      <c r="BQ512" s="77"/>
      <c r="BR512" s="77"/>
      <c r="BS512" s="157">
        <v>2019</v>
      </c>
      <c r="BT512" s="235">
        <v>43770</v>
      </c>
      <c r="BU512">
        <v>2019</v>
      </c>
    </row>
    <row r="513" spans="1:73" ht="43.15" customHeight="1" x14ac:dyDescent="0.25">
      <c r="A513" s="241" t="s">
        <v>3305</v>
      </c>
      <c r="B513" s="241" t="s">
        <v>3311</v>
      </c>
      <c r="C513" s="159">
        <v>400</v>
      </c>
      <c r="D513" s="76">
        <v>43560</v>
      </c>
      <c r="E513" s="76">
        <v>43563</v>
      </c>
      <c r="F513" s="76" t="s">
        <v>9</v>
      </c>
      <c r="G513" s="76" t="s">
        <v>9</v>
      </c>
      <c r="H513" s="76">
        <v>43566</v>
      </c>
      <c r="I513" s="76">
        <v>43566</v>
      </c>
      <c r="J513" s="76">
        <v>43574</v>
      </c>
      <c r="K513" s="218"/>
      <c r="L513" s="76">
        <v>43641</v>
      </c>
      <c r="M513" s="76">
        <v>43634</v>
      </c>
      <c r="N513" s="76"/>
      <c r="O513" s="76">
        <v>43663</v>
      </c>
      <c r="P513" s="76">
        <v>43663</v>
      </c>
      <c r="Q513" s="76">
        <v>43671</v>
      </c>
      <c r="R513" s="82"/>
      <c r="S513" s="76"/>
      <c r="T513" s="77"/>
      <c r="U513" s="77"/>
      <c r="V513" s="77"/>
      <c r="W513" s="77">
        <v>2</v>
      </c>
      <c r="X513" s="77">
        <v>33394</v>
      </c>
      <c r="Y513" s="75" t="str">
        <f ca="1">IF(I513="",IF(D513="","",IF(W513+X513&lt;15,"Données Nb pers ou RFR manquantes",IF(COUNTA(INDIRECT("TabRFR["&amp;YEAR(D513)&amp;"]"))&lt;&gt;COUNTA(TabRFR[Recherche RFR]),"Data RFR manquantes", IF(X513&lt;=INDEX(TabRFR[[2021]:[2025]],MATCH(BD!W513&amp;"-Très modestes",TabRFR[Recherche RFR],0),MATCH(TEXT(YEAR(BD!D513),"Standard"),TabRFR[[#Headers],[2021]:[2025]],0)),"Très Modeste",IF(X513&lt;=INDEX(TabRFR[[2021]:[2025]],MATCH(BD!W513&amp;"-modestes",TabRFR[Recherche RFR],0),MATCH(TEXT(YEAR(BD!D513),"Standard"),TabRFR[[#Headers],[2021]:[2025]],0)),"Modeste",IF(X513&lt;=INDEX(TabRFR[[2021]:[2025]],MATCH(BD!W513&amp;"-Intermédiaire",TabRFR[Recherche RFR],0),MATCH(TEXT(YEAR(BD!D513),"Standard"),TabRFR[[#Headers],[2021]:[2025]],0)),"Intermédiaire","Supérieur")))))),IF(D513="","",IF(W513+X513&lt;15,"Données Nb pers ou RFR manquantes",IF(COUNTA(INDIRECT("TabRFR["&amp;YEAR(I513)&amp;"]"))&lt;&gt;COUNTA(TabRFR[Recherche RFR]),"Data RFR manquantes", IF(X513&lt;=INDEX(TabRFR[[2021]:[2025]],MATCH(BD!W513&amp;"-Très modestes",TabRFR[Recherche RFR],0),MATCH(TEXT(YEAR(BD!I513),"Standard"),TabRFR[[#Headers],[2021]:[2025]],0)),"Très Modeste",IF(X513&lt;=INDEX(TabRFR[[2021]:[2025]],MATCH(BD!W513&amp;"-modestes",TabRFR[Recherche RFR],0),MATCH(TEXT(YEAR(BD!I513),"Standard"),TabRFR[[#Headers],[2021]:[2025]],0)),"Modeste",IF(X513&lt;=INDEX(TabRFR[[2021]:[2025]],MATCH(BD!W513&amp;"-Intermédiaire",TabRFR[Recherche RFR],0),MATCH(TEXT(YEAR(BD!I513),"Standard"),TabRFR[[#Headers],[2021]:[2025]],0)),"Intermédiaire","Supérieur")))))))</f>
        <v>Data RFR manquantes</v>
      </c>
      <c r="Z513" s="77"/>
      <c r="AA513" s="77" t="s">
        <v>3310</v>
      </c>
      <c r="AB513" s="77">
        <v>38340</v>
      </c>
      <c r="AC513" s="77" t="s">
        <v>108</v>
      </c>
      <c r="AD513" s="78"/>
      <c r="AE513" s="102"/>
      <c r="AF513" s="77" t="s">
        <v>95</v>
      </c>
      <c r="AG513" s="77"/>
      <c r="AH513" s="77"/>
      <c r="AI513" s="77"/>
      <c r="AJ513" s="77"/>
      <c r="AK513" s="77"/>
      <c r="AL513" s="77"/>
      <c r="AM513" s="77" t="s">
        <v>3973</v>
      </c>
      <c r="AN513" s="77" t="s">
        <v>96</v>
      </c>
      <c r="AO513" s="77" t="s">
        <v>9</v>
      </c>
      <c r="AP513" s="77" t="s">
        <v>97</v>
      </c>
      <c r="AQ513" s="77"/>
      <c r="AR513" s="132">
        <v>43726</v>
      </c>
      <c r="AS513" s="102" t="s">
        <v>141</v>
      </c>
      <c r="AT513" s="78" t="s">
        <v>820</v>
      </c>
      <c r="AU513" s="77" t="s">
        <v>111</v>
      </c>
      <c r="AV513" s="77">
        <v>1996</v>
      </c>
      <c r="AW513" s="77" t="s">
        <v>100</v>
      </c>
      <c r="AX513" s="77" t="s">
        <v>112</v>
      </c>
      <c r="AY513" s="77" t="s">
        <v>144</v>
      </c>
      <c r="AZ513" s="77" t="s">
        <v>3309</v>
      </c>
      <c r="BA513" s="77">
        <v>35</v>
      </c>
      <c r="BB513" s="77">
        <v>5.9</v>
      </c>
      <c r="BC513" s="77">
        <v>80.2</v>
      </c>
      <c r="BD513" s="77">
        <v>0.09</v>
      </c>
      <c r="BE513" s="77" t="s">
        <v>97</v>
      </c>
      <c r="BF513" s="77"/>
      <c r="BG513" s="77">
        <v>4023</v>
      </c>
      <c r="BH513" s="77"/>
      <c r="BI513" s="77"/>
      <c r="BJ513" s="77"/>
      <c r="BK513" s="77">
        <v>750</v>
      </c>
      <c r="BL513" s="75">
        <f t="shared" si="21"/>
        <v>4773</v>
      </c>
      <c r="BM513" s="103">
        <f t="shared" si="22"/>
        <v>262.51499999999999</v>
      </c>
      <c r="BN513" s="103">
        <f t="shared" si="23"/>
        <v>5035.5150000000003</v>
      </c>
      <c r="BO513" s="80"/>
      <c r="BP513" s="77" t="s">
        <v>97</v>
      </c>
      <c r="BQ513" s="77"/>
      <c r="BR513" s="77"/>
      <c r="BS513" s="157">
        <v>2019</v>
      </c>
      <c r="BT513" s="235">
        <v>43770</v>
      </c>
      <c r="BU513">
        <v>2019</v>
      </c>
    </row>
    <row r="514" spans="1:73" ht="43.15" customHeight="1" x14ac:dyDescent="0.25">
      <c r="A514" s="241" t="s">
        <v>3305</v>
      </c>
      <c r="B514" s="241" t="s">
        <v>3308</v>
      </c>
      <c r="C514" s="163">
        <v>400</v>
      </c>
      <c r="D514" s="76">
        <v>43563</v>
      </c>
      <c r="E514" s="76">
        <v>43563</v>
      </c>
      <c r="F514" s="76" t="s">
        <v>9</v>
      </c>
      <c r="G514" s="76" t="s">
        <v>9</v>
      </c>
      <c r="H514" s="76">
        <v>43566</v>
      </c>
      <c r="I514" s="76">
        <v>43566</v>
      </c>
      <c r="J514" s="76">
        <v>43574</v>
      </c>
      <c r="K514" s="218"/>
      <c r="L514" s="76">
        <v>43684</v>
      </c>
      <c r="M514" s="76">
        <v>43641</v>
      </c>
      <c r="N514" s="76"/>
      <c r="O514" s="76">
        <v>43691</v>
      </c>
      <c r="P514" s="76">
        <v>43691</v>
      </c>
      <c r="Q514" s="76">
        <v>43712</v>
      </c>
      <c r="R514" s="82"/>
      <c r="S514" s="76"/>
      <c r="T514" s="77"/>
      <c r="U514" s="77"/>
      <c r="V514" s="77"/>
      <c r="W514" s="77">
        <v>3</v>
      </c>
      <c r="X514" s="77">
        <v>46136</v>
      </c>
      <c r="Y514" s="75" t="str">
        <f ca="1">IF(I514="",IF(D514="","",IF(W514+X514&lt;15,"Données Nb pers ou RFR manquantes",IF(COUNTA(INDIRECT("TabRFR["&amp;YEAR(D514)&amp;"]"))&lt;&gt;COUNTA(TabRFR[Recherche RFR]),"Data RFR manquantes", IF(X514&lt;=INDEX(TabRFR[[2021]:[2025]],MATCH(BD!W514&amp;"-Très modestes",TabRFR[Recherche RFR],0),MATCH(TEXT(YEAR(BD!D514),"Standard"),TabRFR[[#Headers],[2021]:[2025]],0)),"Très Modeste",IF(X514&lt;=INDEX(TabRFR[[2021]:[2025]],MATCH(BD!W514&amp;"-modestes",TabRFR[Recherche RFR],0),MATCH(TEXT(YEAR(BD!D514),"Standard"),TabRFR[[#Headers],[2021]:[2025]],0)),"Modeste",IF(X514&lt;=INDEX(TabRFR[[2021]:[2025]],MATCH(BD!W514&amp;"-Intermédiaire",TabRFR[Recherche RFR],0),MATCH(TEXT(YEAR(BD!D514),"Standard"),TabRFR[[#Headers],[2021]:[2025]],0)),"Intermédiaire","Supérieur")))))),IF(D514="","",IF(W514+X514&lt;15,"Données Nb pers ou RFR manquantes",IF(COUNTA(INDIRECT("TabRFR["&amp;YEAR(I514)&amp;"]"))&lt;&gt;COUNTA(TabRFR[Recherche RFR]),"Data RFR manquantes", IF(X514&lt;=INDEX(TabRFR[[2021]:[2025]],MATCH(BD!W514&amp;"-Très modestes",TabRFR[Recherche RFR],0),MATCH(TEXT(YEAR(BD!I514),"Standard"),TabRFR[[#Headers],[2021]:[2025]],0)),"Très Modeste",IF(X514&lt;=INDEX(TabRFR[[2021]:[2025]],MATCH(BD!W514&amp;"-modestes",TabRFR[Recherche RFR],0),MATCH(TEXT(YEAR(BD!I514),"Standard"),TabRFR[[#Headers],[2021]:[2025]],0)),"Modeste",IF(X514&lt;=INDEX(TabRFR[[2021]:[2025]],MATCH(BD!W514&amp;"-Intermédiaire",TabRFR[Recherche RFR],0),MATCH(TEXT(YEAR(BD!I514),"Standard"),TabRFR[[#Headers],[2021]:[2025]],0)),"Intermédiaire","Supérieur")))))))</f>
        <v>Data RFR manquantes</v>
      </c>
      <c r="Z514" s="77"/>
      <c r="AA514" s="77" t="s">
        <v>3307</v>
      </c>
      <c r="AB514" s="77">
        <v>38960</v>
      </c>
      <c r="AC514" s="77" t="s">
        <v>2378</v>
      </c>
      <c r="AD514" s="78"/>
      <c r="AE514" s="102"/>
      <c r="AF514" s="77" t="s">
        <v>95</v>
      </c>
      <c r="AG514" s="77"/>
      <c r="AH514" s="77"/>
      <c r="AI514" s="77"/>
      <c r="AJ514" s="77"/>
      <c r="AK514" s="77"/>
      <c r="AL514" s="77"/>
      <c r="AM514" s="77" t="s">
        <v>3973</v>
      </c>
      <c r="AN514" s="77" t="s">
        <v>96</v>
      </c>
      <c r="AO514" s="77" t="s">
        <v>9</v>
      </c>
      <c r="AP514" s="77" t="s">
        <v>97</v>
      </c>
      <c r="AQ514" s="77"/>
      <c r="AR514" s="132">
        <v>43726</v>
      </c>
      <c r="AS514" s="102" t="s">
        <v>141</v>
      </c>
      <c r="AT514" s="78" t="s">
        <v>820</v>
      </c>
      <c r="AU514" s="77" t="s">
        <v>111</v>
      </c>
      <c r="AV514" s="77">
        <v>1990</v>
      </c>
      <c r="AW514" s="77" t="s">
        <v>100</v>
      </c>
      <c r="AX514" s="75" t="s">
        <v>2071</v>
      </c>
      <c r="AY514" s="77" t="s">
        <v>1017</v>
      </c>
      <c r="AZ514" s="77" t="s">
        <v>3306</v>
      </c>
      <c r="BA514" s="77">
        <v>11</v>
      </c>
      <c r="BB514" s="77">
        <v>12</v>
      </c>
      <c r="BC514" s="77">
        <v>88.5</v>
      </c>
      <c r="BD514" s="77">
        <v>0.01</v>
      </c>
      <c r="BE514" s="77" t="s">
        <v>97</v>
      </c>
      <c r="BF514" s="77"/>
      <c r="BG514" s="77">
        <v>4045</v>
      </c>
      <c r="BH514" s="77"/>
      <c r="BI514" s="77"/>
      <c r="BJ514" s="77"/>
      <c r="BK514" s="77">
        <v>450</v>
      </c>
      <c r="BL514" s="75">
        <f t="shared" si="21"/>
        <v>4495</v>
      </c>
      <c r="BM514" s="103">
        <f t="shared" si="22"/>
        <v>247.22499999999999</v>
      </c>
      <c r="BN514" s="103">
        <f t="shared" si="23"/>
        <v>4742.2250000000004</v>
      </c>
      <c r="BO514" s="80">
        <v>4742</v>
      </c>
      <c r="BP514" s="77" t="s">
        <v>97</v>
      </c>
      <c r="BQ514" s="77"/>
      <c r="BR514" s="77"/>
      <c r="BS514" s="157">
        <v>2019</v>
      </c>
      <c r="BU514">
        <v>2019</v>
      </c>
    </row>
    <row r="515" spans="1:73" ht="43.15" customHeight="1" x14ac:dyDescent="0.25">
      <c r="A515" s="241" t="s">
        <v>3305</v>
      </c>
      <c r="B515" s="241" t="s">
        <v>3304</v>
      </c>
      <c r="C515" s="159">
        <v>400</v>
      </c>
      <c r="D515" s="76">
        <v>43570</v>
      </c>
      <c r="E515" s="76">
        <v>43572</v>
      </c>
      <c r="F515" s="76" t="s">
        <v>9</v>
      </c>
      <c r="G515" s="76" t="s">
        <v>9</v>
      </c>
      <c r="H515" s="76">
        <v>43573</v>
      </c>
      <c r="I515" s="76">
        <v>43573</v>
      </c>
      <c r="J515" s="76">
        <v>43574</v>
      </c>
      <c r="K515" s="218"/>
      <c r="L515" s="76">
        <v>43627</v>
      </c>
      <c r="M515" s="76">
        <v>43614</v>
      </c>
      <c r="N515" s="76"/>
      <c r="O515" s="76">
        <v>43643</v>
      </c>
      <c r="P515" s="76">
        <v>43643</v>
      </c>
      <c r="Q515" s="76">
        <v>43671</v>
      </c>
      <c r="R515" s="82"/>
      <c r="S515" s="76"/>
      <c r="T515" s="77"/>
      <c r="U515" s="77"/>
      <c r="V515" s="77"/>
      <c r="W515" s="77">
        <v>2</v>
      </c>
      <c r="X515" s="77">
        <v>38022</v>
      </c>
      <c r="Y515" s="75" t="str">
        <f ca="1">IF(I515="",IF(D515="","",IF(W515+X515&lt;15,"Données Nb pers ou RFR manquantes",IF(COUNTA(INDIRECT("TabRFR["&amp;YEAR(D515)&amp;"]"))&lt;&gt;COUNTA(TabRFR[Recherche RFR]),"Data RFR manquantes", IF(X515&lt;=INDEX(TabRFR[[2021]:[2025]],MATCH(BD!W515&amp;"-Très modestes",TabRFR[Recherche RFR],0),MATCH(TEXT(YEAR(BD!D515),"Standard"),TabRFR[[#Headers],[2021]:[2025]],0)),"Très Modeste",IF(X515&lt;=INDEX(TabRFR[[2021]:[2025]],MATCH(BD!W515&amp;"-modestes",TabRFR[Recherche RFR],0),MATCH(TEXT(YEAR(BD!D515),"Standard"),TabRFR[[#Headers],[2021]:[2025]],0)),"Modeste",IF(X515&lt;=INDEX(TabRFR[[2021]:[2025]],MATCH(BD!W515&amp;"-Intermédiaire",TabRFR[Recherche RFR],0),MATCH(TEXT(YEAR(BD!D515),"Standard"),TabRFR[[#Headers],[2021]:[2025]],0)),"Intermédiaire","Supérieur")))))),IF(D515="","",IF(W515+X515&lt;15,"Données Nb pers ou RFR manquantes",IF(COUNTA(INDIRECT("TabRFR["&amp;YEAR(I515)&amp;"]"))&lt;&gt;COUNTA(TabRFR[Recherche RFR]),"Data RFR manquantes", IF(X515&lt;=INDEX(TabRFR[[2021]:[2025]],MATCH(BD!W515&amp;"-Très modestes",TabRFR[Recherche RFR],0),MATCH(TEXT(YEAR(BD!I515),"Standard"),TabRFR[[#Headers],[2021]:[2025]],0)),"Très Modeste",IF(X515&lt;=INDEX(TabRFR[[2021]:[2025]],MATCH(BD!W515&amp;"-modestes",TabRFR[Recherche RFR],0),MATCH(TEXT(YEAR(BD!I515),"Standard"),TabRFR[[#Headers],[2021]:[2025]],0)),"Modeste",IF(X515&lt;=INDEX(TabRFR[[2021]:[2025]],MATCH(BD!W515&amp;"-Intermédiaire",TabRFR[Recherche RFR],0),MATCH(TEXT(YEAR(BD!I515),"Standard"),TabRFR[[#Headers],[2021]:[2025]],0)),"Intermédiaire","Supérieur")))))))</f>
        <v>Data RFR manquantes</v>
      </c>
      <c r="Z515" s="77"/>
      <c r="AA515" s="77" t="s">
        <v>3303</v>
      </c>
      <c r="AB515" s="77">
        <v>38140</v>
      </c>
      <c r="AC515" s="77" t="s">
        <v>363</v>
      </c>
      <c r="AD515" s="78"/>
      <c r="AE515" s="102"/>
      <c r="AF515" s="77" t="s">
        <v>95</v>
      </c>
      <c r="AG515" s="77"/>
      <c r="AH515" s="77"/>
      <c r="AI515" s="77"/>
      <c r="AJ515" s="77"/>
      <c r="AK515" s="77"/>
      <c r="AL515" s="77"/>
      <c r="AM515" s="77" t="s">
        <v>218</v>
      </c>
      <c r="AN515" s="77" t="s">
        <v>217</v>
      </c>
      <c r="AO515" s="77" t="s">
        <v>219</v>
      </c>
      <c r="AP515" s="77" t="s">
        <v>97</v>
      </c>
      <c r="AQ515" s="77"/>
      <c r="AR515" s="79">
        <v>43764</v>
      </c>
      <c r="AS515" s="102" t="s">
        <v>220</v>
      </c>
      <c r="AT515" s="78" t="s">
        <v>620</v>
      </c>
      <c r="AU515" s="77" t="s">
        <v>399</v>
      </c>
      <c r="AV515" s="77">
        <v>1990</v>
      </c>
      <c r="AW515" s="77" t="s">
        <v>399</v>
      </c>
      <c r="AX515" s="77" t="s">
        <v>112</v>
      </c>
      <c r="AY515" s="77" t="s">
        <v>121</v>
      </c>
      <c r="AZ515" s="77" t="s">
        <v>3302</v>
      </c>
      <c r="BA515" s="77">
        <v>23</v>
      </c>
      <c r="BB515" s="77">
        <v>10</v>
      </c>
      <c r="BC515" s="77">
        <v>78</v>
      </c>
      <c r="BD515" s="77">
        <v>7.0000000000000007E-2</v>
      </c>
      <c r="BE515" s="77" t="s">
        <v>97</v>
      </c>
      <c r="BF515" s="77"/>
      <c r="BG515" s="77">
        <v>2293</v>
      </c>
      <c r="BH515" s="77"/>
      <c r="BI515" s="77"/>
      <c r="BJ515" s="77"/>
      <c r="BK515" s="77">
        <v>250</v>
      </c>
      <c r="BL515" s="75">
        <f t="shared" si="21"/>
        <v>2543</v>
      </c>
      <c r="BM515" s="103">
        <f t="shared" si="22"/>
        <v>139.86500000000001</v>
      </c>
      <c r="BN515" s="103">
        <f t="shared" si="23"/>
        <v>2682.8649999999998</v>
      </c>
      <c r="BO515" s="80">
        <v>2682</v>
      </c>
      <c r="BP515" s="77" t="s">
        <v>97</v>
      </c>
      <c r="BQ515" s="77"/>
      <c r="BR515" s="77"/>
      <c r="BS515" s="157">
        <v>2019</v>
      </c>
      <c r="BT515" s="235">
        <v>43770</v>
      </c>
      <c r="BU515">
        <v>2019</v>
      </c>
    </row>
    <row r="516" spans="1:73" ht="43.15" customHeight="1" x14ac:dyDescent="0.25">
      <c r="A516" s="31" t="s">
        <v>90</v>
      </c>
      <c r="B516" s="31" t="s">
        <v>3301</v>
      </c>
      <c r="C516" s="163" t="s">
        <v>9</v>
      </c>
      <c r="D516" s="76">
        <v>43539</v>
      </c>
      <c r="E516" s="76">
        <v>43579</v>
      </c>
      <c r="F516" s="76">
        <v>43579</v>
      </c>
      <c r="G516" s="76" t="s">
        <v>4060</v>
      </c>
      <c r="H516" s="76"/>
      <c r="I516" s="76"/>
      <c r="J516" s="76"/>
      <c r="K516" s="218"/>
      <c r="L516" s="76"/>
      <c r="M516" s="76"/>
      <c r="N516" s="76"/>
      <c r="O516" s="76"/>
      <c r="P516" s="76"/>
      <c r="Q516" s="76"/>
      <c r="R516" s="82"/>
      <c r="S516" s="76">
        <v>43943</v>
      </c>
      <c r="T516" s="77" t="s">
        <v>4176</v>
      </c>
      <c r="U516" s="77"/>
      <c r="V516" s="77"/>
      <c r="W516" s="77">
        <v>2</v>
      </c>
      <c r="X516" s="77">
        <v>47726</v>
      </c>
      <c r="Y516" s="75" t="str">
        <f ca="1">IF(I516="",IF(D516="","",IF(W516+X516&lt;15,"Données Nb pers ou RFR manquantes",IF(COUNTA(INDIRECT("TabRFR["&amp;YEAR(D516)&amp;"]"))&lt;&gt;COUNTA(TabRFR[Recherche RFR]),"Data RFR manquantes", IF(X516&lt;=INDEX(TabRFR[[2021]:[2025]],MATCH(BD!W516&amp;"-Très modestes",TabRFR[Recherche RFR],0),MATCH(TEXT(YEAR(BD!D516),"Standard"),TabRFR[[#Headers],[2021]:[2025]],0)),"Très Modeste",IF(X516&lt;=INDEX(TabRFR[[2021]:[2025]],MATCH(BD!W516&amp;"-modestes",TabRFR[Recherche RFR],0),MATCH(TEXT(YEAR(BD!D516),"Standard"),TabRFR[[#Headers],[2021]:[2025]],0)),"Modeste",IF(X516&lt;=INDEX(TabRFR[[2021]:[2025]],MATCH(BD!W516&amp;"-Intermédiaire",TabRFR[Recherche RFR],0),MATCH(TEXT(YEAR(BD!D516),"Standard"),TabRFR[[#Headers],[2021]:[2025]],0)),"Intermédiaire","Supérieur")))))),IF(D516="","",IF(W516+X516&lt;15,"Données Nb pers ou RFR manquantes",IF(COUNTA(INDIRECT("TabRFR["&amp;YEAR(I516)&amp;"]"))&lt;&gt;COUNTA(TabRFR[Recherche RFR]),"Data RFR manquantes", IF(X516&lt;=INDEX(TabRFR[[2021]:[2025]],MATCH(BD!W516&amp;"-Très modestes",TabRFR[Recherche RFR],0),MATCH(TEXT(YEAR(BD!I516),"Standard"),TabRFR[[#Headers],[2021]:[2025]],0)),"Très Modeste",IF(X516&lt;=INDEX(TabRFR[[2021]:[2025]],MATCH(BD!W516&amp;"-modestes",TabRFR[Recherche RFR],0),MATCH(TEXT(YEAR(BD!I516),"Standard"),TabRFR[[#Headers],[2021]:[2025]],0)),"Modeste",IF(X516&lt;=INDEX(TabRFR[[2021]:[2025]],MATCH(BD!W516&amp;"-Intermédiaire",TabRFR[Recherche RFR],0),MATCH(TEXT(YEAR(BD!I516),"Standard"),TabRFR[[#Headers],[2021]:[2025]],0)),"Intermédiaire","Supérieur")))))))</f>
        <v>Data RFR manquantes</v>
      </c>
      <c r="Z516" s="77"/>
      <c r="AA516" s="77" t="s">
        <v>3300</v>
      </c>
      <c r="AB516" s="77">
        <v>38140</v>
      </c>
      <c r="AC516" s="77" t="s">
        <v>321</v>
      </c>
      <c r="AD516" s="78"/>
      <c r="AE516" s="102"/>
      <c r="AF516" s="77" t="s">
        <v>95</v>
      </c>
      <c r="AG516" s="77"/>
      <c r="AH516" s="77"/>
      <c r="AI516" s="77"/>
      <c r="AJ516" s="77"/>
      <c r="AK516" s="77"/>
      <c r="AL516" s="77"/>
      <c r="AM516" s="77" t="s">
        <v>4384</v>
      </c>
      <c r="AN516" s="77" t="s">
        <v>96</v>
      </c>
      <c r="AO516" s="77" t="s">
        <v>3299</v>
      </c>
      <c r="AP516" s="77" t="s">
        <v>97</v>
      </c>
      <c r="AQ516" s="77"/>
      <c r="AR516" s="79">
        <v>43911</v>
      </c>
      <c r="AS516" s="102" t="s">
        <v>744</v>
      </c>
      <c r="AT516" s="78" t="s">
        <v>745</v>
      </c>
      <c r="AU516" s="77" t="s">
        <v>111</v>
      </c>
      <c r="AV516" s="77">
        <v>1990</v>
      </c>
      <c r="AW516" s="77" t="s">
        <v>3298</v>
      </c>
      <c r="AX516" s="75" t="s">
        <v>2071</v>
      </c>
      <c r="AY516" s="77" t="s">
        <v>3297</v>
      </c>
      <c r="AZ516" s="77" t="s">
        <v>3296</v>
      </c>
      <c r="BA516" s="77"/>
      <c r="BB516" s="77">
        <v>22.6</v>
      </c>
      <c r="BC516" s="77">
        <v>91</v>
      </c>
      <c r="BD516" s="77">
        <v>0.02</v>
      </c>
      <c r="BE516" s="77" t="s">
        <v>104</v>
      </c>
      <c r="BF516" s="77"/>
      <c r="BG516" s="77">
        <v>7350</v>
      </c>
      <c r="BH516" s="77"/>
      <c r="BI516" s="77"/>
      <c r="BJ516" s="77"/>
      <c r="BK516" s="77">
        <v>1950</v>
      </c>
      <c r="BL516" s="75">
        <f t="shared" si="21"/>
        <v>9300</v>
      </c>
      <c r="BM516" s="103">
        <f t="shared" si="22"/>
        <v>511.5</v>
      </c>
      <c r="BN516" s="103">
        <f t="shared" si="23"/>
        <v>9811.5</v>
      </c>
      <c r="BO516" s="80"/>
      <c r="BP516" s="77" t="s">
        <v>97</v>
      </c>
      <c r="BQ516" s="77"/>
      <c r="BR516" s="77"/>
      <c r="BS516" s="157">
        <v>2020</v>
      </c>
      <c r="BU516" t="s">
        <v>4180</v>
      </c>
    </row>
    <row r="517" spans="1:73" ht="43.15" customHeight="1" x14ac:dyDescent="0.25">
      <c r="A517" s="241" t="s">
        <v>90</v>
      </c>
      <c r="B517" s="241" t="s">
        <v>3295</v>
      </c>
      <c r="C517" s="163">
        <v>400</v>
      </c>
      <c r="D517" s="76">
        <v>43567</v>
      </c>
      <c r="E517" s="76" t="s">
        <v>9</v>
      </c>
      <c r="F517" s="76">
        <v>43579</v>
      </c>
      <c r="G517" s="76" t="s">
        <v>3294</v>
      </c>
      <c r="H517" s="76">
        <v>43594</v>
      </c>
      <c r="I517" s="76">
        <v>43594</v>
      </c>
      <c r="J517" s="76">
        <v>43605</v>
      </c>
      <c r="K517" s="218"/>
      <c r="L517" s="76">
        <v>43655</v>
      </c>
      <c r="M517" s="76">
        <v>43642</v>
      </c>
      <c r="N517" s="76" t="s">
        <v>3704</v>
      </c>
      <c r="O517" s="76">
        <v>43676</v>
      </c>
      <c r="P517" s="76">
        <v>43676</v>
      </c>
      <c r="Q517" s="76">
        <v>43749</v>
      </c>
      <c r="R517" s="82"/>
      <c r="S517" s="76"/>
      <c r="T517" s="77"/>
      <c r="U517" s="77"/>
      <c r="V517" s="77"/>
      <c r="W517" s="77">
        <v>2</v>
      </c>
      <c r="X517" s="77">
        <v>46931</v>
      </c>
      <c r="Y517" s="75" t="str">
        <f ca="1">IF(I517="",IF(D517="","",IF(W517+X517&lt;15,"Données Nb pers ou RFR manquantes",IF(COUNTA(INDIRECT("TabRFR["&amp;YEAR(D517)&amp;"]"))&lt;&gt;COUNTA(TabRFR[Recherche RFR]),"Data RFR manquantes", IF(X517&lt;=INDEX(TabRFR[[2021]:[2025]],MATCH(BD!W517&amp;"-Très modestes",TabRFR[Recherche RFR],0),MATCH(TEXT(YEAR(BD!D517),"Standard"),TabRFR[[#Headers],[2021]:[2025]],0)),"Très Modeste",IF(X517&lt;=INDEX(TabRFR[[2021]:[2025]],MATCH(BD!W517&amp;"-modestes",TabRFR[Recherche RFR],0),MATCH(TEXT(YEAR(BD!D517),"Standard"),TabRFR[[#Headers],[2021]:[2025]],0)),"Modeste",IF(X517&lt;=INDEX(TabRFR[[2021]:[2025]],MATCH(BD!W517&amp;"-Intermédiaire",TabRFR[Recherche RFR],0),MATCH(TEXT(YEAR(BD!D517),"Standard"),TabRFR[[#Headers],[2021]:[2025]],0)),"Intermédiaire","Supérieur")))))),IF(D517="","",IF(W517+X517&lt;15,"Données Nb pers ou RFR manquantes",IF(COUNTA(INDIRECT("TabRFR["&amp;YEAR(I517)&amp;"]"))&lt;&gt;COUNTA(TabRFR[Recherche RFR]),"Data RFR manquantes", IF(X517&lt;=INDEX(TabRFR[[2021]:[2025]],MATCH(BD!W517&amp;"-Très modestes",TabRFR[Recherche RFR],0),MATCH(TEXT(YEAR(BD!I517),"Standard"),TabRFR[[#Headers],[2021]:[2025]],0)),"Très Modeste",IF(X517&lt;=INDEX(TabRFR[[2021]:[2025]],MATCH(BD!W517&amp;"-modestes",TabRFR[Recherche RFR],0),MATCH(TEXT(YEAR(BD!I517),"Standard"),TabRFR[[#Headers],[2021]:[2025]],0)),"Modeste",IF(X517&lt;=INDEX(TabRFR[[2021]:[2025]],MATCH(BD!W517&amp;"-Intermédiaire",TabRFR[Recherche RFR],0),MATCH(TEXT(YEAR(BD!I517),"Standard"),TabRFR[[#Headers],[2021]:[2025]],0)),"Intermédiaire","Supérieur")))))))</f>
        <v>Data RFR manquantes</v>
      </c>
      <c r="Z517" s="77"/>
      <c r="AA517" s="77" t="s">
        <v>3293</v>
      </c>
      <c r="AB517" s="77">
        <v>38850</v>
      </c>
      <c r="AC517" s="77" t="s">
        <v>438</v>
      </c>
      <c r="AD517" s="78"/>
      <c r="AE517" s="102"/>
      <c r="AF517" s="77" t="s">
        <v>95</v>
      </c>
      <c r="AG517" s="77"/>
      <c r="AH517" s="77"/>
      <c r="AI517" s="77"/>
      <c r="AJ517" s="77"/>
      <c r="AK517" s="77"/>
      <c r="AL517" s="77"/>
      <c r="AM517" s="75" t="s">
        <v>3973</v>
      </c>
      <c r="AN517" s="75" t="s">
        <v>96</v>
      </c>
      <c r="AO517" s="75"/>
      <c r="AP517" s="75" t="s">
        <v>97</v>
      </c>
      <c r="AQ517" s="75"/>
      <c r="AR517" s="74">
        <v>43726</v>
      </c>
      <c r="AS517" s="102" t="s">
        <v>141</v>
      </c>
      <c r="AT517" s="73" t="s">
        <v>820</v>
      </c>
      <c r="AU517" s="77" t="s">
        <v>3292</v>
      </c>
      <c r="AV517" s="77" t="s">
        <v>9</v>
      </c>
      <c r="AW517" s="77" t="s">
        <v>100</v>
      </c>
      <c r="AX517" s="77" t="s">
        <v>112</v>
      </c>
      <c r="AY517" s="77" t="s">
        <v>144</v>
      </c>
      <c r="AZ517" s="77" t="s">
        <v>2182</v>
      </c>
      <c r="BA517" s="77">
        <v>39</v>
      </c>
      <c r="BB517" s="77">
        <v>5.9</v>
      </c>
      <c r="BC517" s="77">
        <v>80.2</v>
      </c>
      <c r="BD517" s="77">
        <v>7.0000000000000007E-2</v>
      </c>
      <c r="BE517" s="77" t="s">
        <v>97</v>
      </c>
      <c r="BF517" s="77"/>
      <c r="BG517" s="77">
        <v>2590</v>
      </c>
      <c r="BH517" s="77"/>
      <c r="BI517" s="77"/>
      <c r="BJ517" s="77"/>
      <c r="BK517" s="77">
        <v>60</v>
      </c>
      <c r="BL517" s="75">
        <f t="shared" si="21"/>
        <v>2650</v>
      </c>
      <c r="BM517" s="103">
        <f t="shared" si="22"/>
        <v>145.75</v>
      </c>
      <c r="BN517" s="103">
        <f t="shared" si="23"/>
        <v>2795.75</v>
      </c>
      <c r="BO517" s="80"/>
      <c r="BP517" s="77" t="s">
        <v>104</v>
      </c>
      <c r="BQ517" s="77"/>
      <c r="BR517" s="77"/>
      <c r="BS517" s="157">
        <v>2019</v>
      </c>
      <c r="BT517" s="235">
        <v>43770</v>
      </c>
      <c r="BU517">
        <v>2019</v>
      </c>
    </row>
    <row r="518" spans="1:73" ht="43.15" customHeight="1" x14ac:dyDescent="0.25">
      <c r="A518" s="241" t="s">
        <v>90</v>
      </c>
      <c r="B518" s="241" t="s">
        <v>3291</v>
      </c>
      <c r="C518" s="163">
        <v>800</v>
      </c>
      <c r="D518" s="76">
        <v>43571</v>
      </c>
      <c r="E518" s="76">
        <v>43580</v>
      </c>
      <c r="F518" s="76"/>
      <c r="G518" s="76"/>
      <c r="H518" s="76">
        <v>43592</v>
      </c>
      <c r="I518" s="76">
        <v>43592</v>
      </c>
      <c r="J518" s="76">
        <v>43605</v>
      </c>
      <c r="K518" s="218"/>
      <c r="L518" s="76">
        <v>43736</v>
      </c>
      <c r="M518" s="220"/>
      <c r="N518" s="220"/>
      <c r="O518" s="220"/>
      <c r="P518" s="220"/>
      <c r="Q518" s="76">
        <v>43748</v>
      </c>
      <c r="R518" s="82"/>
      <c r="S518" s="76"/>
      <c r="T518" s="77"/>
      <c r="U518" s="77"/>
      <c r="V518" s="77"/>
      <c r="W518" s="77">
        <v>2</v>
      </c>
      <c r="X518" s="77">
        <v>26286</v>
      </c>
      <c r="Y518" s="75" t="str">
        <f ca="1">IF(I518="",IF(D518="","",IF(W518+X518&lt;15,"Données Nb pers ou RFR manquantes",IF(COUNTA(INDIRECT("TabRFR["&amp;YEAR(D518)&amp;"]"))&lt;&gt;COUNTA(TabRFR[Recherche RFR]),"Data RFR manquantes", IF(X518&lt;=INDEX(TabRFR[[2021]:[2025]],MATCH(BD!W518&amp;"-Très modestes",TabRFR[Recherche RFR],0),MATCH(TEXT(YEAR(BD!D518),"Standard"),TabRFR[[#Headers],[2021]:[2025]],0)),"Très Modeste",IF(X518&lt;=INDEX(TabRFR[[2021]:[2025]],MATCH(BD!W518&amp;"-modestes",TabRFR[Recherche RFR],0),MATCH(TEXT(YEAR(BD!D518),"Standard"),TabRFR[[#Headers],[2021]:[2025]],0)),"Modeste",IF(X518&lt;=INDEX(TabRFR[[2021]:[2025]],MATCH(BD!W518&amp;"-Intermédiaire",TabRFR[Recherche RFR],0),MATCH(TEXT(YEAR(BD!D518),"Standard"),TabRFR[[#Headers],[2021]:[2025]],0)),"Intermédiaire","Supérieur")))))),IF(D518="","",IF(W518+X518&lt;15,"Données Nb pers ou RFR manquantes",IF(COUNTA(INDIRECT("TabRFR["&amp;YEAR(I518)&amp;"]"))&lt;&gt;COUNTA(TabRFR[Recherche RFR]),"Data RFR manquantes", IF(X518&lt;=INDEX(TabRFR[[2021]:[2025]],MATCH(BD!W518&amp;"-Très modestes",TabRFR[Recherche RFR],0),MATCH(TEXT(YEAR(BD!I518),"Standard"),TabRFR[[#Headers],[2021]:[2025]],0)),"Très Modeste",IF(X518&lt;=INDEX(TabRFR[[2021]:[2025]],MATCH(BD!W518&amp;"-modestes",TabRFR[Recherche RFR],0),MATCH(TEXT(YEAR(BD!I518),"Standard"),TabRFR[[#Headers],[2021]:[2025]],0)),"Modeste",IF(X518&lt;=INDEX(TabRFR[[2021]:[2025]],MATCH(BD!W518&amp;"-Intermédiaire",TabRFR[Recherche RFR],0),MATCH(TEXT(YEAR(BD!I518),"Standard"),TabRFR[[#Headers],[2021]:[2025]],0)),"Intermédiaire","Supérieur")))))))</f>
        <v>Data RFR manquantes</v>
      </c>
      <c r="Z518" s="77"/>
      <c r="AA518" s="77" t="s">
        <v>3290</v>
      </c>
      <c r="AB518" s="77">
        <v>38340</v>
      </c>
      <c r="AC518" s="77" t="s">
        <v>108</v>
      </c>
      <c r="AD518" s="78"/>
      <c r="AE518" s="102"/>
      <c r="AF518" s="77" t="s">
        <v>95</v>
      </c>
      <c r="AG518" s="77"/>
      <c r="AH518" s="77"/>
      <c r="AI518" s="77"/>
      <c r="AJ518" s="77"/>
      <c r="AK518" s="77"/>
      <c r="AL518" s="77"/>
      <c r="AM518" s="77" t="s">
        <v>4130</v>
      </c>
      <c r="AN518" s="77" t="s">
        <v>4349</v>
      </c>
      <c r="AO518" s="77" t="s">
        <v>3289</v>
      </c>
      <c r="AP518" s="77" t="s">
        <v>97</v>
      </c>
      <c r="AQ518" s="77"/>
      <c r="AR518" s="79">
        <v>43911</v>
      </c>
      <c r="AS518" s="102" t="s">
        <v>337</v>
      </c>
      <c r="AT518" s="78">
        <v>474934316</v>
      </c>
      <c r="AU518" s="77" t="s">
        <v>111</v>
      </c>
      <c r="AV518" s="77" t="s">
        <v>231</v>
      </c>
      <c r="AW518" s="77" t="s">
        <v>100</v>
      </c>
      <c r="AX518" s="75" t="s">
        <v>2071</v>
      </c>
      <c r="AY518" s="77" t="s">
        <v>338</v>
      </c>
      <c r="AZ518" s="77" t="s">
        <v>3288</v>
      </c>
      <c r="BA518" s="77">
        <v>9</v>
      </c>
      <c r="BB518" s="77">
        <v>9</v>
      </c>
      <c r="BC518" s="77">
        <v>92.1</v>
      </c>
      <c r="BD518" s="77">
        <v>0.01</v>
      </c>
      <c r="BE518" s="77" t="s">
        <v>97</v>
      </c>
      <c r="BF518" s="77"/>
      <c r="BG518" s="77">
        <v>4924</v>
      </c>
      <c r="BH518" s="77"/>
      <c r="BI518" s="77"/>
      <c r="BJ518" s="77"/>
      <c r="BK518" s="77">
        <v>900</v>
      </c>
      <c r="BL518" s="75">
        <f t="shared" ref="BL518:BL581" si="24">BG518+BK518</f>
        <v>5824</v>
      </c>
      <c r="BM518" s="103">
        <f t="shared" ref="BM518:BM581" si="25">BL518*0.055</f>
        <v>320.32</v>
      </c>
      <c r="BN518" s="103">
        <f t="shared" ref="BN518:BN581" si="26">BL518+BM518</f>
        <v>6144.32</v>
      </c>
      <c r="BO518" s="80"/>
      <c r="BP518" s="77" t="s">
        <v>97</v>
      </c>
      <c r="BQ518" s="77"/>
      <c r="BR518" s="77"/>
      <c r="BS518" s="157">
        <v>2019</v>
      </c>
      <c r="BU518">
        <v>2019</v>
      </c>
    </row>
    <row r="519" spans="1:73" ht="43.15" customHeight="1" x14ac:dyDescent="0.25">
      <c r="A519" s="241" t="s">
        <v>90</v>
      </c>
      <c r="B519" s="241" t="s">
        <v>3287</v>
      </c>
      <c r="C519" s="163">
        <v>400</v>
      </c>
      <c r="D519" s="76">
        <v>43572</v>
      </c>
      <c r="E519" s="76">
        <v>43580</v>
      </c>
      <c r="F519" s="76"/>
      <c r="G519" s="76"/>
      <c r="H519" s="76">
        <v>43592</v>
      </c>
      <c r="I519" s="76">
        <v>43592</v>
      </c>
      <c r="J519" s="76">
        <v>43605</v>
      </c>
      <c r="K519" s="218"/>
      <c r="L519" s="76">
        <v>43727</v>
      </c>
      <c r="M519" s="76">
        <v>43733</v>
      </c>
      <c r="N519" s="76"/>
      <c r="O519" s="76">
        <v>43741</v>
      </c>
      <c r="P519" s="76">
        <v>43741</v>
      </c>
      <c r="Q519" s="76">
        <v>43748</v>
      </c>
      <c r="R519" s="82"/>
      <c r="S519" s="76"/>
      <c r="T519" s="77"/>
      <c r="U519" s="77"/>
      <c r="V519" s="77"/>
      <c r="W519" s="77">
        <v>1</v>
      </c>
      <c r="X519" s="77">
        <v>31643</v>
      </c>
      <c r="Y519" s="75" t="str">
        <f ca="1">IF(I519="",IF(D519="","",IF(W519+X519&lt;15,"Données Nb pers ou RFR manquantes",IF(COUNTA(INDIRECT("TabRFR["&amp;YEAR(D519)&amp;"]"))&lt;&gt;COUNTA(TabRFR[Recherche RFR]),"Data RFR manquantes", IF(X519&lt;=INDEX(TabRFR[[2021]:[2025]],MATCH(BD!W519&amp;"-Très modestes",TabRFR[Recherche RFR],0),MATCH(TEXT(YEAR(BD!D519),"Standard"),TabRFR[[#Headers],[2021]:[2025]],0)),"Très Modeste",IF(X519&lt;=INDEX(TabRFR[[2021]:[2025]],MATCH(BD!W519&amp;"-modestes",TabRFR[Recherche RFR],0),MATCH(TEXT(YEAR(BD!D519),"Standard"),TabRFR[[#Headers],[2021]:[2025]],0)),"Modeste",IF(X519&lt;=INDEX(TabRFR[[2021]:[2025]],MATCH(BD!W519&amp;"-Intermédiaire",TabRFR[Recherche RFR],0),MATCH(TEXT(YEAR(BD!D519),"Standard"),TabRFR[[#Headers],[2021]:[2025]],0)),"Intermédiaire","Supérieur")))))),IF(D519="","",IF(W519+X519&lt;15,"Données Nb pers ou RFR manquantes",IF(COUNTA(INDIRECT("TabRFR["&amp;YEAR(I519)&amp;"]"))&lt;&gt;COUNTA(TabRFR[Recherche RFR]),"Data RFR manquantes", IF(X519&lt;=INDEX(TabRFR[[2021]:[2025]],MATCH(BD!W519&amp;"-Très modestes",TabRFR[Recherche RFR],0),MATCH(TEXT(YEAR(BD!I519),"Standard"),TabRFR[[#Headers],[2021]:[2025]],0)),"Très Modeste",IF(X519&lt;=INDEX(TabRFR[[2021]:[2025]],MATCH(BD!W519&amp;"-modestes",TabRFR[Recherche RFR],0),MATCH(TEXT(YEAR(BD!I519),"Standard"),TabRFR[[#Headers],[2021]:[2025]],0)),"Modeste",IF(X519&lt;=INDEX(TabRFR[[2021]:[2025]],MATCH(BD!W519&amp;"-Intermédiaire",TabRFR[Recherche RFR],0),MATCH(TEXT(YEAR(BD!I519),"Standard"),TabRFR[[#Headers],[2021]:[2025]],0)),"Intermédiaire","Supérieur")))))))</f>
        <v>Data RFR manquantes</v>
      </c>
      <c r="Z519" s="77"/>
      <c r="AA519" s="77" t="s">
        <v>3286</v>
      </c>
      <c r="AB519" s="77">
        <v>38340</v>
      </c>
      <c r="AC519" s="77" t="s">
        <v>108</v>
      </c>
      <c r="AD519" s="78"/>
      <c r="AE519" s="102"/>
      <c r="AF519" s="77" t="s">
        <v>95</v>
      </c>
      <c r="AG519" s="77"/>
      <c r="AH519" s="77"/>
      <c r="AI519" s="77"/>
      <c r="AJ519" s="77"/>
      <c r="AK519" s="77"/>
      <c r="AL519" s="77"/>
      <c r="AM519" s="77" t="s">
        <v>4134</v>
      </c>
      <c r="AN519" s="77" t="s">
        <v>598</v>
      </c>
      <c r="AO519" s="77" t="s">
        <v>3285</v>
      </c>
      <c r="AP519" s="77" t="s">
        <v>97</v>
      </c>
      <c r="AQ519" s="77"/>
      <c r="AR519" s="79">
        <v>43793</v>
      </c>
      <c r="AS519" s="102" t="s">
        <v>3284</v>
      </c>
      <c r="AT519" s="78" t="s">
        <v>3283</v>
      </c>
      <c r="AU519" s="77" t="s">
        <v>111</v>
      </c>
      <c r="AV519" s="77">
        <v>1981</v>
      </c>
      <c r="AW519" s="77" t="s">
        <v>100</v>
      </c>
      <c r="AX519" s="77" t="s">
        <v>112</v>
      </c>
      <c r="AY519" s="77" t="s">
        <v>316</v>
      </c>
      <c r="AZ519" s="77" t="s">
        <v>3282</v>
      </c>
      <c r="BA519" s="77">
        <v>40</v>
      </c>
      <c r="BB519" s="77">
        <v>7</v>
      </c>
      <c r="BC519" s="77">
        <v>78</v>
      </c>
      <c r="BD519" s="77">
        <v>0.12</v>
      </c>
      <c r="BE519" s="77" t="s">
        <v>97</v>
      </c>
      <c r="BF519" s="77"/>
      <c r="BG519" s="77">
        <v>890</v>
      </c>
      <c r="BH519" s="77"/>
      <c r="BI519" s="77"/>
      <c r="BJ519" s="77"/>
      <c r="BK519" s="77">
        <v>390</v>
      </c>
      <c r="BL519" s="75">
        <f t="shared" si="24"/>
        <v>1280</v>
      </c>
      <c r="BM519" s="103">
        <f t="shared" si="25"/>
        <v>70.400000000000006</v>
      </c>
      <c r="BN519" s="103">
        <f t="shared" si="26"/>
        <v>1350.4</v>
      </c>
      <c r="BO519" s="80"/>
      <c r="BP519" s="77" t="s">
        <v>97</v>
      </c>
      <c r="BQ519" s="77"/>
      <c r="BR519" s="77"/>
      <c r="BS519" s="157">
        <v>2019</v>
      </c>
      <c r="BT519" s="235">
        <v>43770</v>
      </c>
      <c r="BU519">
        <v>2019</v>
      </c>
    </row>
    <row r="520" spans="1:73" ht="43.15" customHeight="1" x14ac:dyDescent="0.25">
      <c r="A520" s="241" t="s">
        <v>90</v>
      </c>
      <c r="B520" s="241" t="s">
        <v>3281</v>
      </c>
      <c r="C520" s="163">
        <v>400</v>
      </c>
      <c r="D520" s="76">
        <v>43592</v>
      </c>
      <c r="E520" s="76">
        <v>43592</v>
      </c>
      <c r="F520" s="76">
        <v>43592</v>
      </c>
      <c r="G520" s="76" t="s">
        <v>3280</v>
      </c>
      <c r="H520" s="76">
        <v>43620</v>
      </c>
      <c r="I520" s="76">
        <v>43620</v>
      </c>
      <c r="J520" s="76">
        <v>43634</v>
      </c>
      <c r="K520" s="218"/>
      <c r="L520" s="76">
        <v>43766</v>
      </c>
      <c r="M520" s="76">
        <v>43764</v>
      </c>
      <c r="N520" s="76" t="s">
        <v>9</v>
      </c>
      <c r="O520" s="76">
        <v>43775</v>
      </c>
      <c r="P520" s="76">
        <v>43775</v>
      </c>
      <c r="Q520" s="76">
        <v>43787</v>
      </c>
      <c r="R520" s="82"/>
      <c r="S520" s="76"/>
      <c r="T520" s="77"/>
      <c r="U520" s="77"/>
      <c r="V520" s="77"/>
      <c r="W520" s="77">
        <v>4</v>
      </c>
      <c r="X520" s="77">
        <v>87678</v>
      </c>
      <c r="Y520" s="75" t="str">
        <f ca="1">IF(I520="",IF(D520="","",IF(W520+X520&lt;15,"Données Nb pers ou RFR manquantes",IF(COUNTA(INDIRECT("TabRFR["&amp;YEAR(D520)&amp;"]"))&lt;&gt;COUNTA(TabRFR[Recherche RFR]),"Data RFR manquantes", IF(X520&lt;=INDEX(TabRFR[[2021]:[2025]],MATCH(BD!W520&amp;"-Très modestes",TabRFR[Recherche RFR],0),MATCH(TEXT(YEAR(BD!D520),"Standard"),TabRFR[[#Headers],[2021]:[2025]],0)),"Très Modeste",IF(X520&lt;=INDEX(TabRFR[[2021]:[2025]],MATCH(BD!W520&amp;"-modestes",TabRFR[Recherche RFR],0),MATCH(TEXT(YEAR(BD!D520),"Standard"),TabRFR[[#Headers],[2021]:[2025]],0)),"Modeste",IF(X520&lt;=INDEX(TabRFR[[2021]:[2025]],MATCH(BD!W520&amp;"-Intermédiaire",TabRFR[Recherche RFR],0),MATCH(TEXT(YEAR(BD!D520),"Standard"),TabRFR[[#Headers],[2021]:[2025]],0)),"Intermédiaire","Supérieur")))))),IF(D520="","",IF(W520+X520&lt;15,"Données Nb pers ou RFR manquantes",IF(COUNTA(INDIRECT("TabRFR["&amp;YEAR(I520)&amp;"]"))&lt;&gt;COUNTA(TabRFR[Recherche RFR]),"Data RFR manquantes", IF(X520&lt;=INDEX(TabRFR[[2021]:[2025]],MATCH(BD!W520&amp;"-Très modestes",TabRFR[Recherche RFR],0),MATCH(TEXT(YEAR(BD!I520),"Standard"),TabRFR[[#Headers],[2021]:[2025]],0)),"Très Modeste",IF(X520&lt;=INDEX(TabRFR[[2021]:[2025]],MATCH(BD!W520&amp;"-modestes",TabRFR[Recherche RFR],0),MATCH(TEXT(YEAR(BD!I520),"Standard"),TabRFR[[#Headers],[2021]:[2025]],0)),"Modeste",IF(X520&lt;=INDEX(TabRFR[[2021]:[2025]],MATCH(BD!W520&amp;"-Intermédiaire",TabRFR[Recherche RFR],0),MATCH(TEXT(YEAR(BD!I520),"Standard"),TabRFR[[#Headers],[2021]:[2025]],0)),"Intermédiaire","Supérieur")))))))</f>
        <v>Data RFR manquantes</v>
      </c>
      <c r="Z520" s="77"/>
      <c r="AA520" s="77" t="s">
        <v>3279</v>
      </c>
      <c r="AB520" s="77">
        <v>38430</v>
      </c>
      <c r="AC520" s="77" t="s">
        <v>217</v>
      </c>
      <c r="AD520" s="78"/>
      <c r="AE520" s="102"/>
      <c r="AF520" s="77" t="s">
        <v>95</v>
      </c>
      <c r="AG520" s="77"/>
      <c r="AH520" s="77"/>
      <c r="AI520" s="77"/>
      <c r="AJ520" s="77"/>
      <c r="AK520" s="77"/>
      <c r="AL520" s="77"/>
      <c r="AM520" s="77" t="s">
        <v>218</v>
      </c>
      <c r="AN520" s="77" t="s">
        <v>217</v>
      </c>
      <c r="AO520" s="77" t="s">
        <v>219</v>
      </c>
      <c r="AP520" s="77" t="s">
        <v>97</v>
      </c>
      <c r="AQ520" s="77"/>
      <c r="AR520" s="79">
        <v>43764</v>
      </c>
      <c r="AS520" s="102" t="s">
        <v>220</v>
      </c>
      <c r="AT520" s="78" t="s">
        <v>620</v>
      </c>
      <c r="AU520" s="77" t="s">
        <v>111</v>
      </c>
      <c r="AV520" s="77">
        <v>1990</v>
      </c>
      <c r="AW520" s="77" t="s">
        <v>111</v>
      </c>
      <c r="AX520" s="77" t="s">
        <v>112</v>
      </c>
      <c r="AY520" s="77" t="s">
        <v>121</v>
      </c>
      <c r="AZ520" s="77" t="s">
        <v>3278</v>
      </c>
      <c r="BA520" s="77">
        <v>23</v>
      </c>
      <c r="BB520" s="77">
        <v>10</v>
      </c>
      <c r="BC520" s="77">
        <v>78</v>
      </c>
      <c r="BD520" s="77">
        <v>7.0000000000000007E-2</v>
      </c>
      <c r="BE520" s="77" t="s">
        <v>928</v>
      </c>
      <c r="BF520" s="77"/>
      <c r="BG520" s="77">
        <v>3402</v>
      </c>
      <c r="BH520" s="77"/>
      <c r="BI520" s="77"/>
      <c r="BJ520" s="77"/>
      <c r="BK520" s="77">
        <v>1539</v>
      </c>
      <c r="BL520" s="75">
        <f t="shared" si="24"/>
        <v>4941</v>
      </c>
      <c r="BM520" s="103">
        <f t="shared" si="25"/>
        <v>271.755</v>
      </c>
      <c r="BN520" s="103">
        <f t="shared" si="26"/>
        <v>5212.7550000000001</v>
      </c>
      <c r="BO520" s="80">
        <v>5205.97</v>
      </c>
      <c r="BP520" s="77" t="s">
        <v>97</v>
      </c>
      <c r="BQ520" s="77"/>
      <c r="BR520" s="77"/>
      <c r="BS520" s="157">
        <v>2019</v>
      </c>
      <c r="BT520" s="235">
        <v>43770</v>
      </c>
      <c r="BU520">
        <v>2019</v>
      </c>
    </row>
    <row r="521" spans="1:73" ht="43.15" customHeight="1" x14ac:dyDescent="0.25">
      <c r="A521" s="241" t="s">
        <v>749</v>
      </c>
      <c r="B521" s="241" t="s">
        <v>3277</v>
      </c>
      <c r="C521" s="159">
        <v>800</v>
      </c>
      <c r="D521" s="76">
        <v>43565</v>
      </c>
      <c r="E521" s="76">
        <v>43594</v>
      </c>
      <c r="F521" s="76"/>
      <c r="G521" s="76"/>
      <c r="H521" s="76">
        <v>43594</v>
      </c>
      <c r="I521" s="76">
        <v>43594</v>
      </c>
      <c r="J521" s="76">
        <v>43605</v>
      </c>
      <c r="K521" s="218"/>
      <c r="L521" s="76">
        <v>43627</v>
      </c>
      <c r="M521" s="76">
        <v>43624</v>
      </c>
      <c r="N521" s="76"/>
      <c r="O521" s="76">
        <v>43643</v>
      </c>
      <c r="P521" s="76">
        <v>43643</v>
      </c>
      <c r="Q521" s="76">
        <v>43671</v>
      </c>
      <c r="R521" s="82"/>
      <c r="S521" s="76"/>
      <c r="T521" s="77"/>
      <c r="U521" s="77"/>
      <c r="V521" s="77"/>
      <c r="W521" s="77">
        <v>2</v>
      </c>
      <c r="X521" s="77">
        <v>26031</v>
      </c>
      <c r="Y521" s="75" t="str">
        <f ca="1">IF(I521="",IF(D521="","",IF(W521+X521&lt;15,"Données Nb pers ou RFR manquantes",IF(COUNTA(INDIRECT("TabRFR["&amp;YEAR(D521)&amp;"]"))&lt;&gt;COUNTA(TabRFR[Recherche RFR]),"Data RFR manquantes", IF(X521&lt;=INDEX(TabRFR[[2021]:[2025]],MATCH(BD!W521&amp;"-Très modestes",TabRFR[Recherche RFR],0),MATCH(TEXT(YEAR(BD!D521),"Standard"),TabRFR[[#Headers],[2021]:[2025]],0)),"Très Modeste",IF(X521&lt;=INDEX(TabRFR[[2021]:[2025]],MATCH(BD!W521&amp;"-modestes",TabRFR[Recherche RFR],0),MATCH(TEXT(YEAR(BD!D521),"Standard"),TabRFR[[#Headers],[2021]:[2025]],0)),"Modeste",IF(X521&lt;=INDEX(TabRFR[[2021]:[2025]],MATCH(BD!W521&amp;"-Intermédiaire",TabRFR[Recherche RFR],0),MATCH(TEXT(YEAR(BD!D521),"Standard"),TabRFR[[#Headers],[2021]:[2025]],0)),"Intermédiaire","Supérieur")))))),IF(D521="","",IF(W521+X521&lt;15,"Données Nb pers ou RFR manquantes",IF(COUNTA(INDIRECT("TabRFR["&amp;YEAR(I521)&amp;"]"))&lt;&gt;COUNTA(TabRFR[Recherche RFR]),"Data RFR manquantes", IF(X521&lt;=INDEX(TabRFR[[2021]:[2025]],MATCH(BD!W521&amp;"-Très modestes",TabRFR[Recherche RFR],0),MATCH(TEXT(YEAR(BD!I521),"Standard"),TabRFR[[#Headers],[2021]:[2025]],0)),"Très Modeste",IF(X521&lt;=INDEX(TabRFR[[2021]:[2025]],MATCH(BD!W521&amp;"-modestes",TabRFR[Recherche RFR],0),MATCH(TEXT(YEAR(BD!I521),"Standard"),TabRFR[[#Headers],[2021]:[2025]],0)),"Modeste",IF(X521&lt;=INDEX(TabRFR[[2021]:[2025]],MATCH(BD!W521&amp;"-Intermédiaire",TabRFR[Recherche RFR],0),MATCH(TEXT(YEAR(BD!I521),"Standard"),TabRFR[[#Headers],[2021]:[2025]],0)),"Intermédiaire","Supérieur")))))))</f>
        <v>Data RFR manquantes</v>
      </c>
      <c r="Z521" s="77"/>
      <c r="AA521" s="77" t="s">
        <v>3276</v>
      </c>
      <c r="AB521" s="77">
        <v>38500</v>
      </c>
      <c r="AC521" s="77" t="s">
        <v>96</v>
      </c>
      <c r="AD521" s="78"/>
      <c r="AE521" s="102"/>
      <c r="AF521" s="77" t="s">
        <v>95</v>
      </c>
      <c r="AG521" s="77"/>
      <c r="AH521" s="77"/>
      <c r="AI521" s="77"/>
      <c r="AJ521" s="77"/>
      <c r="AK521" s="77"/>
      <c r="AL521" s="77"/>
      <c r="AM521" s="77" t="s">
        <v>218</v>
      </c>
      <c r="AN521" s="77" t="s">
        <v>217</v>
      </c>
      <c r="AO521" s="77" t="s">
        <v>219</v>
      </c>
      <c r="AP521" s="77" t="s">
        <v>97</v>
      </c>
      <c r="AQ521" s="77"/>
      <c r="AR521" s="79">
        <v>43765</v>
      </c>
      <c r="AS521" s="102" t="s">
        <v>220</v>
      </c>
      <c r="AT521" s="78" t="s">
        <v>3275</v>
      </c>
      <c r="AU521" s="77" t="s">
        <v>111</v>
      </c>
      <c r="AV521" s="77">
        <v>1990</v>
      </c>
      <c r="AW521" s="77" t="s">
        <v>111</v>
      </c>
      <c r="AX521" s="77" t="s">
        <v>112</v>
      </c>
      <c r="AY521" s="77" t="s">
        <v>121</v>
      </c>
      <c r="AZ521" s="77" t="s">
        <v>3274</v>
      </c>
      <c r="BA521" s="77">
        <v>23</v>
      </c>
      <c r="BB521" s="77">
        <v>10</v>
      </c>
      <c r="BC521" s="77">
        <v>78</v>
      </c>
      <c r="BD521" s="77">
        <v>7.0000000000000007E-2</v>
      </c>
      <c r="BE521" s="77" t="s">
        <v>928</v>
      </c>
      <c r="BF521" s="77"/>
      <c r="BG521" s="77">
        <v>2215</v>
      </c>
      <c r="BH521" s="77"/>
      <c r="BI521" s="77"/>
      <c r="BJ521" s="77"/>
      <c r="BK521" s="77">
        <v>250</v>
      </c>
      <c r="BL521" s="75">
        <f t="shared" si="24"/>
        <v>2465</v>
      </c>
      <c r="BM521" s="103">
        <f t="shared" si="25"/>
        <v>135.57499999999999</v>
      </c>
      <c r="BN521" s="103">
        <f t="shared" si="26"/>
        <v>2600.5749999999998</v>
      </c>
      <c r="BO521" s="80">
        <v>2600</v>
      </c>
      <c r="BP521" s="77" t="s">
        <v>104</v>
      </c>
      <c r="BQ521" s="77"/>
      <c r="BR521" s="77"/>
      <c r="BS521" s="157">
        <v>2019</v>
      </c>
      <c r="BT521" s="235">
        <v>43770</v>
      </c>
      <c r="BU521">
        <v>2019</v>
      </c>
    </row>
    <row r="522" spans="1:73" ht="43.15" customHeight="1" x14ac:dyDescent="0.25">
      <c r="A522" s="241" t="s">
        <v>749</v>
      </c>
      <c r="B522" s="241" t="s">
        <v>3273</v>
      </c>
      <c r="C522" s="163">
        <v>400</v>
      </c>
      <c r="D522" s="76">
        <v>43565</v>
      </c>
      <c r="E522" s="76">
        <v>43594</v>
      </c>
      <c r="F522" s="76">
        <v>43229</v>
      </c>
      <c r="G522" s="76" t="s">
        <v>3272</v>
      </c>
      <c r="H522" s="76">
        <v>43601</v>
      </c>
      <c r="I522" s="76">
        <v>43601</v>
      </c>
      <c r="J522" s="76">
        <v>43612</v>
      </c>
      <c r="K522" s="218"/>
      <c r="L522" s="76">
        <v>43609</v>
      </c>
      <c r="M522" s="76">
        <v>43603</v>
      </c>
      <c r="N522" s="76" t="s">
        <v>3693</v>
      </c>
      <c r="O522" s="76">
        <v>43727</v>
      </c>
      <c r="P522" s="76">
        <v>43727</v>
      </c>
      <c r="Q522" s="76">
        <v>43746</v>
      </c>
      <c r="R522" s="82"/>
      <c r="S522" s="76"/>
      <c r="T522" s="77"/>
      <c r="U522" s="77"/>
      <c r="V522" s="77"/>
      <c r="W522" s="77">
        <v>2</v>
      </c>
      <c r="X522" s="77">
        <f>19268+25329</f>
        <v>44597</v>
      </c>
      <c r="Y522" s="75" t="str">
        <f ca="1">IF(I522="",IF(D522="","",IF(W522+X522&lt;15,"Données Nb pers ou RFR manquantes",IF(COUNTA(INDIRECT("TabRFR["&amp;YEAR(D522)&amp;"]"))&lt;&gt;COUNTA(TabRFR[Recherche RFR]),"Data RFR manquantes", IF(X522&lt;=INDEX(TabRFR[[2021]:[2025]],MATCH(BD!W522&amp;"-Très modestes",TabRFR[Recherche RFR],0),MATCH(TEXT(YEAR(BD!D522),"Standard"),TabRFR[[#Headers],[2021]:[2025]],0)),"Très Modeste",IF(X522&lt;=INDEX(TabRFR[[2021]:[2025]],MATCH(BD!W522&amp;"-modestes",TabRFR[Recherche RFR],0),MATCH(TEXT(YEAR(BD!D522),"Standard"),TabRFR[[#Headers],[2021]:[2025]],0)),"Modeste",IF(X522&lt;=INDEX(TabRFR[[2021]:[2025]],MATCH(BD!W522&amp;"-Intermédiaire",TabRFR[Recherche RFR],0),MATCH(TEXT(YEAR(BD!D522),"Standard"),TabRFR[[#Headers],[2021]:[2025]],0)),"Intermédiaire","Supérieur")))))),IF(D522="","",IF(W522+X522&lt;15,"Données Nb pers ou RFR manquantes",IF(COUNTA(INDIRECT("TabRFR["&amp;YEAR(I522)&amp;"]"))&lt;&gt;COUNTA(TabRFR[Recherche RFR]),"Data RFR manquantes", IF(X522&lt;=INDEX(TabRFR[[2021]:[2025]],MATCH(BD!W522&amp;"-Très modestes",TabRFR[Recherche RFR],0),MATCH(TEXT(YEAR(BD!I522),"Standard"),TabRFR[[#Headers],[2021]:[2025]],0)),"Très Modeste",IF(X522&lt;=INDEX(TabRFR[[2021]:[2025]],MATCH(BD!W522&amp;"-modestes",TabRFR[Recherche RFR],0),MATCH(TEXT(YEAR(BD!I522),"Standard"),TabRFR[[#Headers],[2021]:[2025]],0)),"Modeste",IF(X522&lt;=INDEX(TabRFR[[2021]:[2025]],MATCH(BD!W522&amp;"-Intermédiaire",TabRFR[Recherche RFR],0),MATCH(TEXT(YEAR(BD!I522),"Standard"),TabRFR[[#Headers],[2021]:[2025]],0)),"Intermédiaire","Supérieur")))))))</f>
        <v>Data RFR manquantes</v>
      </c>
      <c r="Z522" s="77"/>
      <c r="AA522" s="77" t="s">
        <v>3271</v>
      </c>
      <c r="AB522" s="77">
        <v>38960</v>
      </c>
      <c r="AC522" s="77" t="s">
        <v>2378</v>
      </c>
      <c r="AD522" s="78"/>
      <c r="AE522" s="102"/>
      <c r="AF522" s="77" t="s">
        <v>95</v>
      </c>
      <c r="AG522" s="77"/>
      <c r="AH522" s="77"/>
      <c r="AI522" s="77"/>
      <c r="AJ522" s="77"/>
      <c r="AK522" s="77"/>
      <c r="AL522" s="77"/>
      <c r="AM522" s="75" t="s">
        <v>3973</v>
      </c>
      <c r="AN522" s="75" t="s">
        <v>96</v>
      </c>
      <c r="AO522" s="75"/>
      <c r="AP522" s="75" t="s">
        <v>97</v>
      </c>
      <c r="AQ522" s="75"/>
      <c r="AR522" s="74">
        <v>43726</v>
      </c>
      <c r="AS522" s="102" t="s">
        <v>141</v>
      </c>
      <c r="AT522" s="73" t="s">
        <v>820</v>
      </c>
      <c r="AU522" s="77" t="s">
        <v>111</v>
      </c>
      <c r="AV522" s="77">
        <v>1999</v>
      </c>
      <c r="AW522" s="77" t="s">
        <v>100</v>
      </c>
      <c r="AX522" s="77" t="s">
        <v>112</v>
      </c>
      <c r="AY522" s="77" t="s">
        <v>3270</v>
      </c>
      <c r="AZ522" s="77" t="s">
        <v>3269</v>
      </c>
      <c r="BA522" s="77">
        <v>25</v>
      </c>
      <c r="BB522" s="77">
        <v>5.8</v>
      </c>
      <c r="BC522" s="77">
        <v>79</v>
      </c>
      <c r="BD522" s="77">
        <v>7.0000000000000007E-2</v>
      </c>
      <c r="BE522" s="77" t="s">
        <v>928</v>
      </c>
      <c r="BF522" s="77"/>
      <c r="BG522" s="77">
        <v>3888</v>
      </c>
      <c r="BH522" s="77"/>
      <c r="BI522" s="77"/>
      <c r="BJ522" s="77"/>
      <c r="BK522" s="77">
        <v>450</v>
      </c>
      <c r="BL522" s="75">
        <f t="shared" si="24"/>
        <v>4338</v>
      </c>
      <c r="BM522" s="103">
        <f t="shared" si="25"/>
        <v>238.59</v>
      </c>
      <c r="BN522" s="103">
        <f t="shared" si="26"/>
        <v>4576.59</v>
      </c>
      <c r="BO522" s="80"/>
      <c r="BP522" s="77" t="s">
        <v>97</v>
      </c>
      <c r="BQ522" s="77"/>
      <c r="BR522" s="77"/>
      <c r="BS522" s="157">
        <v>2019</v>
      </c>
      <c r="BT522" s="235">
        <v>43770</v>
      </c>
      <c r="BU522">
        <v>2019</v>
      </c>
    </row>
    <row r="523" spans="1:73" ht="43.15" customHeight="1" x14ac:dyDescent="0.25">
      <c r="A523" s="241" t="s">
        <v>3305</v>
      </c>
      <c r="B523" s="241" t="s">
        <v>3268</v>
      </c>
      <c r="C523" s="163">
        <v>800</v>
      </c>
      <c r="D523" s="76">
        <v>43668</v>
      </c>
      <c r="E523" s="76">
        <v>43668</v>
      </c>
      <c r="F523" s="76" t="s">
        <v>9</v>
      </c>
      <c r="G523" s="76" t="s">
        <v>9</v>
      </c>
      <c r="H523" s="76">
        <v>43676</v>
      </c>
      <c r="I523" s="76">
        <v>43676</v>
      </c>
      <c r="J523" s="76">
        <v>43686</v>
      </c>
      <c r="K523" s="218"/>
      <c r="L523" s="76">
        <v>43761</v>
      </c>
      <c r="M523" s="76">
        <v>43750</v>
      </c>
      <c r="N523" s="76" t="s">
        <v>3925</v>
      </c>
      <c r="O523" s="76">
        <v>43782</v>
      </c>
      <c r="P523" s="76">
        <v>43782</v>
      </c>
      <c r="Q523" s="76">
        <v>43798</v>
      </c>
      <c r="R523" s="82"/>
      <c r="S523" s="76"/>
      <c r="T523" s="77"/>
      <c r="U523" s="77"/>
      <c r="V523" s="77"/>
      <c r="W523" s="77">
        <v>5</v>
      </c>
      <c r="X523" s="77">
        <v>41915</v>
      </c>
      <c r="Y523" s="75" t="str">
        <f ca="1">IF(I523="",IF(D523="","",IF(W523+X523&lt;15,"Données Nb pers ou RFR manquantes",IF(COUNTA(INDIRECT("TabRFR["&amp;YEAR(D523)&amp;"]"))&lt;&gt;COUNTA(TabRFR[Recherche RFR]),"Data RFR manquantes", IF(X523&lt;=INDEX(TabRFR[[2021]:[2025]],MATCH(BD!W523&amp;"-Très modestes",TabRFR[Recherche RFR],0),MATCH(TEXT(YEAR(BD!D523),"Standard"),TabRFR[[#Headers],[2021]:[2025]],0)),"Très Modeste",IF(X523&lt;=INDEX(TabRFR[[2021]:[2025]],MATCH(BD!W523&amp;"-modestes",TabRFR[Recherche RFR],0),MATCH(TEXT(YEAR(BD!D523),"Standard"),TabRFR[[#Headers],[2021]:[2025]],0)),"Modeste",IF(X523&lt;=INDEX(TabRFR[[2021]:[2025]],MATCH(BD!W523&amp;"-Intermédiaire",TabRFR[Recherche RFR],0),MATCH(TEXT(YEAR(BD!D523),"Standard"),TabRFR[[#Headers],[2021]:[2025]],0)),"Intermédiaire","Supérieur")))))),IF(D523="","",IF(W523+X523&lt;15,"Données Nb pers ou RFR manquantes",IF(COUNTA(INDIRECT("TabRFR["&amp;YEAR(I523)&amp;"]"))&lt;&gt;COUNTA(TabRFR[Recherche RFR]),"Data RFR manquantes", IF(X523&lt;=INDEX(TabRFR[[2021]:[2025]],MATCH(BD!W523&amp;"-Très modestes",TabRFR[Recherche RFR],0),MATCH(TEXT(YEAR(BD!I523),"Standard"),TabRFR[[#Headers],[2021]:[2025]],0)),"Très Modeste",IF(X523&lt;=INDEX(TabRFR[[2021]:[2025]],MATCH(BD!W523&amp;"-modestes",TabRFR[Recherche RFR],0),MATCH(TEXT(YEAR(BD!I523),"Standard"),TabRFR[[#Headers],[2021]:[2025]],0)),"Modeste",IF(X523&lt;=INDEX(TabRFR[[2021]:[2025]],MATCH(BD!W523&amp;"-Intermédiaire",TabRFR[Recherche RFR],0),MATCH(TEXT(YEAR(BD!I523),"Standard"),TabRFR[[#Headers],[2021]:[2025]],0)),"Intermédiaire","Supérieur")))))))</f>
        <v>Data RFR manquantes</v>
      </c>
      <c r="Z523" s="77"/>
      <c r="AA523" s="77" t="s">
        <v>3701</v>
      </c>
      <c r="AB523" s="77">
        <v>38850</v>
      </c>
      <c r="AC523" s="77" t="s">
        <v>148</v>
      </c>
      <c r="AD523" s="78"/>
      <c r="AE523" s="102"/>
      <c r="AF523" s="77" t="s">
        <v>95</v>
      </c>
      <c r="AG523" s="77"/>
      <c r="AH523" s="77"/>
      <c r="AI523" s="77"/>
      <c r="AJ523" s="77"/>
      <c r="AK523" s="77"/>
      <c r="AL523" s="77"/>
      <c r="AM523" s="75" t="s">
        <v>3973</v>
      </c>
      <c r="AN523" s="75" t="s">
        <v>96</v>
      </c>
      <c r="AO523" s="75" t="s">
        <v>998</v>
      </c>
      <c r="AP523" s="75" t="s">
        <v>97</v>
      </c>
      <c r="AQ523" s="75"/>
      <c r="AR523" s="74">
        <v>43726</v>
      </c>
      <c r="AS523" s="102" t="s">
        <v>141</v>
      </c>
      <c r="AT523" s="73" t="s">
        <v>820</v>
      </c>
      <c r="AU523" s="77" t="s">
        <v>111</v>
      </c>
      <c r="AV523" s="77" t="s">
        <v>1088</v>
      </c>
      <c r="AW523" s="77" t="s">
        <v>111</v>
      </c>
      <c r="AX523" s="77" t="s">
        <v>112</v>
      </c>
      <c r="AY523" s="77" t="s">
        <v>1249</v>
      </c>
      <c r="AZ523" s="77" t="s">
        <v>3705</v>
      </c>
      <c r="BA523" s="77">
        <v>38</v>
      </c>
      <c r="BB523" s="77">
        <v>8.5</v>
      </c>
      <c r="BC523" s="77">
        <v>80.599999999999994</v>
      </c>
      <c r="BD523" s="77">
        <v>0.1</v>
      </c>
      <c r="BE523" s="77" t="s">
        <v>928</v>
      </c>
      <c r="BF523" s="77"/>
      <c r="BG523" s="77">
        <v>4221.2</v>
      </c>
      <c r="BH523" s="77"/>
      <c r="BI523" s="77"/>
      <c r="BJ523" s="77"/>
      <c r="BK523" s="77">
        <v>1630</v>
      </c>
      <c r="BL523" s="75">
        <f t="shared" si="24"/>
        <v>5851.2</v>
      </c>
      <c r="BM523" s="103">
        <f t="shared" si="25"/>
        <v>321.81599999999997</v>
      </c>
      <c r="BN523" s="103">
        <f t="shared" si="26"/>
        <v>6173.0159999999996</v>
      </c>
      <c r="BO523" s="80">
        <v>7122.52</v>
      </c>
      <c r="BP523" s="77" t="s">
        <v>97</v>
      </c>
      <c r="BQ523" s="77"/>
      <c r="BR523" s="77"/>
      <c r="BS523" s="157">
        <v>2019</v>
      </c>
      <c r="BT523" s="235">
        <v>43770</v>
      </c>
      <c r="BU523">
        <v>2019</v>
      </c>
    </row>
    <row r="524" spans="1:73" ht="43.15" customHeight="1" x14ac:dyDescent="0.25">
      <c r="A524" s="241" t="s">
        <v>90</v>
      </c>
      <c r="B524" s="241" t="s">
        <v>3267</v>
      </c>
      <c r="C524" s="163">
        <v>400</v>
      </c>
      <c r="D524" s="76">
        <v>43590</v>
      </c>
      <c r="E524" s="76">
        <v>43598</v>
      </c>
      <c r="F524" s="76">
        <v>43608</v>
      </c>
      <c r="G524" s="76" t="s">
        <v>3266</v>
      </c>
      <c r="H524" s="76">
        <v>43620</v>
      </c>
      <c r="I524" s="76">
        <v>43620</v>
      </c>
      <c r="J524" s="76">
        <v>43634</v>
      </c>
      <c r="K524" s="218"/>
      <c r="L524" s="76">
        <v>43756</v>
      </c>
      <c r="M524" s="76">
        <v>43734</v>
      </c>
      <c r="N524" s="76" t="s">
        <v>9</v>
      </c>
      <c r="O524" s="76">
        <v>43761</v>
      </c>
      <c r="P524" s="76">
        <v>43761</v>
      </c>
      <c r="Q524" s="76">
        <v>43761</v>
      </c>
      <c r="R524" s="82"/>
      <c r="S524" s="76"/>
      <c r="T524" s="77"/>
      <c r="U524" s="77"/>
      <c r="V524" s="77"/>
      <c r="W524" s="77">
        <v>3</v>
      </c>
      <c r="X524" s="77">
        <v>36442</v>
      </c>
      <c r="Y524" s="75" t="str">
        <f ca="1">IF(I524="",IF(D524="","",IF(W524+X524&lt;15,"Données Nb pers ou RFR manquantes",IF(COUNTA(INDIRECT("TabRFR["&amp;YEAR(D524)&amp;"]"))&lt;&gt;COUNTA(TabRFR[Recherche RFR]),"Data RFR manquantes", IF(X524&lt;=INDEX(TabRFR[[2021]:[2025]],MATCH(BD!W524&amp;"-Très modestes",TabRFR[Recherche RFR],0),MATCH(TEXT(YEAR(BD!D524),"Standard"),TabRFR[[#Headers],[2021]:[2025]],0)),"Très Modeste",IF(X524&lt;=INDEX(TabRFR[[2021]:[2025]],MATCH(BD!W524&amp;"-modestes",TabRFR[Recherche RFR],0),MATCH(TEXT(YEAR(BD!D524),"Standard"),TabRFR[[#Headers],[2021]:[2025]],0)),"Modeste",IF(X524&lt;=INDEX(TabRFR[[2021]:[2025]],MATCH(BD!W524&amp;"-Intermédiaire",TabRFR[Recherche RFR],0),MATCH(TEXT(YEAR(BD!D524),"Standard"),TabRFR[[#Headers],[2021]:[2025]],0)),"Intermédiaire","Supérieur")))))),IF(D524="","",IF(W524+X524&lt;15,"Données Nb pers ou RFR manquantes",IF(COUNTA(INDIRECT("TabRFR["&amp;YEAR(I524)&amp;"]"))&lt;&gt;COUNTA(TabRFR[Recherche RFR]),"Data RFR manquantes", IF(X524&lt;=INDEX(TabRFR[[2021]:[2025]],MATCH(BD!W524&amp;"-Très modestes",TabRFR[Recherche RFR],0),MATCH(TEXT(YEAR(BD!I524),"Standard"),TabRFR[[#Headers],[2021]:[2025]],0)),"Très Modeste",IF(X524&lt;=INDEX(TabRFR[[2021]:[2025]],MATCH(BD!W524&amp;"-modestes",TabRFR[Recherche RFR],0),MATCH(TEXT(YEAR(BD!I524),"Standard"),TabRFR[[#Headers],[2021]:[2025]],0)),"Modeste",IF(X524&lt;=INDEX(TabRFR[[2021]:[2025]],MATCH(BD!W524&amp;"-Intermédiaire",TabRFR[Recherche RFR],0),MATCH(TEXT(YEAR(BD!I524),"Standard"),TabRFR[[#Headers],[2021]:[2025]],0)),"Intermédiaire","Supérieur")))))))</f>
        <v>Data RFR manquantes</v>
      </c>
      <c r="Z524" s="77"/>
      <c r="AA524" s="77" t="s">
        <v>3265</v>
      </c>
      <c r="AB524" s="77">
        <v>38850</v>
      </c>
      <c r="AC524" s="77" t="s">
        <v>438</v>
      </c>
      <c r="AD524" s="78"/>
      <c r="AE524" s="102"/>
      <c r="AF524" s="77" t="s">
        <v>3264</v>
      </c>
      <c r="AG524" s="77"/>
      <c r="AH524" s="77"/>
      <c r="AI524" s="77"/>
      <c r="AJ524" s="77"/>
      <c r="AK524" s="77"/>
      <c r="AL524" s="77"/>
      <c r="AM524" s="77" t="s">
        <v>4191</v>
      </c>
      <c r="AN524" s="77" t="s">
        <v>96</v>
      </c>
      <c r="AO524" s="77" t="s">
        <v>229</v>
      </c>
      <c r="AP524" s="77"/>
      <c r="AQ524" s="132">
        <v>43681</v>
      </c>
      <c r="AR524" s="79">
        <v>43681</v>
      </c>
      <c r="AS524" s="102" t="s">
        <v>230</v>
      </c>
      <c r="AT524" s="78" t="s">
        <v>563</v>
      </c>
      <c r="AU524" s="77" t="s">
        <v>111</v>
      </c>
      <c r="AV524" s="77">
        <v>1996</v>
      </c>
      <c r="AW524" s="77" t="s">
        <v>100</v>
      </c>
      <c r="AX524" s="75" t="s">
        <v>2071</v>
      </c>
      <c r="AY524" s="77" t="s">
        <v>232</v>
      </c>
      <c r="AZ524" s="77" t="s">
        <v>2385</v>
      </c>
      <c r="BA524" s="77">
        <v>13.5</v>
      </c>
      <c r="BB524" s="77">
        <v>9</v>
      </c>
      <c r="BC524" s="77">
        <v>90.8</v>
      </c>
      <c r="BD524" s="77">
        <v>4.0000000000000001E-3</v>
      </c>
      <c r="BE524" s="77" t="s">
        <v>374</v>
      </c>
      <c r="BF524" s="77"/>
      <c r="BG524" s="77">
        <v>5365</v>
      </c>
      <c r="BH524" s="77"/>
      <c r="BI524" s="77"/>
      <c r="BJ524" s="77"/>
      <c r="BK524" s="77">
        <v>680</v>
      </c>
      <c r="BL524" s="75">
        <f t="shared" si="24"/>
        <v>6045</v>
      </c>
      <c r="BM524" s="103">
        <f t="shared" si="25"/>
        <v>332.47500000000002</v>
      </c>
      <c r="BN524" s="103">
        <f t="shared" si="26"/>
        <v>6377.4750000000004</v>
      </c>
      <c r="BO524" s="80">
        <v>6238.22</v>
      </c>
      <c r="BP524" s="77" t="s">
        <v>97</v>
      </c>
      <c r="BQ524" s="77"/>
      <c r="BR524" s="77"/>
      <c r="BS524" s="157">
        <v>2019</v>
      </c>
      <c r="BU524">
        <v>2019</v>
      </c>
    </row>
    <row r="525" spans="1:73" ht="43.15" customHeight="1" x14ac:dyDescent="0.25">
      <c r="A525" s="241" t="s">
        <v>90</v>
      </c>
      <c r="B525" s="241" t="s">
        <v>3263</v>
      </c>
      <c r="C525" s="159">
        <v>400</v>
      </c>
      <c r="D525" s="76">
        <v>43598</v>
      </c>
      <c r="E525" s="76">
        <v>43599</v>
      </c>
      <c r="F525" s="76">
        <v>43608</v>
      </c>
      <c r="G525" s="76" t="s">
        <v>3262</v>
      </c>
      <c r="H525" s="76">
        <v>43620</v>
      </c>
      <c r="I525" s="76">
        <v>43620</v>
      </c>
      <c r="J525" s="76">
        <v>43634</v>
      </c>
      <c r="K525" s="218"/>
      <c r="L525" s="76">
        <v>43650</v>
      </c>
      <c r="M525" s="76">
        <v>43636</v>
      </c>
      <c r="N525" s="76"/>
      <c r="O525" s="76">
        <v>43663</v>
      </c>
      <c r="P525" s="76">
        <v>43663</v>
      </c>
      <c r="Q525" s="76">
        <v>43671</v>
      </c>
      <c r="R525" s="82"/>
      <c r="S525" s="76"/>
      <c r="T525" s="77"/>
      <c r="U525" s="77"/>
      <c r="V525" s="77"/>
      <c r="W525" s="77">
        <v>2</v>
      </c>
      <c r="X525" s="77">
        <v>42184</v>
      </c>
      <c r="Y525" s="75" t="str">
        <f ca="1">IF(I525="",IF(D525="","",IF(W525+X525&lt;15,"Données Nb pers ou RFR manquantes",IF(COUNTA(INDIRECT("TabRFR["&amp;YEAR(D525)&amp;"]"))&lt;&gt;COUNTA(TabRFR[Recherche RFR]),"Data RFR manquantes", IF(X525&lt;=INDEX(TabRFR[[2021]:[2025]],MATCH(BD!W525&amp;"-Très modestes",TabRFR[Recherche RFR],0),MATCH(TEXT(YEAR(BD!D525),"Standard"),TabRFR[[#Headers],[2021]:[2025]],0)),"Très Modeste",IF(X525&lt;=INDEX(TabRFR[[2021]:[2025]],MATCH(BD!W525&amp;"-modestes",TabRFR[Recherche RFR],0),MATCH(TEXT(YEAR(BD!D525),"Standard"),TabRFR[[#Headers],[2021]:[2025]],0)),"Modeste",IF(X525&lt;=INDEX(TabRFR[[2021]:[2025]],MATCH(BD!W525&amp;"-Intermédiaire",TabRFR[Recherche RFR],0),MATCH(TEXT(YEAR(BD!D525),"Standard"),TabRFR[[#Headers],[2021]:[2025]],0)),"Intermédiaire","Supérieur")))))),IF(D525="","",IF(W525+X525&lt;15,"Données Nb pers ou RFR manquantes",IF(COUNTA(INDIRECT("TabRFR["&amp;YEAR(I525)&amp;"]"))&lt;&gt;COUNTA(TabRFR[Recherche RFR]),"Data RFR manquantes", IF(X525&lt;=INDEX(TabRFR[[2021]:[2025]],MATCH(BD!W525&amp;"-Très modestes",TabRFR[Recherche RFR],0),MATCH(TEXT(YEAR(BD!I525),"Standard"),TabRFR[[#Headers],[2021]:[2025]],0)),"Très Modeste",IF(X525&lt;=INDEX(TabRFR[[2021]:[2025]],MATCH(BD!W525&amp;"-modestes",TabRFR[Recherche RFR],0),MATCH(TEXT(YEAR(BD!I525),"Standard"),TabRFR[[#Headers],[2021]:[2025]],0)),"Modeste",IF(X525&lt;=INDEX(TabRFR[[2021]:[2025]],MATCH(BD!W525&amp;"-Intermédiaire",TabRFR[Recherche RFR],0),MATCH(TEXT(YEAR(BD!I525),"Standard"),TabRFR[[#Headers],[2021]:[2025]],0)),"Intermédiaire","Supérieur")))))))</f>
        <v>Data RFR manquantes</v>
      </c>
      <c r="Z525" s="77"/>
      <c r="AA525" s="77" t="s">
        <v>3261</v>
      </c>
      <c r="AB525" s="77">
        <v>38210</v>
      </c>
      <c r="AC525" s="77" t="s">
        <v>195</v>
      </c>
      <c r="AD525" s="78"/>
      <c r="AE525" s="102"/>
      <c r="AF525" s="77" t="s">
        <v>95</v>
      </c>
      <c r="AG525" s="77"/>
      <c r="AH525" s="77"/>
      <c r="AI525" s="77"/>
      <c r="AJ525" s="77"/>
      <c r="AK525" s="77"/>
      <c r="AL525" s="77"/>
      <c r="AM525" s="75" t="s">
        <v>4233</v>
      </c>
      <c r="AN525" s="75" t="s">
        <v>829</v>
      </c>
      <c r="AO525" s="75" t="s">
        <v>3260</v>
      </c>
      <c r="AP525" s="75" t="s">
        <v>97</v>
      </c>
      <c r="AQ525" s="75"/>
      <c r="AR525" s="74">
        <v>43686</v>
      </c>
      <c r="AS525" s="102" t="s">
        <v>211</v>
      </c>
      <c r="AT525" s="73" t="s">
        <v>634</v>
      </c>
      <c r="AU525" s="77" t="s">
        <v>111</v>
      </c>
      <c r="AV525" s="77">
        <v>2001</v>
      </c>
      <c r="AW525" s="77" t="s">
        <v>111</v>
      </c>
      <c r="AX525" s="77" t="s">
        <v>112</v>
      </c>
      <c r="AY525" s="77" t="s">
        <v>587</v>
      </c>
      <c r="AZ525" s="77" t="s">
        <v>3259</v>
      </c>
      <c r="BA525" s="77">
        <v>34</v>
      </c>
      <c r="BB525" s="77">
        <v>10</v>
      </c>
      <c r="BC525" s="77">
        <v>80</v>
      </c>
      <c r="BD525" s="77">
        <v>0.12</v>
      </c>
      <c r="BE525" s="77" t="s">
        <v>97</v>
      </c>
      <c r="BF525" s="77"/>
      <c r="BG525" s="77">
        <v>4763</v>
      </c>
      <c r="BH525" s="77"/>
      <c r="BI525" s="77"/>
      <c r="BJ525" s="77"/>
      <c r="BK525" s="77">
        <v>1682</v>
      </c>
      <c r="BL525" s="75">
        <f t="shared" si="24"/>
        <v>6445</v>
      </c>
      <c r="BM525" s="103">
        <f t="shared" si="25"/>
        <v>354.47500000000002</v>
      </c>
      <c r="BN525" s="103">
        <f t="shared" si="26"/>
        <v>6799.4750000000004</v>
      </c>
      <c r="BO525" s="80"/>
      <c r="BP525" s="77" t="s">
        <v>97</v>
      </c>
      <c r="BQ525" s="77"/>
      <c r="BR525" s="77"/>
      <c r="BS525" s="157">
        <v>2019</v>
      </c>
      <c r="BT525">
        <v>2020</v>
      </c>
      <c r="BU525">
        <v>2019</v>
      </c>
    </row>
    <row r="526" spans="1:73" ht="43.15" customHeight="1" x14ac:dyDescent="0.25">
      <c r="A526" s="241" t="s">
        <v>90</v>
      </c>
      <c r="B526" s="241" t="s">
        <v>3258</v>
      </c>
      <c r="C526" s="163">
        <v>400</v>
      </c>
      <c r="D526" s="76">
        <v>43592</v>
      </c>
      <c r="E526" s="76">
        <v>43599</v>
      </c>
      <c r="F526" s="76">
        <v>43608</v>
      </c>
      <c r="G526" s="76" t="s">
        <v>3257</v>
      </c>
      <c r="H526" s="76">
        <v>43633</v>
      </c>
      <c r="I526" s="76">
        <v>43633</v>
      </c>
      <c r="J526" s="76">
        <v>43634</v>
      </c>
      <c r="K526" s="218"/>
      <c r="L526" s="76">
        <v>43741</v>
      </c>
      <c r="M526" s="76">
        <v>43718</v>
      </c>
      <c r="N526" s="76" t="s">
        <v>9</v>
      </c>
      <c r="O526" s="76">
        <v>43761</v>
      </c>
      <c r="P526" s="76">
        <v>43761</v>
      </c>
      <c r="Q526" s="76">
        <v>43761</v>
      </c>
      <c r="R526" s="82"/>
      <c r="S526" s="76"/>
      <c r="T526" s="77"/>
      <c r="U526" s="77"/>
      <c r="V526" s="77"/>
      <c r="W526" s="77">
        <v>1</v>
      </c>
      <c r="X526" s="77">
        <v>25890</v>
      </c>
      <c r="Y526" s="75" t="str">
        <f ca="1">IF(I526="",IF(D526="","",IF(W526+X526&lt;15,"Données Nb pers ou RFR manquantes",IF(COUNTA(INDIRECT("TabRFR["&amp;YEAR(D526)&amp;"]"))&lt;&gt;COUNTA(TabRFR[Recherche RFR]),"Data RFR manquantes", IF(X526&lt;=INDEX(TabRFR[[2021]:[2025]],MATCH(BD!W526&amp;"-Très modestes",TabRFR[Recherche RFR],0),MATCH(TEXT(YEAR(BD!D526),"Standard"),TabRFR[[#Headers],[2021]:[2025]],0)),"Très Modeste",IF(X526&lt;=INDEX(TabRFR[[2021]:[2025]],MATCH(BD!W526&amp;"-modestes",TabRFR[Recherche RFR],0),MATCH(TEXT(YEAR(BD!D526),"Standard"),TabRFR[[#Headers],[2021]:[2025]],0)),"Modeste",IF(X526&lt;=INDEX(TabRFR[[2021]:[2025]],MATCH(BD!W526&amp;"-Intermédiaire",TabRFR[Recherche RFR],0),MATCH(TEXT(YEAR(BD!D526),"Standard"),TabRFR[[#Headers],[2021]:[2025]],0)),"Intermédiaire","Supérieur")))))),IF(D526="","",IF(W526+X526&lt;15,"Données Nb pers ou RFR manquantes",IF(COUNTA(INDIRECT("TabRFR["&amp;YEAR(I526)&amp;"]"))&lt;&gt;COUNTA(TabRFR[Recherche RFR]),"Data RFR manquantes", IF(X526&lt;=INDEX(TabRFR[[2021]:[2025]],MATCH(BD!W526&amp;"-Très modestes",TabRFR[Recherche RFR],0),MATCH(TEXT(YEAR(BD!I526),"Standard"),TabRFR[[#Headers],[2021]:[2025]],0)),"Très Modeste",IF(X526&lt;=INDEX(TabRFR[[2021]:[2025]],MATCH(BD!W526&amp;"-modestes",TabRFR[Recherche RFR],0),MATCH(TEXT(YEAR(BD!I526),"Standard"),TabRFR[[#Headers],[2021]:[2025]],0)),"Modeste",IF(X526&lt;=INDEX(TabRFR[[2021]:[2025]],MATCH(BD!W526&amp;"-Intermédiaire",TabRFR[Recherche RFR],0),MATCH(TEXT(YEAR(BD!I526),"Standard"),TabRFR[[#Headers],[2021]:[2025]],0)),"Intermédiaire","Supérieur")))))))</f>
        <v>Data RFR manquantes</v>
      </c>
      <c r="Z526" s="77"/>
      <c r="AA526" s="77" t="s">
        <v>3256</v>
      </c>
      <c r="AB526" s="77">
        <v>38850</v>
      </c>
      <c r="AC526" s="77" t="s">
        <v>148</v>
      </c>
      <c r="AD526" s="78"/>
      <c r="AE526" s="102"/>
      <c r="AF526" s="77" t="s">
        <v>95</v>
      </c>
      <c r="AG526" s="77"/>
      <c r="AH526" s="77"/>
      <c r="AI526" s="77"/>
      <c r="AJ526" s="77"/>
      <c r="AK526" s="77"/>
      <c r="AL526" s="77"/>
      <c r="AM526" s="77" t="s">
        <v>218</v>
      </c>
      <c r="AN526" s="77" t="s">
        <v>217</v>
      </c>
      <c r="AO526" s="77" t="s">
        <v>219</v>
      </c>
      <c r="AP526" s="77" t="s">
        <v>97</v>
      </c>
      <c r="AQ526" s="77"/>
      <c r="AR526" s="79">
        <v>43765</v>
      </c>
      <c r="AS526" s="102" t="s">
        <v>220</v>
      </c>
      <c r="AT526" s="78" t="s">
        <v>620</v>
      </c>
      <c r="AU526" s="77" t="s">
        <v>99</v>
      </c>
      <c r="AV526" s="77">
        <v>1990</v>
      </c>
      <c r="AW526" s="77" t="s">
        <v>100</v>
      </c>
      <c r="AX526" s="77" t="s">
        <v>112</v>
      </c>
      <c r="AY526" s="77" t="s">
        <v>3255</v>
      </c>
      <c r="AZ526" s="77" t="s">
        <v>1448</v>
      </c>
      <c r="BA526" s="77">
        <v>18</v>
      </c>
      <c r="BB526" s="77">
        <v>10.6</v>
      </c>
      <c r="BC526" s="77">
        <v>88</v>
      </c>
      <c r="BD526" s="77">
        <v>7.0000000000000007E-2</v>
      </c>
      <c r="BE526" s="77" t="s">
        <v>97</v>
      </c>
      <c r="BF526" s="77"/>
      <c r="BG526" s="77">
        <v>3730</v>
      </c>
      <c r="BH526" s="77"/>
      <c r="BI526" s="77"/>
      <c r="BJ526" s="77"/>
      <c r="BK526" s="77">
        <v>1074</v>
      </c>
      <c r="BL526" s="75">
        <f t="shared" si="24"/>
        <v>4804</v>
      </c>
      <c r="BM526" s="103">
        <f t="shared" si="25"/>
        <v>264.22000000000003</v>
      </c>
      <c r="BN526" s="103">
        <f t="shared" si="26"/>
        <v>5068.22</v>
      </c>
      <c r="BO526" s="80">
        <v>5068.22</v>
      </c>
      <c r="BP526" s="77" t="s">
        <v>97</v>
      </c>
      <c r="BQ526" s="77"/>
      <c r="BR526" s="77"/>
      <c r="BS526" s="157">
        <v>2019</v>
      </c>
      <c r="BT526" s="235">
        <v>43770</v>
      </c>
      <c r="BU526">
        <v>2019</v>
      </c>
    </row>
    <row r="527" spans="1:73" ht="43.15" customHeight="1" x14ac:dyDescent="0.25">
      <c r="A527" s="241" t="s">
        <v>90</v>
      </c>
      <c r="B527" s="241" t="s">
        <v>3254</v>
      </c>
      <c r="C527" s="163">
        <v>400</v>
      </c>
      <c r="D527" s="76">
        <v>43595</v>
      </c>
      <c r="E527" s="76">
        <v>43600</v>
      </c>
      <c r="F527" s="76"/>
      <c r="G527" s="76"/>
      <c r="H527" s="76">
        <v>43608</v>
      </c>
      <c r="I527" s="76">
        <v>43608</v>
      </c>
      <c r="J527" s="76">
        <v>43612</v>
      </c>
      <c r="K527" s="218"/>
      <c r="L527" s="76">
        <v>43743</v>
      </c>
      <c r="M527" s="76">
        <v>43677</v>
      </c>
      <c r="N527" s="76" t="s">
        <v>9</v>
      </c>
      <c r="O527" s="76">
        <v>43761</v>
      </c>
      <c r="P527" s="76">
        <v>43761</v>
      </c>
      <c r="Q527" s="76">
        <v>43761</v>
      </c>
      <c r="R527" s="82"/>
      <c r="S527" s="76"/>
      <c r="T527" s="77"/>
      <c r="U527" s="77"/>
      <c r="V527" s="77"/>
      <c r="W527" s="77">
        <v>4</v>
      </c>
      <c r="X527" s="77">
        <v>102213</v>
      </c>
      <c r="Y527" s="75" t="str">
        <f ca="1">IF(I527="",IF(D527="","",IF(W527+X527&lt;15,"Données Nb pers ou RFR manquantes",IF(COUNTA(INDIRECT("TabRFR["&amp;YEAR(D527)&amp;"]"))&lt;&gt;COUNTA(TabRFR[Recherche RFR]),"Data RFR manquantes", IF(X527&lt;=INDEX(TabRFR[[2021]:[2025]],MATCH(BD!W527&amp;"-Très modestes",TabRFR[Recherche RFR],0),MATCH(TEXT(YEAR(BD!D527),"Standard"),TabRFR[[#Headers],[2021]:[2025]],0)),"Très Modeste",IF(X527&lt;=INDEX(TabRFR[[2021]:[2025]],MATCH(BD!W527&amp;"-modestes",TabRFR[Recherche RFR],0),MATCH(TEXT(YEAR(BD!D527),"Standard"),TabRFR[[#Headers],[2021]:[2025]],0)),"Modeste",IF(X527&lt;=INDEX(TabRFR[[2021]:[2025]],MATCH(BD!W527&amp;"-Intermédiaire",TabRFR[Recherche RFR],0),MATCH(TEXT(YEAR(BD!D527),"Standard"),TabRFR[[#Headers],[2021]:[2025]],0)),"Intermédiaire","Supérieur")))))),IF(D527="","",IF(W527+X527&lt;15,"Données Nb pers ou RFR manquantes",IF(COUNTA(INDIRECT("TabRFR["&amp;YEAR(I527)&amp;"]"))&lt;&gt;COUNTA(TabRFR[Recherche RFR]),"Data RFR manquantes", IF(X527&lt;=INDEX(TabRFR[[2021]:[2025]],MATCH(BD!W527&amp;"-Très modestes",TabRFR[Recherche RFR],0),MATCH(TEXT(YEAR(BD!I527),"Standard"),TabRFR[[#Headers],[2021]:[2025]],0)),"Très Modeste",IF(X527&lt;=INDEX(TabRFR[[2021]:[2025]],MATCH(BD!W527&amp;"-modestes",TabRFR[Recherche RFR],0),MATCH(TEXT(YEAR(BD!I527),"Standard"),TabRFR[[#Headers],[2021]:[2025]],0)),"Modeste",IF(X527&lt;=INDEX(TabRFR[[2021]:[2025]],MATCH(BD!W527&amp;"-Intermédiaire",TabRFR[Recherche RFR],0),MATCH(TEXT(YEAR(BD!I527),"Standard"),TabRFR[[#Headers],[2021]:[2025]],0)),"Intermédiaire","Supérieur")))))))</f>
        <v>Data RFR manquantes</v>
      </c>
      <c r="Z527" s="77"/>
      <c r="AA527" s="77" t="s">
        <v>3253</v>
      </c>
      <c r="AB527" s="77">
        <v>38500</v>
      </c>
      <c r="AC527" s="77" t="s">
        <v>2873</v>
      </c>
      <c r="AD527" s="78"/>
      <c r="AE527" s="102"/>
      <c r="AF527" s="77" t="s">
        <v>95</v>
      </c>
      <c r="AG527" s="77"/>
      <c r="AH527" s="77"/>
      <c r="AI527" s="77"/>
      <c r="AJ527" s="77"/>
      <c r="AK527" s="77"/>
      <c r="AL527" s="77"/>
      <c r="AM527" s="77" t="s">
        <v>4130</v>
      </c>
      <c r="AN527" s="77" t="s">
        <v>4349</v>
      </c>
      <c r="AO527" s="77" t="s">
        <v>3252</v>
      </c>
      <c r="AP527" s="77" t="s">
        <v>97</v>
      </c>
      <c r="AQ527" s="77"/>
      <c r="AR527" s="79">
        <v>43911</v>
      </c>
      <c r="AS527" s="102" t="s">
        <v>337</v>
      </c>
      <c r="AT527" s="78">
        <v>474934316</v>
      </c>
      <c r="AU527" s="77" t="s">
        <v>99</v>
      </c>
      <c r="AV527" s="77">
        <v>1970</v>
      </c>
      <c r="AW527" s="77" t="s">
        <v>100</v>
      </c>
      <c r="AX527" s="77" t="s">
        <v>112</v>
      </c>
      <c r="AY527" s="77" t="s">
        <v>338</v>
      </c>
      <c r="AZ527" s="77" t="s">
        <v>3251</v>
      </c>
      <c r="BA527" s="77">
        <v>27</v>
      </c>
      <c r="BB527" s="77">
        <v>8</v>
      </c>
      <c r="BC527" s="77">
        <v>76.3</v>
      </c>
      <c r="BD527" s="77">
        <v>0.1</v>
      </c>
      <c r="BE527" s="77" t="s">
        <v>97</v>
      </c>
      <c r="BF527" s="77"/>
      <c r="BG527" s="77">
        <v>2803</v>
      </c>
      <c r="BH527" s="77"/>
      <c r="BI527" s="77"/>
      <c r="BJ527" s="77"/>
      <c r="BK527" s="77">
        <v>891</v>
      </c>
      <c r="BL527" s="75">
        <f t="shared" si="24"/>
        <v>3694</v>
      </c>
      <c r="BM527" s="103">
        <f t="shared" si="25"/>
        <v>203.17</v>
      </c>
      <c r="BN527" s="103">
        <f t="shared" si="26"/>
        <v>3897.17</v>
      </c>
      <c r="BO527" s="80">
        <v>5525</v>
      </c>
      <c r="BP527" s="77"/>
      <c r="BQ527" s="77"/>
      <c r="BR527" s="77"/>
      <c r="BS527" s="157">
        <v>2019</v>
      </c>
      <c r="BT527" s="235">
        <v>43770</v>
      </c>
      <c r="BU527">
        <v>2019</v>
      </c>
    </row>
    <row r="528" spans="1:73" ht="43.15" customHeight="1" x14ac:dyDescent="0.25">
      <c r="A528" s="31" t="s">
        <v>90</v>
      </c>
      <c r="B528" s="31" t="s">
        <v>3250</v>
      </c>
      <c r="C528" s="163" t="s">
        <v>9</v>
      </c>
      <c r="D528" s="76">
        <v>43595</v>
      </c>
      <c r="E528" s="76">
        <v>43600</v>
      </c>
      <c r="F528" s="76"/>
      <c r="G528" s="76"/>
      <c r="H528" s="76"/>
      <c r="I528" s="76"/>
      <c r="J528" s="76"/>
      <c r="K528" s="218"/>
      <c r="L528" s="76"/>
      <c r="M528" s="76"/>
      <c r="N528" s="76"/>
      <c r="O528" s="76"/>
      <c r="P528" s="76"/>
      <c r="Q528" s="76"/>
      <c r="R528" s="82"/>
      <c r="S528" s="76">
        <v>43608</v>
      </c>
      <c r="T528" s="77" t="s">
        <v>3249</v>
      </c>
      <c r="U528" s="77"/>
      <c r="V528" s="77"/>
      <c r="W528" s="77">
        <v>2</v>
      </c>
      <c r="X528" s="77">
        <v>32829</v>
      </c>
      <c r="Y528" s="75" t="str">
        <f ca="1">IF(I528="",IF(D528="","",IF(W528+X528&lt;15,"Données Nb pers ou RFR manquantes",IF(COUNTA(INDIRECT("TabRFR["&amp;YEAR(D528)&amp;"]"))&lt;&gt;COUNTA(TabRFR[Recherche RFR]),"Data RFR manquantes", IF(X528&lt;=INDEX(TabRFR[[2021]:[2025]],MATCH(BD!W528&amp;"-Très modestes",TabRFR[Recherche RFR],0),MATCH(TEXT(YEAR(BD!D528),"Standard"),TabRFR[[#Headers],[2021]:[2025]],0)),"Très Modeste",IF(X528&lt;=INDEX(TabRFR[[2021]:[2025]],MATCH(BD!W528&amp;"-modestes",TabRFR[Recherche RFR],0),MATCH(TEXT(YEAR(BD!D528),"Standard"),TabRFR[[#Headers],[2021]:[2025]],0)),"Modeste",IF(X528&lt;=INDEX(TabRFR[[2021]:[2025]],MATCH(BD!W528&amp;"-Intermédiaire",TabRFR[Recherche RFR],0),MATCH(TEXT(YEAR(BD!D528),"Standard"),TabRFR[[#Headers],[2021]:[2025]],0)),"Intermédiaire","Supérieur")))))),IF(D528="","",IF(W528+X528&lt;15,"Données Nb pers ou RFR manquantes",IF(COUNTA(INDIRECT("TabRFR["&amp;YEAR(I528)&amp;"]"))&lt;&gt;COUNTA(TabRFR[Recherche RFR]),"Data RFR manquantes", IF(X528&lt;=INDEX(TabRFR[[2021]:[2025]],MATCH(BD!W528&amp;"-Très modestes",TabRFR[Recherche RFR],0),MATCH(TEXT(YEAR(BD!I528),"Standard"),TabRFR[[#Headers],[2021]:[2025]],0)),"Très Modeste",IF(X528&lt;=INDEX(TabRFR[[2021]:[2025]],MATCH(BD!W528&amp;"-modestes",TabRFR[Recherche RFR],0),MATCH(TEXT(YEAR(BD!I528),"Standard"),TabRFR[[#Headers],[2021]:[2025]],0)),"Modeste",IF(X528&lt;=INDEX(TabRFR[[2021]:[2025]],MATCH(BD!W528&amp;"-Intermédiaire",TabRFR[Recherche RFR],0),MATCH(TEXT(YEAR(BD!I528),"Standard"),TabRFR[[#Headers],[2021]:[2025]],0)),"Intermédiaire","Supérieur")))))))</f>
        <v>Data RFR manquantes</v>
      </c>
      <c r="Z528" s="77"/>
      <c r="AA528" s="77" t="s">
        <v>3248</v>
      </c>
      <c r="AB528" s="77">
        <v>38210</v>
      </c>
      <c r="AC528" s="77" t="s">
        <v>3247</v>
      </c>
      <c r="AD528" s="78"/>
      <c r="AE528" s="102"/>
      <c r="AF528" s="77" t="s">
        <v>95</v>
      </c>
      <c r="AG528" s="77"/>
      <c r="AH528" s="77"/>
      <c r="AI528" s="77"/>
      <c r="AJ528" s="77"/>
      <c r="AK528" s="77"/>
      <c r="AL528" s="77"/>
      <c r="AM528" s="77" t="s">
        <v>4407</v>
      </c>
      <c r="AN528" s="77" t="s">
        <v>3246</v>
      </c>
      <c r="AO528" s="77"/>
      <c r="AP528" s="77"/>
      <c r="AQ528" s="77"/>
      <c r="AR528" s="79"/>
      <c r="AS528" s="102" t="s">
        <v>3245</v>
      </c>
      <c r="AT528" s="78" t="s">
        <v>3244</v>
      </c>
      <c r="AU528" s="77" t="s">
        <v>100</v>
      </c>
      <c r="AV528" s="77">
        <v>1996</v>
      </c>
      <c r="AW528" s="77" t="s">
        <v>100</v>
      </c>
      <c r="AX528" s="75" t="s">
        <v>2071</v>
      </c>
      <c r="AY528" s="77" t="s">
        <v>3243</v>
      </c>
      <c r="AZ528" s="77"/>
      <c r="BA528" s="77"/>
      <c r="BB528" s="77"/>
      <c r="BC528" s="77"/>
      <c r="BD528" s="77"/>
      <c r="BE528" s="77"/>
      <c r="BF528" s="77"/>
      <c r="BG528" s="77"/>
      <c r="BH528" s="77"/>
      <c r="BI528" s="77"/>
      <c r="BJ528" s="77"/>
      <c r="BK528" s="77"/>
      <c r="BL528" s="75">
        <f t="shared" si="24"/>
        <v>0</v>
      </c>
      <c r="BM528" s="103">
        <f t="shared" si="25"/>
        <v>0</v>
      </c>
      <c r="BN528" s="103">
        <f t="shared" si="26"/>
        <v>0</v>
      </c>
      <c r="BO528" s="80"/>
      <c r="BP528" s="77"/>
      <c r="BQ528" s="77"/>
      <c r="BR528" s="77"/>
      <c r="BS528" s="157">
        <v>2019</v>
      </c>
      <c r="BU528" t="s">
        <v>4180</v>
      </c>
    </row>
    <row r="529" spans="1:73" ht="43.15" customHeight="1" x14ac:dyDescent="0.25">
      <c r="A529" s="241" t="s">
        <v>90</v>
      </c>
      <c r="B529" s="241" t="s">
        <v>3242</v>
      </c>
      <c r="C529" s="163">
        <v>400</v>
      </c>
      <c r="D529" s="76">
        <v>43602</v>
      </c>
      <c r="E529" s="76">
        <v>43605</v>
      </c>
      <c r="F529" s="76"/>
      <c r="G529" s="76"/>
      <c r="H529" s="76">
        <v>43608</v>
      </c>
      <c r="I529" s="76">
        <v>43608</v>
      </c>
      <c r="J529" s="76">
        <v>43612</v>
      </c>
      <c r="K529" s="218"/>
      <c r="L529" s="76">
        <v>43865</v>
      </c>
      <c r="M529" s="76">
        <v>43642</v>
      </c>
      <c r="N529" s="76">
        <v>43871</v>
      </c>
      <c r="O529" s="76">
        <v>43874</v>
      </c>
      <c r="P529" s="76">
        <v>43874</v>
      </c>
      <c r="Q529" s="76">
        <v>43875</v>
      </c>
      <c r="R529" s="82"/>
      <c r="S529" s="76"/>
      <c r="T529" s="77"/>
      <c r="U529" s="77"/>
      <c r="V529" s="77"/>
      <c r="W529" s="77">
        <v>1</v>
      </c>
      <c r="X529" s="77">
        <v>21190</v>
      </c>
      <c r="Y529" s="75" t="str">
        <f ca="1">IF(I529="",IF(D529="","",IF(W529+X529&lt;15,"Données Nb pers ou RFR manquantes",IF(COUNTA(INDIRECT("TabRFR["&amp;YEAR(D529)&amp;"]"))&lt;&gt;COUNTA(TabRFR[Recherche RFR]),"Data RFR manquantes", IF(X529&lt;=INDEX(TabRFR[[2021]:[2025]],MATCH(BD!W529&amp;"-Très modestes",TabRFR[Recherche RFR],0),MATCH(TEXT(YEAR(BD!D529),"Standard"),TabRFR[[#Headers],[2021]:[2025]],0)),"Très Modeste",IF(X529&lt;=INDEX(TabRFR[[2021]:[2025]],MATCH(BD!W529&amp;"-modestes",TabRFR[Recherche RFR],0),MATCH(TEXT(YEAR(BD!D529),"Standard"),TabRFR[[#Headers],[2021]:[2025]],0)),"Modeste",IF(X529&lt;=INDEX(TabRFR[[2021]:[2025]],MATCH(BD!W529&amp;"-Intermédiaire",TabRFR[Recherche RFR],0),MATCH(TEXT(YEAR(BD!D529),"Standard"),TabRFR[[#Headers],[2021]:[2025]],0)),"Intermédiaire","Supérieur")))))),IF(D529="","",IF(W529+X529&lt;15,"Données Nb pers ou RFR manquantes",IF(COUNTA(INDIRECT("TabRFR["&amp;YEAR(I529)&amp;"]"))&lt;&gt;COUNTA(TabRFR[Recherche RFR]),"Data RFR manquantes", IF(X529&lt;=INDEX(TabRFR[[2021]:[2025]],MATCH(BD!W529&amp;"-Très modestes",TabRFR[Recherche RFR],0),MATCH(TEXT(YEAR(BD!I529),"Standard"),TabRFR[[#Headers],[2021]:[2025]],0)),"Très Modeste",IF(X529&lt;=INDEX(TabRFR[[2021]:[2025]],MATCH(BD!W529&amp;"-modestes",TabRFR[Recherche RFR],0),MATCH(TEXT(YEAR(BD!I529),"Standard"),TabRFR[[#Headers],[2021]:[2025]],0)),"Modeste",IF(X529&lt;=INDEX(TabRFR[[2021]:[2025]],MATCH(BD!W529&amp;"-Intermédiaire",TabRFR[Recherche RFR],0),MATCH(TEXT(YEAR(BD!I529),"Standard"),TabRFR[[#Headers],[2021]:[2025]],0)),"Intermédiaire","Supérieur")))))))</f>
        <v>Data RFR manquantes</v>
      </c>
      <c r="Z529" s="77"/>
      <c r="AA529" s="77" t="s">
        <v>3241</v>
      </c>
      <c r="AB529" s="77">
        <v>38430</v>
      </c>
      <c r="AC529" s="77" t="s">
        <v>3202</v>
      </c>
      <c r="AD529" s="78"/>
      <c r="AE529" s="102"/>
      <c r="AF529" s="77" t="s">
        <v>95</v>
      </c>
      <c r="AG529" s="77"/>
      <c r="AH529" s="77"/>
      <c r="AI529" s="77"/>
      <c r="AJ529" s="77"/>
      <c r="AK529" s="77"/>
      <c r="AL529" s="77"/>
      <c r="AM529" s="77" t="s">
        <v>4356</v>
      </c>
      <c r="AN529" s="77" t="s">
        <v>96</v>
      </c>
      <c r="AO529" s="77" t="s">
        <v>119</v>
      </c>
      <c r="AP529" s="77" t="s">
        <v>97</v>
      </c>
      <c r="AQ529" s="77"/>
      <c r="AR529" s="79">
        <v>43772</v>
      </c>
      <c r="AS529" s="102" t="s">
        <v>120</v>
      </c>
      <c r="AT529" s="78" t="s">
        <v>658</v>
      </c>
      <c r="AU529" s="77" t="s">
        <v>100</v>
      </c>
      <c r="AV529" s="77">
        <v>1999</v>
      </c>
      <c r="AW529" s="77" t="s">
        <v>100</v>
      </c>
      <c r="AX529" s="77" t="s">
        <v>112</v>
      </c>
      <c r="AY529" s="77" t="s">
        <v>3240</v>
      </c>
      <c r="AZ529" s="77" t="s">
        <v>3239</v>
      </c>
      <c r="BA529" s="77">
        <v>15</v>
      </c>
      <c r="BB529" s="77">
        <v>10</v>
      </c>
      <c r="BC529" s="77">
        <v>78</v>
      </c>
      <c r="BD529" s="77">
        <v>0.09</v>
      </c>
      <c r="BE529" s="77" t="s">
        <v>97</v>
      </c>
      <c r="BF529" s="77"/>
      <c r="BG529" s="77">
        <v>2286</v>
      </c>
      <c r="BH529" s="77"/>
      <c r="BI529" s="77"/>
      <c r="BJ529" s="77"/>
      <c r="BK529" s="77">
        <v>0</v>
      </c>
      <c r="BL529" s="75">
        <f t="shared" si="24"/>
        <v>2286</v>
      </c>
      <c r="BM529" s="103">
        <f t="shared" si="25"/>
        <v>125.73</v>
      </c>
      <c r="BN529" s="103">
        <f t="shared" si="26"/>
        <v>2411.73</v>
      </c>
      <c r="BO529" s="80">
        <v>2438.3200000000002</v>
      </c>
      <c r="BP529" s="77" t="s">
        <v>97</v>
      </c>
      <c r="BQ529" s="77"/>
      <c r="BR529" s="77"/>
      <c r="BS529" s="157">
        <v>2019</v>
      </c>
      <c r="BT529" s="235">
        <v>43770</v>
      </c>
      <c r="BU529">
        <v>2019</v>
      </c>
    </row>
    <row r="530" spans="1:73" ht="43.15" customHeight="1" x14ac:dyDescent="0.25">
      <c r="A530" s="241" t="s">
        <v>90</v>
      </c>
      <c r="B530" s="241" t="s">
        <v>3238</v>
      </c>
      <c r="C530" s="159">
        <v>400</v>
      </c>
      <c r="D530" s="76">
        <v>43607</v>
      </c>
      <c r="E530" s="76">
        <v>43607</v>
      </c>
      <c r="F530" s="76"/>
      <c r="G530" s="76"/>
      <c r="H530" s="76">
        <v>43608</v>
      </c>
      <c r="I530" s="76">
        <v>43608</v>
      </c>
      <c r="J530" s="76">
        <v>43612</v>
      </c>
      <c r="K530" s="218"/>
      <c r="L530" s="76">
        <v>43628</v>
      </c>
      <c r="M530" s="76">
        <v>43622</v>
      </c>
      <c r="N530" s="76"/>
      <c r="O530" s="76">
        <v>43643</v>
      </c>
      <c r="P530" s="76">
        <v>43643</v>
      </c>
      <c r="Q530" s="76">
        <v>43671</v>
      </c>
      <c r="R530" s="82"/>
      <c r="S530" s="76"/>
      <c r="T530" s="77"/>
      <c r="U530" s="77"/>
      <c r="V530" s="77"/>
      <c r="W530" s="77">
        <v>2</v>
      </c>
      <c r="X530" s="77">
        <v>90077</v>
      </c>
      <c r="Y530" s="75" t="str">
        <f ca="1">IF(I530="",IF(D530="","",IF(W530+X530&lt;15,"Données Nb pers ou RFR manquantes",IF(COUNTA(INDIRECT("TabRFR["&amp;YEAR(D530)&amp;"]"))&lt;&gt;COUNTA(TabRFR[Recherche RFR]),"Data RFR manquantes", IF(X530&lt;=INDEX(TabRFR[[2021]:[2025]],MATCH(BD!W530&amp;"-Très modestes",TabRFR[Recherche RFR],0),MATCH(TEXT(YEAR(BD!D530),"Standard"),TabRFR[[#Headers],[2021]:[2025]],0)),"Très Modeste",IF(X530&lt;=INDEX(TabRFR[[2021]:[2025]],MATCH(BD!W530&amp;"-modestes",TabRFR[Recherche RFR],0),MATCH(TEXT(YEAR(BD!D530),"Standard"),TabRFR[[#Headers],[2021]:[2025]],0)),"Modeste",IF(X530&lt;=INDEX(TabRFR[[2021]:[2025]],MATCH(BD!W530&amp;"-Intermédiaire",TabRFR[Recherche RFR],0),MATCH(TEXT(YEAR(BD!D530),"Standard"),TabRFR[[#Headers],[2021]:[2025]],0)),"Intermédiaire","Supérieur")))))),IF(D530="","",IF(W530+X530&lt;15,"Données Nb pers ou RFR manquantes",IF(COUNTA(INDIRECT("TabRFR["&amp;YEAR(I530)&amp;"]"))&lt;&gt;COUNTA(TabRFR[Recherche RFR]),"Data RFR manquantes", IF(X530&lt;=INDEX(TabRFR[[2021]:[2025]],MATCH(BD!W530&amp;"-Très modestes",TabRFR[Recherche RFR],0),MATCH(TEXT(YEAR(BD!I530),"Standard"),TabRFR[[#Headers],[2021]:[2025]],0)),"Très Modeste",IF(X530&lt;=INDEX(TabRFR[[2021]:[2025]],MATCH(BD!W530&amp;"-modestes",TabRFR[Recherche RFR],0),MATCH(TEXT(YEAR(BD!I530),"Standard"),TabRFR[[#Headers],[2021]:[2025]],0)),"Modeste",IF(X530&lt;=INDEX(TabRFR[[2021]:[2025]],MATCH(BD!W530&amp;"-Intermédiaire",TabRFR[Recherche RFR],0),MATCH(TEXT(YEAR(BD!I530),"Standard"),TabRFR[[#Headers],[2021]:[2025]],0)),"Intermédiaire","Supérieur")))))))</f>
        <v>Data RFR manquantes</v>
      </c>
      <c r="Z530" s="77"/>
      <c r="AA530" s="77" t="s">
        <v>3237</v>
      </c>
      <c r="AB530" s="77">
        <v>38500</v>
      </c>
      <c r="AC530" s="77" t="s">
        <v>118</v>
      </c>
      <c r="AD530" s="78"/>
      <c r="AE530" s="102"/>
      <c r="AF530" s="77" t="s">
        <v>125</v>
      </c>
      <c r="AG530" s="77"/>
      <c r="AH530" s="77"/>
      <c r="AI530" s="77"/>
      <c r="AJ530" s="77"/>
      <c r="AK530" s="77"/>
      <c r="AL530" s="77"/>
      <c r="AM530" s="77" t="s">
        <v>4356</v>
      </c>
      <c r="AN530" s="77" t="s">
        <v>96</v>
      </c>
      <c r="AO530" s="77" t="s">
        <v>119</v>
      </c>
      <c r="AP530" s="77" t="s">
        <v>97</v>
      </c>
      <c r="AQ530" s="77"/>
      <c r="AR530" s="79">
        <v>43772</v>
      </c>
      <c r="AS530" s="102" t="s">
        <v>120</v>
      </c>
      <c r="AT530" s="78" t="s">
        <v>658</v>
      </c>
      <c r="AU530" s="77" t="s">
        <v>111</v>
      </c>
      <c r="AV530" s="77">
        <v>2000</v>
      </c>
      <c r="AW530" s="77" t="s">
        <v>100</v>
      </c>
      <c r="AX530" s="77" t="s">
        <v>112</v>
      </c>
      <c r="AY530" s="77" t="s">
        <v>121</v>
      </c>
      <c r="AZ530" s="77" t="s">
        <v>2392</v>
      </c>
      <c r="BA530" s="77">
        <v>22</v>
      </c>
      <c r="BB530" s="77">
        <v>7</v>
      </c>
      <c r="BC530" s="77">
        <v>80</v>
      </c>
      <c r="BD530" s="77">
        <v>0.08</v>
      </c>
      <c r="BE530" s="77" t="s">
        <v>97</v>
      </c>
      <c r="BF530" s="77"/>
      <c r="BG530" s="77">
        <v>2781</v>
      </c>
      <c r="BH530" s="77"/>
      <c r="BI530" s="77"/>
      <c r="BJ530" s="77"/>
      <c r="BK530" s="77">
        <v>450</v>
      </c>
      <c r="BL530" s="75">
        <f t="shared" si="24"/>
        <v>3231</v>
      </c>
      <c r="BM530" s="103">
        <f t="shared" si="25"/>
        <v>177.70500000000001</v>
      </c>
      <c r="BN530" s="103">
        <f t="shared" si="26"/>
        <v>3408.7049999999999</v>
      </c>
      <c r="BO530" s="80">
        <f>3672+479</f>
        <v>4151</v>
      </c>
      <c r="BP530" s="77" t="s">
        <v>104</v>
      </c>
      <c r="BQ530" s="77"/>
      <c r="BR530" s="77"/>
      <c r="BS530" s="157">
        <v>2019</v>
      </c>
      <c r="BT530" s="235">
        <v>43770</v>
      </c>
      <c r="BU530">
        <v>2019</v>
      </c>
    </row>
    <row r="531" spans="1:73" ht="43.15" customHeight="1" x14ac:dyDescent="0.25">
      <c r="A531" s="241" t="s">
        <v>90</v>
      </c>
      <c r="B531" s="241" t="s">
        <v>3236</v>
      </c>
      <c r="C531" s="163">
        <v>400</v>
      </c>
      <c r="D531" s="76">
        <v>43608</v>
      </c>
      <c r="E531" s="76">
        <v>43608</v>
      </c>
      <c r="F531" s="76">
        <v>43633</v>
      </c>
      <c r="G531" s="76" t="s">
        <v>3235</v>
      </c>
      <c r="H531" s="76">
        <v>43643</v>
      </c>
      <c r="I531" s="76">
        <v>43643</v>
      </c>
      <c r="J531" s="76">
        <v>43650</v>
      </c>
      <c r="K531" s="218"/>
      <c r="L531" s="76">
        <v>43720</v>
      </c>
      <c r="M531" s="76">
        <v>43699</v>
      </c>
      <c r="N531" s="76"/>
      <c r="O531" s="76">
        <v>43727</v>
      </c>
      <c r="P531" s="76">
        <v>43727</v>
      </c>
      <c r="Q531" s="76">
        <v>43746</v>
      </c>
      <c r="R531" s="82"/>
      <c r="S531" s="76"/>
      <c r="T531" s="77"/>
      <c r="U531" s="77"/>
      <c r="V531" s="77"/>
      <c r="W531" s="77">
        <v>2</v>
      </c>
      <c r="X531" s="77">
        <v>45328</v>
      </c>
      <c r="Y531" s="75" t="str">
        <f ca="1">IF(I531="",IF(D531="","",IF(W531+X531&lt;15,"Données Nb pers ou RFR manquantes",IF(COUNTA(INDIRECT("TabRFR["&amp;YEAR(D531)&amp;"]"))&lt;&gt;COUNTA(TabRFR[Recherche RFR]),"Data RFR manquantes", IF(X531&lt;=INDEX(TabRFR[[2021]:[2025]],MATCH(BD!W531&amp;"-Très modestes",TabRFR[Recherche RFR],0),MATCH(TEXT(YEAR(BD!D531),"Standard"),TabRFR[[#Headers],[2021]:[2025]],0)),"Très Modeste",IF(X531&lt;=INDEX(TabRFR[[2021]:[2025]],MATCH(BD!W531&amp;"-modestes",TabRFR[Recherche RFR],0),MATCH(TEXT(YEAR(BD!D531),"Standard"),TabRFR[[#Headers],[2021]:[2025]],0)),"Modeste",IF(X531&lt;=INDEX(TabRFR[[2021]:[2025]],MATCH(BD!W531&amp;"-Intermédiaire",TabRFR[Recherche RFR],0),MATCH(TEXT(YEAR(BD!D531),"Standard"),TabRFR[[#Headers],[2021]:[2025]],0)),"Intermédiaire","Supérieur")))))),IF(D531="","",IF(W531+X531&lt;15,"Données Nb pers ou RFR manquantes",IF(COUNTA(INDIRECT("TabRFR["&amp;YEAR(I531)&amp;"]"))&lt;&gt;COUNTA(TabRFR[Recherche RFR]),"Data RFR manquantes", IF(X531&lt;=INDEX(TabRFR[[2021]:[2025]],MATCH(BD!W531&amp;"-Très modestes",TabRFR[Recherche RFR],0),MATCH(TEXT(YEAR(BD!I531),"Standard"),TabRFR[[#Headers],[2021]:[2025]],0)),"Très Modeste",IF(X531&lt;=INDEX(TabRFR[[2021]:[2025]],MATCH(BD!W531&amp;"-modestes",TabRFR[Recherche RFR],0),MATCH(TEXT(YEAR(BD!I531),"Standard"),TabRFR[[#Headers],[2021]:[2025]],0)),"Modeste",IF(X531&lt;=INDEX(TabRFR[[2021]:[2025]],MATCH(BD!W531&amp;"-Intermédiaire",TabRFR[Recherche RFR],0),MATCH(TEXT(YEAR(BD!I531),"Standard"),TabRFR[[#Headers],[2021]:[2025]],0)),"Intermédiaire","Supérieur")))))))</f>
        <v>Data RFR manquantes</v>
      </c>
      <c r="Z531" s="77"/>
      <c r="AA531" s="77" t="s">
        <v>3234</v>
      </c>
      <c r="AB531" s="77">
        <v>38500</v>
      </c>
      <c r="AC531" s="77" t="s">
        <v>96</v>
      </c>
      <c r="AD531" s="78"/>
      <c r="AE531" s="102"/>
      <c r="AF531" s="77" t="s">
        <v>95</v>
      </c>
      <c r="AG531" s="77"/>
      <c r="AH531" s="77"/>
      <c r="AI531" s="77"/>
      <c r="AJ531" s="77"/>
      <c r="AK531" s="77"/>
      <c r="AL531" s="77"/>
      <c r="AM531" s="77" t="s">
        <v>4356</v>
      </c>
      <c r="AN531" s="77" t="s">
        <v>96</v>
      </c>
      <c r="AO531" s="77" t="s">
        <v>119</v>
      </c>
      <c r="AP531" s="77" t="s">
        <v>97</v>
      </c>
      <c r="AQ531" s="77"/>
      <c r="AR531" s="79">
        <v>43772</v>
      </c>
      <c r="AS531" s="102" t="s">
        <v>120</v>
      </c>
      <c r="AT531" s="78" t="s">
        <v>658</v>
      </c>
      <c r="AU531" s="77" t="s">
        <v>100</v>
      </c>
      <c r="AV531" s="77">
        <v>2000</v>
      </c>
      <c r="AW531" s="77" t="s">
        <v>100</v>
      </c>
      <c r="AX531" s="75" t="s">
        <v>2071</v>
      </c>
      <c r="AY531" s="77" t="s">
        <v>102</v>
      </c>
      <c r="AZ531" s="77" t="s">
        <v>3233</v>
      </c>
      <c r="BA531" s="77">
        <v>18</v>
      </c>
      <c r="BB531" s="77">
        <v>10</v>
      </c>
      <c r="BC531" s="77">
        <v>90.3</v>
      </c>
      <c r="BD531" s="77">
        <v>3.0000000000000001E-3</v>
      </c>
      <c r="BE531" s="77" t="s">
        <v>97</v>
      </c>
      <c r="BF531" s="77"/>
      <c r="BG531" s="77">
        <v>4289.1000000000004</v>
      </c>
      <c r="BH531" s="77"/>
      <c r="BI531" s="77"/>
      <c r="BJ531" s="77"/>
      <c r="BK531" s="77">
        <v>350</v>
      </c>
      <c r="BL531" s="75">
        <f t="shared" si="24"/>
        <v>4639.1000000000004</v>
      </c>
      <c r="BM531" s="103">
        <f t="shared" si="25"/>
        <v>255.15050000000002</v>
      </c>
      <c r="BN531" s="103">
        <f t="shared" si="26"/>
        <v>4894.2505000000001</v>
      </c>
      <c r="BO531" s="80"/>
      <c r="BP531" s="77" t="s">
        <v>104</v>
      </c>
      <c r="BQ531" s="77"/>
      <c r="BR531" s="77"/>
      <c r="BS531" s="157">
        <v>2019</v>
      </c>
      <c r="BU531">
        <v>2019</v>
      </c>
    </row>
    <row r="532" spans="1:73" ht="43.15" customHeight="1" x14ac:dyDescent="0.25">
      <c r="A532" s="241" t="s">
        <v>90</v>
      </c>
      <c r="B532" s="241" t="s">
        <v>3232</v>
      </c>
      <c r="C532" s="163">
        <v>400</v>
      </c>
      <c r="D532" s="76">
        <v>43612</v>
      </c>
      <c r="E532" s="76">
        <v>43614</v>
      </c>
      <c r="F532" s="76"/>
      <c r="G532" s="76"/>
      <c r="H532" s="76">
        <v>43643</v>
      </c>
      <c r="I532" s="76">
        <v>43643</v>
      </c>
      <c r="J532" s="76">
        <v>43650</v>
      </c>
      <c r="K532" s="218"/>
      <c r="L532" s="76">
        <v>43696</v>
      </c>
      <c r="M532" s="76">
        <v>43675</v>
      </c>
      <c r="N532" s="76"/>
      <c r="O532" s="76">
        <v>43727</v>
      </c>
      <c r="P532" s="76">
        <v>43727</v>
      </c>
      <c r="Q532" s="76">
        <v>43746</v>
      </c>
      <c r="R532" s="82"/>
      <c r="S532" s="76"/>
      <c r="T532" s="77"/>
      <c r="U532" s="77"/>
      <c r="V532" s="77"/>
      <c r="W532" s="77">
        <v>2</v>
      </c>
      <c r="X532" s="77">
        <v>67307</v>
      </c>
      <c r="Y532" s="75" t="str">
        <f ca="1">IF(I532="",IF(D532="","",IF(W532+X532&lt;15,"Données Nb pers ou RFR manquantes",IF(COUNTA(INDIRECT("TabRFR["&amp;YEAR(D532)&amp;"]"))&lt;&gt;COUNTA(TabRFR[Recherche RFR]),"Data RFR manquantes", IF(X532&lt;=INDEX(TabRFR[[2021]:[2025]],MATCH(BD!W532&amp;"-Très modestes",TabRFR[Recherche RFR],0),MATCH(TEXT(YEAR(BD!D532),"Standard"),TabRFR[[#Headers],[2021]:[2025]],0)),"Très Modeste",IF(X532&lt;=INDEX(TabRFR[[2021]:[2025]],MATCH(BD!W532&amp;"-modestes",TabRFR[Recherche RFR],0),MATCH(TEXT(YEAR(BD!D532),"Standard"),TabRFR[[#Headers],[2021]:[2025]],0)),"Modeste",IF(X532&lt;=INDEX(TabRFR[[2021]:[2025]],MATCH(BD!W532&amp;"-Intermédiaire",TabRFR[Recherche RFR],0),MATCH(TEXT(YEAR(BD!D532),"Standard"),TabRFR[[#Headers],[2021]:[2025]],0)),"Intermédiaire","Supérieur")))))),IF(D532="","",IF(W532+X532&lt;15,"Données Nb pers ou RFR manquantes",IF(COUNTA(INDIRECT("TabRFR["&amp;YEAR(I532)&amp;"]"))&lt;&gt;COUNTA(TabRFR[Recherche RFR]),"Data RFR manquantes", IF(X532&lt;=INDEX(TabRFR[[2021]:[2025]],MATCH(BD!W532&amp;"-Très modestes",TabRFR[Recherche RFR],0),MATCH(TEXT(YEAR(BD!I532),"Standard"),TabRFR[[#Headers],[2021]:[2025]],0)),"Très Modeste",IF(X532&lt;=INDEX(TabRFR[[2021]:[2025]],MATCH(BD!W532&amp;"-modestes",TabRFR[Recherche RFR],0),MATCH(TEXT(YEAR(BD!I532),"Standard"),TabRFR[[#Headers],[2021]:[2025]],0)),"Modeste",IF(X532&lt;=INDEX(TabRFR[[2021]:[2025]],MATCH(BD!W532&amp;"-Intermédiaire",TabRFR[Recherche RFR],0),MATCH(TEXT(YEAR(BD!I532),"Standard"),TabRFR[[#Headers],[2021]:[2025]],0)),"Intermédiaire","Supérieur")))))))</f>
        <v>Data RFR manquantes</v>
      </c>
      <c r="Z532" s="77"/>
      <c r="AA532" s="77" t="s">
        <v>3231</v>
      </c>
      <c r="AB532" s="77">
        <v>38730</v>
      </c>
      <c r="AC532" s="77" t="s">
        <v>4304</v>
      </c>
      <c r="AD532" s="78"/>
      <c r="AE532" s="102"/>
      <c r="AF532" s="77" t="s">
        <v>95</v>
      </c>
      <c r="AG532" s="77"/>
      <c r="AH532" s="77"/>
      <c r="AI532" s="77"/>
      <c r="AJ532" s="77"/>
      <c r="AK532" s="77"/>
      <c r="AL532" s="77"/>
      <c r="AM532" s="77" t="s">
        <v>4236</v>
      </c>
      <c r="AN532" s="77" t="s">
        <v>4091</v>
      </c>
      <c r="AO532" s="77" t="s">
        <v>163</v>
      </c>
      <c r="AP532" s="77" t="s">
        <v>97</v>
      </c>
      <c r="AQ532" s="77"/>
      <c r="AR532" s="79">
        <v>43725</v>
      </c>
      <c r="AS532" s="102" t="s">
        <v>285</v>
      </c>
      <c r="AT532" s="78" t="s">
        <v>608</v>
      </c>
      <c r="AU532" s="77" t="s">
        <v>111</v>
      </c>
      <c r="AV532" s="77">
        <v>1986</v>
      </c>
      <c r="AW532" s="77" t="s">
        <v>100</v>
      </c>
      <c r="AX532" s="75" t="s">
        <v>2071</v>
      </c>
      <c r="AY532" s="77" t="s">
        <v>440</v>
      </c>
      <c r="AZ532" s="77" t="s">
        <v>3230</v>
      </c>
      <c r="BA532" s="77">
        <v>16</v>
      </c>
      <c r="BB532" s="77">
        <v>9.1</v>
      </c>
      <c r="BC532" s="77">
        <v>91.8</v>
      </c>
      <c r="BD532" s="77">
        <v>3.0000000000000001E-3</v>
      </c>
      <c r="BE532" s="77" t="s">
        <v>97</v>
      </c>
      <c r="BF532" s="77"/>
      <c r="BG532" s="77">
        <v>3690</v>
      </c>
      <c r="BH532" s="77"/>
      <c r="BI532" s="77"/>
      <c r="BJ532" s="77"/>
      <c r="BK532" s="77">
        <f>5160-BG532</f>
        <v>1470</v>
      </c>
      <c r="BL532" s="75">
        <f t="shared" si="24"/>
        <v>5160</v>
      </c>
      <c r="BM532" s="103">
        <f t="shared" si="25"/>
        <v>283.8</v>
      </c>
      <c r="BN532" s="103">
        <f t="shared" si="26"/>
        <v>5443.8</v>
      </c>
      <c r="BO532" s="80"/>
      <c r="BP532" s="77" t="s">
        <v>97</v>
      </c>
      <c r="BQ532" s="77"/>
      <c r="BR532" s="77"/>
      <c r="BS532" s="157">
        <v>2019</v>
      </c>
      <c r="BU532">
        <v>2019</v>
      </c>
    </row>
    <row r="533" spans="1:73" ht="43.15" customHeight="1" x14ac:dyDescent="0.25">
      <c r="A533" s="241" t="s">
        <v>90</v>
      </c>
      <c r="B533" s="241" t="s">
        <v>3229</v>
      </c>
      <c r="C533" s="163">
        <v>800</v>
      </c>
      <c r="D533" s="76">
        <v>43614</v>
      </c>
      <c r="E533" s="76">
        <v>43614</v>
      </c>
      <c r="F533" s="76"/>
      <c r="G533" s="76"/>
      <c r="H533" s="76">
        <v>43643</v>
      </c>
      <c r="I533" s="76">
        <v>43643</v>
      </c>
      <c r="J533" s="76">
        <v>43650</v>
      </c>
      <c r="K533" s="218"/>
      <c r="L533" s="76">
        <v>43733</v>
      </c>
      <c r="M533" s="76">
        <v>43729</v>
      </c>
      <c r="N533" s="76" t="s">
        <v>3821</v>
      </c>
      <c r="O533" s="76">
        <v>43755</v>
      </c>
      <c r="P533" s="76">
        <v>43755</v>
      </c>
      <c r="Q533" s="76">
        <v>43761</v>
      </c>
      <c r="R533" s="82"/>
      <c r="S533" s="76"/>
      <c r="T533" s="77"/>
      <c r="U533" s="77"/>
      <c r="V533" s="77"/>
      <c r="W533" s="77">
        <v>2</v>
      </c>
      <c r="X533" s="77">
        <v>25818</v>
      </c>
      <c r="Y533" s="75" t="str">
        <f ca="1">IF(I533="",IF(D533="","",IF(W533+X533&lt;15,"Données Nb pers ou RFR manquantes",IF(COUNTA(INDIRECT("TabRFR["&amp;YEAR(D533)&amp;"]"))&lt;&gt;COUNTA(TabRFR[Recherche RFR]),"Data RFR manquantes", IF(X533&lt;=INDEX(TabRFR[[2021]:[2025]],MATCH(BD!W533&amp;"-Très modestes",TabRFR[Recherche RFR],0),MATCH(TEXT(YEAR(BD!D533),"Standard"),TabRFR[[#Headers],[2021]:[2025]],0)),"Très Modeste",IF(X533&lt;=INDEX(TabRFR[[2021]:[2025]],MATCH(BD!W533&amp;"-modestes",TabRFR[Recherche RFR],0),MATCH(TEXT(YEAR(BD!D533),"Standard"),TabRFR[[#Headers],[2021]:[2025]],0)),"Modeste",IF(X533&lt;=INDEX(TabRFR[[2021]:[2025]],MATCH(BD!W533&amp;"-Intermédiaire",TabRFR[Recherche RFR],0),MATCH(TEXT(YEAR(BD!D533),"Standard"),TabRFR[[#Headers],[2021]:[2025]],0)),"Intermédiaire","Supérieur")))))),IF(D533="","",IF(W533+X533&lt;15,"Données Nb pers ou RFR manquantes",IF(COUNTA(INDIRECT("TabRFR["&amp;YEAR(I533)&amp;"]"))&lt;&gt;COUNTA(TabRFR[Recherche RFR]),"Data RFR manquantes", IF(X533&lt;=INDEX(TabRFR[[2021]:[2025]],MATCH(BD!W533&amp;"-Très modestes",TabRFR[Recherche RFR],0),MATCH(TEXT(YEAR(BD!I533),"Standard"),TabRFR[[#Headers],[2021]:[2025]],0)),"Très Modeste",IF(X533&lt;=INDEX(TabRFR[[2021]:[2025]],MATCH(BD!W533&amp;"-modestes",TabRFR[Recherche RFR],0),MATCH(TEXT(YEAR(BD!I533),"Standard"),TabRFR[[#Headers],[2021]:[2025]],0)),"Modeste",IF(X533&lt;=INDEX(TabRFR[[2021]:[2025]],MATCH(BD!W533&amp;"-Intermédiaire",TabRFR[Recherche RFR],0),MATCH(TEXT(YEAR(BD!I533),"Standard"),TabRFR[[#Headers],[2021]:[2025]],0)),"Intermédiaire","Supérieur")))))))</f>
        <v>Data RFR manquantes</v>
      </c>
      <c r="Z533" s="77"/>
      <c r="AA533" s="77" t="s">
        <v>3228</v>
      </c>
      <c r="AB533" s="77">
        <v>38340</v>
      </c>
      <c r="AC533" s="77" t="s">
        <v>108</v>
      </c>
      <c r="AD533" s="78"/>
      <c r="AE533" s="102"/>
      <c r="AF533" s="77" t="s">
        <v>95</v>
      </c>
      <c r="AG533" s="77"/>
      <c r="AH533" s="77"/>
      <c r="AI533" s="77"/>
      <c r="AJ533" s="77"/>
      <c r="AK533" s="77"/>
      <c r="AL533" s="77"/>
      <c r="AM533" s="77" t="s">
        <v>4359</v>
      </c>
      <c r="AN533" s="77" t="s">
        <v>829</v>
      </c>
      <c r="AO533" s="77" t="s">
        <v>3652</v>
      </c>
      <c r="AP533" s="77" t="s">
        <v>97</v>
      </c>
      <c r="AQ533" s="77"/>
      <c r="AR533" s="79">
        <v>43722</v>
      </c>
      <c r="AS533" s="102" t="s">
        <v>491</v>
      </c>
      <c r="AT533" s="78" t="s">
        <v>3208</v>
      </c>
      <c r="AU533" s="77" t="s">
        <v>111</v>
      </c>
      <c r="AV533" s="77">
        <v>2001</v>
      </c>
      <c r="AW533" s="77" t="s">
        <v>100</v>
      </c>
      <c r="AX533" s="77" t="s">
        <v>112</v>
      </c>
      <c r="AY533" s="77" t="s">
        <v>492</v>
      </c>
      <c r="AZ533" s="77" t="s">
        <v>3207</v>
      </c>
      <c r="BA533" s="77">
        <v>25</v>
      </c>
      <c r="BB533" s="77">
        <v>6</v>
      </c>
      <c r="BC533" s="77">
        <v>83</v>
      </c>
      <c r="BD533" s="77">
        <v>7.0000000000000007E-2</v>
      </c>
      <c r="BE533" s="77" t="s">
        <v>97</v>
      </c>
      <c r="BF533" s="77"/>
      <c r="BG533" s="77">
        <v>4746</v>
      </c>
      <c r="BH533" s="77"/>
      <c r="BI533" s="77"/>
      <c r="BJ533" s="77"/>
      <c r="BK533" s="77">
        <v>450</v>
      </c>
      <c r="BL533" s="75">
        <f t="shared" si="24"/>
        <v>5196</v>
      </c>
      <c r="BM533" s="103">
        <f t="shared" si="25"/>
        <v>285.78000000000003</v>
      </c>
      <c r="BN533" s="103">
        <f t="shared" si="26"/>
        <v>5481.78</v>
      </c>
      <c r="BO533" s="80">
        <v>5482.16</v>
      </c>
      <c r="BP533" s="77" t="s">
        <v>97</v>
      </c>
      <c r="BQ533" s="77"/>
      <c r="BR533" s="77"/>
      <c r="BS533" s="157">
        <v>2019</v>
      </c>
      <c r="BT533" s="235">
        <v>43770</v>
      </c>
      <c r="BU533">
        <v>2019</v>
      </c>
    </row>
    <row r="534" spans="1:73" ht="43.15" customHeight="1" x14ac:dyDescent="0.25">
      <c r="A534" s="31" t="s">
        <v>90</v>
      </c>
      <c r="B534" s="31" t="s">
        <v>3227</v>
      </c>
      <c r="C534" s="163">
        <v>800</v>
      </c>
      <c r="D534" s="76">
        <v>43619</v>
      </c>
      <c r="E534" s="76">
        <v>43620</v>
      </c>
      <c r="F534" s="76">
        <v>43643</v>
      </c>
      <c r="G534" s="76" t="s">
        <v>3618</v>
      </c>
      <c r="H534" s="76">
        <v>43663</v>
      </c>
      <c r="I534" s="76">
        <v>43663</v>
      </c>
      <c r="J534" s="76">
        <v>43629</v>
      </c>
      <c r="K534" s="218"/>
      <c r="L534" s="76"/>
      <c r="M534" s="76" t="s">
        <v>4289</v>
      </c>
      <c r="N534" s="76"/>
      <c r="O534" s="76"/>
      <c r="P534" s="76"/>
      <c r="Q534" s="76"/>
      <c r="R534" s="82"/>
      <c r="S534" s="76">
        <v>44103</v>
      </c>
      <c r="T534" s="77" t="s">
        <v>4335</v>
      </c>
      <c r="U534" s="77"/>
      <c r="V534" s="77"/>
      <c r="W534" s="77">
        <v>5</v>
      </c>
      <c r="X534" s="77">
        <v>33256</v>
      </c>
      <c r="Y534" s="75" t="str">
        <f ca="1">IF(I534="",IF(D534="","",IF(W534+X534&lt;15,"Données Nb pers ou RFR manquantes",IF(COUNTA(INDIRECT("TabRFR["&amp;YEAR(D534)&amp;"]"))&lt;&gt;COUNTA(TabRFR[Recherche RFR]),"Data RFR manquantes", IF(X534&lt;=INDEX(TabRFR[[2021]:[2025]],MATCH(BD!W534&amp;"-Très modestes",TabRFR[Recherche RFR],0),MATCH(TEXT(YEAR(BD!D534),"Standard"),TabRFR[[#Headers],[2021]:[2025]],0)),"Très Modeste",IF(X534&lt;=INDEX(TabRFR[[2021]:[2025]],MATCH(BD!W534&amp;"-modestes",TabRFR[Recherche RFR],0),MATCH(TEXT(YEAR(BD!D534),"Standard"),TabRFR[[#Headers],[2021]:[2025]],0)),"Modeste",IF(X534&lt;=INDEX(TabRFR[[2021]:[2025]],MATCH(BD!W534&amp;"-Intermédiaire",TabRFR[Recherche RFR],0),MATCH(TEXT(YEAR(BD!D534),"Standard"),TabRFR[[#Headers],[2021]:[2025]],0)),"Intermédiaire","Supérieur")))))),IF(D534="","",IF(W534+X534&lt;15,"Données Nb pers ou RFR manquantes",IF(COUNTA(INDIRECT("TabRFR["&amp;YEAR(I534)&amp;"]"))&lt;&gt;COUNTA(TabRFR[Recherche RFR]),"Data RFR manquantes", IF(X534&lt;=INDEX(TabRFR[[2021]:[2025]],MATCH(BD!W534&amp;"-Très modestes",TabRFR[Recherche RFR],0),MATCH(TEXT(YEAR(BD!I534),"Standard"),TabRFR[[#Headers],[2021]:[2025]],0)),"Très Modeste",IF(X534&lt;=INDEX(TabRFR[[2021]:[2025]],MATCH(BD!W534&amp;"-modestes",TabRFR[Recherche RFR],0),MATCH(TEXT(YEAR(BD!I534),"Standard"),TabRFR[[#Headers],[2021]:[2025]],0)),"Modeste",IF(X534&lt;=INDEX(TabRFR[[2021]:[2025]],MATCH(BD!W534&amp;"-Intermédiaire",TabRFR[Recherche RFR],0),MATCH(TEXT(YEAR(BD!I534),"Standard"),TabRFR[[#Headers],[2021]:[2025]],0)),"Intermédiaire","Supérieur")))))))</f>
        <v>Data RFR manquantes</v>
      </c>
      <c r="Z534" s="77"/>
      <c r="AA534" s="77" t="s">
        <v>3653</v>
      </c>
      <c r="AB534" s="77">
        <v>38140</v>
      </c>
      <c r="AC534" s="77" t="s">
        <v>363</v>
      </c>
      <c r="AD534" s="78"/>
      <c r="AE534" s="102"/>
      <c r="AF534" s="77" t="s">
        <v>95</v>
      </c>
      <c r="AG534" s="77"/>
      <c r="AH534" s="77"/>
      <c r="AI534" s="77"/>
      <c r="AJ534" s="77"/>
      <c r="AK534" s="77"/>
      <c r="AL534" s="77"/>
      <c r="AM534" s="75" t="s">
        <v>3973</v>
      </c>
      <c r="AN534" s="75" t="s">
        <v>96</v>
      </c>
      <c r="AO534" s="75" t="s">
        <v>9</v>
      </c>
      <c r="AP534" s="75" t="s">
        <v>97</v>
      </c>
      <c r="AQ534" s="75"/>
      <c r="AR534" s="74">
        <v>43726</v>
      </c>
      <c r="AS534" s="102" t="s">
        <v>141</v>
      </c>
      <c r="AT534" s="73" t="s">
        <v>820</v>
      </c>
      <c r="AU534" s="77" t="s">
        <v>100</v>
      </c>
      <c r="AV534" s="77">
        <v>1996</v>
      </c>
      <c r="AW534" s="77" t="s">
        <v>100</v>
      </c>
      <c r="AX534" s="75" t="s">
        <v>2071</v>
      </c>
      <c r="AY534" s="77" t="s">
        <v>1017</v>
      </c>
      <c r="AZ534" s="77" t="s">
        <v>3654</v>
      </c>
      <c r="BA534" s="77">
        <v>8</v>
      </c>
      <c r="BB534" s="77">
        <v>9</v>
      </c>
      <c r="BC534" s="77">
        <v>90.5</v>
      </c>
      <c r="BD534" s="77">
        <v>3.0000000000000001E-3</v>
      </c>
      <c r="BE534" s="77" t="s">
        <v>97</v>
      </c>
      <c r="BF534" s="77"/>
      <c r="BG534" s="77">
        <v>2990</v>
      </c>
      <c r="BH534" s="77"/>
      <c r="BI534" s="77"/>
      <c r="BJ534" s="77"/>
      <c r="BK534" s="77">
        <v>840</v>
      </c>
      <c r="BL534" s="75">
        <f t="shared" si="24"/>
        <v>3830</v>
      </c>
      <c r="BM534" s="103">
        <f t="shared" si="25"/>
        <v>210.65</v>
      </c>
      <c r="BN534" s="103">
        <f t="shared" si="26"/>
        <v>4040.65</v>
      </c>
      <c r="BO534" s="80"/>
      <c r="BP534" s="77" t="s">
        <v>97</v>
      </c>
      <c r="BQ534" s="77"/>
      <c r="BR534" s="77"/>
      <c r="BS534" s="157">
        <v>2019</v>
      </c>
      <c r="BU534" t="s">
        <v>4180</v>
      </c>
    </row>
    <row r="535" spans="1:73" ht="43.15" customHeight="1" x14ac:dyDescent="0.25">
      <c r="A535" s="241" t="s">
        <v>90</v>
      </c>
      <c r="B535" s="241" t="s">
        <v>3226</v>
      </c>
      <c r="C535" s="163">
        <v>400</v>
      </c>
      <c r="D535" s="76">
        <v>43623</v>
      </c>
      <c r="E535" s="76">
        <v>43628</v>
      </c>
      <c r="F535" s="76"/>
      <c r="G535" s="76"/>
      <c r="H535" s="76">
        <v>43643</v>
      </c>
      <c r="I535" s="76">
        <v>43643</v>
      </c>
      <c r="J535" s="76">
        <v>43650</v>
      </c>
      <c r="K535" s="218"/>
      <c r="L535" s="76">
        <v>43743</v>
      </c>
      <c r="M535" s="76">
        <v>43724</v>
      </c>
      <c r="N535" s="76" t="s">
        <v>9</v>
      </c>
      <c r="O535" s="76">
        <v>43761</v>
      </c>
      <c r="P535" s="76">
        <v>43761</v>
      </c>
      <c r="Q535" s="76">
        <v>43761</v>
      </c>
      <c r="R535" s="82"/>
      <c r="S535" s="76"/>
      <c r="T535" s="77"/>
      <c r="U535" s="77"/>
      <c r="V535" s="77"/>
      <c r="W535" s="77">
        <v>2</v>
      </c>
      <c r="X535" s="77">
        <v>64011</v>
      </c>
      <c r="Y535" s="75" t="str">
        <f ca="1">IF(I535="",IF(D535="","",IF(W535+X535&lt;15,"Données Nb pers ou RFR manquantes",IF(COUNTA(INDIRECT("TabRFR["&amp;YEAR(D535)&amp;"]"))&lt;&gt;COUNTA(TabRFR[Recherche RFR]),"Data RFR manquantes", IF(X535&lt;=INDEX(TabRFR[[2021]:[2025]],MATCH(BD!W535&amp;"-Très modestes",TabRFR[Recherche RFR],0),MATCH(TEXT(YEAR(BD!D535),"Standard"),TabRFR[[#Headers],[2021]:[2025]],0)),"Très Modeste",IF(X535&lt;=INDEX(TabRFR[[2021]:[2025]],MATCH(BD!W535&amp;"-modestes",TabRFR[Recherche RFR],0),MATCH(TEXT(YEAR(BD!D535),"Standard"),TabRFR[[#Headers],[2021]:[2025]],0)),"Modeste",IF(X535&lt;=INDEX(TabRFR[[2021]:[2025]],MATCH(BD!W535&amp;"-Intermédiaire",TabRFR[Recherche RFR],0),MATCH(TEXT(YEAR(BD!D535),"Standard"),TabRFR[[#Headers],[2021]:[2025]],0)),"Intermédiaire","Supérieur")))))),IF(D535="","",IF(W535+X535&lt;15,"Données Nb pers ou RFR manquantes",IF(COUNTA(INDIRECT("TabRFR["&amp;YEAR(I535)&amp;"]"))&lt;&gt;COUNTA(TabRFR[Recherche RFR]),"Data RFR manquantes", IF(X535&lt;=INDEX(TabRFR[[2021]:[2025]],MATCH(BD!W535&amp;"-Très modestes",TabRFR[Recherche RFR],0),MATCH(TEXT(YEAR(BD!I535),"Standard"),TabRFR[[#Headers],[2021]:[2025]],0)),"Très Modeste",IF(X535&lt;=INDEX(TabRFR[[2021]:[2025]],MATCH(BD!W535&amp;"-modestes",TabRFR[Recherche RFR],0),MATCH(TEXT(YEAR(BD!I535),"Standard"),TabRFR[[#Headers],[2021]:[2025]],0)),"Modeste",IF(X535&lt;=INDEX(TabRFR[[2021]:[2025]],MATCH(BD!W535&amp;"-Intermédiaire",TabRFR[Recherche RFR],0),MATCH(TEXT(YEAR(BD!I535),"Standard"),TabRFR[[#Headers],[2021]:[2025]],0)),"Intermédiaire","Supérieur")))))))</f>
        <v>Data RFR manquantes</v>
      </c>
      <c r="Z535" s="77"/>
      <c r="AA535" s="77" t="s">
        <v>3225</v>
      </c>
      <c r="AB535" s="77">
        <v>38960</v>
      </c>
      <c r="AC535" s="77" t="s">
        <v>2378</v>
      </c>
      <c r="AD535" s="78"/>
      <c r="AE535" s="102"/>
      <c r="AF535" s="77" t="s">
        <v>95</v>
      </c>
      <c r="AG535" s="77"/>
      <c r="AH535" s="77"/>
      <c r="AI535" s="77"/>
      <c r="AJ535" s="77"/>
      <c r="AK535" s="77"/>
      <c r="AL535" s="77"/>
      <c r="AM535" s="77" t="s">
        <v>218</v>
      </c>
      <c r="AN535" s="77" t="s">
        <v>217</v>
      </c>
      <c r="AO535" s="77" t="s">
        <v>219</v>
      </c>
      <c r="AP535" s="77" t="s">
        <v>97</v>
      </c>
      <c r="AQ535" s="77"/>
      <c r="AR535" s="79">
        <v>43765</v>
      </c>
      <c r="AS535" s="102" t="s">
        <v>220</v>
      </c>
      <c r="AT535" s="78" t="s">
        <v>620</v>
      </c>
      <c r="AU535" s="77" t="s">
        <v>111</v>
      </c>
      <c r="AV535" s="77">
        <v>1983</v>
      </c>
      <c r="AW535" s="77" t="s">
        <v>100</v>
      </c>
      <c r="AX535" s="77" t="s">
        <v>112</v>
      </c>
      <c r="AY535" s="77" t="s">
        <v>121</v>
      </c>
      <c r="AZ535" s="77" t="s">
        <v>630</v>
      </c>
      <c r="BA535" s="77">
        <v>17</v>
      </c>
      <c r="BB535" s="77">
        <v>8.1999999999999993</v>
      </c>
      <c r="BC535" s="77">
        <v>82</v>
      </c>
      <c r="BD535" s="77">
        <v>0.1</v>
      </c>
      <c r="BE535" s="77" t="s">
        <v>97</v>
      </c>
      <c r="BF535" s="77"/>
      <c r="BG535" s="77">
        <v>4190</v>
      </c>
      <c r="BH535" s="77"/>
      <c r="BI535" s="77"/>
      <c r="BJ535" s="77"/>
      <c r="BK535" s="77">
        <v>1250</v>
      </c>
      <c r="BL535" s="75">
        <f t="shared" si="24"/>
        <v>5440</v>
      </c>
      <c r="BM535" s="103">
        <f t="shared" si="25"/>
        <v>299.2</v>
      </c>
      <c r="BN535" s="103">
        <f t="shared" si="26"/>
        <v>5739.2</v>
      </c>
      <c r="BO535" s="80">
        <v>5852.16</v>
      </c>
      <c r="BP535" s="77" t="s">
        <v>97</v>
      </c>
      <c r="BQ535" s="77"/>
      <c r="BR535" s="77"/>
      <c r="BS535" s="157">
        <v>2019</v>
      </c>
      <c r="BT535" s="235">
        <v>43770</v>
      </c>
      <c r="BU535">
        <v>2019</v>
      </c>
    </row>
    <row r="536" spans="1:73" ht="43.15" customHeight="1" x14ac:dyDescent="0.25">
      <c r="A536" s="31" t="s">
        <v>90</v>
      </c>
      <c r="B536" s="31" t="s">
        <v>3224</v>
      </c>
      <c r="C536" s="163" t="s">
        <v>9</v>
      </c>
      <c r="D536" s="76">
        <v>43627</v>
      </c>
      <c r="E536" s="76">
        <v>43628</v>
      </c>
      <c r="F536" s="76">
        <v>43643</v>
      </c>
      <c r="G536" s="76" t="s">
        <v>3655</v>
      </c>
      <c r="H536" s="76">
        <v>43643</v>
      </c>
      <c r="I536" s="76">
        <v>43643</v>
      </c>
      <c r="J536" s="76" t="s">
        <v>9</v>
      </c>
      <c r="K536" s="218"/>
      <c r="L536" s="76"/>
      <c r="M536" s="76"/>
      <c r="N536" s="76"/>
      <c r="O536" s="76"/>
      <c r="P536" s="76"/>
      <c r="Q536" s="76"/>
      <c r="R536" s="82"/>
      <c r="S536" s="76">
        <v>43691</v>
      </c>
      <c r="T536" s="77" t="s">
        <v>3725</v>
      </c>
      <c r="U536" s="77"/>
      <c r="V536" s="77"/>
      <c r="W536" s="77">
        <v>3</v>
      </c>
      <c r="X536" s="77">
        <v>27004</v>
      </c>
      <c r="Y536" s="75" t="str">
        <f ca="1">IF(I536="",IF(D536="","",IF(W536+X536&lt;15,"Données Nb pers ou RFR manquantes",IF(COUNTA(INDIRECT("TabRFR["&amp;YEAR(D536)&amp;"]"))&lt;&gt;COUNTA(TabRFR[Recherche RFR]),"Data RFR manquantes", IF(X536&lt;=INDEX(TabRFR[[2021]:[2025]],MATCH(BD!W536&amp;"-Très modestes",TabRFR[Recherche RFR],0),MATCH(TEXT(YEAR(BD!D536),"Standard"),TabRFR[[#Headers],[2021]:[2025]],0)),"Très Modeste",IF(X536&lt;=INDEX(TabRFR[[2021]:[2025]],MATCH(BD!W536&amp;"-modestes",TabRFR[Recherche RFR],0),MATCH(TEXT(YEAR(BD!D536),"Standard"),TabRFR[[#Headers],[2021]:[2025]],0)),"Modeste",IF(X536&lt;=INDEX(TabRFR[[2021]:[2025]],MATCH(BD!W536&amp;"-Intermédiaire",TabRFR[Recherche RFR],0),MATCH(TEXT(YEAR(BD!D536),"Standard"),TabRFR[[#Headers],[2021]:[2025]],0)),"Intermédiaire","Supérieur")))))),IF(D536="","",IF(W536+X536&lt;15,"Données Nb pers ou RFR manquantes",IF(COUNTA(INDIRECT("TabRFR["&amp;YEAR(I536)&amp;"]"))&lt;&gt;COUNTA(TabRFR[Recherche RFR]),"Data RFR manquantes", IF(X536&lt;=INDEX(TabRFR[[2021]:[2025]],MATCH(BD!W536&amp;"-Très modestes",TabRFR[Recherche RFR],0),MATCH(TEXT(YEAR(BD!I536),"Standard"),TabRFR[[#Headers],[2021]:[2025]],0)),"Très Modeste",IF(X536&lt;=INDEX(TabRFR[[2021]:[2025]],MATCH(BD!W536&amp;"-modestes",TabRFR[Recherche RFR],0),MATCH(TEXT(YEAR(BD!I536),"Standard"),TabRFR[[#Headers],[2021]:[2025]],0)),"Modeste",IF(X536&lt;=INDEX(TabRFR[[2021]:[2025]],MATCH(BD!W536&amp;"-Intermédiaire",TabRFR[Recherche RFR],0),MATCH(TEXT(YEAR(BD!I536),"Standard"),TabRFR[[#Headers],[2021]:[2025]],0)),"Intermédiaire","Supérieur")))))))</f>
        <v>Data RFR manquantes</v>
      </c>
      <c r="Z536" s="77"/>
      <c r="AA536" s="77" t="s">
        <v>3223</v>
      </c>
      <c r="AB536" s="77">
        <v>38134</v>
      </c>
      <c r="AC536" s="77" t="s">
        <v>3755</v>
      </c>
      <c r="AD536" s="78"/>
      <c r="AE536" s="102"/>
      <c r="AF536" s="77" t="s">
        <v>95</v>
      </c>
      <c r="AG536" s="77"/>
      <c r="AH536" s="77"/>
      <c r="AI536" s="77"/>
      <c r="AJ536" s="77"/>
      <c r="AK536" s="77"/>
      <c r="AL536" s="77"/>
      <c r="AM536" s="75" t="s">
        <v>3973</v>
      </c>
      <c r="AN536" s="75" t="s">
        <v>96</v>
      </c>
      <c r="AO536" s="75" t="s">
        <v>439</v>
      </c>
      <c r="AP536" s="75" t="s">
        <v>97</v>
      </c>
      <c r="AQ536" s="75"/>
      <c r="AR536" s="74">
        <v>43726</v>
      </c>
      <c r="AS536" s="102" t="s">
        <v>141</v>
      </c>
      <c r="AT536" s="73" t="s">
        <v>820</v>
      </c>
      <c r="AU536" s="77" t="s">
        <v>99</v>
      </c>
      <c r="AV536" s="77">
        <v>1800</v>
      </c>
      <c r="AW536" s="77" t="s">
        <v>100</v>
      </c>
      <c r="AX536" s="77" t="s">
        <v>112</v>
      </c>
      <c r="AY536" s="77" t="s">
        <v>3222</v>
      </c>
      <c r="AZ536" s="77" t="s">
        <v>3656</v>
      </c>
      <c r="BA536" s="77">
        <v>25</v>
      </c>
      <c r="BB536" s="77">
        <v>5</v>
      </c>
      <c r="BC536" s="77">
        <v>86</v>
      </c>
      <c r="BD536" s="77">
        <v>0.06</v>
      </c>
      <c r="BE536" s="77" t="s">
        <v>97</v>
      </c>
      <c r="BF536" s="77"/>
      <c r="BG536" s="77">
        <v>4792</v>
      </c>
      <c r="BH536" s="77"/>
      <c r="BI536" s="77"/>
      <c r="BJ536" s="77"/>
      <c r="BK536" s="77">
        <v>980</v>
      </c>
      <c r="BL536" s="75">
        <f t="shared" si="24"/>
        <v>5772</v>
      </c>
      <c r="BM536" s="103">
        <f t="shared" si="25"/>
        <v>317.45999999999998</v>
      </c>
      <c r="BN536" s="103">
        <f t="shared" si="26"/>
        <v>6089.46</v>
      </c>
      <c r="BO536" s="80"/>
      <c r="BP536" s="77" t="s">
        <v>104</v>
      </c>
      <c r="BQ536" s="77"/>
      <c r="BR536" s="77"/>
      <c r="BS536" s="157">
        <v>2019</v>
      </c>
      <c r="BU536" t="s">
        <v>4180</v>
      </c>
    </row>
    <row r="537" spans="1:73" ht="43.15" customHeight="1" x14ac:dyDescent="0.25">
      <c r="A537" s="241" t="s">
        <v>90</v>
      </c>
      <c r="B537" s="241" t="s">
        <v>3221</v>
      </c>
      <c r="C537" s="163">
        <v>400</v>
      </c>
      <c r="D537" s="76">
        <v>43627</v>
      </c>
      <c r="E537" s="76">
        <v>43629</v>
      </c>
      <c r="F537" s="76"/>
      <c r="G537" s="76" t="s">
        <v>3658</v>
      </c>
      <c r="H537" s="76">
        <v>43643</v>
      </c>
      <c r="I537" s="76">
        <v>43643</v>
      </c>
      <c r="J537" s="76">
        <v>43636</v>
      </c>
      <c r="K537" s="218"/>
      <c r="L537" s="76">
        <v>43710</v>
      </c>
      <c r="M537" s="76">
        <v>43651</v>
      </c>
      <c r="N537" s="76"/>
      <c r="O537" s="76">
        <v>43727</v>
      </c>
      <c r="P537" s="76">
        <v>43727</v>
      </c>
      <c r="Q537" s="76">
        <v>43746</v>
      </c>
      <c r="R537" s="82"/>
      <c r="S537" s="76"/>
      <c r="T537" s="77"/>
      <c r="U537" s="77"/>
      <c r="V537" s="77"/>
      <c r="W537" s="77">
        <v>3</v>
      </c>
      <c r="X537" s="77">
        <v>66972</v>
      </c>
      <c r="Y537" s="75" t="str">
        <f ca="1">IF(I537="",IF(D537="","",IF(W537+X537&lt;15,"Données Nb pers ou RFR manquantes",IF(COUNTA(INDIRECT("TabRFR["&amp;YEAR(D537)&amp;"]"))&lt;&gt;COUNTA(TabRFR[Recherche RFR]),"Data RFR manquantes", IF(X537&lt;=INDEX(TabRFR[[2021]:[2025]],MATCH(BD!W537&amp;"-Très modestes",TabRFR[Recherche RFR],0),MATCH(TEXT(YEAR(BD!D537),"Standard"),TabRFR[[#Headers],[2021]:[2025]],0)),"Très Modeste",IF(X537&lt;=INDEX(TabRFR[[2021]:[2025]],MATCH(BD!W537&amp;"-modestes",TabRFR[Recherche RFR],0),MATCH(TEXT(YEAR(BD!D537),"Standard"),TabRFR[[#Headers],[2021]:[2025]],0)),"Modeste",IF(X537&lt;=INDEX(TabRFR[[2021]:[2025]],MATCH(BD!W537&amp;"-Intermédiaire",TabRFR[Recherche RFR],0),MATCH(TEXT(YEAR(BD!D537),"Standard"),TabRFR[[#Headers],[2021]:[2025]],0)),"Intermédiaire","Supérieur")))))),IF(D537="","",IF(W537+X537&lt;15,"Données Nb pers ou RFR manquantes",IF(COUNTA(INDIRECT("TabRFR["&amp;YEAR(I537)&amp;"]"))&lt;&gt;COUNTA(TabRFR[Recherche RFR]),"Data RFR manquantes", IF(X537&lt;=INDEX(TabRFR[[2021]:[2025]],MATCH(BD!W537&amp;"-Très modestes",TabRFR[Recherche RFR],0),MATCH(TEXT(YEAR(BD!I537),"Standard"),TabRFR[[#Headers],[2021]:[2025]],0)),"Très Modeste",IF(X537&lt;=INDEX(TabRFR[[2021]:[2025]],MATCH(BD!W537&amp;"-modestes",TabRFR[Recherche RFR],0),MATCH(TEXT(YEAR(BD!I537),"Standard"),TabRFR[[#Headers],[2021]:[2025]],0)),"Modeste",IF(X537&lt;=INDEX(TabRFR[[2021]:[2025]],MATCH(BD!W537&amp;"-Intermédiaire",TabRFR[Recherche RFR],0),MATCH(TEXT(YEAR(BD!I537),"Standard"),TabRFR[[#Headers],[2021]:[2025]],0)),"Intermédiaire","Supérieur")))))))</f>
        <v>Data RFR manquantes</v>
      </c>
      <c r="Z537" s="77"/>
      <c r="AA537" s="77" t="s">
        <v>3220</v>
      </c>
      <c r="AB537" s="77">
        <v>38340</v>
      </c>
      <c r="AC537" s="77" t="s">
        <v>108</v>
      </c>
      <c r="AD537" s="78"/>
      <c r="AE537" s="102"/>
      <c r="AF537" s="77" t="s">
        <v>95</v>
      </c>
      <c r="AG537" s="77"/>
      <c r="AH537" s="77"/>
      <c r="AI537" s="77"/>
      <c r="AJ537" s="77"/>
      <c r="AK537" s="77"/>
      <c r="AL537" s="77"/>
      <c r="AM537" s="77" t="s">
        <v>4035</v>
      </c>
      <c r="AN537" s="77" t="s">
        <v>108</v>
      </c>
      <c r="AO537" s="77" t="s">
        <v>9</v>
      </c>
      <c r="AP537" s="77" t="s">
        <v>97</v>
      </c>
      <c r="AQ537" s="77"/>
      <c r="AR537" s="79">
        <v>44010</v>
      </c>
      <c r="AS537" s="102" t="s">
        <v>110</v>
      </c>
      <c r="AT537" s="78" t="s">
        <v>616</v>
      </c>
      <c r="AU537" s="77" t="s">
        <v>99</v>
      </c>
      <c r="AV537" s="77">
        <v>1990</v>
      </c>
      <c r="AW537" s="77" t="s">
        <v>100</v>
      </c>
      <c r="AX537" s="75" t="s">
        <v>2071</v>
      </c>
      <c r="AY537" s="77" t="s">
        <v>1436</v>
      </c>
      <c r="AZ537" s="77" t="s">
        <v>3657</v>
      </c>
      <c r="BA537" s="77">
        <v>15</v>
      </c>
      <c r="BB537" s="77">
        <v>8.3000000000000007</v>
      </c>
      <c r="BC537" s="77">
        <v>90.6</v>
      </c>
      <c r="BD537" s="77">
        <v>4.0000000000000001E-3</v>
      </c>
      <c r="BE537" s="77" t="s">
        <v>97</v>
      </c>
      <c r="BF537" s="77"/>
      <c r="BG537" s="77">
        <v>2980</v>
      </c>
      <c r="BH537" s="77"/>
      <c r="BI537" s="77"/>
      <c r="BJ537" s="77"/>
      <c r="BK537" s="77">
        <v>450</v>
      </c>
      <c r="BL537" s="75">
        <f t="shared" si="24"/>
        <v>3430</v>
      </c>
      <c r="BM537" s="103">
        <f t="shared" si="25"/>
        <v>188.65</v>
      </c>
      <c r="BN537" s="103">
        <f t="shared" si="26"/>
        <v>3618.65</v>
      </c>
      <c r="BO537" s="80"/>
      <c r="BP537" s="77" t="s">
        <v>104</v>
      </c>
      <c r="BQ537" s="77"/>
      <c r="BR537" s="77"/>
      <c r="BS537" s="157">
        <v>2019</v>
      </c>
      <c r="BU537">
        <v>2019</v>
      </c>
    </row>
    <row r="538" spans="1:73" ht="43.15" customHeight="1" x14ac:dyDescent="0.25">
      <c r="A538" s="241" t="s">
        <v>90</v>
      </c>
      <c r="B538" s="241" t="s">
        <v>3219</v>
      </c>
      <c r="C538" s="163">
        <v>400</v>
      </c>
      <c r="D538" s="76">
        <v>43628</v>
      </c>
      <c r="E538" s="76">
        <v>43629</v>
      </c>
      <c r="F538" s="76"/>
      <c r="G538" s="76"/>
      <c r="H538" s="76">
        <v>43643</v>
      </c>
      <c r="I538" s="76">
        <v>43643</v>
      </c>
      <c r="J538" s="76">
        <v>43636</v>
      </c>
      <c r="K538" s="218"/>
      <c r="L538" s="76">
        <v>43768</v>
      </c>
      <c r="M538" s="76">
        <v>43759</v>
      </c>
      <c r="N538" s="76" t="s">
        <v>9</v>
      </c>
      <c r="O538" s="76">
        <v>43775</v>
      </c>
      <c r="P538" s="76">
        <v>43775</v>
      </c>
      <c r="Q538" s="76">
        <v>43787</v>
      </c>
      <c r="R538" s="82"/>
      <c r="S538" s="76"/>
      <c r="T538" s="77"/>
      <c r="U538" s="77"/>
      <c r="V538" s="77"/>
      <c r="W538" s="77">
        <v>1</v>
      </c>
      <c r="X538" s="77">
        <v>20986</v>
      </c>
      <c r="Y538" s="75" t="str">
        <f ca="1">IF(I538="",IF(D538="","",IF(W538+X538&lt;15,"Données Nb pers ou RFR manquantes",IF(COUNTA(INDIRECT("TabRFR["&amp;YEAR(D538)&amp;"]"))&lt;&gt;COUNTA(TabRFR[Recherche RFR]),"Data RFR manquantes", IF(X538&lt;=INDEX(TabRFR[[2021]:[2025]],MATCH(BD!W538&amp;"-Très modestes",TabRFR[Recherche RFR],0),MATCH(TEXT(YEAR(BD!D538),"Standard"),TabRFR[[#Headers],[2021]:[2025]],0)),"Très Modeste",IF(X538&lt;=INDEX(TabRFR[[2021]:[2025]],MATCH(BD!W538&amp;"-modestes",TabRFR[Recherche RFR],0),MATCH(TEXT(YEAR(BD!D538),"Standard"),TabRFR[[#Headers],[2021]:[2025]],0)),"Modeste",IF(X538&lt;=INDEX(TabRFR[[2021]:[2025]],MATCH(BD!W538&amp;"-Intermédiaire",TabRFR[Recherche RFR],0),MATCH(TEXT(YEAR(BD!D538),"Standard"),TabRFR[[#Headers],[2021]:[2025]],0)),"Intermédiaire","Supérieur")))))),IF(D538="","",IF(W538+X538&lt;15,"Données Nb pers ou RFR manquantes",IF(COUNTA(INDIRECT("TabRFR["&amp;YEAR(I538)&amp;"]"))&lt;&gt;COUNTA(TabRFR[Recherche RFR]),"Data RFR manquantes", IF(X538&lt;=INDEX(TabRFR[[2021]:[2025]],MATCH(BD!W538&amp;"-Très modestes",TabRFR[Recherche RFR],0),MATCH(TEXT(YEAR(BD!I538),"Standard"),TabRFR[[#Headers],[2021]:[2025]],0)),"Très Modeste",IF(X538&lt;=INDEX(TabRFR[[2021]:[2025]],MATCH(BD!W538&amp;"-modestes",TabRFR[Recherche RFR],0),MATCH(TEXT(YEAR(BD!I538),"Standard"),TabRFR[[#Headers],[2021]:[2025]],0)),"Modeste",IF(X538&lt;=INDEX(TabRFR[[2021]:[2025]],MATCH(BD!W538&amp;"-Intermédiaire",TabRFR[Recherche RFR],0),MATCH(TEXT(YEAR(BD!I538),"Standard"),TabRFR[[#Headers],[2021]:[2025]],0)),"Intermédiaire","Supérieur")))))))</f>
        <v>Data RFR manquantes</v>
      </c>
      <c r="Z538" s="77"/>
      <c r="AA538" s="77" t="s">
        <v>3218</v>
      </c>
      <c r="AB538" s="77">
        <v>38620</v>
      </c>
      <c r="AC538" s="77" t="s">
        <v>851</v>
      </c>
      <c r="AD538" s="78"/>
      <c r="AE538" s="102"/>
      <c r="AF538" s="77" t="s">
        <v>95</v>
      </c>
      <c r="AG538" s="77"/>
      <c r="AH538" s="77"/>
      <c r="AI538" s="77"/>
      <c r="AJ538" s="77"/>
      <c r="AK538" s="77"/>
      <c r="AL538" s="77"/>
      <c r="AM538" s="77" t="s">
        <v>4348</v>
      </c>
      <c r="AN538" s="77" t="s">
        <v>96</v>
      </c>
      <c r="AO538" s="147" t="s">
        <v>238</v>
      </c>
      <c r="AP538" s="77" t="s">
        <v>97</v>
      </c>
      <c r="AQ538" s="77"/>
      <c r="AR538" s="79">
        <v>43698</v>
      </c>
      <c r="AS538" s="102" t="s">
        <v>98</v>
      </c>
      <c r="AT538" s="78" t="s">
        <v>3217</v>
      </c>
      <c r="AU538" s="77" t="s">
        <v>99</v>
      </c>
      <c r="AV538" s="77">
        <v>1994</v>
      </c>
      <c r="AW538" s="77" t="s">
        <v>100</v>
      </c>
      <c r="AX538" s="75" t="s">
        <v>2071</v>
      </c>
      <c r="AY538" s="77" t="s">
        <v>102</v>
      </c>
      <c r="AZ538" s="77" t="s">
        <v>3216</v>
      </c>
      <c r="BA538" s="77">
        <v>17</v>
      </c>
      <c r="BB538" s="77">
        <v>8.1</v>
      </c>
      <c r="BC538" s="77">
        <v>90.9</v>
      </c>
      <c r="BD538" s="77">
        <v>0</v>
      </c>
      <c r="BE538" s="77" t="s">
        <v>97</v>
      </c>
      <c r="BF538" s="77"/>
      <c r="BG538" s="77">
        <v>2955</v>
      </c>
      <c r="BH538" s="77"/>
      <c r="BI538" s="77"/>
      <c r="BJ538" s="77"/>
      <c r="BK538" s="77">
        <v>345</v>
      </c>
      <c r="BL538" s="75">
        <f t="shared" si="24"/>
        <v>3300</v>
      </c>
      <c r="BM538" s="103">
        <f t="shared" si="25"/>
        <v>181.5</v>
      </c>
      <c r="BN538" s="103">
        <f t="shared" si="26"/>
        <v>3481.5</v>
      </c>
      <c r="BO538" s="80">
        <v>3481.5</v>
      </c>
      <c r="BP538" s="77" t="s">
        <v>97</v>
      </c>
      <c r="BQ538" s="77"/>
      <c r="BR538" s="77"/>
      <c r="BS538" s="157">
        <v>2019</v>
      </c>
      <c r="BU538">
        <v>2019</v>
      </c>
    </row>
    <row r="539" spans="1:73" ht="43.15" customHeight="1" x14ac:dyDescent="0.25">
      <c r="A539" s="241" t="s">
        <v>90</v>
      </c>
      <c r="B539" s="241" t="s">
        <v>3215</v>
      </c>
      <c r="C539" s="163">
        <v>400</v>
      </c>
      <c r="D539" s="76">
        <v>43628</v>
      </c>
      <c r="E539" s="76">
        <v>43629</v>
      </c>
      <c r="F539" s="76"/>
      <c r="G539" s="76"/>
      <c r="H539" s="76">
        <v>43643</v>
      </c>
      <c r="I539" s="76">
        <v>43643</v>
      </c>
      <c r="J539" s="76">
        <v>43636</v>
      </c>
      <c r="K539" s="218"/>
      <c r="L539" s="76">
        <v>43836</v>
      </c>
      <c r="M539" s="76">
        <v>43738</v>
      </c>
      <c r="N539" s="76" t="s">
        <v>4119</v>
      </c>
      <c r="O539" s="76">
        <v>43872</v>
      </c>
      <c r="P539" s="76">
        <v>43872</v>
      </c>
      <c r="Q539" s="76">
        <v>43875</v>
      </c>
      <c r="R539" s="82"/>
      <c r="S539" s="76"/>
      <c r="T539" s="77"/>
      <c r="U539" s="77"/>
      <c r="V539" s="77"/>
      <c r="W539" s="77">
        <v>4</v>
      </c>
      <c r="X539" s="77">
        <v>44399</v>
      </c>
      <c r="Y539" s="75" t="str">
        <f ca="1">IF(I539="",IF(D539="","",IF(W539+X539&lt;15,"Données Nb pers ou RFR manquantes",IF(COUNTA(INDIRECT("TabRFR["&amp;YEAR(D539)&amp;"]"))&lt;&gt;COUNTA(TabRFR[Recherche RFR]),"Data RFR manquantes", IF(X539&lt;=INDEX(TabRFR[[2021]:[2025]],MATCH(BD!W539&amp;"-Très modestes",TabRFR[Recherche RFR],0),MATCH(TEXT(YEAR(BD!D539),"Standard"),TabRFR[[#Headers],[2021]:[2025]],0)),"Très Modeste",IF(X539&lt;=INDEX(TabRFR[[2021]:[2025]],MATCH(BD!W539&amp;"-modestes",TabRFR[Recherche RFR],0),MATCH(TEXT(YEAR(BD!D539),"Standard"),TabRFR[[#Headers],[2021]:[2025]],0)),"Modeste",IF(X539&lt;=INDEX(TabRFR[[2021]:[2025]],MATCH(BD!W539&amp;"-Intermédiaire",TabRFR[Recherche RFR],0),MATCH(TEXT(YEAR(BD!D539),"Standard"),TabRFR[[#Headers],[2021]:[2025]],0)),"Intermédiaire","Supérieur")))))),IF(D539="","",IF(W539+X539&lt;15,"Données Nb pers ou RFR manquantes",IF(COUNTA(INDIRECT("TabRFR["&amp;YEAR(I539)&amp;"]"))&lt;&gt;COUNTA(TabRFR[Recherche RFR]),"Data RFR manquantes", IF(X539&lt;=INDEX(TabRFR[[2021]:[2025]],MATCH(BD!W539&amp;"-Très modestes",TabRFR[Recherche RFR],0),MATCH(TEXT(YEAR(BD!I539),"Standard"),TabRFR[[#Headers],[2021]:[2025]],0)),"Très Modeste",IF(X539&lt;=INDEX(TabRFR[[2021]:[2025]],MATCH(BD!W539&amp;"-modestes",TabRFR[Recherche RFR],0),MATCH(TEXT(YEAR(BD!I539),"Standard"),TabRFR[[#Headers],[2021]:[2025]],0)),"Modeste",IF(X539&lt;=INDEX(TabRFR[[2021]:[2025]],MATCH(BD!W539&amp;"-Intermédiaire",TabRFR[Recherche RFR],0),MATCH(TEXT(YEAR(BD!I539),"Standard"),TabRFR[[#Headers],[2021]:[2025]],0)),"Intermédiaire","Supérieur")))))))</f>
        <v>Data RFR manquantes</v>
      </c>
      <c r="Z539" s="77"/>
      <c r="AA539" s="77" t="s">
        <v>1935</v>
      </c>
      <c r="AB539" s="77">
        <v>38340</v>
      </c>
      <c r="AC539" s="77" t="s">
        <v>108</v>
      </c>
      <c r="AD539" s="78"/>
      <c r="AE539" s="102"/>
      <c r="AF539" s="77" t="s">
        <v>95</v>
      </c>
      <c r="AG539" s="77"/>
      <c r="AH539" s="77"/>
      <c r="AI539" s="77"/>
      <c r="AJ539" s="77"/>
      <c r="AK539" s="77"/>
      <c r="AL539" s="77"/>
      <c r="AM539" s="77" t="s">
        <v>4233</v>
      </c>
      <c r="AN539" s="77" t="s">
        <v>829</v>
      </c>
      <c r="AO539" s="77" t="s">
        <v>210</v>
      </c>
      <c r="AP539" s="75" t="s">
        <v>97</v>
      </c>
      <c r="AQ539" s="75"/>
      <c r="AR539" s="74">
        <v>43686</v>
      </c>
      <c r="AS539" s="102" t="s">
        <v>211</v>
      </c>
      <c r="AT539" s="73" t="s">
        <v>634</v>
      </c>
      <c r="AU539" s="77" t="s">
        <v>99</v>
      </c>
      <c r="AV539" s="77">
        <v>1998</v>
      </c>
      <c r="AW539" s="77" t="s">
        <v>100</v>
      </c>
      <c r="AX539" s="77" t="s">
        <v>112</v>
      </c>
      <c r="AY539" s="77" t="s">
        <v>3214</v>
      </c>
      <c r="AZ539" s="77" t="s">
        <v>3660</v>
      </c>
      <c r="BA539" s="77">
        <v>26</v>
      </c>
      <c r="BB539" s="77">
        <v>6.2</v>
      </c>
      <c r="BC539" s="77">
        <v>79</v>
      </c>
      <c r="BD539" s="77">
        <v>0.08</v>
      </c>
      <c r="BE539" s="77" t="s">
        <v>97</v>
      </c>
      <c r="BF539" s="77"/>
      <c r="BG539" s="77">
        <v>4213</v>
      </c>
      <c r="BH539" s="77"/>
      <c r="BI539" s="77"/>
      <c r="BJ539" s="77"/>
      <c r="BK539" s="77">
        <v>1000</v>
      </c>
      <c r="BL539" s="75">
        <f t="shared" si="24"/>
        <v>5213</v>
      </c>
      <c r="BM539" s="103">
        <f t="shared" si="25"/>
        <v>286.71499999999997</v>
      </c>
      <c r="BN539" s="103">
        <f t="shared" si="26"/>
        <v>5499.7150000000001</v>
      </c>
      <c r="BO539" s="80">
        <v>5621</v>
      </c>
      <c r="BP539" s="77" t="s">
        <v>97</v>
      </c>
      <c r="BQ539" s="77"/>
      <c r="BR539" s="77"/>
      <c r="BS539" s="157">
        <v>2019</v>
      </c>
      <c r="BT539" s="235">
        <v>43770</v>
      </c>
      <c r="BU539">
        <v>2019</v>
      </c>
    </row>
    <row r="540" spans="1:73" ht="43.15" customHeight="1" x14ac:dyDescent="0.25">
      <c r="A540" s="241" t="s">
        <v>90</v>
      </c>
      <c r="B540" s="241" t="s">
        <v>3213</v>
      </c>
      <c r="C540" s="163">
        <v>400</v>
      </c>
      <c r="D540" s="76">
        <v>43629</v>
      </c>
      <c r="E540" s="76">
        <v>43629</v>
      </c>
      <c r="F540" s="76">
        <v>43643</v>
      </c>
      <c r="G540" s="76" t="s">
        <v>3661</v>
      </c>
      <c r="H540" s="76">
        <v>43699</v>
      </c>
      <c r="I540" s="76">
        <v>43699</v>
      </c>
      <c r="J540" s="76">
        <v>43703</v>
      </c>
      <c r="K540" s="218"/>
      <c r="L540" s="76">
        <v>43733</v>
      </c>
      <c r="M540" s="76">
        <v>43728</v>
      </c>
      <c r="N540" s="76" t="s">
        <v>9</v>
      </c>
      <c r="O540" s="76">
        <v>43733</v>
      </c>
      <c r="P540" s="76">
        <v>43733</v>
      </c>
      <c r="Q540" s="76">
        <v>43747</v>
      </c>
      <c r="R540" s="82"/>
      <c r="S540" s="76"/>
      <c r="T540" s="77"/>
      <c r="U540" s="77"/>
      <c r="V540" s="77"/>
      <c r="W540" s="77">
        <v>4</v>
      </c>
      <c r="X540" s="77">
        <v>52953</v>
      </c>
      <c r="Y540" s="75" t="str">
        <f ca="1">IF(I540="",IF(D540="","",IF(W540+X540&lt;15,"Données Nb pers ou RFR manquantes",IF(COUNTA(INDIRECT("TabRFR["&amp;YEAR(D540)&amp;"]"))&lt;&gt;COUNTA(TabRFR[Recherche RFR]),"Data RFR manquantes", IF(X540&lt;=INDEX(TabRFR[[2021]:[2025]],MATCH(BD!W540&amp;"-Très modestes",TabRFR[Recherche RFR],0),MATCH(TEXT(YEAR(BD!D540),"Standard"),TabRFR[[#Headers],[2021]:[2025]],0)),"Très Modeste",IF(X540&lt;=INDEX(TabRFR[[2021]:[2025]],MATCH(BD!W540&amp;"-modestes",TabRFR[Recherche RFR],0),MATCH(TEXT(YEAR(BD!D540),"Standard"),TabRFR[[#Headers],[2021]:[2025]],0)),"Modeste",IF(X540&lt;=INDEX(TabRFR[[2021]:[2025]],MATCH(BD!W540&amp;"-Intermédiaire",TabRFR[Recherche RFR],0),MATCH(TEXT(YEAR(BD!D540),"Standard"),TabRFR[[#Headers],[2021]:[2025]],0)),"Intermédiaire","Supérieur")))))),IF(D540="","",IF(W540+X540&lt;15,"Données Nb pers ou RFR manquantes",IF(COUNTA(INDIRECT("TabRFR["&amp;YEAR(I540)&amp;"]"))&lt;&gt;COUNTA(TabRFR[Recherche RFR]),"Data RFR manquantes", IF(X540&lt;=INDEX(TabRFR[[2021]:[2025]],MATCH(BD!W540&amp;"-Très modestes",TabRFR[Recherche RFR],0),MATCH(TEXT(YEAR(BD!I540),"Standard"),TabRFR[[#Headers],[2021]:[2025]],0)),"Très Modeste",IF(X540&lt;=INDEX(TabRFR[[2021]:[2025]],MATCH(BD!W540&amp;"-modestes",TabRFR[Recherche RFR],0),MATCH(TEXT(YEAR(BD!I540),"Standard"),TabRFR[[#Headers],[2021]:[2025]],0)),"Modeste",IF(X540&lt;=INDEX(TabRFR[[2021]:[2025]],MATCH(BD!W540&amp;"-Intermédiaire",TabRFR[Recherche RFR],0),MATCH(TEXT(YEAR(BD!I540),"Standard"),TabRFR[[#Headers],[2021]:[2025]],0)),"Intermédiaire","Supérieur")))))))</f>
        <v>Data RFR manquantes</v>
      </c>
      <c r="Z540" s="77"/>
      <c r="AA540" s="77" t="s">
        <v>3212</v>
      </c>
      <c r="AB540" s="77">
        <v>38340</v>
      </c>
      <c r="AC540" s="77" t="s">
        <v>108</v>
      </c>
      <c r="AD540" s="78"/>
      <c r="AE540" s="102"/>
      <c r="AF540" s="77" t="s">
        <v>95</v>
      </c>
      <c r="AG540" s="77"/>
      <c r="AH540" s="77"/>
      <c r="AI540" s="77"/>
      <c r="AJ540" s="77"/>
      <c r="AK540" s="77"/>
      <c r="AL540" s="77"/>
      <c r="AM540" s="77" t="s">
        <v>4035</v>
      </c>
      <c r="AN540" s="77" t="s">
        <v>108</v>
      </c>
      <c r="AO540" s="77" t="s">
        <v>9</v>
      </c>
      <c r="AP540" s="77" t="s">
        <v>97</v>
      </c>
      <c r="AQ540" s="77"/>
      <c r="AR540" s="79">
        <v>44010</v>
      </c>
      <c r="AS540" s="102" t="s">
        <v>110</v>
      </c>
      <c r="AT540" s="78" t="s">
        <v>616</v>
      </c>
      <c r="AU540" s="77" t="s">
        <v>100</v>
      </c>
      <c r="AV540" s="77">
        <v>1998</v>
      </c>
      <c r="AW540" s="77" t="s">
        <v>100</v>
      </c>
      <c r="AX540" s="77" t="s">
        <v>112</v>
      </c>
      <c r="AY540" s="77" t="s">
        <v>1896</v>
      </c>
      <c r="AZ540" s="77" t="s">
        <v>3211</v>
      </c>
      <c r="BA540" s="77">
        <v>15</v>
      </c>
      <c r="BB540" s="77">
        <v>7</v>
      </c>
      <c r="BC540" s="77">
        <v>79.099999999999994</v>
      </c>
      <c r="BD540" s="77">
        <v>0.09</v>
      </c>
      <c r="BE540" s="77" t="s">
        <v>97</v>
      </c>
      <c r="BF540" s="77"/>
      <c r="BG540" s="77">
        <v>3984</v>
      </c>
      <c r="BH540" s="77"/>
      <c r="BI540" s="77"/>
      <c r="BJ540" s="77"/>
      <c r="BK540" s="77">
        <v>500</v>
      </c>
      <c r="BL540" s="75">
        <f t="shared" si="24"/>
        <v>4484</v>
      </c>
      <c r="BM540" s="103">
        <f t="shared" si="25"/>
        <v>246.62</v>
      </c>
      <c r="BN540" s="103">
        <f t="shared" si="26"/>
        <v>4730.62</v>
      </c>
      <c r="BO540" s="80"/>
      <c r="BP540" s="77" t="s">
        <v>97</v>
      </c>
      <c r="BQ540" s="77"/>
      <c r="BR540" s="77"/>
      <c r="BS540" s="157">
        <v>2019</v>
      </c>
      <c r="BT540" s="235">
        <v>43770</v>
      </c>
      <c r="BU540">
        <v>2019</v>
      </c>
    </row>
    <row r="541" spans="1:73" ht="43.15" customHeight="1" x14ac:dyDescent="0.25">
      <c r="A541" s="241" t="s">
        <v>90</v>
      </c>
      <c r="B541" s="241" t="s">
        <v>3210</v>
      </c>
      <c r="C541" s="163">
        <v>400</v>
      </c>
      <c r="D541" s="76">
        <v>43629</v>
      </c>
      <c r="E541" s="76">
        <v>43629</v>
      </c>
      <c r="F541" s="76"/>
      <c r="G541" s="76"/>
      <c r="H541" s="76">
        <v>43643</v>
      </c>
      <c r="I541" s="76">
        <v>43643</v>
      </c>
      <c r="J541" s="76">
        <v>43636</v>
      </c>
      <c r="K541" s="218"/>
      <c r="L541" s="76">
        <v>43717</v>
      </c>
      <c r="M541" s="76">
        <v>43711</v>
      </c>
      <c r="N541" s="76"/>
      <c r="O541" s="76">
        <v>43727</v>
      </c>
      <c r="P541" s="76">
        <v>43727</v>
      </c>
      <c r="Q541" s="76">
        <v>43746</v>
      </c>
      <c r="R541" s="82"/>
      <c r="S541" s="76"/>
      <c r="T541" s="77"/>
      <c r="U541" s="77"/>
      <c r="V541" s="77"/>
      <c r="W541" s="77">
        <v>3</v>
      </c>
      <c r="X541" s="77">
        <v>43922</v>
      </c>
      <c r="Y541" s="75" t="str">
        <f ca="1">IF(I541="",IF(D541="","",IF(W541+X541&lt;15,"Données Nb pers ou RFR manquantes",IF(COUNTA(INDIRECT("TabRFR["&amp;YEAR(D541)&amp;"]"))&lt;&gt;COUNTA(TabRFR[Recherche RFR]),"Data RFR manquantes", IF(X541&lt;=INDEX(TabRFR[[2021]:[2025]],MATCH(BD!W541&amp;"-Très modestes",TabRFR[Recherche RFR],0),MATCH(TEXT(YEAR(BD!D541),"Standard"),TabRFR[[#Headers],[2021]:[2025]],0)),"Très Modeste",IF(X541&lt;=INDEX(TabRFR[[2021]:[2025]],MATCH(BD!W541&amp;"-modestes",TabRFR[Recherche RFR],0),MATCH(TEXT(YEAR(BD!D541),"Standard"),TabRFR[[#Headers],[2021]:[2025]],0)),"Modeste",IF(X541&lt;=INDEX(TabRFR[[2021]:[2025]],MATCH(BD!W541&amp;"-Intermédiaire",TabRFR[Recherche RFR],0),MATCH(TEXT(YEAR(BD!D541),"Standard"),TabRFR[[#Headers],[2021]:[2025]],0)),"Intermédiaire","Supérieur")))))),IF(D541="","",IF(W541+X541&lt;15,"Données Nb pers ou RFR manquantes",IF(COUNTA(INDIRECT("TabRFR["&amp;YEAR(I541)&amp;"]"))&lt;&gt;COUNTA(TabRFR[Recherche RFR]),"Data RFR manquantes", IF(X541&lt;=INDEX(TabRFR[[2021]:[2025]],MATCH(BD!W541&amp;"-Très modestes",TabRFR[Recherche RFR],0),MATCH(TEXT(YEAR(BD!I541),"Standard"),TabRFR[[#Headers],[2021]:[2025]],0)),"Très Modeste",IF(X541&lt;=INDEX(TabRFR[[2021]:[2025]],MATCH(BD!W541&amp;"-modestes",TabRFR[Recherche RFR],0),MATCH(TEXT(YEAR(BD!I541),"Standard"),TabRFR[[#Headers],[2021]:[2025]],0)),"Modeste",IF(X541&lt;=INDEX(TabRFR[[2021]:[2025]],MATCH(BD!W541&amp;"-Intermédiaire",TabRFR[Recherche RFR],0),MATCH(TEXT(YEAR(BD!I541),"Standard"),TabRFR[[#Headers],[2021]:[2025]],0)),"Intermédiaire","Supérieur")))))))</f>
        <v>Data RFR manquantes</v>
      </c>
      <c r="Z541" s="77"/>
      <c r="AA541" s="77" t="s">
        <v>3209</v>
      </c>
      <c r="AB541" s="77">
        <v>38620</v>
      </c>
      <c r="AC541" s="77" t="s">
        <v>857</v>
      </c>
      <c r="AD541" s="78"/>
      <c r="AE541" s="102"/>
      <c r="AF541" s="77" t="s">
        <v>95</v>
      </c>
      <c r="AG541" s="77"/>
      <c r="AH541" s="77"/>
      <c r="AI541" s="77"/>
      <c r="AJ541" s="77"/>
      <c r="AK541" s="77"/>
      <c r="AL541" s="77"/>
      <c r="AM541" s="77" t="s">
        <v>4359</v>
      </c>
      <c r="AN541" s="77" t="s">
        <v>829</v>
      </c>
      <c r="AO541" s="77" t="s">
        <v>3652</v>
      </c>
      <c r="AP541" s="77" t="s">
        <v>97</v>
      </c>
      <c r="AQ541" s="77"/>
      <c r="AR541" s="79">
        <v>43722</v>
      </c>
      <c r="AS541" s="102" t="s">
        <v>491</v>
      </c>
      <c r="AT541" s="78" t="s">
        <v>3208</v>
      </c>
      <c r="AU541" s="77" t="s">
        <v>100</v>
      </c>
      <c r="AV541" s="77">
        <v>1998</v>
      </c>
      <c r="AW541" s="77" t="s">
        <v>100</v>
      </c>
      <c r="AX541" s="77" t="s">
        <v>112</v>
      </c>
      <c r="AY541" s="77" t="s">
        <v>492</v>
      </c>
      <c r="AZ541" s="77" t="s">
        <v>3207</v>
      </c>
      <c r="BA541" s="77">
        <v>25</v>
      </c>
      <c r="BB541" s="77">
        <v>6</v>
      </c>
      <c r="BC541" s="77">
        <v>83</v>
      </c>
      <c r="BD541" s="77">
        <v>7.0000000000000007E-2</v>
      </c>
      <c r="BE541" s="77" t="s">
        <v>97</v>
      </c>
      <c r="BF541" s="77"/>
      <c r="BG541" s="77">
        <v>4472</v>
      </c>
      <c r="BH541" s="77"/>
      <c r="BI541" s="77"/>
      <c r="BJ541" s="77"/>
      <c r="BK541" s="77">
        <v>450</v>
      </c>
      <c r="BL541" s="75">
        <f t="shared" si="24"/>
        <v>4922</v>
      </c>
      <c r="BM541" s="103">
        <f t="shared" si="25"/>
        <v>270.70999999999998</v>
      </c>
      <c r="BN541" s="103">
        <f t="shared" si="26"/>
        <v>5192.71</v>
      </c>
      <c r="BO541" s="80"/>
      <c r="BP541" s="77" t="s">
        <v>97</v>
      </c>
      <c r="BQ541" s="77"/>
      <c r="BR541" s="77"/>
      <c r="BS541" s="157">
        <v>2019</v>
      </c>
      <c r="BT541" s="235">
        <v>43770</v>
      </c>
      <c r="BU541">
        <v>2019</v>
      </c>
    </row>
    <row r="542" spans="1:73" ht="43.15" customHeight="1" x14ac:dyDescent="0.25">
      <c r="A542" s="241" t="s">
        <v>90</v>
      </c>
      <c r="B542" s="241" t="s">
        <v>3206</v>
      </c>
      <c r="C542" s="163">
        <v>400</v>
      </c>
      <c r="D542" s="76">
        <v>43633</v>
      </c>
      <c r="E542" s="76">
        <v>43633</v>
      </c>
      <c r="F542" s="76"/>
      <c r="G542" s="76"/>
      <c r="H542" s="76">
        <v>43643</v>
      </c>
      <c r="I542" s="76">
        <v>43643</v>
      </c>
      <c r="J542" s="76">
        <v>43636</v>
      </c>
      <c r="K542" s="218"/>
      <c r="L542" s="76">
        <v>43696</v>
      </c>
      <c r="M542" s="76">
        <v>43686</v>
      </c>
      <c r="N542" s="76"/>
      <c r="O542" s="76">
        <v>43727</v>
      </c>
      <c r="P542" s="76">
        <v>43727</v>
      </c>
      <c r="Q542" s="76">
        <v>43746</v>
      </c>
      <c r="R542" s="82"/>
      <c r="S542" s="76"/>
      <c r="T542" s="77"/>
      <c r="U542" s="77"/>
      <c r="V542" s="77"/>
      <c r="W542" s="77">
        <v>4</v>
      </c>
      <c r="X542" s="77">
        <v>39336</v>
      </c>
      <c r="Y542" s="75" t="str">
        <f ca="1">IF(I542="",IF(D542="","",IF(W542+X542&lt;15,"Données Nb pers ou RFR manquantes",IF(COUNTA(INDIRECT("TabRFR["&amp;YEAR(D542)&amp;"]"))&lt;&gt;COUNTA(TabRFR[Recherche RFR]),"Data RFR manquantes", IF(X542&lt;=INDEX(TabRFR[[2021]:[2025]],MATCH(BD!W542&amp;"-Très modestes",TabRFR[Recherche RFR],0),MATCH(TEXT(YEAR(BD!D542),"Standard"),TabRFR[[#Headers],[2021]:[2025]],0)),"Très Modeste",IF(X542&lt;=INDEX(TabRFR[[2021]:[2025]],MATCH(BD!W542&amp;"-modestes",TabRFR[Recherche RFR],0),MATCH(TEXT(YEAR(BD!D542),"Standard"),TabRFR[[#Headers],[2021]:[2025]],0)),"Modeste",IF(X542&lt;=INDEX(TabRFR[[2021]:[2025]],MATCH(BD!W542&amp;"-Intermédiaire",TabRFR[Recherche RFR],0),MATCH(TEXT(YEAR(BD!D542),"Standard"),TabRFR[[#Headers],[2021]:[2025]],0)),"Intermédiaire","Supérieur")))))),IF(D542="","",IF(W542+X542&lt;15,"Données Nb pers ou RFR manquantes",IF(COUNTA(INDIRECT("TabRFR["&amp;YEAR(I542)&amp;"]"))&lt;&gt;COUNTA(TabRFR[Recherche RFR]),"Data RFR manquantes", IF(X542&lt;=INDEX(TabRFR[[2021]:[2025]],MATCH(BD!W542&amp;"-Très modestes",TabRFR[Recherche RFR],0),MATCH(TEXT(YEAR(BD!I542),"Standard"),TabRFR[[#Headers],[2021]:[2025]],0)),"Très Modeste",IF(X542&lt;=INDEX(TabRFR[[2021]:[2025]],MATCH(BD!W542&amp;"-modestes",TabRFR[Recherche RFR],0),MATCH(TEXT(YEAR(BD!I542),"Standard"),TabRFR[[#Headers],[2021]:[2025]],0)),"Modeste",IF(X542&lt;=INDEX(TabRFR[[2021]:[2025]],MATCH(BD!W542&amp;"-Intermédiaire",TabRFR[Recherche RFR],0),MATCH(TEXT(YEAR(BD!I542),"Standard"),TabRFR[[#Headers],[2021]:[2025]],0)),"Intermédiaire","Supérieur")))))))</f>
        <v>Data RFR manquantes</v>
      </c>
      <c r="Z542" s="77"/>
      <c r="AA542" s="77" t="s">
        <v>3205</v>
      </c>
      <c r="AB542" s="77">
        <v>38430</v>
      </c>
      <c r="AC542" s="77" t="s">
        <v>217</v>
      </c>
      <c r="AD542" s="78"/>
      <c r="AE542" s="102"/>
      <c r="AF542" s="77" t="s">
        <v>95</v>
      </c>
      <c r="AG542" s="77"/>
      <c r="AH542" s="77"/>
      <c r="AI542" s="77"/>
      <c r="AJ542" s="77"/>
      <c r="AK542" s="77"/>
      <c r="AL542" s="77"/>
      <c r="AM542" s="77" t="s">
        <v>218</v>
      </c>
      <c r="AN542" s="77" t="s">
        <v>217</v>
      </c>
      <c r="AO542" s="77" t="s">
        <v>219</v>
      </c>
      <c r="AP542" s="77" t="s">
        <v>97</v>
      </c>
      <c r="AQ542" s="77"/>
      <c r="AR542" s="79">
        <v>43765</v>
      </c>
      <c r="AS542" s="102" t="s">
        <v>220</v>
      </c>
      <c r="AT542" s="78" t="s">
        <v>620</v>
      </c>
      <c r="AU542" s="77" t="s">
        <v>99</v>
      </c>
      <c r="AV542" s="77">
        <v>1970</v>
      </c>
      <c r="AW542" s="77" t="s">
        <v>111</v>
      </c>
      <c r="AX542" s="77" t="s">
        <v>112</v>
      </c>
      <c r="AY542" s="77" t="s">
        <v>121</v>
      </c>
      <c r="AZ542" s="77" t="s">
        <v>3662</v>
      </c>
      <c r="BA542" s="77">
        <v>26</v>
      </c>
      <c r="BB542" s="77">
        <v>8</v>
      </c>
      <c r="BC542" s="77">
        <v>81</v>
      </c>
      <c r="BD542" s="77">
        <v>7.0000000000000007E-2</v>
      </c>
      <c r="BE542" s="77" t="s">
        <v>97</v>
      </c>
      <c r="BF542" s="77"/>
      <c r="BG542" s="77">
        <v>1449</v>
      </c>
      <c r="BH542" s="77"/>
      <c r="BI542" s="77"/>
      <c r="BJ542" s="77"/>
      <c r="BK542" s="77">
        <v>950</v>
      </c>
      <c r="BL542" s="75">
        <f t="shared" si="24"/>
        <v>2399</v>
      </c>
      <c r="BM542" s="103">
        <f t="shared" si="25"/>
        <v>131.94499999999999</v>
      </c>
      <c r="BN542" s="103">
        <f t="shared" si="26"/>
        <v>2530.9450000000002</v>
      </c>
      <c r="BO542" s="80"/>
      <c r="BP542" s="77" t="s">
        <v>104</v>
      </c>
      <c r="BQ542" s="77"/>
      <c r="BR542" s="77"/>
      <c r="BS542" s="157">
        <v>2019</v>
      </c>
      <c r="BT542" s="235">
        <v>43770</v>
      </c>
      <c r="BU542">
        <v>2019</v>
      </c>
    </row>
    <row r="543" spans="1:73" ht="43.15" customHeight="1" x14ac:dyDescent="0.25">
      <c r="A543" s="241" t="s">
        <v>90</v>
      </c>
      <c r="B543" s="241" t="s">
        <v>3204</v>
      </c>
      <c r="C543" s="163">
        <v>400</v>
      </c>
      <c r="D543" s="76">
        <v>43640</v>
      </c>
      <c r="E543" s="76">
        <v>43640</v>
      </c>
      <c r="F543" s="76"/>
      <c r="G543" s="76"/>
      <c r="H543" s="76">
        <v>43643</v>
      </c>
      <c r="I543" s="76">
        <v>43643</v>
      </c>
      <c r="J543" s="76">
        <v>43644</v>
      </c>
      <c r="K543" s="218"/>
      <c r="L543" s="76">
        <v>43691</v>
      </c>
      <c r="M543" s="76">
        <v>43686</v>
      </c>
      <c r="N543" s="76"/>
      <c r="O543" s="76">
        <v>43727</v>
      </c>
      <c r="P543" s="76">
        <v>43727</v>
      </c>
      <c r="Q543" s="76">
        <v>43746</v>
      </c>
      <c r="R543" s="82"/>
      <c r="S543" s="76"/>
      <c r="T543" s="77"/>
      <c r="U543" s="77"/>
      <c r="V543" s="77"/>
      <c r="W543" s="77">
        <v>2</v>
      </c>
      <c r="X543" s="77">
        <v>38666</v>
      </c>
      <c r="Y543" s="75" t="str">
        <f ca="1">IF(I543="",IF(D543="","",IF(W543+X543&lt;15,"Données Nb pers ou RFR manquantes",IF(COUNTA(INDIRECT("TabRFR["&amp;YEAR(D543)&amp;"]"))&lt;&gt;COUNTA(TabRFR[Recherche RFR]),"Data RFR manquantes", IF(X543&lt;=INDEX(TabRFR[[2021]:[2025]],MATCH(BD!W543&amp;"-Très modestes",TabRFR[Recherche RFR],0),MATCH(TEXT(YEAR(BD!D543),"Standard"),TabRFR[[#Headers],[2021]:[2025]],0)),"Très Modeste",IF(X543&lt;=INDEX(TabRFR[[2021]:[2025]],MATCH(BD!W543&amp;"-modestes",TabRFR[Recherche RFR],0),MATCH(TEXT(YEAR(BD!D543),"Standard"),TabRFR[[#Headers],[2021]:[2025]],0)),"Modeste",IF(X543&lt;=INDEX(TabRFR[[2021]:[2025]],MATCH(BD!W543&amp;"-Intermédiaire",TabRFR[Recherche RFR],0),MATCH(TEXT(YEAR(BD!D543),"Standard"),TabRFR[[#Headers],[2021]:[2025]],0)),"Intermédiaire","Supérieur")))))),IF(D543="","",IF(W543+X543&lt;15,"Données Nb pers ou RFR manquantes",IF(COUNTA(INDIRECT("TabRFR["&amp;YEAR(I543)&amp;"]"))&lt;&gt;COUNTA(TabRFR[Recherche RFR]),"Data RFR manquantes", IF(X543&lt;=INDEX(TabRFR[[2021]:[2025]],MATCH(BD!W543&amp;"-Très modestes",TabRFR[Recherche RFR],0),MATCH(TEXT(YEAR(BD!I543),"Standard"),TabRFR[[#Headers],[2021]:[2025]],0)),"Très Modeste",IF(X543&lt;=INDEX(TabRFR[[2021]:[2025]],MATCH(BD!W543&amp;"-modestes",TabRFR[Recherche RFR],0),MATCH(TEXT(YEAR(BD!I543),"Standard"),TabRFR[[#Headers],[2021]:[2025]],0)),"Modeste",IF(X543&lt;=INDEX(TabRFR[[2021]:[2025]],MATCH(BD!W543&amp;"-Intermédiaire",TabRFR[Recherche RFR],0),MATCH(TEXT(YEAR(BD!I543),"Standard"),TabRFR[[#Headers],[2021]:[2025]],0)),"Intermédiaire","Supérieur")))))))</f>
        <v>Data RFR manquantes</v>
      </c>
      <c r="Z543" s="77"/>
      <c r="AA543" s="77" t="s">
        <v>3203</v>
      </c>
      <c r="AB543" s="77">
        <v>38430</v>
      </c>
      <c r="AC543" s="77" t="s">
        <v>3202</v>
      </c>
      <c r="AD543" s="78"/>
      <c r="AE543" s="102"/>
      <c r="AF543" s="77" t="s">
        <v>95</v>
      </c>
      <c r="AG543" s="77"/>
      <c r="AH543" s="77"/>
      <c r="AI543" s="77"/>
      <c r="AJ543" s="77"/>
      <c r="AK543" s="77"/>
      <c r="AL543" s="77"/>
      <c r="AM543" s="77" t="s">
        <v>218</v>
      </c>
      <c r="AN543" s="77" t="s">
        <v>217</v>
      </c>
      <c r="AO543" s="77" t="s">
        <v>219</v>
      </c>
      <c r="AP543" s="77" t="s">
        <v>97</v>
      </c>
      <c r="AQ543" s="77"/>
      <c r="AR543" s="79">
        <v>43765</v>
      </c>
      <c r="AS543" s="102" t="s">
        <v>220</v>
      </c>
      <c r="AT543" s="78" t="s">
        <v>620</v>
      </c>
      <c r="AU543" s="77" t="s">
        <v>111</v>
      </c>
      <c r="AV543" s="77">
        <v>1992</v>
      </c>
      <c r="AW543" s="77" t="s">
        <v>100</v>
      </c>
      <c r="AX543" s="77" t="s">
        <v>112</v>
      </c>
      <c r="AY543" s="77" t="s">
        <v>121</v>
      </c>
      <c r="AZ543" s="77" t="s">
        <v>3201</v>
      </c>
      <c r="BA543" s="77">
        <v>14</v>
      </c>
      <c r="BB543" s="77">
        <v>7.8</v>
      </c>
      <c r="BC543" s="77">
        <v>81</v>
      </c>
      <c r="BD543" s="77">
        <v>0.08</v>
      </c>
      <c r="BE543" s="77" t="s">
        <v>97</v>
      </c>
      <c r="BF543" s="77"/>
      <c r="BG543" s="77">
        <v>3915</v>
      </c>
      <c r="BH543" s="77"/>
      <c r="BI543" s="77"/>
      <c r="BJ543" s="77"/>
      <c r="BK543" s="77">
        <v>1107</v>
      </c>
      <c r="BL543" s="75">
        <f t="shared" si="24"/>
        <v>5022</v>
      </c>
      <c r="BM543" s="103">
        <f t="shared" si="25"/>
        <v>276.20999999999998</v>
      </c>
      <c r="BN543" s="103">
        <f t="shared" si="26"/>
        <v>5298.21</v>
      </c>
      <c r="BO543" s="80"/>
      <c r="BP543" s="77" t="s">
        <v>97</v>
      </c>
      <c r="BQ543" s="77"/>
      <c r="BR543" s="77"/>
      <c r="BS543" s="157">
        <v>2019</v>
      </c>
      <c r="BT543" s="235">
        <v>43770</v>
      </c>
      <c r="BU543">
        <v>2019</v>
      </c>
    </row>
    <row r="544" spans="1:73" ht="43.15" customHeight="1" x14ac:dyDescent="0.25">
      <c r="A544" s="241" t="s">
        <v>90</v>
      </c>
      <c r="B544" s="241" t="s">
        <v>3200</v>
      </c>
      <c r="C544" s="163">
        <v>800</v>
      </c>
      <c r="D544" s="76">
        <v>43640</v>
      </c>
      <c r="E544" s="76">
        <v>43640</v>
      </c>
      <c r="F544" s="76"/>
      <c r="G544" s="76"/>
      <c r="H544" s="76">
        <v>43643</v>
      </c>
      <c r="I544" s="76">
        <v>43643</v>
      </c>
      <c r="J544" s="76">
        <v>43644</v>
      </c>
      <c r="K544" s="218"/>
      <c r="L544" s="76">
        <v>43731</v>
      </c>
      <c r="M544" s="76">
        <v>43720</v>
      </c>
      <c r="N544" s="76" t="s">
        <v>9</v>
      </c>
      <c r="O544" s="76">
        <v>43733</v>
      </c>
      <c r="P544" s="76">
        <v>43733</v>
      </c>
      <c r="Q544" s="76">
        <v>43747</v>
      </c>
      <c r="R544" s="82"/>
      <c r="S544" s="76"/>
      <c r="T544" s="77"/>
      <c r="U544" s="77"/>
      <c r="V544" s="77"/>
      <c r="W544" s="77">
        <v>1</v>
      </c>
      <c r="X544" s="77">
        <v>14363</v>
      </c>
      <c r="Y544" s="75" t="str">
        <f ca="1">IF(I544="",IF(D544="","",IF(W544+X544&lt;15,"Données Nb pers ou RFR manquantes",IF(COUNTA(INDIRECT("TabRFR["&amp;YEAR(D544)&amp;"]"))&lt;&gt;COUNTA(TabRFR[Recherche RFR]),"Data RFR manquantes", IF(X544&lt;=INDEX(TabRFR[[2021]:[2025]],MATCH(BD!W544&amp;"-Très modestes",TabRFR[Recherche RFR],0),MATCH(TEXT(YEAR(BD!D544),"Standard"),TabRFR[[#Headers],[2021]:[2025]],0)),"Très Modeste",IF(X544&lt;=INDEX(TabRFR[[2021]:[2025]],MATCH(BD!W544&amp;"-modestes",TabRFR[Recherche RFR],0),MATCH(TEXT(YEAR(BD!D544),"Standard"),TabRFR[[#Headers],[2021]:[2025]],0)),"Modeste",IF(X544&lt;=INDEX(TabRFR[[2021]:[2025]],MATCH(BD!W544&amp;"-Intermédiaire",TabRFR[Recherche RFR],0),MATCH(TEXT(YEAR(BD!D544),"Standard"),TabRFR[[#Headers],[2021]:[2025]],0)),"Intermédiaire","Supérieur")))))),IF(D544="","",IF(W544+X544&lt;15,"Données Nb pers ou RFR manquantes",IF(COUNTA(INDIRECT("TabRFR["&amp;YEAR(I544)&amp;"]"))&lt;&gt;COUNTA(TabRFR[Recherche RFR]),"Data RFR manquantes", IF(X544&lt;=INDEX(TabRFR[[2021]:[2025]],MATCH(BD!W544&amp;"-Très modestes",TabRFR[Recherche RFR],0),MATCH(TEXT(YEAR(BD!I544),"Standard"),TabRFR[[#Headers],[2021]:[2025]],0)),"Très Modeste",IF(X544&lt;=INDEX(TabRFR[[2021]:[2025]],MATCH(BD!W544&amp;"-modestes",TabRFR[Recherche RFR],0),MATCH(TEXT(YEAR(BD!I544),"Standard"),TabRFR[[#Headers],[2021]:[2025]],0)),"Modeste",IF(X544&lt;=INDEX(TabRFR[[2021]:[2025]],MATCH(BD!W544&amp;"-Intermédiaire",TabRFR[Recherche RFR],0),MATCH(TEXT(YEAR(BD!I544),"Standard"),TabRFR[[#Headers],[2021]:[2025]],0)),"Intermédiaire","Supérieur")))))))</f>
        <v>Data RFR manquantes</v>
      </c>
      <c r="Z544" s="77"/>
      <c r="AA544" s="77" t="s">
        <v>3199</v>
      </c>
      <c r="AB544" s="77">
        <v>38620</v>
      </c>
      <c r="AC544" s="77" t="s">
        <v>857</v>
      </c>
      <c r="AD544" s="78"/>
      <c r="AE544" s="102"/>
      <c r="AF544" s="77" t="s">
        <v>95</v>
      </c>
      <c r="AG544" s="77"/>
      <c r="AH544" s="77"/>
      <c r="AI544" s="77"/>
      <c r="AJ544" s="77"/>
      <c r="AK544" s="77"/>
      <c r="AL544" s="77"/>
      <c r="AM544" s="77" t="s">
        <v>4031</v>
      </c>
      <c r="AN544" s="77" t="s">
        <v>4109</v>
      </c>
      <c r="AO544" s="77" t="s">
        <v>155</v>
      </c>
      <c r="AP544" s="77" t="s">
        <v>97</v>
      </c>
      <c r="AQ544" s="77"/>
      <c r="AR544" s="79">
        <v>43903</v>
      </c>
      <c r="AS544" s="102" t="s">
        <v>156</v>
      </c>
      <c r="AT544" s="78" t="s">
        <v>3198</v>
      </c>
      <c r="AU544" s="77" t="s">
        <v>100</v>
      </c>
      <c r="AV544" s="77" t="s">
        <v>9</v>
      </c>
      <c r="AW544" s="77" t="s">
        <v>100</v>
      </c>
      <c r="AX544" s="75" t="s">
        <v>2071</v>
      </c>
      <c r="AY544" s="77" t="s">
        <v>3197</v>
      </c>
      <c r="AZ544" s="77" t="s">
        <v>3663</v>
      </c>
      <c r="BA544" s="77">
        <v>17</v>
      </c>
      <c r="BB544" s="77">
        <v>8</v>
      </c>
      <c r="BC544" s="77">
        <v>89.8</v>
      </c>
      <c r="BD544" s="77">
        <v>1.4E-2</v>
      </c>
      <c r="BE544" s="77" t="s">
        <v>97</v>
      </c>
      <c r="BF544" s="77"/>
      <c r="BG544" s="77">
        <f>2478+851</f>
        <v>3329</v>
      </c>
      <c r="BH544" s="77"/>
      <c r="BI544" s="77"/>
      <c r="BJ544" s="77"/>
      <c r="BK544" s="77">
        <v>880</v>
      </c>
      <c r="BL544" s="75">
        <f t="shared" si="24"/>
        <v>4209</v>
      </c>
      <c r="BM544" s="103">
        <f t="shared" si="25"/>
        <v>231.495</v>
      </c>
      <c r="BN544" s="103">
        <f t="shared" si="26"/>
        <v>4440.4949999999999</v>
      </c>
      <c r="BO544" s="80">
        <v>3552.51</v>
      </c>
      <c r="BP544" s="77" t="s">
        <v>97</v>
      </c>
      <c r="BQ544" s="77"/>
      <c r="BR544" s="77"/>
      <c r="BS544" s="157">
        <v>2019</v>
      </c>
      <c r="BU544">
        <v>2019</v>
      </c>
    </row>
    <row r="545" spans="1:73" ht="43.15" customHeight="1" x14ac:dyDescent="0.25">
      <c r="A545" s="241" t="s">
        <v>90</v>
      </c>
      <c r="B545" s="241" t="s">
        <v>3196</v>
      </c>
      <c r="C545" s="163">
        <v>400</v>
      </c>
      <c r="D545" s="76">
        <v>43628</v>
      </c>
      <c r="E545" s="76">
        <v>43647</v>
      </c>
      <c r="F545" s="76">
        <v>43658</v>
      </c>
      <c r="G545" s="76">
        <v>43738</v>
      </c>
      <c r="H545" s="76">
        <v>43740</v>
      </c>
      <c r="I545" s="76">
        <v>43740</v>
      </c>
      <c r="J545" s="76"/>
      <c r="K545" s="218"/>
      <c r="L545" s="76"/>
      <c r="M545" s="76">
        <v>43726</v>
      </c>
      <c r="N545" s="76" t="s">
        <v>4005</v>
      </c>
      <c r="O545" s="76">
        <v>43790</v>
      </c>
      <c r="P545" s="76">
        <v>43853</v>
      </c>
      <c r="Q545" s="76">
        <v>43854</v>
      </c>
      <c r="R545" s="82"/>
      <c r="S545" s="76"/>
      <c r="T545" s="77"/>
      <c r="U545" s="77"/>
      <c r="V545" s="77"/>
      <c r="W545" s="77">
        <v>2</v>
      </c>
      <c r="X545" s="77">
        <v>87275</v>
      </c>
      <c r="Y545" s="75" t="str">
        <f ca="1">IF(I545="",IF(D545="","",IF(W545+X545&lt;15,"Données Nb pers ou RFR manquantes",IF(COUNTA(INDIRECT("TabRFR["&amp;YEAR(D545)&amp;"]"))&lt;&gt;COUNTA(TabRFR[Recherche RFR]),"Data RFR manquantes", IF(X545&lt;=INDEX(TabRFR[[2021]:[2025]],MATCH(BD!W545&amp;"-Très modestes",TabRFR[Recherche RFR],0),MATCH(TEXT(YEAR(BD!D545),"Standard"),TabRFR[[#Headers],[2021]:[2025]],0)),"Très Modeste",IF(X545&lt;=INDEX(TabRFR[[2021]:[2025]],MATCH(BD!W545&amp;"-modestes",TabRFR[Recherche RFR],0),MATCH(TEXT(YEAR(BD!D545),"Standard"),TabRFR[[#Headers],[2021]:[2025]],0)),"Modeste",IF(X545&lt;=INDEX(TabRFR[[2021]:[2025]],MATCH(BD!W545&amp;"-Intermédiaire",TabRFR[Recherche RFR],0),MATCH(TEXT(YEAR(BD!D545),"Standard"),TabRFR[[#Headers],[2021]:[2025]],0)),"Intermédiaire","Supérieur")))))),IF(D545="","",IF(W545+X545&lt;15,"Données Nb pers ou RFR manquantes",IF(COUNTA(INDIRECT("TabRFR["&amp;YEAR(I545)&amp;"]"))&lt;&gt;COUNTA(TabRFR[Recherche RFR]),"Data RFR manquantes", IF(X545&lt;=INDEX(TabRFR[[2021]:[2025]],MATCH(BD!W545&amp;"-Très modestes",TabRFR[Recherche RFR],0),MATCH(TEXT(YEAR(BD!I545),"Standard"),TabRFR[[#Headers],[2021]:[2025]],0)),"Très Modeste",IF(X545&lt;=INDEX(TabRFR[[2021]:[2025]],MATCH(BD!W545&amp;"-modestes",TabRFR[Recherche RFR],0),MATCH(TEXT(YEAR(BD!I545),"Standard"),TabRFR[[#Headers],[2021]:[2025]],0)),"Modeste",IF(X545&lt;=INDEX(TabRFR[[2021]:[2025]],MATCH(BD!W545&amp;"-Intermédiaire",TabRFR[Recherche RFR],0),MATCH(TEXT(YEAR(BD!I545),"Standard"),TabRFR[[#Headers],[2021]:[2025]],0)),"Intermédiaire","Supérieur")))))))</f>
        <v>Data RFR manquantes</v>
      </c>
      <c r="Z545" s="77"/>
      <c r="AA545" s="77" t="s">
        <v>3664</v>
      </c>
      <c r="AB545" s="77">
        <v>38500</v>
      </c>
      <c r="AC545" s="77" t="s">
        <v>96</v>
      </c>
      <c r="AD545" s="78"/>
      <c r="AE545" s="102"/>
      <c r="AF545" s="77"/>
      <c r="AG545" s="77"/>
      <c r="AH545" s="77"/>
      <c r="AI545" s="77"/>
      <c r="AJ545" s="77"/>
      <c r="AK545" s="77"/>
      <c r="AL545" s="77"/>
      <c r="AM545" s="77" t="s">
        <v>4130</v>
      </c>
      <c r="AN545" s="77" t="s">
        <v>4349</v>
      </c>
      <c r="AO545" s="77" t="s">
        <v>3252</v>
      </c>
      <c r="AP545" s="77" t="s">
        <v>97</v>
      </c>
      <c r="AQ545" s="77"/>
      <c r="AR545" s="79">
        <v>43911</v>
      </c>
      <c r="AS545" s="102" t="s">
        <v>337</v>
      </c>
      <c r="AT545" s="78" t="s">
        <v>691</v>
      </c>
      <c r="AU545" s="77" t="s">
        <v>99</v>
      </c>
      <c r="AV545" s="77" t="s">
        <v>231</v>
      </c>
      <c r="AW545" s="77" t="s">
        <v>100</v>
      </c>
      <c r="AX545" s="77" t="s">
        <v>112</v>
      </c>
      <c r="AY545" s="77" t="s">
        <v>338</v>
      </c>
      <c r="AZ545" s="77" t="s">
        <v>3665</v>
      </c>
      <c r="BA545" s="77">
        <v>30</v>
      </c>
      <c r="BB545" s="77">
        <v>9.5</v>
      </c>
      <c r="BC545" s="77">
        <v>77.3</v>
      </c>
      <c r="BD545" s="77">
        <v>0.09</v>
      </c>
      <c r="BE545" s="77" t="s">
        <v>97</v>
      </c>
      <c r="BF545" s="77"/>
      <c r="BG545" s="77">
        <v>4247</v>
      </c>
      <c r="BH545" s="77"/>
      <c r="BI545" s="77"/>
      <c r="BJ545" s="77"/>
      <c r="BK545" s="77">
        <v>350</v>
      </c>
      <c r="BL545" s="75">
        <f t="shared" si="24"/>
        <v>4597</v>
      </c>
      <c r="BM545" s="103">
        <f t="shared" si="25"/>
        <v>252.83500000000001</v>
      </c>
      <c r="BN545" s="103">
        <f t="shared" si="26"/>
        <v>4849.835</v>
      </c>
      <c r="BO545" s="80">
        <v>4519</v>
      </c>
      <c r="BP545" s="77" t="s">
        <v>97</v>
      </c>
      <c r="BQ545" s="77"/>
      <c r="BR545" s="77"/>
      <c r="BS545" s="157">
        <v>2019</v>
      </c>
      <c r="BT545" s="235">
        <v>43770</v>
      </c>
      <c r="BU545">
        <v>2019</v>
      </c>
    </row>
    <row r="546" spans="1:73" ht="43.15" customHeight="1" x14ac:dyDescent="0.25">
      <c r="A546" s="241" t="s">
        <v>90</v>
      </c>
      <c r="B546" s="241" t="s">
        <v>3195</v>
      </c>
      <c r="C546" s="163">
        <v>800</v>
      </c>
      <c r="D546" s="76">
        <v>43630</v>
      </c>
      <c r="E546" s="76">
        <v>43647</v>
      </c>
      <c r="F546" s="76"/>
      <c r="G546" s="76"/>
      <c r="H546" s="76">
        <v>43658</v>
      </c>
      <c r="I546" s="76">
        <v>43658</v>
      </c>
      <c r="J546" s="76">
        <v>43644</v>
      </c>
      <c r="K546" s="218"/>
      <c r="L546" s="76">
        <v>44001</v>
      </c>
      <c r="M546" s="76">
        <v>43829</v>
      </c>
      <c r="N546" s="76" t="s">
        <v>4001</v>
      </c>
      <c r="O546" s="76">
        <v>44014</v>
      </c>
      <c r="P546" s="76">
        <v>44014</v>
      </c>
      <c r="Q546" s="76">
        <v>44014</v>
      </c>
      <c r="R546" s="82"/>
      <c r="S546" s="76"/>
      <c r="T546" s="77"/>
      <c r="U546" s="77"/>
      <c r="V546" s="77"/>
      <c r="W546" s="77">
        <v>5</v>
      </c>
      <c r="X546" s="77">
        <f>39967+1943</f>
        <v>41910</v>
      </c>
      <c r="Y546" s="75" t="str">
        <f ca="1">IF(I546="",IF(D546="","",IF(W546+X546&lt;15,"Données Nb pers ou RFR manquantes",IF(COUNTA(INDIRECT("TabRFR["&amp;YEAR(D546)&amp;"]"))&lt;&gt;COUNTA(TabRFR[Recherche RFR]),"Data RFR manquantes", IF(X546&lt;=INDEX(TabRFR[[2021]:[2025]],MATCH(BD!W546&amp;"-Très modestes",TabRFR[Recherche RFR],0),MATCH(TEXT(YEAR(BD!D546),"Standard"),TabRFR[[#Headers],[2021]:[2025]],0)),"Très Modeste",IF(X546&lt;=INDEX(TabRFR[[2021]:[2025]],MATCH(BD!W546&amp;"-modestes",TabRFR[Recherche RFR],0),MATCH(TEXT(YEAR(BD!D546),"Standard"),TabRFR[[#Headers],[2021]:[2025]],0)),"Modeste",IF(X546&lt;=INDEX(TabRFR[[2021]:[2025]],MATCH(BD!W546&amp;"-Intermédiaire",TabRFR[Recherche RFR],0),MATCH(TEXT(YEAR(BD!D546),"Standard"),TabRFR[[#Headers],[2021]:[2025]],0)),"Intermédiaire","Supérieur")))))),IF(D546="","",IF(W546+X546&lt;15,"Données Nb pers ou RFR manquantes",IF(COUNTA(INDIRECT("TabRFR["&amp;YEAR(I546)&amp;"]"))&lt;&gt;COUNTA(TabRFR[Recherche RFR]),"Data RFR manquantes", IF(X546&lt;=INDEX(TabRFR[[2021]:[2025]],MATCH(BD!W546&amp;"-Très modestes",TabRFR[Recherche RFR],0),MATCH(TEXT(YEAR(BD!I546),"Standard"),TabRFR[[#Headers],[2021]:[2025]],0)),"Très Modeste",IF(X546&lt;=INDEX(TabRFR[[2021]:[2025]],MATCH(BD!W546&amp;"-modestes",TabRFR[Recherche RFR],0),MATCH(TEXT(YEAR(BD!I546),"Standard"),TabRFR[[#Headers],[2021]:[2025]],0)),"Modeste",IF(X546&lt;=INDEX(TabRFR[[2021]:[2025]],MATCH(BD!W546&amp;"-Intermédiaire",TabRFR[Recherche RFR],0),MATCH(TEXT(YEAR(BD!I546),"Standard"),TabRFR[[#Headers],[2021]:[2025]],0)),"Intermédiaire","Supérieur")))))))</f>
        <v>Data RFR manquantes</v>
      </c>
      <c r="Z546" s="77"/>
      <c r="AA546" s="77" t="s">
        <v>349</v>
      </c>
      <c r="AB546" s="77">
        <v>38620</v>
      </c>
      <c r="AC546" s="77" t="s">
        <v>857</v>
      </c>
      <c r="AD546" s="78"/>
      <c r="AE546" s="102"/>
      <c r="AF546" s="77" t="s">
        <v>95</v>
      </c>
      <c r="AG546" s="77"/>
      <c r="AH546" s="77"/>
      <c r="AI546" s="77"/>
      <c r="AJ546" s="77"/>
      <c r="AK546" s="77"/>
      <c r="AL546" s="77"/>
      <c r="AM546" s="77" t="s">
        <v>4236</v>
      </c>
      <c r="AN546" s="77" t="s">
        <v>4091</v>
      </c>
      <c r="AO546" s="77" t="s">
        <v>163</v>
      </c>
      <c r="AP546" s="77" t="s">
        <v>97</v>
      </c>
      <c r="AQ546" s="77"/>
      <c r="AR546" s="79">
        <v>43725</v>
      </c>
      <c r="AS546" s="102" t="s">
        <v>285</v>
      </c>
      <c r="AT546" s="78" t="s">
        <v>608</v>
      </c>
      <c r="AU546" s="77" t="s">
        <v>172</v>
      </c>
      <c r="AV546" s="77" t="s">
        <v>9</v>
      </c>
      <c r="AW546" s="77" t="s">
        <v>100</v>
      </c>
      <c r="AX546" s="77" t="s">
        <v>112</v>
      </c>
      <c r="AY546" s="77" t="s">
        <v>316</v>
      </c>
      <c r="AZ546" s="77" t="s">
        <v>3666</v>
      </c>
      <c r="BA546" s="77">
        <v>16</v>
      </c>
      <c r="BB546" s="77">
        <v>8.8000000000000007</v>
      </c>
      <c r="BC546" s="77">
        <v>75</v>
      </c>
      <c r="BD546" s="77">
        <v>0.1</v>
      </c>
      <c r="BE546" s="77" t="s">
        <v>97</v>
      </c>
      <c r="BF546" s="77"/>
      <c r="BG546" s="77">
        <v>2232</v>
      </c>
      <c r="BH546" s="77"/>
      <c r="BI546" s="77"/>
      <c r="BJ546" s="77"/>
      <c r="BK546" s="77">
        <v>3039</v>
      </c>
      <c r="BL546" s="75">
        <f t="shared" si="24"/>
        <v>5271</v>
      </c>
      <c r="BM546" s="103">
        <f t="shared" si="25"/>
        <v>289.90500000000003</v>
      </c>
      <c r="BN546" s="103">
        <f t="shared" si="26"/>
        <v>5560.9049999999997</v>
      </c>
      <c r="BO546" s="80"/>
      <c r="BP546" s="77" t="s">
        <v>104</v>
      </c>
      <c r="BQ546" s="77"/>
      <c r="BR546" s="77"/>
      <c r="BS546" s="157">
        <v>2019</v>
      </c>
      <c r="BT546" s="235">
        <v>43770</v>
      </c>
      <c r="BU546">
        <v>2019</v>
      </c>
    </row>
    <row r="547" spans="1:73" ht="43.15" customHeight="1" x14ac:dyDescent="0.25">
      <c r="A547" s="241" t="s">
        <v>90</v>
      </c>
      <c r="B547" s="241" t="s">
        <v>3194</v>
      </c>
      <c r="C547" s="163">
        <v>400</v>
      </c>
      <c r="D547" s="76">
        <v>43649</v>
      </c>
      <c r="E547" s="76">
        <v>43654</v>
      </c>
      <c r="F547" s="76">
        <v>43658</v>
      </c>
      <c r="G547" s="76" t="s">
        <v>3695</v>
      </c>
      <c r="H547" s="76">
        <v>43663</v>
      </c>
      <c r="I547" s="76">
        <v>43663</v>
      </c>
      <c r="J547" s="76">
        <v>43656</v>
      </c>
      <c r="K547" s="218"/>
      <c r="L547" s="76">
        <v>43782</v>
      </c>
      <c r="M547" s="76">
        <v>43754</v>
      </c>
      <c r="N547" s="76" t="s">
        <v>9</v>
      </c>
      <c r="O547" s="76">
        <v>43784</v>
      </c>
      <c r="P547" s="76">
        <v>43784</v>
      </c>
      <c r="Q547" s="76">
        <v>43787</v>
      </c>
      <c r="R547" s="82"/>
      <c r="S547" s="76"/>
      <c r="T547" s="77"/>
      <c r="U547" s="77"/>
      <c r="V547" s="77"/>
      <c r="W547" s="77">
        <v>2</v>
      </c>
      <c r="X547" s="77">
        <v>63739</v>
      </c>
      <c r="Y547" s="75" t="str">
        <f ca="1">IF(I547="",IF(D547="","",IF(W547+X547&lt;15,"Données Nb pers ou RFR manquantes",IF(COUNTA(INDIRECT("TabRFR["&amp;YEAR(D547)&amp;"]"))&lt;&gt;COUNTA(TabRFR[Recherche RFR]),"Data RFR manquantes", IF(X547&lt;=INDEX(TabRFR[[2021]:[2025]],MATCH(BD!W547&amp;"-Très modestes",TabRFR[Recherche RFR],0),MATCH(TEXT(YEAR(BD!D547),"Standard"),TabRFR[[#Headers],[2021]:[2025]],0)),"Très Modeste",IF(X547&lt;=INDEX(TabRFR[[2021]:[2025]],MATCH(BD!W547&amp;"-modestes",TabRFR[Recherche RFR],0),MATCH(TEXT(YEAR(BD!D547),"Standard"),TabRFR[[#Headers],[2021]:[2025]],0)),"Modeste",IF(X547&lt;=INDEX(TabRFR[[2021]:[2025]],MATCH(BD!W547&amp;"-Intermédiaire",TabRFR[Recherche RFR],0),MATCH(TEXT(YEAR(BD!D547),"Standard"),TabRFR[[#Headers],[2021]:[2025]],0)),"Intermédiaire","Supérieur")))))),IF(D547="","",IF(W547+X547&lt;15,"Données Nb pers ou RFR manquantes",IF(COUNTA(INDIRECT("TabRFR["&amp;YEAR(I547)&amp;"]"))&lt;&gt;COUNTA(TabRFR[Recherche RFR]),"Data RFR manquantes", IF(X547&lt;=INDEX(TabRFR[[2021]:[2025]],MATCH(BD!W547&amp;"-Très modestes",TabRFR[Recherche RFR],0),MATCH(TEXT(YEAR(BD!I547),"Standard"),TabRFR[[#Headers],[2021]:[2025]],0)),"Très Modeste",IF(X547&lt;=INDEX(TabRFR[[2021]:[2025]],MATCH(BD!W547&amp;"-modestes",TabRFR[Recherche RFR],0),MATCH(TEXT(YEAR(BD!I547),"Standard"),TabRFR[[#Headers],[2021]:[2025]],0)),"Modeste",IF(X547&lt;=INDEX(TabRFR[[2021]:[2025]],MATCH(BD!W547&amp;"-Intermédiaire",TabRFR[Recherche RFR],0),MATCH(TEXT(YEAR(BD!I547),"Standard"),TabRFR[[#Headers],[2021]:[2025]],0)),"Intermédiaire","Supérieur")))))))</f>
        <v>Data RFR manquantes</v>
      </c>
      <c r="Z547" s="77"/>
      <c r="AA547" s="77" t="s">
        <v>3679</v>
      </c>
      <c r="AB547" s="77">
        <v>38500</v>
      </c>
      <c r="AC547" s="77" t="s">
        <v>96</v>
      </c>
      <c r="AD547" s="78"/>
      <c r="AE547" s="102"/>
      <c r="AF547" s="77" t="s">
        <v>95</v>
      </c>
      <c r="AG547" s="77"/>
      <c r="AH547" s="77"/>
      <c r="AI547" s="77"/>
      <c r="AJ547" s="77"/>
      <c r="AK547" s="77"/>
      <c r="AL547" s="77"/>
      <c r="AM547" s="75" t="s">
        <v>3973</v>
      </c>
      <c r="AN547" s="75" t="s">
        <v>96</v>
      </c>
      <c r="AO547" s="75" t="s">
        <v>439</v>
      </c>
      <c r="AP547" s="75" t="s">
        <v>97</v>
      </c>
      <c r="AQ547" s="75"/>
      <c r="AR547" s="74">
        <v>43726</v>
      </c>
      <c r="AS547" s="102" t="s">
        <v>141</v>
      </c>
      <c r="AT547" s="73" t="s">
        <v>820</v>
      </c>
      <c r="AU547" s="77" t="s">
        <v>111</v>
      </c>
      <c r="AV547" s="77" t="s">
        <v>9</v>
      </c>
      <c r="AW547" s="77" t="s">
        <v>100</v>
      </c>
      <c r="AX547" s="75" t="s">
        <v>2071</v>
      </c>
      <c r="AY547" s="77" t="s">
        <v>1249</v>
      </c>
      <c r="AZ547" s="77" t="s">
        <v>3692</v>
      </c>
      <c r="BA547" s="77">
        <v>29.3</v>
      </c>
      <c r="BB547" s="77">
        <v>10</v>
      </c>
      <c r="BC547" s="77">
        <v>90</v>
      </c>
      <c r="BD547" s="77">
        <v>1.0999999999999999E-2</v>
      </c>
      <c r="BE547" s="77" t="s">
        <v>374</v>
      </c>
      <c r="BF547" s="77"/>
      <c r="BG547" s="77">
        <v>4275</v>
      </c>
      <c r="BH547" s="77"/>
      <c r="BI547" s="77"/>
      <c r="BJ547" s="77"/>
      <c r="BK547" s="77">
        <v>2189</v>
      </c>
      <c r="BL547" s="75">
        <f t="shared" si="24"/>
        <v>6464</v>
      </c>
      <c r="BM547" s="103">
        <f t="shared" si="25"/>
        <v>355.52</v>
      </c>
      <c r="BN547" s="103">
        <f t="shared" si="26"/>
        <v>6819.52</v>
      </c>
      <c r="BO547" s="80">
        <v>6819.52</v>
      </c>
      <c r="BP547" s="77" t="s">
        <v>97</v>
      </c>
      <c r="BQ547" s="77"/>
      <c r="BR547" s="77"/>
      <c r="BS547" s="157">
        <v>2019</v>
      </c>
      <c r="BU547">
        <v>2019</v>
      </c>
    </row>
    <row r="548" spans="1:73" ht="43.15" customHeight="1" x14ac:dyDescent="0.25">
      <c r="A548" s="241" t="s">
        <v>90</v>
      </c>
      <c r="B548" s="241" t="s">
        <v>3193</v>
      </c>
      <c r="C548" s="163">
        <v>800</v>
      </c>
      <c r="D548" s="76">
        <v>43656</v>
      </c>
      <c r="E548" s="76">
        <v>43656</v>
      </c>
      <c r="F548" s="76"/>
      <c r="G548" s="76" t="s">
        <v>3733</v>
      </c>
      <c r="H548" s="76">
        <v>43699</v>
      </c>
      <c r="I548" s="76">
        <v>43699</v>
      </c>
      <c r="J548" s="76">
        <v>43713</v>
      </c>
      <c r="K548" s="218"/>
      <c r="L548" s="76">
        <v>43797</v>
      </c>
      <c r="M548" s="76">
        <v>43738</v>
      </c>
      <c r="N548" s="76" t="s">
        <v>4001</v>
      </c>
      <c r="O548" s="76">
        <v>43803</v>
      </c>
      <c r="P548" s="76">
        <v>43803</v>
      </c>
      <c r="Q548" s="76">
        <v>43809</v>
      </c>
      <c r="R548" s="82"/>
      <c r="S548" s="76"/>
      <c r="T548" s="77"/>
      <c r="U548" s="77"/>
      <c r="V548" s="77"/>
      <c r="W548" s="77">
        <v>2</v>
      </c>
      <c r="X548" s="77">
        <v>23664</v>
      </c>
      <c r="Y548" s="75" t="str">
        <f ca="1">IF(I548="",IF(D548="","",IF(W548+X548&lt;15,"Données Nb pers ou RFR manquantes",IF(COUNTA(INDIRECT("TabRFR["&amp;YEAR(D548)&amp;"]"))&lt;&gt;COUNTA(TabRFR[Recherche RFR]),"Data RFR manquantes", IF(X548&lt;=INDEX(TabRFR[[2021]:[2025]],MATCH(BD!W548&amp;"-Très modestes",TabRFR[Recherche RFR],0),MATCH(TEXT(YEAR(BD!D548),"Standard"),TabRFR[[#Headers],[2021]:[2025]],0)),"Très Modeste",IF(X548&lt;=INDEX(TabRFR[[2021]:[2025]],MATCH(BD!W548&amp;"-modestes",TabRFR[Recherche RFR],0),MATCH(TEXT(YEAR(BD!D548),"Standard"),TabRFR[[#Headers],[2021]:[2025]],0)),"Modeste",IF(X548&lt;=INDEX(TabRFR[[2021]:[2025]],MATCH(BD!W548&amp;"-Intermédiaire",TabRFR[Recherche RFR],0),MATCH(TEXT(YEAR(BD!D548),"Standard"),TabRFR[[#Headers],[2021]:[2025]],0)),"Intermédiaire","Supérieur")))))),IF(D548="","",IF(W548+X548&lt;15,"Données Nb pers ou RFR manquantes",IF(COUNTA(INDIRECT("TabRFR["&amp;YEAR(I548)&amp;"]"))&lt;&gt;COUNTA(TabRFR[Recherche RFR]),"Data RFR manquantes", IF(X548&lt;=INDEX(TabRFR[[2021]:[2025]],MATCH(BD!W548&amp;"-Très modestes",TabRFR[Recherche RFR],0),MATCH(TEXT(YEAR(BD!I548),"Standard"),TabRFR[[#Headers],[2021]:[2025]],0)),"Très Modeste",IF(X548&lt;=INDEX(TabRFR[[2021]:[2025]],MATCH(BD!W548&amp;"-modestes",TabRFR[Recherche RFR],0),MATCH(TEXT(YEAR(BD!I548),"Standard"),TabRFR[[#Headers],[2021]:[2025]],0)),"Modeste",IF(X548&lt;=INDEX(TabRFR[[2021]:[2025]],MATCH(BD!W548&amp;"-Intermédiaire",TabRFR[Recherche RFR],0),MATCH(TEXT(YEAR(BD!I548),"Standard"),TabRFR[[#Headers],[2021]:[2025]],0)),"Intermédiaire","Supérieur")))))))</f>
        <v>Data RFR manquantes</v>
      </c>
      <c r="Z548" s="77"/>
      <c r="AA548" s="77" t="s">
        <v>3680</v>
      </c>
      <c r="AB548" s="77">
        <v>38850</v>
      </c>
      <c r="AC548" s="77" t="s">
        <v>438</v>
      </c>
      <c r="AD548" s="78"/>
      <c r="AE548" s="102"/>
      <c r="AF548" s="77" t="s">
        <v>95</v>
      </c>
      <c r="AG548" s="77"/>
      <c r="AH548" s="77"/>
      <c r="AI548" s="77"/>
      <c r="AJ548" s="77"/>
      <c r="AK548" s="77"/>
      <c r="AL548" s="77"/>
      <c r="AM548" s="77" t="s">
        <v>4383</v>
      </c>
      <c r="AN548" s="77" t="s">
        <v>451</v>
      </c>
      <c r="AO548" s="77" t="s">
        <v>1250</v>
      </c>
      <c r="AP548" s="77" t="s">
        <v>97</v>
      </c>
      <c r="AQ548" s="77"/>
      <c r="AR548" s="79" t="s">
        <v>3730</v>
      </c>
      <c r="AS548" s="102" t="s">
        <v>3681</v>
      </c>
      <c r="AT548" s="78" t="s">
        <v>3682</v>
      </c>
      <c r="AU548" s="77" t="s">
        <v>111</v>
      </c>
      <c r="AV548" s="77">
        <v>1990</v>
      </c>
      <c r="AW548" s="77" t="s">
        <v>111</v>
      </c>
      <c r="AX548" s="75" t="s">
        <v>2071</v>
      </c>
      <c r="AY548" s="77" t="s">
        <v>3731</v>
      </c>
      <c r="AZ548" s="77" t="s">
        <v>3732</v>
      </c>
      <c r="BA548" s="77">
        <v>24.8</v>
      </c>
      <c r="BB548" s="77">
        <v>13.5</v>
      </c>
      <c r="BC548" s="77">
        <v>89.4</v>
      </c>
      <c r="BD548" s="77">
        <v>1.4E-2</v>
      </c>
      <c r="BE548" s="77" t="s">
        <v>374</v>
      </c>
      <c r="BF548" s="77"/>
      <c r="BG548" s="77">
        <v>5725</v>
      </c>
      <c r="BH548" s="77"/>
      <c r="BI548" s="77"/>
      <c r="BJ548" s="77"/>
      <c r="BK548" s="77">
        <v>750</v>
      </c>
      <c r="BL548" s="75">
        <f t="shared" si="24"/>
        <v>6475</v>
      </c>
      <c r="BM548" s="103">
        <f t="shared" si="25"/>
        <v>356.125</v>
      </c>
      <c r="BN548" s="103">
        <f t="shared" si="26"/>
        <v>6831.125</v>
      </c>
      <c r="BO548" s="80">
        <v>6832.01</v>
      </c>
      <c r="BP548" s="77" t="s">
        <v>104</v>
      </c>
      <c r="BQ548" s="77"/>
      <c r="BR548" s="77"/>
      <c r="BS548" s="157">
        <v>2019</v>
      </c>
      <c r="BU548">
        <v>2019</v>
      </c>
    </row>
    <row r="549" spans="1:73" ht="43.15" customHeight="1" x14ac:dyDescent="0.25">
      <c r="A549" s="241" t="s">
        <v>90</v>
      </c>
      <c r="B549" s="241" t="s">
        <v>3192</v>
      </c>
      <c r="C549" s="163">
        <v>800</v>
      </c>
      <c r="D549" s="76">
        <v>43662</v>
      </c>
      <c r="E549" s="76" t="s">
        <v>3716</v>
      </c>
      <c r="F549" s="76"/>
      <c r="G549" s="76"/>
      <c r="H549" s="76">
        <v>43691</v>
      </c>
      <c r="I549" s="76">
        <v>43691</v>
      </c>
      <c r="J549" s="76">
        <v>43703</v>
      </c>
      <c r="K549" s="218"/>
      <c r="L549" s="76"/>
      <c r="M549" s="76">
        <v>43734</v>
      </c>
      <c r="N549" s="76" t="s">
        <v>9</v>
      </c>
      <c r="O549" s="76">
        <v>43761</v>
      </c>
      <c r="P549" s="76">
        <v>43761</v>
      </c>
      <c r="Q549" s="76">
        <v>43761</v>
      </c>
      <c r="R549" s="82"/>
      <c r="S549" s="76"/>
      <c r="T549" s="77"/>
      <c r="U549" s="77"/>
      <c r="V549" s="77"/>
      <c r="W549" s="77">
        <v>1</v>
      </c>
      <c r="X549" s="77">
        <v>25</v>
      </c>
      <c r="Y549" s="75" t="str">
        <f ca="1">IF(I549="",IF(D549="","",IF(W549+X549&lt;15,"Données Nb pers ou RFR manquantes",IF(COUNTA(INDIRECT("TabRFR["&amp;YEAR(D549)&amp;"]"))&lt;&gt;COUNTA(TabRFR[Recherche RFR]),"Data RFR manquantes", IF(X549&lt;=INDEX(TabRFR[[2021]:[2025]],MATCH(BD!W549&amp;"-Très modestes",TabRFR[Recherche RFR],0),MATCH(TEXT(YEAR(BD!D549),"Standard"),TabRFR[[#Headers],[2021]:[2025]],0)),"Très Modeste",IF(X549&lt;=INDEX(TabRFR[[2021]:[2025]],MATCH(BD!W549&amp;"-modestes",TabRFR[Recherche RFR],0),MATCH(TEXT(YEAR(BD!D549),"Standard"),TabRFR[[#Headers],[2021]:[2025]],0)),"Modeste",IF(X549&lt;=INDEX(TabRFR[[2021]:[2025]],MATCH(BD!W549&amp;"-Intermédiaire",TabRFR[Recherche RFR],0),MATCH(TEXT(YEAR(BD!D549),"Standard"),TabRFR[[#Headers],[2021]:[2025]],0)),"Intermédiaire","Supérieur")))))),IF(D549="","",IF(W549+X549&lt;15,"Données Nb pers ou RFR manquantes",IF(COUNTA(INDIRECT("TabRFR["&amp;YEAR(I549)&amp;"]"))&lt;&gt;COUNTA(TabRFR[Recherche RFR]),"Data RFR manquantes", IF(X549&lt;=INDEX(TabRFR[[2021]:[2025]],MATCH(BD!W549&amp;"-Très modestes",TabRFR[Recherche RFR],0),MATCH(TEXT(YEAR(BD!I549),"Standard"),TabRFR[[#Headers],[2021]:[2025]],0)),"Très Modeste",IF(X549&lt;=INDEX(TabRFR[[2021]:[2025]],MATCH(BD!W549&amp;"-modestes",TabRFR[Recherche RFR],0),MATCH(TEXT(YEAR(BD!I549),"Standard"),TabRFR[[#Headers],[2021]:[2025]],0)),"Modeste",IF(X549&lt;=INDEX(TabRFR[[2021]:[2025]],MATCH(BD!W549&amp;"-Intermédiaire",TabRFR[Recherche RFR],0),MATCH(TEXT(YEAR(BD!I549),"Standard"),TabRFR[[#Headers],[2021]:[2025]],0)),"Intermédiaire","Supérieur")))))))</f>
        <v>Data RFR manquantes</v>
      </c>
      <c r="Z549" s="77"/>
      <c r="AA549" s="77" t="s">
        <v>3696</v>
      </c>
      <c r="AB549" s="77">
        <v>38430</v>
      </c>
      <c r="AC549" s="77" t="s">
        <v>217</v>
      </c>
      <c r="AD549" s="78"/>
      <c r="AE549" s="102"/>
      <c r="AF549" s="77" t="s">
        <v>95</v>
      </c>
      <c r="AG549" s="77"/>
      <c r="AH549" s="77"/>
      <c r="AI549" s="77"/>
      <c r="AJ549" s="77"/>
      <c r="AK549" s="77"/>
      <c r="AL549" s="77"/>
      <c r="AM549" s="77" t="s">
        <v>218</v>
      </c>
      <c r="AN549" s="77" t="s">
        <v>217</v>
      </c>
      <c r="AO549" s="77" t="s">
        <v>219</v>
      </c>
      <c r="AP549" s="77" t="s">
        <v>97</v>
      </c>
      <c r="AQ549" s="77"/>
      <c r="AR549" s="79">
        <v>43764</v>
      </c>
      <c r="AS549" s="102" t="s">
        <v>220</v>
      </c>
      <c r="AT549" s="78" t="s">
        <v>620</v>
      </c>
      <c r="AU549" s="77" t="s">
        <v>430</v>
      </c>
      <c r="AV549" s="77">
        <v>1983</v>
      </c>
      <c r="AW549" s="77" t="s">
        <v>111</v>
      </c>
      <c r="AX549" s="77" t="s">
        <v>112</v>
      </c>
      <c r="AY549" s="77" t="s">
        <v>121</v>
      </c>
      <c r="AZ549" s="77" t="s">
        <v>3662</v>
      </c>
      <c r="BA549" s="77">
        <v>26</v>
      </c>
      <c r="BB549" s="77">
        <v>8</v>
      </c>
      <c r="BC549" s="77">
        <v>81</v>
      </c>
      <c r="BD549" s="77">
        <v>7.0000000000000007E-2</v>
      </c>
      <c r="BE549" s="77" t="s">
        <v>97</v>
      </c>
      <c r="BF549" s="77"/>
      <c r="BG549" s="77">
        <v>3598</v>
      </c>
      <c r="BH549" s="77"/>
      <c r="BI549" s="77"/>
      <c r="BJ549" s="77"/>
      <c r="BK549" s="77">
        <v>1432</v>
      </c>
      <c r="BL549" s="75">
        <f t="shared" si="24"/>
        <v>5030</v>
      </c>
      <c r="BM549" s="103">
        <f t="shared" si="25"/>
        <v>276.64999999999998</v>
      </c>
      <c r="BN549" s="103">
        <f t="shared" si="26"/>
        <v>5306.65</v>
      </c>
      <c r="BO549" s="80">
        <v>5233.2</v>
      </c>
      <c r="BP549" s="77" t="s">
        <v>97</v>
      </c>
      <c r="BQ549" s="77"/>
      <c r="BR549" s="77"/>
      <c r="BS549" s="157">
        <v>2019</v>
      </c>
      <c r="BT549" s="235">
        <v>43770</v>
      </c>
      <c r="BU549">
        <v>2019</v>
      </c>
    </row>
    <row r="550" spans="1:73" ht="43.15" customHeight="1" x14ac:dyDescent="0.25">
      <c r="A550" s="241" t="s">
        <v>90</v>
      </c>
      <c r="B550" s="241" t="s">
        <v>3191</v>
      </c>
      <c r="C550" s="163">
        <v>400</v>
      </c>
      <c r="D550" s="76">
        <v>43663</v>
      </c>
      <c r="E550" s="76">
        <v>43664</v>
      </c>
      <c r="F550" s="76"/>
      <c r="G550" s="76"/>
      <c r="H550" s="76">
        <v>43691</v>
      </c>
      <c r="I550" s="76">
        <v>43691</v>
      </c>
      <c r="J550" s="76">
        <v>43703</v>
      </c>
      <c r="K550" s="218"/>
      <c r="L550" s="76">
        <v>43749</v>
      </c>
      <c r="M550" s="76">
        <v>43745</v>
      </c>
      <c r="N550" s="76" t="s">
        <v>9</v>
      </c>
      <c r="O550" s="76">
        <v>43761</v>
      </c>
      <c r="P550" s="76">
        <v>43761</v>
      </c>
      <c r="Q550" s="76">
        <v>43761</v>
      </c>
      <c r="R550" s="82"/>
      <c r="S550" s="76"/>
      <c r="T550" s="77"/>
      <c r="U550" s="77"/>
      <c r="V550" s="77"/>
      <c r="W550" s="190">
        <v>4</v>
      </c>
      <c r="X550" s="191">
        <v>57853</v>
      </c>
      <c r="Y550" s="75" t="str">
        <f ca="1">IF(I550="",IF(D550="","",IF(W550+X550&lt;15,"Données Nb pers ou RFR manquantes",IF(COUNTA(INDIRECT("TabRFR["&amp;YEAR(D550)&amp;"]"))&lt;&gt;COUNTA(TabRFR[Recherche RFR]),"Data RFR manquantes", IF(X550&lt;=INDEX(TabRFR[[2021]:[2025]],MATCH(BD!W550&amp;"-Très modestes",TabRFR[Recherche RFR],0),MATCH(TEXT(YEAR(BD!D550),"Standard"),TabRFR[[#Headers],[2021]:[2025]],0)),"Très Modeste",IF(X550&lt;=INDEX(TabRFR[[2021]:[2025]],MATCH(BD!W550&amp;"-modestes",TabRFR[Recherche RFR],0),MATCH(TEXT(YEAR(BD!D550),"Standard"),TabRFR[[#Headers],[2021]:[2025]],0)),"Modeste",IF(X550&lt;=INDEX(TabRFR[[2021]:[2025]],MATCH(BD!W550&amp;"-Intermédiaire",TabRFR[Recherche RFR],0),MATCH(TEXT(YEAR(BD!D550),"Standard"),TabRFR[[#Headers],[2021]:[2025]],0)),"Intermédiaire","Supérieur")))))),IF(D550="","",IF(W550+X550&lt;15,"Données Nb pers ou RFR manquantes",IF(COUNTA(INDIRECT("TabRFR["&amp;YEAR(I550)&amp;"]"))&lt;&gt;COUNTA(TabRFR[Recherche RFR]),"Data RFR manquantes", IF(X550&lt;=INDEX(TabRFR[[2021]:[2025]],MATCH(BD!W550&amp;"-Très modestes",TabRFR[Recherche RFR],0),MATCH(TEXT(YEAR(BD!I550),"Standard"),TabRFR[[#Headers],[2021]:[2025]],0)),"Très Modeste",IF(X550&lt;=INDEX(TabRFR[[2021]:[2025]],MATCH(BD!W550&amp;"-modestes",TabRFR[Recherche RFR],0),MATCH(TEXT(YEAR(BD!I550),"Standard"),TabRFR[[#Headers],[2021]:[2025]],0)),"Modeste",IF(X550&lt;=INDEX(TabRFR[[2021]:[2025]],MATCH(BD!W550&amp;"-Intermédiaire",TabRFR[Recherche RFR],0),MATCH(TEXT(YEAR(BD!I550),"Standard"),TabRFR[[#Headers],[2021]:[2025]],0)),"Intermédiaire","Supérieur")))))))</f>
        <v>Data RFR manquantes</v>
      </c>
      <c r="Z550" s="189"/>
      <c r="AA550" s="77" t="s">
        <v>1184</v>
      </c>
      <c r="AB550" s="77">
        <v>38850</v>
      </c>
      <c r="AC550" s="77" t="s">
        <v>438</v>
      </c>
      <c r="AD550" s="78"/>
      <c r="AE550" s="102"/>
      <c r="AF550" s="77" t="s">
        <v>95</v>
      </c>
      <c r="AG550" s="77"/>
      <c r="AH550" s="77"/>
      <c r="AI550" s="77"/>
      <c r="AJ550" s="77"/>
      <c r="AK550" s="77"/>
      <c r="AL550" s="77"/>
      <c r="AM550" s="77" t="s">
        <v>4356</v>
      </c>
      <c r="AN550" s="77" t="s">
        <v>96</v>
      </c>
      <c r="AO550" s="77" t="s">
        <v>119</v>
      </c>
      <c r="AP550" s="75" t="s">
        <v>97</v>
      </c>
      <c r="AQ550" s="75"/>
      <c r="AR550" s="131">
        <v>43772</v>
      </c>
      <c r="AS550" s="102" t="s">
        <v>120</v>
      </c>
      <c r="AT550" s="73" t="s">
        <v>658</v>
      </c>
      <c r="AU550" s="77" t="s">
        <v>111</v>
      </c>
      <c r="AV550" s="77">
        <v>1990</v>
      </c>
      <c r="AW550" s="77" t="s">
        <v>100</v>
      </c>
      <c r="AX550" s="77" t="s">
        <v>112</v>
      </c>
      <c r="AY550" s="77" t="s">
        <v>121</v>
      </c>
      <c r="AZ550" s="77" t="s">
        <v>1479</v>
      </c>
      <c r="BA550" s="77">
        <v>22</v>
      </c>
      <c r="BB550" s="77">
        <v>7</v>
      </c>
      <c r="BC550" s="77">
        <v>80</v>
      </c>
      <c r="BD550" s="77">
        <v>0.08</v>
      </c>
      <c r="BE550" s="77" t="s">
        <v>97</v>
      </c>
      <c r="BF550" s="77"/>
      <c r="BG550" s="77">
        <v>2753</v>
      </c>
      <c r="BH550" s="77"/>
      <c r="BI550" s="77"/>
      <c r="BJ550" s="77"/>
      <c r="BK550" s="77">
        <v>350</v>
      </c>
      <c r="BL550" s="75">
        <f t="shared" si="24"/>
        <v>3103</v>
      </c>
      <c r="BM550" s="103">
        <f t="shared" si="25"/>
        <v>170.66499999999999</v>
      </c>
      <c r="BN550" s="103">
        <f t="shared" si="26"/>
        <v>3273.665</v>
      </c>
      <c r="BO550" s="80">
        <v>3265.06</v>
      </c>
      <c r="BP550" s="77"/>
      <c r="BQ550" s="77"/>
      <c r="BR550" s="77"/>
      <c r="BS550" s="157">
        <v>2019</v>
      </c>
      <c r="BT550" s="235">
        <v>43770</v>
      </c>
      <c r="BU550">
        <v>2019</v>
      </c>
    </row>
    <row r="551" spans="1:73" ht="57" customHeight="1" x14ac:dyDescent="0.25">
      <c r="A551" s="241" t="s">
        <v>90</v>
      </c>
      <c r="B551" s="241" t="s">
        <v>3190</v>
      </c>
      <c r="C551" s="163">
        <v>400</v>
      </c>
      <c r="D551" s="76">
        <v>43663</v>
      </c>
      <c r="E551" s="76">
        <v>43664</v>
      </c>
      <c r="F551" s="76">
        <v>43691</v>
      </c>
      <c r="G551" s="76" t="s">
        <v>3877</v>
      </c>
      <c r="H551" s="76">
        <v>43752</v>
      </c>
      <c r="I551" s="76">
        <v>43794</v>
      </c>
      <c r="J551" s="76">
        <v>43794</v>
      </c>
      <c r="K551" s="218"/>
      <c r="L551" s="76">
        <v>43857</v>
      </c>
      <c r="M551" s="76">
        <v>43804</v>
      </c>
      <c r="N551" s="76" t="s">
        <v>4001</v>
      </c>
      <c r="O551" s="76">
        <v>43858</v>
      </c>
      <c r="P551" s="76">
        <v>43858</v>
      </c>
      <c r="Q551" s="76">
        <v>43868</v>
      </c>
      <c r="R551" s="82"/>
      <c r="S551" s="76"/>
      <c r="T551" s="77"/>
      <c r="U551" s="77"/>
      <c r="V551" s="77"/>
      <c r="W551" s="77">
        <v>3</v>
      </c>
      <c r="X551" s="77">
        <v>111885</v>
      </c>
      <c r="Y551" s="75" t="str">
        <f ca="1">IF(I551="",IF(D551="","",IF(W551+X551&lt;15,"Données Nb pers ou RFR manquantes",IF(COUNTA(INDIRECT("TabRFR["&amp;YEAR(D551)&amp;"]"))&lt;&gt;COUNTA(TabRFR[Recherche RFR]),"Data RFR manquantes", IF(X551&lt;=INDEX(TabRFR[[2021]:[2025]],MATCH(BD!W551&amp;"-Très modestes",TabRFR[Recherche RFR],0),MATCH(TEXT(YEAR(BD!D551),"Standard"),TabRFR[[#Headers],[2021]:[2025]],0)),"Très Modeste",IF(X551&lt;=INDEX(TabRFR[[2021]:[2025]],MATCH(BD!W551&amp;"-modestes",TabRFR[Recherche RFR],0),MATCH(TEXT(YEAR(BD!D551),"Standard"),TabRFR[[#Headers],[2021]:[2025]],0)),"Modeste",IF(X551&lt;=INDEX(TabRFR[[2021]:[2025]],MATCH(BD!W551&amp;"-Intermédiaire",TabRFR[Recherche RFR],0),MATCH(TEXT(YEAR(BD!D551),"Standard"),TabRFR[[#Headers],[2021]:[2025]],0)),"Intermédiaire","Supérieur")))))),IF(D551="","",IF(W551+X551&lt;15,"Données Nb pers ou RFR manquantes",IF(COUNTA(INDIRECT("TabRFR["&amp;YEAR(I551)&amp;"]"))&lt;&gt;COUNTA(TabRFR[Recherche RFR]),"Data RFR manquantes", IF(X551&lt;=INDEX(TabRFR[[2021]:[2025]],MATCH(BD!W551&amp;"-Très modestes",TabRFR[Recherche RFR],0),MATCH(TEXT(YEAR(BD!I551),"Standard"),TabRFR[[#Headers],[2021]:[2025]],0)),"Très Modeste",IF(X551&lt;=INDEX(TabRFR[[2021]:[2025]],MATCH(BD!W551&amp;"-modestes",TabRFR[Recherche RFR],0),MATCH(TEXT(YEAR(BD!I551),"Standard"),TabRFR[[#Headers],[2021]:[2025]],0)),"Modeste",IF(X551&lt;=INDEX(TabRFR[[2021]:[2025]],MATCH(BD!W551&amp;"-Intermédiaire",TabRFR[Recherche RFR],0),MATCH(TEXT(YEAR(BD!I551),"Standard"),TabRFR[[#Headers],[2021]:[2025]],0)),"Intermédiaire","Supérieur")))))))</f>
        <v>Data RFR manquantes</v>
      </c>
      <c r="Z551" s="77"/>
      <c r="AA551" s="77" t="s">
        <v>3697</v>
      </c>
      <c r="AB551" s="77">
        <v>38340</v>
      </c>
      <c r="AC551" s="77" t="s">
        <v>108</v>
      </c>
      <c r="AD551" s="78"/>
      <c r="AE551" s="102"/>
      <c r="AF551" s="77" t="s">
        <v>95</v>
      </c>
      <c r="AG551" s="77"/>
      <c r="AH551" s="77"/>
      <c r="AI551" s="77"/>
      <c r="AJ551" s="77"/>
      <c r="AK551" s="77"/>
      <c r="AL551" s="77"/>
      <c r="AM551" s="77" t="s">
        <v>350</v>
      </c>
      <c r="AN551" s="77" t="s">
        <v>451</v>
      </c>
      <c r="AO551" s="77" t="s">
        <v>3717</v>
      </c>
      <c r="AP551" s="77" t="s">
        <v>97</v>
      </c>
      <c r="AQ551" s="77"/>
      <c r="AR551" s="79">
        <v>43938</v>
      </c>
      <c r="AS551" s="102" t="s">
        <v>352</v>
      </c>
      <c r="AT551" s="78" t="s">
        <v>3718</v>
      </c>
      <c r="AU551" s="77" t="s">
        <v>430</v>
      </c>
      <c r="AV551" s="77">
        <v>1979</v>
      </c>
      <c r="AW551" s="77" t="s">
        <v>100</v>
      </c>
      <c r="AX551" s="77" t="s">
        <v>112</v>
      </c>
      <c r="AY551" s="77" t="s">
        <v>251</v>
      </c>
      <c r="AZ551" s="77" t="s">
        <v>3719</v>
      </c>
      <c r="BA551" s="77">
        <v>14</v>
      </c>
      <c r="BB551" s="77">
        <v>7.9</v>
      </c>
      <c r="BC551" s="77">
        <v>77</v>
      </c>
      <c r="BD551" s="77">
        <v>7.0000000000000007E-2</v>
      </c>
      <c r="BE551" s="77" t="s">
        <v>97</v>
      </c>
      <c r="BF551" s="77"/>
      <c r="BG551" s="77">
        <v>3715</v>
      </c>
      <c r="BH551" s="77"/>
      <c r="BI551" s="77"/>
      <c r="BJ551" s="77"/>
      <c r="BK551" s="77">
        <v>550</v>
      </c>
      <c r="BL551" s="75">
        <f t="shared" si="24"/>
        <v>4265</v>
      </c>
      <c r="BM551" s="103">
        <f t="shared" si="25"/>
        <v>234.57499999999999</v>
      </c>
      <c r="BN551" s="103">
        <f t="shared" si="26"/>
        <v>4499.5749999999998</v>
      </c>
      <c r="BO551" s="80">
        <v>4615</v>
      </c>
      <c r="BP551" s="77" t="s">
        <v>97</v>
      </c>
      <c r="BQ551" s="77"/>
      <c r="BR551" s="77"/>
      <c r="BS551" s="157">
        <v>2019</v>
      </c>
      <c r="BT551" s="235">
        <v>43770</v>
      </c>
      <c r="BU551">
        <v>2019</v>
      </c>
    </row>
    <row r="552" spans="1:73" ht="43.15" customHeight="1" x14ac:dyDescent="0.25">
      <c r="A552" s="241" t="s">
        <v>90</v>
      </c>
      <c r="B552" s="241" t="s">
        <v>3189</v>
      </c>
      <c r="C552" s="163">
        <v>400</v>
      </c>
      <c r="D552" s="76">
        <v>43668</v>
      </c>
      <c r="E552" s="76">
        <v>43671</v>
      </c>
      <c r="F552" s="76"/>
      <c r="G552" s="76"/>
      <c r="H552" s="76">
        <v>43691</v>
      </c>
      <c r="I552" s="76">
        <v>43691</v>
      </c>
      <c r="J552" s="76">
        <v>43703</v>
      </c>
      <c r="K552" s="218"/>
      <c r="L552" s="76">
        <v>43784</v>
      </c>
      <c r="M552" s="76">
        <v>43756</v>
      </c>
      <c r="N552" s="76" t="s">
        <v>9</v>
      </c>
      <c r="O552" s="76">
        <v>43787</v>
      </c>
      <c r="P552" s="76">
        <v>43787</v>
      </c>
      <c r="Q552" s="76">
        <v>43787</v>
      </c>
      <c r="R552" s="82"/>
      <c r="S552" s="76"/>
      <c r="T552" s="77"/>
      <c r="U552" s="77"/>
      <c r="V552" s="77"/>
      <c r="W552" s="77">
        <v>4</v>
      </c>
      <c r="X552" s="77">
        <v>60957</v>
      </c>
      <c r="Y552" s="75" t="str">
        <f ca="1">IF(I552="",IF(D552="","",IF(W552+X552&lt;15,"Données Nb pers ou RFR manquantes",IF(COUNTA(INDIRECT("TabRFR["&amp;YEAR(D552)&amp;"]"))&lt;&gt;COUNTA(TabRFR[Recherche RFR]),"Data RFR manquantes", IF(X552&lt;=INDEX(TabRFR[[2021]:[2025]],MATCH(BD!W552&amp;"-Très modestes",TabRFR[Recherche RFR],0),MATCH(TEXT(YEAR(BD!D552),"Standard"),TabRFR[[#Headers],[2021]:[2025]],0)),"Très Modeste",IF(X552&lt;=INDEX(TabRFR[[2021]:[2025]],MATCH(BD!W552&amp;"-modestes",TabRFR[Recherche RFR],0),MATCH(TEXT(YEAR(BD!D552),"Standard"),TabRFR[[#Headers],[2021]:[2025]],0)),"Modeste",IF(X552&lt;=INDEX(TabRFR[[2021]:[2025]],MATCH(BD!W552&amp;"-Intermédiaire",TabRFR[Recherche RFR],0),MATCH(TEXT(YEAR(BD!D552),"Standard"),TabRFR[[#Headers],[2021]:[2025]],0)),"Intermédiaire","Supérieur")))))),IF(D552="","",IF(W552+X552&lt;15,"Données Nb pers ou RFR manquantes",IF(COUNTA(INDIRECT("TabRFR["&amp;YEAR(I552)&amp;"]"))&lt;&gt;COUNTA(TabRFR[Recherche RFR]),"Data RFR manquantes", IF(X552&lt;=INDEX(TabRFR[[2021]:[2025]],MATCH(BD!W552&amp;"-Très modestes",TabRFR[Recherche RFR],0),MATCH(TEXT(YEAR(BD!I552),"Standard"),TabRFR[[#Headers],[2021]:[2025]],0)),"Très Modeste",IF(X552&lt;=INDEX(TabRFR[[2021]:[2025]],MATCH(BD!W552&amp;"-modestes",TabRFR[Recherche RFR],0),MATCH(TEXT(YEAR(BD!I552),"Standard"),TabRFR[[#Headers],[2021]:[2025]],0)),"Modeste",IF(X552&lt;=INDEX(TabRFR[[2021]:[2025]],MATCH(BD!W552&amp;"-Intermédiaire",TabRFR[Recherche RFR],0),MATCH(TEXT(YEAR(BD!I552),"Standard"),TabRFR[[#Headers],[2021]:[2025]],0)),"Intermédiaire","Supérieur")))))))</f>
        <v>Data RFR manquantes</v>
      </c>
      <c r="Z552" s="77"/>
      <c r="AA552" s="77" t="s">
        <v>1224</v>
      </c>
      <c r="AB552" s="77">
        <v>38340</v>
      </c>
      <c r="AC552" s="77" t="s">
        <v>108</v>
      </c>
      <c r="AD552" s="78"/>
      <c r="AE552" s="102"/>
      <c r="AF552" s="77" t="s">
        <v>95</v>
      </c>
      <c r="AG552" s="77"/>
      <c r="AH552" s="77"/>
      <c r="AI552" s="77"/>
      <c r="AJ552" s="77"/>
      <c r="AK552" s="77"/>
      <c r="AL552" s="77"/>
      <c r="AM552" s="77" t="s">
        <v>4359</v>
      </c>
      <c r="AN552" s="77" t="s">
        <v>829</v>
      </c>
      <c r="AO552" s="77" t="s">
        <v>3720</v>
      </c>
      <c r="AP552" s="77" t="s">
        <v>97</v>
      </c>
      <c r="AQ552" s="77"/>
      <c r="AR552" s="79">
        <v>43722</v>
      </c>
      <c r="AS552" s="102" t="s">
        <v>491</v>
      </c>
      <c r="AT552" s="78" t="s">
        <v>3208</v>
      </c>
      <c r="AU552" s="137" t="s">
        <v>491</v>
      </c>
      <c r="AV552" s="78" t="s">
        <v>3208</v>
      </c>
      <c r="AW552" s="77" t="s">
        <v>100</v>
      </c>
      <c r="AX552" s="77" t="s">
        <v>112</v>
      </c>
      <c r="AY552" s="77" t="s">
        <v>492</v>
      </c>
      <c r="AZ552" s="77" t="s">
        <v>1519</v>
      </c>
      <c r="BA552" s="75">
        <v>16</v>
      </c>
      <c r="BB552" s="75">
        <v>6</v>
      </c>
      <c r="BC552" s="75">
        <v>81</v>
      </c>
      <c r="BD552" s="75">
        <v>6.5000000000000002E-2</v>
      </c>
      <c r="BE552" s="75" t="s">
        <v>97</v>
      </c>
      <c r="BF552" s="77"/>
      <c r="BG552" s="77">
        <v>4149</v>
      </c>
      <c r="BH552" s="77"/>
      <c r="BI552" s="77"/>
      <c r="BJ552" s="77"/>
      <c r="BK552" s="77">
        <v>800</v>
      </c>
      <c r="BL552" s="75">
        <f t="shared" si="24"/>
        <v>4949</v>
      </c>
      <c r="BM552" s="103">
        <f t="shared" si="25"/>
        <v>272.19499999999999</v>
      </c>
      <c r="BN552" s="103">
        <f t="shared" si="26"/>
        <v>5221.1949999999997</v>
      </c>
      <c r="BO552" s="80">
        <v>4509.5200000000004</v>
      </c>
      <c r="BP552" s="77" t="s">
        <v>104</v>
      </c>
      <c r="BQ552" s="77"/>
      <c r="BR552" s="77"/>
      <c r="BS552" s="157">
        <v>2019</v>
      </c>
      <c r="BT552" s="235">
        <v>43770</v>
      </c>
      <c r="BU552">
        <v>2019</v>
      </c>
    </row>
    <row r="553" spans="1:73" ht="43.15" customHeight="1" x14ac:dyDescent="0.25">
      <c r="A553" s="241" t="s">
        <v>90</v>
      </c>
      <c r="B553" s="241" t="s">
        <v>3188</v>
      </c>
      <c r="C553" s="163">
        <v>800</v>
      </c>
      <c r="D553" s="76">
        <v>43669</v>
      </c>
      <c r="E553" s="76">
        <v>43691</v>
      </c>
      <c r="F553" s="76"/>
      <c r="G553" s="76"/>
      <c r="H553" s="76">
        <v>43691</v>
      </c>
      <c r="I553" s="76">
        <v>43691</v>
      </c>
      <c r="J553" s="76">
        <v>43703</v>
      </c>
      <c r="K553" s="218"/>
      <c r="L553" s="76">
        <v>43742</v>
      </c>
      <c r="M553" s="76">
        <v>43705</v>
      </c>
      <c r="N553" s="76" t="s">
        <v>9</v>
      </c>
      <c r="O553" s="76">
        <v>43761</v>
      </c>
      <c r="P553" s="76">
        <v>43761</v>
      </c>
      <c r="Q553" s="76">
        <v>43761</v>
      </c>
      <c r="R553" s="82"/>
      <c r="S553" s="76"/>
      <c r="T553" s="77"/>
      <c r="U553" s="77"/>
      <c r="V553" s="77"/>
      <c r="W553" s="77">
        <v>1</v>
      </c>
      <c r="X553" s="77">
        <v>18122</v>
      </c>
      <c r="Y553" s="75" t="str">
        <f ca="1">IF(I553="",IF(D553="","",IF(W553+X553&lt;15,"Données Nb pers ou RFR manquantes",IF(COUNTA(INDIRECT("TabRFR["&amp;YEAR(D553)&amp;"]"))&lt;&gt;COUNTA(TabRFR[Recherche RFR]),"Data RFR manquantes", IF(X553&lt;=INDEX(TabRFR[[2021]:[2025]],MATCH(BD!W553&amp;"-Très modestes",TabRFR[Recherche RFR],0),MATCH(TEXT(YEAR(BD!D553),"Standard"),TabRFR[[#Headers],[2021]:[2025]],0)),"Très Modeste",IF(X553&lt;=INDEX(TabRFR[[2021]:[2025]],MATCH(BD!W553&amp;"-modestes",TabRFR[Recherche RFR],0),MATCH(TEXT(YEAR(BD!D553),"Standard"),TabRFR[[#Headers],[2021]:[2025]],0)),"Modeste",IF(X553&lt;=INDEX(TabRFR[[2021]:[2025]],MATCH(BD!W553&amp;"-Intermédiaire",TabRFR[Recherche RFR],0),MATCH(TEXT(YEAR(BD!D553),"Standard"),TabRFR[[#Headers],[2021]:[2025]],0)),"Intermédiaire","Supérieur")))))),IF(D553="","",IF(W553+X553&lt;15,"Données Nb pers ou RFR manquantes",IF(COUNTA(INDIRECT("TabRFR["&amp;YEAR(I553)&amp;"]"))&lt;&gt;COUNTA(TabRFR[Recherche RFR]),"Data RFR manquantes", IF(X553&lt;=INDEX(TabRFR[[2021]:[2025]],MATCH(BD!W553&amp;"-Très modestes",TabRFR[Recherche RFR],0),MATCH(TEXT(YEAR(BD!I553),"Standard"),TabRFR[[#Headers],[2021]:[2025]],0)),"Très Modeste",IF(X553&lt;=INDEX(TabRFR[[2021]:[2025]],MATCH(BD!W553&amp;"-modestes",TabRFR[Recherche RFR],0),MATCH(TEXT(YEAR(BD!I553),"Standard"),TabRFR[[#Headers],[2021]:[2025]],0)),"Modeste",IF(X553&lt;=INDEX(TabRFR[[2021]:[2025]],MATCH(BD!W553&amp;"-Intermédiaire",TabRFR[Recherche RFR],0),MATCH(TEXT(YEAR(BD!I553),"Standard"),TabRFR[[#Headers],[2021]:[2025]],0)),"Intermédiaire","Supérieur")))))))</f>
        <v>Data RFR manquantes</v>
      </c>
      <c r="Z553" s="77"/>
      <c r="AA553" s="77" t="s">
        <v>3367</v>
      </c>
      <c r="AB553" s="77">
        <v>38490</v>
      </c>
      <c r="AC553" s="77" t="s">
        <v>1133</v>
      </c>
      <c r="AD553" s="78"/>
      <c r="AE553" s="102"/>
      <c r="AF553" s="77" t="s">
        <v>95</v>
      </c>
      <c r="AG553" s="77"/>
      <c r="AH553" s="77"/>
      <c r="AI553" s="77"/>
      <c r="AJ553" s="77"/>
      <c r="AK553" s="77"/>
      <c r="AL553" s="77"/>
      <c r="AM553" s="77" t="s">
        <v>4031</v>
      </c>
      <c r="AN553" s="77" t="s">
        <v>4109</v>
      </c>
      <c r="AO553" s="77" t="s">
        <v>155</v>
      </c>
      <c r="AP553" s="77" t="s">
        <v>97</v>
      </c>
      <c r="AQ553" s="77"/>
      <c r="AR553" s="79">
        <v>43903</v>
      </c>
      <c r="AS553" s="102" t="s">
        <v>156</v>
      </c>
      <c r="AT553" s="78" t="s">
        <v>3198</v>
      </c>
      <c r="AU553" s="77" t="s">
        <v>100</v>
      </c>
      <c r="AV553" s="77">
        <v>1982</v>
      </c>
      <c r="AW553" s="77" t="s">
        <v>100</v>
      </c>
      <c r="AX553" s="75" t="s">
        <v>2071</v>
      </c>
      <c r="AY553" s="77" t="s">
        <v>454</v>
      </c>
      <c r="AZ553" s="77" t="s">
        <v>3721</v>
      </c>
      <c r="BA553" s="77">
        <v>17</v>
      </c>
      <c r="BB553" s="77">
        <v>6.5</v>
      </c>
      <c r="BC553" s="77">
        <v>88.3</v>
      </c>
      <c r="BD553" s="77">
        <v>1.0999999999999999E-2</v>
      </c>
      <c r="BE553" s="77" t="s">
        <v>97</v>
      </c>
      <c r="BF553" s="77"/>
      <c r="BG553" s="77">
        <v>1521</v>
      </c>
      <c r="BH553" s="77"/>
      <c r="BI553" s="77"/>
      <c r="BJ553" s="77"/>
      <c r="BK553" s="77">
        <v>880</v>
      </c>
      <c r="BL553" s="75">
        <f t="shared" si="24"/>
        <v>2401</v>
      </c>
      <c r="BM553" s="103">
        <f t="shared" si="25"/>
        <v>132.05500000000001</v>
      </c>
      <c r="BN553" s="103">
        <f t="shared" si="26"/>
        <v>2533.0549999999998</v>
      </c>
      <c r="BO553" s="80">
        <v>3963.74</v>
      </c>
      <c r="BP553" s="77" t="s">
        <v>97</v>
      </c>
      <c r="BQ553" s="77"/>
      <c r="BR553" s="77"/>
      <c r="BS553" s="157">
        <v>2019</v>
      </c>
      <c r="BU553">
        <v>2019</v>
      </c>
    </row>
    <row r="554" spans="1:73" ht="43.15" customHeight="1" x14ac:dyDescent="0.25">
      <c r="A554" s="31" t="s">
        <v>90</v>
      </c>
      <c r="B554" s="31" t="s">
        <v>3187</v>
      </c>
      <c r="C554" s="163" t="s">
        <v>9</v>
      </c>
      <c r="D554" s="76">
        <v>43670</v>
      </c>
      <c r="E554" s="76"/>
      <c r="F554" s="76"/>
      <c r="G554" s="76"/>
      <c r="H554" s="76">
        <v>43691</v>
      </c>
      <c r="I554" s="76">
        <v>43691</v>
      </c>
      <c r="J554" s="76" t="s">
        <v>9</v>
      </c>
      <c r="K554" s="218"/>
      <c r="L554" s="76"/>
      <c r="M554" s="76"/>
      <c r="N554" s="76"/>
      <c r="O554" s="76"/>
      <c r="P554" s="76"/>
      <c r="Q554" s="76"/>
      <c r="R554" s="82"/>
      <c r="S554" s="76">
        <v>43721</v>
      </c>
      <c r="T554" s="77" t="s">
        <v>3725</v>
      </c>
      <c r="U554" s="77"/>
      <c r="V554" s="77"/>
      <c r="W554" s="77">
        <v>3</v>
      </c>
      <c r="X554" s="77">
        <v>13475</v>
      </c>
      <c r="Y554" s="75" t="str">
        <f ca="1">IF(I554="",IF(D554="","",IF(W554+X554&lt;15,"Données Nb pers ou RFR manquantes",IF(COUNTA(INDIRECT("TabRFR["&amp;YEAR(D554)&amp;"]"))&lt;&gt;COUNTA(TabRFR[Recherche RFR]),"Data RFR manquantes", IF(X554&lt;=INDEX(TabRFR[[2021]:[2025]],MATCH(BD!W554&amp;"-Très modestes",TabRFR[Recherche RFR],0),MATCH(TEXT(YEAR(BD!D554),"Standard"),TabRFR[[#Headers],[2021]:[2025]],0)),"Très Modeste",IF(X554&lt;=INDEX(TabRFR[[2021]:[2025]],MATCH(BD!W554&amp;"-modestes",TabRFR[Recherche RFR],0),MATCH(TEXT(YEAR(BD!D554),"Standard"),TabRFR[[#Headers],[2021]:[2025]],0)),"Modeste",IF(X554&lt;=INDEX(TabRFR[[2021]:[2025]],MATCH(BD!W554&amp;"-Intermédiaire",TabRFR[Recherche RFR],0),MATCH(TEXT(YEAR(BD!D554),"Standard"),TabRFR[[#Headers],[2021]:[2025]],0)),"Intermédiaire","Supérieur")))))),IF(D554="","",IF(W554+X554&lt;15,"Données Nb pers ou RFR manquantes",IF(COUNTA(INDIRECT("TabRFR["&amp;YEAR(I554)&amp;"]"))&lt;&gt;COUNTA(TabRFR[Recherche RFR]),"Data RFR manquantes", IF(X554&lt;=INDEX(TabRFR[[2021]:[2025]],MATCH(BD!W554&amp;"-Très modestes",TabRFR[Recherche RFR],0),MATCH(TEXT(YEAR(BD!I554),"Standard"),TabRFR[[#Headers],[2021]:[2025]],0)),"Très Modeste",IF(X554&lt;=INDEX(TabRFR[[2021]:[2025]],MATCH(BD!W554&amp;"-modestes",TabRFR[Recherche RFR],0),MATCH(TEXT(YEAR(BD!I554),"Standard"),TabRFR[[#Headers],[2021]:[2025]],0)),"Modeste",IF(X554&lt;=INDEX(TabRFR[[2021]:[2025]],MATCH(BD!W554&amp;"-Intermédiaire",TabRFR[Recherche RFR],0),MATCH(TEXT(YEAR(BD!I554),"Standard"),TabRFR[[#Headers],[2021]:[2025]],0)),"Intermédiaire","Supérieur")))))))</f>
        <v>Data RFR manquantes</v>
      </c>
      <c r="Z554" s="77"/>
      <c r="AA554" s="77" t="s">
        <v>3702</v>
      </c>
      <c r="AB554" s="77">
        <v>38380</v>
      </c>
      <c r="AC554" s="77" t="s">
        <v>3703</v>
      </c>
      <c r="AD554" s="78"/>
      <c r="AE554" s="102"/>
      <c r="AF554" s="77" t="s">
        <v>95</v>
      </c>
      <c r="AG554" s="77"/>
      <c r="AH554" s="77"/>
      <c r="AI554" s="77"/>
      <c r="AJ554" s="77"/>
      <c r="AK554" s="77"/>
      <c r="AL554" s="77"/>
      <c r="AM554" s="77" t="s">
        <v>4356</v>
      </c>
      <c r="AN554" s="77" t="s">
        <v>96</v>
      </c>
      <c r="AO554" s="77" t="s">
        <v>119</v>
      </c>
      <c r="AP554" s="75" t="s">
        <v>97</v>
      </c>
      <c r="AQ554" s="75"/>
      <c r="AR554" s="131">
        <v>43772</v>
      </c>
      <c r="AS554" s="102" t="s">
        <v>120</v>
      </c>
      <c r="AT554" s="73" t="s">
        <v>658</v>
      </c>
      <c r="AU554" s="77" t="s">
        <v>172</v>
      </c>
      <c r="AV554" s="77">
        <v>199</v>
      </c>
      <c r="AW554" s="77" t="s">
        <v>100</v>
      </c>
      <c r="AX554" s="77" t="s">
        <v>112</v>
      </c>
      <c r="AY554" s="77" t="s">
        <v>121</v>
      </c>
      <c r="AZ554" s="77" t="s">
        <v>3201</v>
      </c>
      <c r="BA554" s="77">
        <v>14</v>
      </c>
      <c r="BB554" s="77">
        <v>7.8</v>
      </c>
      <c r="BC554" s="77">
        <v>81</v>
      </c>
      <c r="BD554" s="77">
        <v>0.08</v>
      </c>
      <c r="BE554" s="77" t="s">
        <v>97</v>
      </c>
      <c r="BF554" s="77"/>
      <c r="BG554" s="77">
        <v>2817</v>
      </c>
      <c r="BH554" s="77"/>
      <c r="BI554" s="77"/>
      <c r="BJ554" s="77"/>
      <c r="BK554" s="77">
        <v>350</v>
      </c>
      <c r="BL554" s="75">
        <f t="shared" si="24"/>
        <v>3167</v>
      </c>
      <c r="BM554" s="103">
        <f t="shared" si="25"/>
        <v>174.185</v>
      </c>
      <c r="BN554" s="103">
        <f t="shared" si="26"/>
        <v>3341.1849999999999</v>
      </c>
      <c r="BO554" s="80"/>
      <c r="BP554" s="77" t="s">
        <v>97</v>
      </c>
      <c r="BQ554" s="77"/>
      <c r="BR554" s="77"/>
      <c r="BS554" s="157">
        <v>2019</v>
      </c>
      <c r="BU554" t="s">
        <v>4180</v>
      </c>
    </row>
    <row r="555" spans="1:73" ht="43.15" customHeight="1" x14ac:dyDescent="0.25">
      <c r="A555" s="241" t="s">
        <v>90</v>
      </c>
      <c r="B555" s="241" t="s">
        <v>3186</v>
      </c>
      <c r="C555" s="163">
        <v>400</v>
      </c>
      <c r="D555" s="76">
        <v>43671</v>
      </c>
      <c r="E555" s="76">
        <v>43671</v>
      </c>
      <c r="F555" s="76">
        <v>43691</v>
      </c>
      <c r="G555" s="76" t="s">
        <v>3722</v>
      </c>
      <c r="H555" s="76">
        <v>43699</v>
      </c>
      <c r="I555" s="76">
        <v>43699</v>
      </c>
      <c r="J555" s="76">
        <v>43713</v>
      </c>
      <c r="K555" s="218"/>
      <c r="L555" s="76">
        <v>43815</v>
      </c>
      <c r="M555" s="76">
        <v>43724</v>
      </c>
      <c r="N555" s="76" t="s">
        <v>4001</v>
      </c>
      <c r="O555" s="76">
        <v>43817</v>
      </c>
      <c r="P555" s="76">
        <v>43817</v>
      </c>
      <c r="Q555" s="76">
        <v>43817</v>
      </c>
      <c r="R555" s="82"/>
      <c r="S555" s="76"/>
      <c r="T555" s="77"/>
      <c r="U555" s="77"/>
      <c r="V555" s="77"/>
      <c r="W555" s="77">
        <v>2</v>
      </c>
      <c r="X555" s="77">
        <v>29523</v>
      </c>
      <c r="Y555" s="75" t="str">
        <f ca="1">IF(I555="",IF(D555="","",IF(W555+X555&lt;15,"Données Nb pers ou RFR manquantes",IF(COUNTA(INDIRECT("TabRFR["&amp;YEAR(D555)&amp;"]"))&lt;&gt;COUNTA(TabRFR[Recherche RFR]),"Data RFR manquantes", IF(X555&lt;=INDEX(TabRFR[[2021]:[2025]],MATCH(BD!W555&amp;"-Très modestes",TabRFR[Recherche RFR],0),MATCH(TEXT(YEAR(BD!D555),"Standard"),TabRFR[[#Headers],[2021]:[2025]],0)),"Très Modeste",IF(X555&lt;=INDEX(TabRFR[[2021]:[2025]],MATCH(BD!W555&amp;"-modestes",TabRFR[Recherche RFR],0),MATCH(TEXT(YEAR(BD!D555),"Standard"),TabRFR[[#Headers],[2021]:[2025]],0)),"Modeste",IF(X555&lt;=INDEX(TabRFR[[2021]:[2025]],MATCH(BD!W555&amp;"-Intermédiaire",TabRFR[Recherche RFR],0),MATCH(TEXT(YEAR(BD!D555),"Standard"),TabRFR[[#Headers],[2021]:[2025]],0)),"Intermédiaire","Supérieur")))))),IF(D555="","",IF(W555+X555&lt;15,"Données Nb pers ou RFR manquantes",IF(COUNTA(INDIRECT("TabRFR["&amp;YEAR(I555)&amp;"]"))&lt;&gt;COUNTA(TabRFR[Recherche RFR]),"Data RFR manquantes", IF(X555&lt;=INDEX(TabRFR[[2021]:[2025]],MATCH(BD!W555&amp;"-Très modestes",TabRFR[Recherche RFR],0),MATCH(TEXT(YEAR(BD!I555),"Standard"),TabRFR[[#Headers],[2021]:[2025]],0)),"Très Modeste",IF(X555&lt;=INDEX(TabRFR[[2021]:[2025]],MATCH(BD!W555&amp;"-modestes",TabRFR[Recherche RFR],0),MATCH(TEXT(YEAR(BD!I555),"Standard"),TabRFR[[#Headers],[2021]:[2025]],0)),"Modeste",IF(X555&lt;=INDEX(TabRFR[[2021]:[2025]],MATCH(BD!W555&amp;"-Intermédiaire",TabRFR[Recherche RFR],0),MATCH(TEXT(YEAR(BD!I555),"Standard"),TabRFR[[#Headers],[2021]:[2025]],0)),"Intermédiaire","Supérieur")))))))</f>
        <v>Data RFR manquantes</v>
      </c>
      <c r="Z555" s="77"/>
      <c r="AA555" s="77" t="s">
        <v>533</v>
      </c>
      <c r="AB555" s="77">
        <v>38620</v>
      </c>
      <c r="AC555" s="77" t="s">
        <v>851</v>
      </c>
      <c r="AD555" s="78"/>
      <c r="AE555" s="102"/>
      <c r="AF555" s="77" t="s">
        <v>95</v>
      </c>
      <c r="AG555" s="77"/>
      <c r="AH555" s="77"/>
      <c r="AI555" s="77"/>
      <c r="AJ555" s="77"/>
      <c r="AK555" s="77"/>
      <c r="AL555" s="77"/>
      <c r="AM555" s="77" t="s">
        <v>218</v>
      </c>
      <c r="AN555" s="77" t="s">
        <v>217</v>
      </c>
      <c r="AO555" s="77" t="s">
        <v>219</v>
      </c>
      <c r="AP555" s="77" t="s">
        <v>97</v>
      </c>
      <c r="AQ555" s="77"/>
      <c r="AR555" s="79">
        <v>43765</v>
      </c>
      <c r="AS555" s="102" t="s">
        <v>220</v>
      </c>
      <c r="AT555" s="78" t="s">
        <v>620</v>
      </c>
      <c r="AU555" s="77" t="s">
        <v>111</v>
      </c>
      <c r="AV555" s="77">
        <v>1971</v>
      </c>
      <c r="AW555" s="77" t="s">
        <v>100</v>
      </c>
      <c r="AX555" s="77" t="s">
        <v>112</v>
      </c>
      <c r="AY555" s="77" t="s">
        <v>121</v>
      </c>
      <c r="AZ555" s="77" t="s">
        <v>122</v>
      </c>
      <c r="BA555" s="77">
        <v>31</v>
      </c>
      <c r="BB555" s="77">
        <v>6</v>
      </c>
      <c r="BC555" s="77">
        <v>80</v>
      </c>
      <c r="BD555" s="77">
        <v>0.08</v>
      </c>
      <c r="BE555" s="77" t="s">
        <v>97</v>
      </c>
      <c r="BF555" s="77"/>
      <c r="BG555" s="77">
        <v>1950</v>
      </c>
      <c r="BH555" s="77"/>
      <c r="BI555" s="77"/>
      <c r="BJ555" s="77"/>
      <c r="BK555" s="77">
        <v>425</v>
      </c>
      <c r="BL555" s="75">
        <f t="shared" si="24"/>
        <v>2375</v>
      </c>
      <c r="BM555" s="103">
        <f t="shared" si="25"/>
        <v>130.625</v>
      </c>
      <c r="BN555" s="103">
        <f t="shared" si="26"/>
        <v>2505.625</v>
      </c>
      <c r="BO555" s="80">
        <v>3972.21</v>
      </c>
      <c r="BP555" s="77" t="s">
        <v>97</v>
      </c>
      <c r="BQ555" s="77"/>
      <c r="BR555" s="77"/>
      <c r="BS555" s="157">
        <v>2019</v>
      </c>
      <c r="BT555" s="235">
        <v>43770</v>
      </c>
      <c r="BU555">
        <v>2019</v>
      </c>
    </row>
    <row r="556" spans="1:73" ht="43.15" customHeight="1" x14ac:dyDescent="0.25">
      <c r="A556" s="241" t="s">
        <v>90</v>
      </c>
      <c r="B556" s="241" t="s">
        <v>3185</v>
      </c>
      <c r="C556" s="163">
        <v>400</v>
      </c>
      <c r="D556" s="76">
        <v>43672</v>
      </c>
      <c r="E556" s="76">
        <v>43682</v>
      </c>
      <c r="F556" s="76">
        <v>43691</v>
      </c>
      <c r="G556" s="76" t="s">
        <v>330</v>
      </c>
      <c r="H556" s="76">
        <v>43699</v>
      </c>
      <c r="I556" s="76">
        <v>43699</v>
      </c>
      <c r="J556" s="76">
        <v>43743</v>
      </c>
      <c r="K556" s="218"/>
      <c r="L556" s="76">
        <v>43743</v>
      </c>
      <c r="M556" s="76">
        <v>43727</v>
      </c>
      <c r="N556" s="76" t="s">
        <v>9</v>
      </c>
      <c r="O556" s="76">
        <v>43761</v>
      </c>
      <c r="P556" s="76">
        <v>43761</v>
      </c>
      <c r="Q556" s="76">
        <v>43761</v>
      </c>
      <c r="R556" s="82"/>
      <c r="S556" s="76"/>
      <c r="T556" s="77"/>
      <c r="U556" s="77"/>
      <c r="V556" s="77"/>
      <c r="W556" s="77">
        <v>4</v>
      </c>
      <c r="X556" s="77">
        <v>52769</v>
      </c>
      <c r="Y556" s="75" t="str">
        <f ca="1">IF(I556="",IF(D556="","",IF(W556+X556&lt;15,"Données Nb pers ou RFR manquantes",IF(COUNTA(INDIRECT("TabRFR["&amp;YEAR(D556)&amp;"]"))&lt;&gt;COUNTA(TabRFR[Recherche RFR]),"Data RFR manquantes", IF(X556&lt;=INDEX(TabRFR[[2021]:[2025]],MATCH(BD!W556&amp;"-Très modestes",TabRFR[Recherche RFR],0),MATCH(TEXT(YEAR(BD!D556),"Standard"),TabRFR[[#Headers],[2021]:[2025]],0)),"Très Modeste",IF(X556&lt;=INDEX(TabRFR[[2021]:[2025]],MATCH(BD!W556&amp;"-modestes",TabRFR[Recherche RFR],0),MATCH(TEXT(YEAR(BD!D556),"Standard"),TabRFR[[#Headers],[2021]:[2025]],0)),"Modeste",IF(X556&lt;=INDEX(TabRFR[[2021]:[2025]],MATCH(BD!W556&amp;"-Intermédiaire",TabRFR[Recherche RFR],0),MATCH(TEXT(YEAR(BD!D556),"Standard"),TabRFR[[#Headers],[2021]:[2025]],0)),"Intermédiaire","Supérieur")))))),IF(D556="","",IF(W556+X556&lt;15,"Données Nb pers ou RFR manquantes",IF(COUNTA(INDIRECT("TabRFR["&amp;YEAR(I556)&amp;"]"))&lt;&gt;COUNTA(TabRFR[Recherche RFR]),"Data RFR manquantes", IF(X556&lt;=INDEX(TabRFR[[2021]:[2025]],MATCH(BD!W556&amp;"-Très modestes",TabRFR[Recherche RFR],0),MATCH(TEXT(YEAR(BD!I556),"Standard"),TabRFR[[#Headers],[2021]:[2025]],0)),"Très Modeste",IF(X556&lt;=INDEX(TabRFR[[2021]:[2025]],MATCH(BD!W556&amp;"-modestes",TabRFR[Recherche RFR],0),MATCH(TEXT(YEAR(BD!I556),"Standard"),TabRFR[[#Headers],[2021]:[2025]],0)),"Modeste",IF(X556&lt;=INDEX(TabRFR[[2021]:[2025]],MATCH(BD!W556&amp;"-Intermédiaire",TabRFR[Recherche RFR],0),MATCH(TEXT(YEAR(BD!I556),"Standard"),TabRFR[[#Headers],[2021]:[2025]],0)),"Intermédiaire","Supérieur")))))))</f>
        <v>Data RFR manquantes</v>
      </c>
      <c r="Z556" s="77"/>
      <c r="AA556" s="77" t="s">
        <v>3706</v>
      </c>
      <c r="AB556" s="77">
        <v>38430</v>
      </c>
      <c r="AC556" s="77" t="s">
        <v>217</v>
      </c>
      <c r="AD556" s="78"/>
      <c r="AE556" s="102"/>
      <c r="AF556" s="77" t="s">
        <v>95</v>
      </c>
      <c r="AG556" s="77"/>
      <c r="AH556" s="77"/>
      <c r="AI556" s="77"/>
      <c r="AJ556" s="77"/>
      <c r="AK556" s="77"/>
      <c r="AL556" s="77"/>
      <c r="AM556" s="77" t="s">
        <v>218</v>
      </c>
      <c r="AN556" s="77" t="s">
        <v>217</v>
      </c>
      <c r="AO556" s="77" t="s">
        <v>219</v>
      </c>
      <c r="AP556" s="77" t="s">
        <v>97</v>
      </c>
      <c r="AQ556" s="77"/>
      <c r="AR556" s="79">
        <v>43765</v>
      </c>
      <c r="AS556" s="102" t="s">
        <v>220</v>
      </c>
      <c r="AT556" s="78" t="s">
        <v>620</v>
      </c>
      <c r="AU556" s="77" t="s">
        <v>100</v>
      </c>
      <c r="AV556" s="77">
        <v>1990</v>
      </c>
      <c r="AW556" s="77" t="s">
        <v>100</v>
      </c>
      <c r="AX556" s="77" t="s">
        <v>112</v>
      </c>
      <c r="AY556" s="77" t="s">
        <v>121</v>
      </c>
      <c r="AZ556" s="77" t="s">
        <v>630</v>
      </c>
      <c r="BA556" s="77">
        <v>17</v>
      </c>
      <c r="BB556" s="77">
        <v>8.1999999999999993</v>
      </c>
      <c r="BC556" s="77">
        <v>82</v>
      </c>
      <c r="BD556" s="77">
        <v>0.1</v>
      </c>
      <c r="BE556" s="77" t="s">
        <v>97</v>
      </c>
      <c r="BF556" s="77"/>
      <c r="BG556" s="77">
        <v>3671</v>
      </c>
      <c r="BH556" s="77"/>
      <c r="BI556" s="77"/>
      <c r="BJ556" s="77"/>
      <c r="BK556" s="77">
        <v>974</v>
      </c>
      <c r="BL556" s="75">
        <f t="shared" si="24"/>
        <v>4645</v>
      </c>
      <c r="BM556" s="103">
        <f t="shared" si="25"/>
        <v>255.47499999999999</v>
      </c>
      <c r="BN556" s="103">
        <f t="shared" si="26"/>
        <v>4900.4750000000004</v>
      </c>
      <c r="BO556" s="80">
        <v>4663.76</v>
      </c>
      <c r="BP556" s="77" t="s">
        <v>97</v>
      </c>
      <c r="BQ556" s="77"/>
      <c r="BR556" s="77"/>
      <c r="BS556" s="157">
        <v>2019</v>
      </c>
      <c r="BT556" s="235">
        <v>43770</v>
      </c>
      <c r="BU556">
        <v>2019</v>
      </c>
    </row>
    <row r="557" spans="1:73" ht="43.15" customHeight="1" x14ac:dyDescent="0.25">
      <c r="A557" s="241" t="s">
        <v>90</v>
      </c>
      <c r="B557" s="241" t="s">
        <v>3184</v>
      </c>
      <c r="C557" s="163">
        <v>400</v>
      </c>
      <c r="D557" s="76">
        <v>43675</v>
      </c>
      <c r="E557" s="76">
        <v>43682</v>
      </c>
      <c r="F557" s="76"/>
      <c r="G557" s="76"/>
      <c r="H557" s="76">
        <v>43691</v>
      </c>
      <c r="I557" s="76">
        <v>43691</v>
      </c>
      <c r="J557" s="76">
        <v>43703</v>
      </c>
      <c r="K557" s="218"/>
      <c r="L557" s="76">
        <v>43860</v>
      </c>
      <c r="M557" s="76">
        <v>43823</v>
      </c>
      <c r="N557" s="76" t="s">
        <v>4118</v>
      </c>
      <c r="O557" s="76">
        <v>43865</v>
      </c>
      <c r="P557" s="76">
        <v>43865</v>
      </c>
      <c r="Q557" s="76">
        <v>43868</v>
      </c>
      <c r="R557" s="82"/>
      <c r="S557" s="76"/>
      <c r="T557" s="77"/>
      <c r="U557" s="77"/>
      <c r="V557" s="77"/>
      <c r="W557" s="77">
        <v>4</v>
      </c>
      <c r="X557" s="77">
        <v>53981</v>
      </c>
      <c r="Y557" s="75" t="str">
        <f ca="1">IF(I557="",IF(D557="","",IF(W557+X557&lt;15,"Données Nb pers ou RFR manquantes",IF(COUNTA(INDIRECT("TabRFR["&amp;YEAR(D557)&amp;"]"))&lt;&gt;COUNTA(TabRFR[Recherche RFR]),"Data RFR manquantes", IF(X557&lt;=INDEX(TabRFR[[2021]:[2025]],MATCH(BD!W557&amp;"-Très modestes",TabRFR[Recherche RFR],0),MATCH(TEXT(YEAR(BD!D557),"Standard"),TabRFR[[#Headers],[2021]:[2025]],0)),"Très Modeste",IF(X557&lt;=INDEX(TabRFR[[2021]:[2025]],MATCH(BD!W557&amp;"-modestes",TabRFR[Recherche RFR],0),MATCH(TEXT(YEAR(BD!D557),"Standard"),TabRFR[[#Headers],[2021]:[2025]],0)),"Modeste",IF(X557&lt;=INDEX(TabRFR[[2021]:[2025]],MATCH(BD!W557&amp;"-Intermédiaire",TabRFR[Recherche RFR],0),MATCH(TEXT(YEAR(BD!D557),"Standard"),TabRFR[[#Headers],[2021]:[2025]],0)),"Intermédiaire","Supérieur")))))),IF(D557="","",IF(W557+X557&lt;15,"Données Nb pers ou RFR manquantes",IF(COUNTA(INDIRECT("TabRFR["&amp;YEAR(I557)&amp;"]"))&lt;&gt;COUNTA(TabRFR[Recherche RFR]),"Data RFR manquantes", IF(X557&lt;=INDEX(TabRFR[[2021]:[2025]],MATCH(BD!W557&amp;"-Très modestes",TabRFR[Recherche RFR],0),MATCH(TEXT(YEAR(BD!I557),"Standard"),TabRFR[[#Headers],[2021]:[2025]],0)),"Très Modeste",IF(X557&lt;=INDEX(TabRFR[[2021]:[2025]],MATCH(BD!W557&amp;"-modestes",TabRFR[Recherche RFR],0),MATCH(TEXT(YEAR(BD!I557),"Standard"),TabRFR[[#Headers],[2021]:[2025]],0)),"Modeste",IF(X557&lt;=INDEX(TabRFR[[2021]:[2025]],MATCH(BD!W557&amp;"-Intermédiaire",TabRFR[Recherche RFR],0),MATCH(TEXT(YEAR(BD!I557),"Standard"),TabRFR[[#Headers],[2021]:[2025]],0)),"Intermédiaire","Supérieur")))))))</f>
        <v>Data RFR manquantes</v>
      </c>
      <c r="Z557" s="77"/>
      <c r="AA557" s="77" t="s">
        <v>3707</v>
      </c>
      <c r="AB557" s="77">
        <v>38960</v>
      </c>
      <c r="AC557" s="77" t="s">
        <v>2403</v>
      </c>
      <c r="AD557" s="78"/>
      <c r="AE557" s="102"/>
      <c r="AF557" s="77" t="s">
        <v>95</v>
      </c>
      <c r="AG557" s="77"/>
      <c r="AH557" s="77"/>
      <c r="AI557" s="77"/>
      <c r="AJ557" s="77"/>
      <c r="AK557" s="77"/>
      <c r="AL557" s="77"/>
      <c r="AM557" s="77" t="s">
        <v>4395</v>
      </c>
      <c r="AN557" s="77" t="s">
        <v>3708</v>
      </c>
      <c r="AO557" s="77" t="s">
        <v>643</v>
      </c>
      <c r="AP557" s="77" t="s">
        <v>97</v>
      </c>
      <c r="AQ557" s="77"/>
      <c r="AR557" s="79">
        <v>43997</v>
      </c>
      <c r="AS557" s="102" t="s">
        <v>644</v>
      </c>
      <c r="AT557" s="78" t="s">
        <v>680</v>
      </c>
      <c r="AU557" s="77" t="s">
        <v>111</v>
      </c>
      <c r="AV557" s="77" t="s">
        <v>9</v>
      </c>
      <c r="AW557" s="77" t="s">
        <v>100</v>
      </c>
      <c r="AX557" s="75" t="s">
        <v>2071</v>
      </c>
      <c r="AY557" s="77" t="s">
        <v>272</v>
      </c>
      <c r="AZ557" s="77" t="s">
        <v>3723</v>
      </c>
      <c r="BA557" s="77">
        <v>29</v>
      </c>
      <c r="BB557" s="77">
        <v>9</v>
      </c>
      <c r="BC557" s="77">
        <v>87.1</v>
      </c>
      <c r="BD557" s="77">
        <v>0.02</v>
      </c>
      <c r="BE557" s="77" t="s">
        <v>97</v>
      </c>
      <c r="BF557" s="77"/>
      <c r="BG557" s="77">
        <v>6349</v>
      </c>
      <c r="BH557" s="77"/>
      <c r="BI557" s="77"/>
      <c r="BJ557" s="77"/>
      <c r="BK557" s="77">
        <v>3150</v>
      </c>
      <c r="BL557" s="75">
        <f t="shared" si="24"/>
        <v>9499</v>
      </c>
      <c r="BM557" s="103">
        <f t="shared" si="25"/>
        <v>522.44500000000005</v>
      </c>
      <c r="BN557" s="103">
        <f t="shared" si="26"/>
        <v>10021.445</v>
      </c>
      <c r="BO557" s="80">
        <v>9855.41</v>
      </c>
      <c r="BP557" s="77" t="s">
        <v>104</v>
      </c>
      <c r="BQ557" s="77"/>
      <c r="BR557" s="77"/>
      <c r="BS557" s="157">
        <v>2019</v>
      </c>
      <c r="BU557">
        <v>2019</v>
      </c>
    </row>
    <row r="558" spans="1:73" ht="43.15" customHeight="1" x14ac:dyDescent="0.25">
      <c r="A558" s="241" t="s">
        <v>90</v>
      </c>
      <c r="B558" s="241" t="s">
        <v>3183</v>
      </c>
      <c r="C558" s="163">
        <v>400</v>
      </c>
      <c r="D558" s="76">
        <v>43675</v>
      </c>
      <c r="E558" s="76">
        <v>43682</v>
      </c>
      <c r="F558" s="76"/>
      <c r="G558" s="76"/>
      <c r="H558" s="76">
        <v>43691</v>
      </c>
      <c r="I558" s="76">
        <v>43691</v>
      </c>
      <c r="J558" s="76">
        <v>43703</v>
      </c>
      <c r="K558" s="218"/>
      <c r="L558" s="76">
        <v>43761</v>
      </c>
      <c r="M558" s="76">
        <v>43735</v>
      </c>
      <c r="N558" s="76" t="s">
        <v>9</v>
      </c>
      <c r="O558" s="76">
        <v>43775</v>
      </c>
      <c r="P558" s="76">
        <v>43775</v>
      </c>
      <c r="Q558" s="76">
        <v>43787</v>
      </c>
      <c r="R558" s="82"/>
      <c r="S558" s="76"/>
      <c r="T558" s="77"/>
      <c r="U558" s="77"/>
      <c r="V558" s="77"/>
      <c r="W558" s="77">
        <v>4</v>
      </c>
      <c r="X558" s="77">
        <v>55929</v>
      </c>
      <c r="Y558" s="75" t="str">
        <f ca="1">IF(I558="",IF(D558="","",IF(W558+X558&lt;15,"Données Nb pers ou RFR manquantes",IF(COUNTA(INDIRECT("TabRFR["&amp;YEAR(D558)&amp;"]"))&lt;&gt;COUNTA(TabRFR[Recherche RFR]),"Data RFR manquantes", IF(X558&lt;=INDEX(TabRFR[[2021]:[2025]],MATCH(BD!W558&amp;"-Très modestes",TabRFR[Recherche RFR],0),MATCH(TEXT(YEAR(BD!D558),"Standard"),TabRFR[[#Headers],[2021]:[2025]],0)),"Très Modeste",IF(X558&lt;=INDEX(TabRFR[[2021]:[2025]],MATCH(BD!W558&amp;"-modestes",TabRFR[Recherche RFR],0),MATCH(TEXT(YEAR(BD!D558),"Standard"),TabRFR[[#Headers],[2021]:[2025]],0)),"Modeste",IF(X558&lt;=INDEX(TabRFR[[2021]:[2025]],MATCH(BD!W558&amp;"-Intermédiaire",TabRFR[Recherche RFR],0),MATCH(TEXT(YEAR(BD!D558),"Standard"),TabRFR[[#Headers],[2021]:[2025]],0)),"Intermédiaire","Supérieur")))))),IF(D558="","",IF(W558+X558&lt;15,"Données Nb pers ou RFR manquantes",IF(COUNTA(INDIRECT("TabRFR["&amp;YEAR(I558)&amp;"]"))&lt;&gt;COUNTA(TabRFR[Recherche RFR]),"Data RFR manquantes", IF(X558&lt;=INDEX(TabRFR[[2021]:[2025]],MATCH(BD!W558&amp;"-Très modestes",TabRFR[Recherche RFR],0),MATCH(TEXT(YEAR(BD!I558),"Standard"),TabRFR[[#Headers],[2021]:[2025]],0)),"Très Modeste",IF(X558&lt;=INDEX(TabRFR[[2021]:[2025]],MATCH(BD!W558&amp;"-modestes",TabRFR[Recherche RFR],0),MATCH(TEXT(YEAR(BD!I558),"Standard"),TabRFR[[#Headers],[2021]:[2025]],0)),"Modeste",IF(X558&lt;=INDEX(TabRFR[[2021]:[2025]],MATCH(BD!W558&amp;"-Intermédiaire",TabRFR[Recherche RFR],0),MATCH(TEXT(YEAR(BD!I558),"Standard"),TabRFR[[#Headers],[2021]:[2025]],0)),"Intermédiaire","Supérieur")))))))</f>
        <v>Data RFR manquantes</v>
      </c>
      <c r="Z558" s="77"/>
      <c r="AA558" s="77" t="s">
        <v>3709</v>
      </c>
      <c r="AB558" s="77">
        <v>38850</v>
      </c>
      <c r="AC558" s="77" t="s">
        <v>148</v>
      </c>
      <c r="AD558" s="78"/>
      <c r="AE558" s="102"/>
      <c r="AF558" s="77" t="s">
        <v>95</v>
      </c>
      <c r="AG558" s="77"/>
      <c r="AH558" s="77"/>
      <c r="AI558" s="77"/>
      <c r="AJ558" s="77"/>
      <c r="AK558" s="77"/>
      <c r="AL558" s="77"/>
      <c r="AM558" s="75" t="s">
        <v>3973</v>
      </c>
      <c r="AN558" s="75" t="s">
        <v>96</v>
      </c>
      <c r="AO558" s="75" t="s">
        <v>439</v>
      </c>
      <c r="AP558" s="75" t="s">
        <v>97</v>
      </c>
      <c r="AQ558" s="75"/>
      <c r="AR558" s="74">
        <v>43726</v>
      </c>
      <c r="AS558" s="102" t="s">
        <v>141</v>
      </c>
      <c r="AT558" s="73" t="s">
        <v>820</v>
      </c>
      <c r="AU558" s="77" t="s">
        <v>111</v>
      </c>
      <c r="AV558" s="77">
        <v>1987</v>
      </c>
      <c r="AW558" s="77" t="s">
        <v>100</v>
      </c>
      <c r="AX558" s="75" t="s">
        <v>2071</v>
      </c>
      <c r="AY558" s="77" t="s">
        <v>1249</v>
      </c>
      <c r="AZ558" s="77" t="s">
        <v>3724</v>
      </c>
      <c r="BA558" s="77">
        <v>29.2</v>
      </c>
      <c r="BB558" s="77">
        <v>8</v>
      </c>
      <c r="BC558" s="77">
        <v>90</v>
      </c>
      <c r="BD558" s="77">
        <v>1.4999999999999999E-2</v>
      </c>
      <c r="BE558" s="77" t="s">
        <v>374</v>
      </c>
      <c r="BF558" s="77"/>
      <c r="BG558" s="77">
        <v>5556</v>
      </c>
      <c r="BH558" s="77"/>
      <c r="BI558" s="77"/>
      <c r="BJ558" s="77"/>
      <c r="BK558" s="77">
        <v>700</v>
      </c>
      <c r="BL558" s="75">
        <f t="shared" si="24"/>
        <v>6256</v>
      </c>
      <c r="BM558" s="103">
        <f t="shared" si="25"/>
        <v>344.08</v>
      </c>
      <c r="BN558" s="103">
        <f t="shared" si="26"/>
        <v>6600.08</v>
      </c>
      <c r="BO558" s="80">
        <v>6839.85</v>
      </c>
      <c r="BP558" s="77" t="s">
        <v>104</v>
      </c>
      <c r="BQ558" s="77"/>
      <c r="BR558" s="77"/>
      <c r="BS558" s="157">
        <v>2019</v>
      </c>
      <c r="BU558">
        <v>2019</v>
      </c>
    </row>
    <row r="559" spans="1:73" ht="43.15" customHeight="1" x14ac:dyDescent="0.25">
      <c r="A559" s="241" t="s">
        <v>90</v>
      </c>
      <c r="B559" s="241" t="s">
        <v>3182</v>
      </c>
      <c r="C559" s="163">
        <v>400</v>
      </c>
      <c r="D559" s="76">
        <v>43679</v>
      </c>
      <c r="E559" s="76">
        <v>43682</v>
      </c>
      <c r="F559" s="76">
        <v>43699</v>
      </c>
      <c r="G559" s="76" t="s">
        <v>3799</v>
      </c>
      <c r="H559" s="76">
        <v>43727</v>
      </c>
      <c r="I559" s="76">
        <v>43727</v>
      </c>
      <c r="J559" s="76">
        <v>43733</v>
      </c>
      <c r="K559" s="218"/>
      <c r="L559" s="76">
        <v>43777</v>
      </c>
      <c r="M559" s="76">
        <v>43767</v>
      </c>
      <c r="N559" s="76" t="s">
        <v>4089</v>
      </c>
      <c r="O559" s="76">
        <v>43837</v>
      </c>
      <c r="P559" s="76">
        <v>43837</v>
      </c>
      <c r="Q559" s="76">
        <v>43853</v>
      </c>
      <c r="R559" s="82"/>
      <c r="S559" s="76"/>
      <c r="T559" s="77"/>
      <c r="U559" s="77"/>
      <c r="V559" s="77"/>
      <c r="W559" s="77">
        <v>3</v>
      </c>
      <c r="X559" s="77">
        <v>50727</v>
      </c>
      <c r="Y559" s="75" t="str">
        <f ca="1">IF(I559="",IF(D559="","",IF(W559+X559&lt;15,"Données Nb pers ou RFR manquantes",IF(COUNTA(INDIRECT("TabRFR["&amp;YEAR(D559)&amp;"]"))&lt;&gt;COUNTA(TabRFR[Recherche RFR]),"Data RFR manquantes", IF(X559&lt;=INDEX(TabRFR[[2021]:[2025]],MATCH(BD!W559&amp;"-Très modestes",TabRFR[Recherche RFR],0),MATCH(TEXT(YEAR(BD!D559),"Standard"),TabRFR[[#Headers],[2021]:[2025]],0)),"Très Modeste",IF(X559&lt;=INDEX(TabRFR[[2021]:[2025]],MATCH(BD!W559&amp;"-modestes",TabRFR[Recherche RFR],0),MATCH(TEXT(YEAR(BD!D559),"Standard"),TabRFR[[#Headers],[2021]:[2025]],0)),"Modeste",IF(X559&lt;=INDEX(TabRFR[[2021]:[2025]],MATCH(BD!W559&amp;"-Intermédiaire",TabRFR[Recherche RFR],0),MATCH(TEXT(YEAR(BD!D559),"Standard"),TabRFR[[#Headers],[2021]:[2025]],0)),"Intermédiaire","Supérieur")))))),IF(D559="","",IF(W559+X559&lt;15,"Données Nb pers ou RFR manquantes",IF(COUNTA(INDIRECT("TabRFR["&amp;YEAR(I559)&amp;"]"))&lt;&gt;COUNTA(TabRFR[Recherche RFR]),"Data RFR manquantes", IF(X559&lt;=INDEX(TabRFR[[2021]:[2025]],MATCH(BD!W559&amp;"-Très modestes",TabRFR[Recherche RFR],0),MATCH(TEXT(YEAR(BD!I559),"Standard"),TabRFR[[#Headers],[2021]:[2025]],0)),"Très Modeste",IF(X559&lt;=INDEX(TabRFR[[2021]:[2025]],MATCH(BD!W559&amp;"-modestes",TabRFR[Recherche RFR],0),MATCH(TEXT(YEAR(BD!I559),"Standard"),TabRFR[[#Headers],[2021]:[2025]],0)),"Modeste",IF(X559&lt;=INDEX(TabRFR[[2021]:[2025]],MATCH(BD!W559&amp;"-Intermédiaire",TabRFR[Recherche RFR],0),MATCH(TEXT(YEAR(BD!I559),"Standard"),TabRFR[[#Headers],[2021]:[2025]],0)),"Intermédiaire","Supérieur")))))))</f>
        <v>Data RFR manquantes</v>
      </c>
      <c r="Z559" s="77"/>
      <c r="AA559" s="77" t="s">
        <v>3710</v>
      </c>
      <c r="AB559" s="77">
        <v>38500</v>
      </c>
      <c r="AC559" s="77" t="s">
        <v>2873</v>
      </c>
      <c r="AD559" s="78"/>
      <c r="AE559" s="102"/>
      <c r="AF559" s="77" t="s">
        <v>95</v>
      </c>
      <c r="AG559" s="77"/>
      <c r="AH559" s="77"/>
      <c r="AI559" s="77"/>
      <c r="AJ559" s="77"/>
      <c r="AK559" s="77"/>
      <c r="AL559" s="77"/>
      <c r="AM559" s="77" t="s">
        <v>3969</v>
      </c>
      <c r="AN559" s="77" t="s">
        <v>96</v>
      </c>
      <c r="AO559" s="77" t="s">
        <v>3711</v>
      </c>
      <c r="AP559" s="77" t="s">
        <v>97</v>
      </c>
      <c r="AQ559" s="77"/>
      <c r="AR559" s="79">
        <v>44037</v>
      </c>
      <c r="AS559" s="102" t="s">
        <v>3726</v>
      </c>
      <c r="AT559" s="78">
        <v>767786070</v>
      </c>
      <c r="AU559" s="77" t="s">
        <v>111</v>
      </c>
      <c r="AV559" s="77">
        <v>1987</v>
      </c>
      <c r="AW559" s="77" t="s">
        <v>100</v>
      </c>
      <c r="AX559" s="75" t="s">
        <v>2071</v>
      </c>
      <c r="AY559" s="77" t="s">
        <v>419</v>
      </c>
      <c r="AZ559" s="77" t="s">
        <v>3596</v>
      </c>
      <c r="BA559" s="77">
        <v>20</v>
      </c>
      <c r="BB559" s="77">
        <v>8.3000000000000007</v>
      </c>
      <c r="BC559" s="77">
        <v>87</v>
      </c>
      <c r="BD559" s="77">
        <v>1.7999999999999999E-2</v>
      </c>
      <c r="BE559" s="77" t="s">
        <v>374</v>
      </c>
      <c r="BF559" s="77"/>
      <c r="BG559" s="77">
        <v>5490</v>
      </c>
      <c r="BH559" s="77"/>
      <c r="BI559" s="77"/>
      <c r="BJ559" s="77"/>
      <c r="BK559" s="77">
        <v>1022</v>
      </c>
      <c r="BL559" s="75">
        <f t="shared" si="24"/>
        <v>6512</v>
      </c>
      <c r="BM559" s="103">
        <f t="shared" si="25"/>
        <v>358.16</v>
      </c>
      <c r="BN559" s="103">
        <f t="shared" si="26"/>
        <v>6870.16</v>
      </c>
      <c r="BO559" s="80">
        <v>6871</v>
      </c>
      <c r="BP559" s="77" t="s">
        <v>97</v>
      </c>
      <c r="BQ559" s="77"/>
      <c r="BR559" s="77"/>
      <c r="BS559" s="157">
        <v>2019</v>
      </c>
      <c r="BU559">
        <v>2019</v>
      </c>
    </row>
    <row r="560" spans="1:73" ht="43.15" customHeight="1" x14ac:dyDescent="0.25">
      <c r="A560" s="241" t="s">
        <v>90</v>
      </c>
      <c r="B560" s="241" t="s">
        <v>3181</v>
      </c>
      <c r="C560" s="163">
        <v>400</v>
      </c>
      <c r="D560" s="76">
        <v>43682</v>
      </c>
      <c r="E560" s="76">
        <v>43682</v>
      </c>
      <c r="F560" s="76"/>
      <c r="G560" s="76"/>
      <c r="H560" s="76">
        <v>43699</v>
      </c>
      <c r="I560" s="76">
        <v>43699</v>
      </c>
      <c r="J560" s="76"/>
      <c r="K560" s="218"/>
      <c r="L560" s="76">
        <v>43755</v>
      </c>
      <c r="M560" s="76">
        <v>43739</v>
      </c>
      <c r="N560" s="76" t="s">
        <v>9</v>
      </c>
      <c r="O560" s="76">
        <v>43761</v>
      </c>
      <c r="P560" s="76">
        <v>43761</v>
      </c>
      <c r="Q560" s="76">
        <v>43761</v>
      </c>
      <c r="R560" s="82"/>
      <c r="S560" s="76"/>
      <c r="T560" s="77"/>
      <c r="U560" s="77"/>
      <c r="V560" s="77"/>
      <c r="W560" s="77">
        <v>4</v>
      </c>
      <c r="X560" s="77">
        <v>54597</v>
      </c>
      <c r="Y560" s="75" t="str">
        <f ca="1">IF(I560="",IF(D560="","",IF(W560+X560&lt;15,"Données Nb pers ou RFR manquantes",IF(COUNTA(INDIRECT("TabRFR["&amp;YEAR(D560)&amp;"]"))&lt;&gt;COUNTA(TabRFR[Recherche RFR]),"Data RFR manquantes", IF(X560&lt;=INDEX(TabRFR[[2021]:[2025]],MATCH(BD!W560&amp;"-Très modestes",TabRFR[Recherche RFR],0),MATCH(TEXT(YEAR(BD!D560),"Standard"),TabRFR[[#Headers],[2021]:[2025]],0)),"Très Modeste",IF(X560&lt;=INDEX(TabRFR[[2021]:[2025]],MATCH(BD!W560&amp;"-modestes",TabRFR[Recherche RFR],0),MATCH(TEXT(YEAR(BD!D560),"Standard"),TabRFR[[#Headers],[2021]:[2025]],0)),"Modeste",IF(X560&lt;=INDEX(TabRFR[[2021]:[2025]],MATCH(BD!W560&amp;"-Intermédiaire",TabRFR[Recherche RFR],0),MATCH(TEXT(YEAR(BD!D560),"Standard"),TabRFR[[#Headers],[2021]:[2025]],0)),"Intermédiaire","Supérieur")))))),IF(D560="","",IF(W560+X560&lt;15,"Données Nb pers ou RFR manquantes",IF(COUNTA(INDIRECT("TabRFR["&amp;YEAR(I560)&amp;"]"))&lt;&gt;COUNTA(TabRFR[Recherche RFR]),"Data RFR manquantes", IF(X560&lt;=INDEX(TabRFR[[2021]:[2025]],MATCH(BD!W560&amp;"-Très modestes",TabRFR[Recherche RFR],0),MATCH(TEXT(YEAR(BD!I560),"Standard"),TabRFR[[#Headers],[2021]:[2025]],0)),"Très Modeste",IF(X560&lt;=INDEX(TabRFR[[2021]:[2025]],MATCH(BD!W560&amp;"-modestes",TabRFR[Recherche RFR],0),MATCH(TEXT(YEAR(BD!I560),"Standard"),TabRFR[[#Headers],[2021]:[2025]],0)),"Modeste",IF(X560&lt;=INDEX(TabRFR[[2021]:[2025]],MATCH(BD!W560&amp;"-Intermédiaire",TabRFR[Recherche RFR],0),MATCH(TEXT(YEAR(BD!I560),"Standard"),TabRFR[[#Headers],[2021]:[2025]],0)),"Intermédiaire","Supérieur")))))))</f>
        <v>Data RFR manquantes</v>
      </c>
      <c r="Z560" s="77"/>
      <c r="AA560" s="77" t="s">
        <v>3712</v>
      </c>
      <c r="AB560" s="77">
        <v>38430</v>
      </c>
      <c r="AC560" s="77" t="s">
        <v>217</v>
      </c>
      <c r="AD560" s="78"/>
      <c r="AE560" s="102"/>
      <c r="AF560" s="77" t="s">
        <v>95</v>
      </c>
      <c r="AG560" s="77"/>
      <c r="AH560" s="77"/>
      <c r="AI560" s="77"/>
      <c r="AJ560" s="77"/>
      <c r="AK560" s="77"/>
      <c r="AL560" s="77"/>
      <c r="AM560" s="75" t="s">
        <v>3973</v>
      </c>
      <c r="AN560" s="75" t="s">
        <v>96</v>
      </c>
      <c r="AO560" s="75" t="s">
        <v>439</v>
      </c>
      <c r="AP560" s="75" t="s">
        <v>97</v>
      </c>
      <c r="AQ560" s="75"/>
      <c r="AR560" s="74">
        <v>43361</v>
      </c>
      <c r="AS560" s="102" t="s">
        <v>141</v>
      </c>
      <c r="AT560" s="73">
        <v>476069939</v>
      </c>
      <c r="AU560" s="77" t="s">
        <v>111</v>
      </c>
      <c r="AV560" s="77" t="s">
        <v>9</v>
      </c>
      <c r="AW560" s="77" t="s">
        <v>100</v>
      </c>
      <c r="AX560" s="75" t="s">
        <v>2071</v>
      </c>
      <c r="AY560" s="77" t="s">
        <v>1017</v>
      </c>
      <c r="AZ560" s="77" t="s">
        <v>517</v>
      </c>
      <c r="BA560" s="77">
        <v>16</v>
      </c>
      <c r="BB560" s="77">
        <v>9.1</v>
      </c>
      <c r="BC560" s="77">
        <v>91.8</v>
      </c>
      <c r="BD560" s="77">
        <v>3.0000000000000001E-3</v>
      </c>
      <c r="BE560" s="77" t="s">
        <v>97</v>
      </c>
      <c r="BF560" s="77"/>
      <c r="BG560" s="77">
        <v>4069</v>
      </c>
      <c r="BH560" s="77"/>
      <c r="BI560" s="77"/>
      <c r="BJ560" s="77"/>
      <c r="BK560" s="77">
        <v>392</v>
      </c>
      <c r="BL560" s="75">
        <f t="shared" si="24"/>
        <v>4461</v>
      </c>
      <c r="BM560" s="103">
        <f t="shared" si="25"/>
        <v>245.35499999999999</v>
      </c>
      <c r="BN560" s="103">
        <f t="shared" si="26"/>
        <v>4706.3549999999996</v>
      </c>
      <c r="BO560" s="80">
        <v>4706.3599999999997</v>
      </c>
      <c r="BP560" s="77" t="s">
        <v>97</v>
      </c>
      <c r="BQ560" s="77"/>
      <c r="BR560" s="77"/>
      <c r="BS560" s="157">
        <v>2019</v>
      </c>
      <c r="BU560">
        <v>2019</v>
      </c>
    </row>
    <row r="561" spans="1:73" ht="43.15" customHeight="1" x14ac:dyDescent="0.25">
      <c r="A561" s="241" t="s">
        <v>90</v>
      </c>
      <c r="B561" s="241" t="s">
        <v>3180</v>
      </c>
      <c r="C561" s="163">
        <v>400</v>
      </c>
      <c r="D561" s="76">
        <v>43683</v>
      </c>
      <c r="E561" s="76">
        <v>43684</v>
      </c>
      <c r="F561" s="76">
        <v>43699</v>
      </c>
      <c r="G561" s="76" t="s">
        <v>3728</v>
      </c>
      <c r="H561" s="76">
        <v>43699</v>
      </c>
      <c r="I561" s="76">
        <v>43699</v>
      </c>
      <c r="J561" s="76">
        <v>43707</v>
      </c>
      <c r="K561" s="218"/>
      <c r="L561" s="76">
        <v>43738</v>
      </c>
      <c r="M561" s="220"/>
      <c r="N561" s="220"/>
      <c r="O561" s="220"/>
      <c r="P561" s="220"/>
      <c r="Q561" s="76">
        <v>43748</v>
      </c>
      <c r="R561" s="82"/>
      <c r="S561" s="76"/>
      <c r="T561" s="77"/>
      <c r="U561" s="77"/>
      <c r="V561" s="77"/>
      <c r="W561" s="77">
        <v>2</v>
      </c>
      <c r="X561" s="77">
        <v>57429</v>
      </c>
      <c r="Y561" s="75" t="str">
        <f ca="1">IF(I561="",IF(D561="","",IF(W561+X561&lt;15,"Données Nb pers ou RFR manquantes",IF(COUNTA(INDIRECT("TabRFR["&amp;YEAR(D561)&amp;"]"))&lt;&gt;COUNTA(TabRFR[Recherche RFR]),"Data RFR manquantes", IF(X561&lt;=INDEX(TabRFR[[2021]:[2025]],MATCH(BD!W561&amp;"-Très modestes",TabRFR[Recherche RFR],0),MATCH(TEXT(YEAR(BD!D561),"Standard"),TabRFR[[#Headers],[2021]:[2025]],0)),"Très Modeste",IF(X561&lt;=INDEX(TabRFR[[2021]:[2025]],MATCH(BD!W561&amp;"-modestes",TabRFR[Recherche RFR],0),MATCH(TEXT(YEAR(BD!D561),"Standard"),TabRFR[[#Headers],[2021]:[2025]],0)),"Modeste",IF(X561&lt;=INDEX(TabRFR[[2021]:[2025]],MATCH(BD!W561&amp;"-Intermédiaire",TabRFR[Recherche RFR],0),MATCH(TEXT(YEAR(BD!D561),"Standard"),TabRFR[[#Headers],[2021]:[2025]],0)),"Intermédiaire","Supérieur")))))),IF(D561="","",IF(W561+X561&lt;15,"Données Nb pers ou RFR manquantes",IF(COUNTA(INDIRECT("TabRFR["&amp;YEAR(I561)&amp;"]"))&lt;&gt;COUNTA(TabRFR[Recherche RFR]),"Data RFR manquantes", IF(X561&lt;=INDEX(TabRFR[[2021]:[2025]],MATCH(BD!W561&amp;"-Très modestes",TabRFR[Recherche RFR],0),MATCH(TEXT(YEAR(BD!I561),"Standard"),TabRFR[[#Headers],[2021]:[2025]],0)),"Très Modeste",IF(X561&lt;=INDEX(TabRFR[[2021]:[2025]],MATCH(BD!W561&amp;"-modestes",TabRFR[Recherche RFR],0),MATCH(TEXT(YEAR(BD!I561),"Standard"),TabRFR[[#Headers],[2021]:[2025]],0)),"Modeste",IF(X561&lt;=INDEX(TabRFR[[2021]:[2025]],MATCH(BD!W561&amp;"-Intermédiaire",TabRFR[Recherche RFR],0),MATCH(TEXT(YEAR(BD!I561),"Standard"),TabRFR[[#Headers],[2021]:[2025]],0)),"Intermédiaire","Supérieur")))))))</f>
        <v>Data RFR manquantes</v>
      </c>
      <c r="Z561" s="77"/>
      <c r="AA561" s="77" t="s">
        <v>3713</v>
      </c>
      <c r="AB561" s="77">
        <v>38850</v>
      </c>
      <c r="AC561" s="77" t="s">
        <v>148</v>
      </c>
      <c r="AD561" s="78"/>
      <c r="AE561" s="102"/>
      <c r="AF561" s="77" t="s">
        <v>95</v>
      </c>
      <c r="AG561" s="77"/>
      <c r="AH561" s="77"/>
      <c r="AI561" s="77"/>
      <c r="AJ561" s="77"/>
      <c r="AK561" s="77"/>
      <c r="AL561" s="77"/>
      <c r="AM561" s="75" t="s">
        <v>3973</v>
      </c>
      <c r="AN561" s="75" t="s">
        <v>96</v>
      </c>
      <c r="AO561" s="75" t="s">
        <v>439</v>
      </c>
      <c r="AP561" s="75" t="s">
        <v>97</v>
      </c>
      <c r="AQ561" s="75"/>
      <c r="AR561" s="74">
        <v>43361</v>
      </c>
      <c r="AS561" s="102" t="s">
        <v>141</v>
      </c>
      <c r="AT561" s="73">
        <v>476069939</v>
      </c>
      <c r="AU561" s="77" t="s">
        <v>3727</v>
      </c>
      <c r="AV561" s="77">
        <v>1999</v>
      </c>
      <c r="AW561" s="77" t="s">
        <v>111</v>
      </c>
      <c r="AX561" s="77" t="s">
        <v>112</v>
      </c>
      <c r="AY561" s="77" t="s">
        <v>1249</v>
      </c>
      <c r="AZ561" s="77" t="s">
        <v>3417</v>
      </c>
      <c r="BA561" s="77">
        <v>26</v>
      </c>
      <c r="BB561" s="77">
        <v>12.8</v>
      </c>
      <c r="BC561" s="77">
        <v>80</v>
      </c>
      <c r="BD561" s="77">
        <v>0.09</v>
      </c>
      <c r="BE561" s="77" t="s">
        <v>97</v>
      </c>
      <c r="BF561" s="77"/>
      <c r="BG561" s="77">
        <v>8174</v>
      </c>
      <c r="BH561" s="77"/>
      <c r="BI561" s="77"/>
      <c r="BJ561" s="77"/>
      <c r="BK561" s="77">
        <v>1240</v>
      </c>
      <c r="BL561" s="75">
        <f t="shared" si="24"/>
        <v>9414</v>
      </c>
      <c r="BM561" s="103">
        <f t="shared" si="25"/>
        <v>517.77</v>
      </c>
      <c r="BN561" s="103">
        <f t="shared" si="26"/>
        <v>9931.77</v>
      </c>
      <c r="BO561" s="80"/>
      <c r="BP561" s="77" t="s">
        <v>97</v>
      </c>
      <c r="BQ561" s="77"/>
      <c r="BR561" s="77"/>
      <c r="BS561" s="157">
        <v>2019</v>
      </c>
      <c r="BT561" s="235">
        <v>43770</v>
      </c>
      <c r="BU561">
        <v>2019</v>
      </c>
    </row>
    <row r="562" spans="1:73" ht="43.15" customHeight="1" x14ac:dyDescent="0.25">
      <c r="A562" s="241" t="s">
        <v>90</v>
      </c>
      <c r="B562" s="241" t="s">
        <v>3179</v>
      </c>
      <c r="C562" s="163">
        <v>400</v>
      </c>
      <c r="D562" s="76">
        <v>43683</v>
      </c>
      <c r="E562" s="76">
        <v>43684</v>
      </c>
      <c r="F562" s="76">
        <v>43699</v>
      </c>
      <c r="G562" s="76" t="s">
        <v>3729</v>
      </c>
      <c r="H562" s="76">
        <v>43727</v>
      </c>
      <c r="I562" s="76">
        <v>43727</v>
      </c>
      <c r="J562" s="76">
        <v>43733</v>
      </c>
      <c r="K562" s="218"/>
      <c r="L562" s="76">
        <v>43755</v>
      </c>
      <c r="M562" s="76">
        <v>43745</v>
      </c>
      <c r="N562" s="76" t="s">
        <v>9</v>
      </c>
      <c r="O562" s="76">
        <v>43761</v>
      </c>
      <c r="P562" s="76">
        <v>43761</v>
      </c>
      <c r="Q562" s="76">
        <v>43761</v>
      </c>
      <c r="R562" s="82"/>
      <c r="S562" s="76"/>
      <c r="T562" s="77"/>
      <c r="U562" s="77"/>
      <c r="V562" s="77"/>
      <c r="W562" s="77">
        <v>2</v>
      </c>
      <c r="X562" s="77">
        <v>37450</v>
      </c>
      <c r="Y562" s="75" t="str">
        <f ca="1">IF(I562="",IF(D562="","",IF(W562+X562&lt;15,"Données Nb pers ou RFR manquantes",IF(COUNTA(INDIRECT("TabRFR["&amp;YEAR(D562)&amp;"]"))&lt;&gt;COUNTA(TabRFR[Recherche RFR]),"Data RFR manquantes", IF(X562&lt;=INDEX(TabRFR[[2021]:[2025]],MATCH(BD!W562&amp;"-Très modestes",TabRFR[Recherche RFR],0),MATCH(TEXT(YEAR(BD!D562),"Standard"),TabRFR[[#Headers],[2021]:[2025]],0)),"Très Modeste",IF(X562&lt;=INDEX(TabRFR[[2021]:[2025]],MATCH(BD!W562&amp;"-modestes",TabRFR[Recherche RFR],0),MATCH(TEXT(YEAR(BD!D562),"Standard"),TabRFR[[#Headers],[2021]:[2025]],0)),"Modeste",IF(X562&lt;=INDEX(TabRFR[[2021]:[2025]],MATCH(BD!W562&amp;"-Intermédiaire",TabRFR[Recherche RFR],0),MATCH(TEXT(YEAR(BD!D562),"Standard"),TabRFR[[#Headers],[2021]:[2025]],0)),"Intermédiaire","Supérieur")))))),IF(D562="","",IF(W562+X562&lt;15,"Données Nb pers ou RFR manquantes",IF(COUNTA(INDIRECT("TabRFR["&amp;YEAR(I562)&amp;"]"))&lt;&gt;COUNTA(TabRFR[Recherche RFR]),"Data RFR manquantes", IF(X562&lt;=INDEX(TabRFR[[2021]:[2025]],MATCH(BD!W562&amp;"-Très modestes",TabRFR[Recherche RFR],0),MATCH(TEXT(YEAR(BD!I562),"Standard"),TabRFR[[#Headers],[2021]:[2025]],0)),"Très Modeste",IF(X562&lt;=INDEX(TabRFR[[2021]:[2025]],MATCH(BD!W562&amp;"-modestes",TabRFR[Recherche RFR],0),MATCH(TEXT(YEAR(BD!I562),"Standard"),TabRFR[[#Headers],[2021]:[2025]],0)),"Modeste",IF(X562&lt;=INDEX(TabRFR[[2021]:[2025]],MATCH(BD!W562&amp;"-Intermédiaire",TabRFR[Recherche RFR],0),MATCH(TEXT(YEAR(BD!I562),"Standard"),TabRFR[[#Headers],[2021]:[2025]],0)),"Intermédiaire","Supérieur")))))))</f>
        <v>Data RFR manquantes</v>
      </c>
      <c r="Z562" s="77"/>
      <c r="AA562" s="77" t="s">
        <v>3714</v>
      </c>
      <c r="AB562" s="77">
        <v>38140</v>
      </c>
      <c r="AC562" s="77" t="s">
        <v>2357</v>
      </c>
      <c r="AD562" s="78"/>
      <c r="AE562" s="102"/>
      <c r="AF562" s="77" t="s">
        <v>95</v>
      </c>
      <c r="AG562" s="77"/>
      <c r="AH562" s="77"/>
      <c r="AI562" s="77"/>
      <c r="AJ562" s="77"/>
      <c r="AK562" s="77"/>
      <c r="AL562" s="77"/>
      <c r="AM562" s="77" t="s">
        <v>4356</v>
      </c>
      <c r="AN562" s="77" t="s">
        <v>96</v>
      </c>
      <c r="AO562" s="77" t="s">
        <v>119</v>
      </c>
      <c r="AP562" s="75" t="s">
        <v>97</v>
      </c>
      <c r="AQ562" s="75"/>
      <c r="AR562" s="131">
        <v>43772</v>
      </c>
      <c r="AS562" s="102" t="s">
        <v>120</v>
      </c>
      <c r="AT562" s="73" t="s">
        <v>658</v>
      </c>
      <c r="AU562" s="77" t="s">
        <v>143</v>
      </c>
      <c r="AV562" s="77">
        <v>1989</v>
      </c>
      <c r="AW562" s="77" t="s">
        <v>100</v>
      </c>
      <c r="AX562" s="77" t="s">
        <v>112</v>
      </c>
      <c r="AY562" s="77" t="s">
        <v>121</v>
      </c>
      <c r="AZ562" s="77" t="s">
        <v>3798</v>
      </c>
      <c r="BA562" s="77">
        <v>22</v>
      </c>
      <c r="BB562" s="77">
        <v>7</v>
      </c>
      <c r="BC562" s="77">
        <v>80</v>
      </c>
      <c r="BD562" s="77">
        <v>0.08</v>
      </c>
      <c r="BE562" s="77" t="s">
        <v>97</v>
      </c>
      <c r="BF562" s="77"/>
      <c r="BG562" s="77">
        <v>1964</v>
      </c>
      <c r="BH562" s="77"/>
      <c r="BI562" s="77"/>
      <c r="BJ562" s="77"/>
      <c r="BK562" s="77">
        <v>420</v>
      </c>
      <c r="BL562" s="75">
        <f t="shared" si="24"/>
        <v>2384</v>
      </c>
      <c r="BM562" s="103">
        <f t="shared" si="25"/>
        <v>131.12</v>
      </c>
      <c r="BN562" s="103">
        <f t="shared" si="26"/>
        <v>2515.12</v>
      </c>
      <c r="BO562" s="80">
        <v>3545.03</v>
      </c>
      <c r="BP562" s="77" t="s">
        <v>104</v>
      </c>
      <c r="BQ562" s="77"/>
      <c r="BR562" s="77"/>
      <c r="BS562" s="157">
        <v>2019</v>
      </c>
      <c r="BT562" s="235">
        <v>43770</v>
      </c>
      <c r="BU562">
        <v>2019</v>
      </c>
    </row>
    <row r="563" spans="1:73" ht="43.15" customHeight="1" x14ac:dyDescent="0.25">
      <c r="A563" s="241" t="s">
        <v>90</v>
      </c>
      <c r="B563" s="241" t="s">
        <v>3178</v>
      </c>
      <c r="C563" s="163">
        <v>400</v>
      </c>
      <c r="D563" s="76">
        <v>43685</v>
      </c>
      <c r="E563" s="76">
        <v>43685</v>
      </c>
      <c r="F563" s="76"/>
      <c r="G563" s="76"/>
      <c r="H563" s="76">
        <v>43699</v>
      </c>
      <c r="I563" s="76">
        <v>43699</v>
      </c>
      <c r="J563" s="76"/>
      <c r="K563" s="218"/>
      <c r="L563" s="76">
        <v>43802</v>
      </c>
      <c r="M563" s="76">
        <v>43763</v>
      </c>
      <c r="N563" s="76"/>
      <c r="O563" s="76">
        <v>43803</v>
      </c>
      <c r="P563" s="76">
        <v>43803</v>
      </c>
      <c r="Q563" s="76">
        <v>43809</v>
      </c>
      <c r="R563" s="82"/>
      <c r="S563" s="76"/>
      <c r="T563" s="77"/>
      <c r="U563" s="77"/>
      <c r="V563" s="77"/>
      <c r="W563" s="77">
        <v>2</v>
      </c>
      <c r="X563" s="77">
        <v>62600</v>
      </c>
      <c r="Y563" s="75" t="str">
        <f ca="1">IF(I563="",IF(D563="","",IF(W563+X563&lt;15,"Données Nb pers ou RFR manquantes",IF(COUNTA(INDIRECT("TabRFR["&amp;YEAR(D563)&amp;"]"))&lt;&gt;COUNTA(TabRFR[Recherche RFR]),"Data RFR manquantes", IF(X563&lt;=INDEX(TabRFR[[2021]:[2025]],MATCH(BD!W563&amp;"-Très modestes",TabRFR[Recherche RFR],0),MATCH(TEXT(YEAR(BD!D563),"Standard"),TabRFR[[#Headers],[2021]:[2025]],0)),"Très Modeste",IF(X563&lt;=INDEX(TabRFR[[2021]:[2025]],MATCH(BD!W563&amp;"-modestes",TabRFR[Recherche RFR],0),MATCH(TEXT(YEAR(BD!D563),"Standard"),TabRFR[[#Headers],[2021]:[2025]],0)),"Modeste",IF(X563&lt;=INDEX(TabRFR[[2021]:[2025]],MATCH(BD!W563&amp;"-Intermédiaire",TabRFR[Recherche RFR],0),MATCH(TEXT(YEAR(BD!D563),"Standard"),TabRFR[[#Headers],[2021]:[2025]],0)),"Intermédiaire","Supérieur")))))),IF(D563="","",IF(W563+X563&lt;15,"Données Nb pers ou RFR manquantes",IF(COUNTA(INDIRECT("TabRFR["&amp;YEAR(I563)&amp;"]"))&lt;&gt;COUNTA(TabRFR[Recherche RFR]),"Data RFR manquantes", IF(X563&lt;=INDEX(TabRFR[[2021]:[2025]],MATCH(BD!W563&amp;"-Très modestes",TabRFR[Recherche RFR],0),MATCH(TEXT(YEAR(BD!I563),"Standard"),TabRFR[[#Headers],[2021]:[2025]],0)),"Très Modeste",IF(X563&lt;=INDEX(TabRFR[[2021]:[2025]],MATCH(BD!W563&amp;"-modestes",TabRFR[Recherche RFR],0),MATCH(TEXT(YEAR(BD!I563),"Standard"),TabRFR[[#Headers],[2021]:[2025]],0)),"Modeste",IF(X563&lt;=INDEX(TabRFR[[2021]:[2025]],MATCH(BD!W563&amp;"-Intermédiaire",TabRFR[Recherche RFR],0),MATCH(TEXT(YEAR(BD!I563),"Standard"),TabRFR[[#Headers],[2021]:[2025]],0)),"Intermédiaire","Supérieur")))))))</f>
        <v>Data RFR manquantes</v>
      </c>
      <c r="Z563" s="77"/>
      <c r="AA563" s="77" t="s">
        <v>3715</v>
      </c>
      <c r="AB563" s="77">
        <v>38340</v>
      </c>
      <c r="AC563" s="77" t="s">
        <v>108</v>
      </c>
      <c r="AD563" s="78"/>
      <c r="AE563" s="102"/>
      <c r="AF563" s="77" t="s">
        <v>95</v>
      </c>
      <c r="AG563" s="77"/>
      <c r="AH563" s="77"/>
      <c r="AI563" s="77"/>
      <c r="AJ563" s="77"/>
      <c r="AK563" s="77"/>
      <c r="AL563" s="77"/>
      <c r="AM563" s="77" t="s">
        <v>4130</v>
      </c>
      <c r="AN563" s="77" t="s">
        <v>4349</v>
      </c>
      <c r="AO563" s="77" t="s">
        <v>3252</v>
      </c>
      <c r="AP563" s="77" t="s">
        <v>97</v>
      </c>
      <c r="AQ563" s="77"/>
      <c r="AR563" s="79">
        <v>43911</v>
      </c>
      <c r="AS563" s="102" t="s">
        <v>337</v>
      </c>
      <c r="AT563" s="78" t="s">
        <v>691</v>
      </c>
      <c r="AU563" s="77" t="s">
        <v>143</v>
      </c>
      <c r="AV563" s="77" t="s">
        <v>9</v>
      </c>
      <c r="AW563" s="77" t="s">
        <v>100</v>
      </c>
      <c r="AX563" s="75" t="s">
        <v>2071</v>
      </c>
      <c r="AY563" s="77" t="s">
        <v>3747</v>
      </c>
      <c r="AZ563" s="77" t="s">
        <v>3748</v>
      </c>
      <c r="BA563" s="77">
        <v>20</v>
      </c>
      <c r="BB563" s="77">
        <v>6</v>
      </c>
      <c r="BC563" s="77">
        <v>87</v>
      </c>
      <c r="BD563" s="77">
        <v>0.02</v>
      </c>
      <c r="BE563" s="77" t="s">
        <v>97</v>
      </c>
      <c r="BF563" s="77"/>
      <c r="BG563" s="77">
        <v>4272</v>
      </c>
      <c r="BH563" s="77"/>
      <c r="BI563" s="77"/>
      <c r="BJ563" s="77"/>
      <c r="BK563" s="77">
        <v>750</v>
      </c>
      <c r="BL563" s="75">
        <f t="shared" si="24"/>
        <v>5022</v>
      </c>
      <c r="BM563" s="103">
        <f t="shared" si="25"/>
        <v>276.20999999999998</v>
      </c>
      <c r="BN563" s="103">
        <f t="shared" si="26"/>
        <v>5298.21</v>
      </c>
      <c r="BO563" s="80">
        <v>6000</v>
      </c>
      <c r="BP563" s="77" t="s">
        <v>104</v>
      </c>
      <c r="BQ563" s="77"/>
      <c r="BR563" s="77"/>
      <c r="BS563" s="157">
        <v>2019</v>
      </c>
      <c r="BU563">
        <v>2019</v>
      </c>
    </row>
    <row r="564" spans="1:73" ht="43.15" customHeight="1" x14ac:dyDescent="0.25">
      <c r="A564" s="241" t="s">
        <v>90</v>
      </c>
      <c r="B564" s="241" t="s">
        <v>3177</v>
      </c>
      <c r="C564" s="163">
        <v>400</v>
      </c>
      <c r="D564" s="76">
        <v>43696</v>
      </c>
      <c r="E564" s="76">
        <v>43699</v>
      </c>
      <c r="F564" s="76"/>
      <c r="G564" s="76"/>
      <c r="H564" s="76">
        <v>43718</v>
      </c>
      <c r="I564" s="76">
        <v>43718</v>
      </c>
      <c r="J564" s="76">
        <v>43724</v>
      </c>
      <c r="K564" s="218"/>
      <c r="L564" s="76">
        <v>43790</v>
      </c>
      <c r="M564" s="76"/>
      <c r="N564" s="76" t="s">
        <v>4001</v>
      </c>
      <c r="O564" s="76">
        <v>43803</v>
      </c>
      <c r="P564" s="76">
        <v>43803</v>
      </c>
      <c r="Q564" s="76">
        <v>43809</v>
      </c>
      <c r="R564" s="82"/>
      <c r="S564" s="76"/>
      <c r="T564" s="77"/>
      <c r="U564" s="77"/>
      <c r="V564" s="77"/>
      <c r="W564" s="77">
        <v>1</v>
      </c>
      <c r="X564" s="77">
        <v>29556</v>
      </c>
      <c r="Y564" s="75" t="str">
        <f ca="1">IF(I564="",IF(D564="","",IF(W564+X564&lt;15,"Données Nb pers ou RFR manquantes",IF(COUNTA(INDIRECT("TabRFR["&amp;YEAR(D564)&amp;"]"))&lt;&gt;COUNTA(TabRFR[Recherche RFR]),"Data RFR manquantes", IF(X564&lt;=INDEX(TabRFR[[2021]:[2025]],MATCH(BD!W564&amp;"-Très modestes",TabRFR[Recherche RFR],0),MATCH(TEXT(YEAR(BD!D564),"Standard"),TabRFR[[#Headers],[2021]:[2025]],0)),"Très Modeste",IF(X564&lt;=INDEX(TabRFR[[2021]:[2025]],MATCH(BD!W564&amp;"-modestes",TabRFR[Recherche RFR],0),MATCH(TEXT(YEAR(BD!D564),"Standard"),TabRFR[[#Headers],[2021]:[2025]],0)),"Modeste",IF(X564&lt;=INDEX(TabRFR[[2021]:[2025]],MATCH(BD!W564&amp;"-Intermédiaire",TabRFR[Recherche RFR],0),MATCH(TEXT(YEAR(BD!D564),"Standard"),TabRFR[[#Headers],[2021]:[2025]],0)),"Intermédiaire","Supérieur")))))),IF(D564="","",IF(W564+X564&lt;15,"Données Nb pers ou RFR manquantes",IF(COUNTA(INDIRECT("TabRFR["&amp;YEAR(I564)&amp;"]"))&lt;&gt;COUNTA(TabRFR[Recherche RFR]),"Data RFR manquantes", IF(X564&lt;=INDEX(TabRFR[[2021]:[2025]],MATCH(BD!W564&amp;"-Très modestes",TabRFR[Recherche RFR],0),MATCH(TEXT(YEAR(BD!I564),"Standard"),TabRFR[[#Headers],[2021]:[2025]],0)),"Très Modeste",IF(X564&lt;=INDEX(TabRFR[[2021]:[2025]],MATCH(BD!W564&amp;"-modestes",TabRFR[Recherche RFR],0),MATCH(TEXT(YEAR(BD!I564),"Standard"),TabRFR[[#Headers],[2021]:[2025]],0)),"Modeste",IF(X564&lt;=INDEX(TabRFR[[2021]:[2025]],MATCH(BD!W564&amp;"-Intermédiaire",TabRFR[Recherche RFR],0),MATCH(TEXT(YEAR(BD!I564),"Standard"),TabRFR[[#Headers],[2021]:[2025]],0)),"Intermédiaire","Supérieur")))))))</f>
        <v>Data RFR manquantes</v>
      </c>
      <c r="Z564" s="77"/>
      <c r="AA564" s="77" t="s">
        <v>3749</v>
      </c>
      <c r="AB564" s="77">
        <v>38500</v>
      </c>
      <c r="AC564" s="77" t="s">
        <v>96</v>
      </c>
      <c r="AD564" s="78"/>
      <c r="AE564" s="102"/>
      <c r="AF564" s="77" t="s">
        <v>95</v>
      </c>
      <c r="AG564" s="77"/>
      <c r="AH564" s="77"/>
      <c r="AI564" s="77"/>
      <c r="AJ564" s="77"/>
      <c r="AK564" s="77"/>
      <c r="AL564" s="77"/>
      <c r="AM564" s="77" t="s">
        <v>218</v>
      </c>
      <c r="AN564" s="77" t="s">
        <v>217</v>
      </c>
      <c r="AO564" s="77" t="s">
        <v>219</v>
      </c>
      <c r="AP564" s="77" t="s">
        <v>97</v>
      </c>
      <c r="AQ564" s="77"/>
      <c r="AR564" s="74">
        <v>43764</v>
      </c>
      <c r="AS564" s="102" t="s">
        <v>220</v>
      </c>
      <c r="AT564" s="78">
        <v>476355605</v>
      </c>
      <c r="AU564" s="77" t="s">
        <v>143</v>
      </c>
      <c r="AV564" s="77">
        <v>1990</v>
      </c>
      <c r="AW564" s="77" t="s">
        <v>111</v>
      </c>
      <c r="AX564" s="77" t="s">
        <v>112</v>
      </c>
      <c r="AY564" s="77" t="s">
        <v>878</v>
      </c>
      <c r="AZ564" s="236" t="s">
        <v>3384</v>
      </c>
      <c r="BA564" s="77">
        <v>34</v>
      </c>
      <c r="BB564" s="77">
        <v>13</v>
      </c>
      <c r="BC564" s="77">
        <v>81.2</v>
      </c>
      <c r="BD564" s="77">
        <v>0.04</v>
      </c>
      <c r="BE564" s="77" t="s">
        <v>97</v>
      </c>
      <c r="BF564" s="77"/>
      <c r="BG564" s="77">
        <v>375</v>
      </c>
      <c r="BH564" s="77"/>
      <c r="BI564" s="77"/>
      <c r="BJ564" s="77"/>
      <c r="BK564" s="77">
        <v>250</v>
      </c>
      <c r="BL564" s="75">
        <f t="shared" si="24"/>
        <v>625</v>
      </c>
      <c r="BM564" s="103">
        <f t="shared" si="25"/>
        <v>34.375</v>
      </c>
      <c r="BN564" s="103">
        <f t="shared" si="26"/>
        <v>659.375</v>
      </c>
      <c r="BO564" s="80">
        <v>3508.82</v>
      </c>
      <c r="BP564" s="77" t="s">
        <v>104</v>
      </c>
      <c r="BQ564" s="77"/>
      <c r="BR564" s="77"/>
      <c r="BS564" s="157">
        <v>2019</v>
      </c>
      <c r="BT564" s="235">
        <v>43770</v>
      </c>
      <c r="BU564">
        <v>2019</v>
      </c>
    </row>
    <row r="565" spans="1:73" ht="43.15" customHeight="1" x14ac:dyDescent="0.25">
      <c r="A565" s="241" t="s">
        <v>90</v>
      </c>
      <c r="B565" s="241" t="s">
        <v>3176</v>
      </c>
      <c r="C565" s="163">
        <v>400</v>
      </c>
      <c r="D565" s="76">
        <v>43696</v>
      </c>
      <c r="E565" s="76">
        <v>43699</v>
      </c>
      <c r="F565" s="76">
        <v>43718</v>
      </c>
      <c r="G565" s="76">
        <v>43728</v>
      </c>
      <c r="H565" s="76">
        <v>43728</v>
      </c>
      <c r="I565" s="76">
        <v>43728</v>
      </c>
      <c r="J565" s="76">
        <v>43738</v>
      </c>
      <c r="K565" s="218"/>
      <c r="L565" s="76">
        <v>43782</v>
      </c>
      <c r="M565" s="76">
        <v>43755</v>
      </c>
      <c r="N565" s="76" t="s">
        <v>9</v>
      </c>
      <c r="O565" s="76">
        <v>43784</v>
      </c>
      <c r="P565" s="76">
        <v>43784</v>
      </c>
      <c r="Q565" s="76">
        <v>43787</v>
      </c>
      <c r="R565" s="82"/>
      <c r="S565" s="76"/>
      <c r="T565" s="77"/>
      <c r="U565" s="77"/>
      <c r="V565" s="77"/>
      <c r="W565" s="77">
        <v>2</v>
      </c>
      <c r="X565" s="77">
        <v>37548</v>
      </c>
      <c r="Y565" s="75" t="str">
        <f ca="1">IF(I565="",IF(D565="","",IF(W565+X565&lt;15,"Données Nb pers ou RFR manquantes",IF(COUNTA(INDIRECT("TabRFR["&amp;YEAR(D565)&amp;"]"))&lt;&gt;COUNTA(TabRFR[Recherche RFR]),"Data RFR manquantes", IF(X565&lt;=INDEX(TabRFR[[2021]:[2025]],MATCH(BD!W565&amp;"-Très modestes",TabRFR[Recherche RFR],0),MATCH(TEXT(YEAR(BD!D565),"Standard"),TabRFR[[#Headers],[2021]:[2025]],0)),"Très Modeste",IF(X565&lt;=INDEX(TabRFR[[2021]:[2025]],MATCH(BD!W565&amp;"-modestes",TabRFR[Recherche RFR],0),MATCH(TEXT(YEAR(BD!D565),"Standard"),TabRFR[[#Headers],[2021]:[2025]],0)),"Modeste",IF(X565&lt;=INDEX(TabRFR[[2021]:[2025]],MATCH(BD!W565&amp;"-Intermédiaire",TabRFR[Recherche RFR],0),MATCH(TEXT(YEAR(BD!D565),"Standard"),TabRFR[[#Headers],[2021]:[2025]],0)),"Intermédiaire","Supérieur")))))),IF(D565="","",IF(W565+X565&lt;15,"Données Nb pers ou RFR manquantes",IF(COUNTA(INDIRECT("TabRFR["&amp;YEAR(I565)&amp;"]"))&lt;&gt;COUNTA(TabRFR[Recherche RFR]),"Data RFR manquantes", IF(X565&lt;=INDEX(TabRFR[[2021]:[2025]],MATCH(BD!W565&amp;"-Très modestes",TabRFR[Recherche RFR],0),MATCH(TEXT(YEAR(BD!I565),"Standard"),TabRFR[[#Headers],[2021]:[2025]],0)),"Très Modeste",IF(X565&lt;=INDEX(TabRFR[[2021]:[2025]],MATCH(BD!W565&amp;"-modestes",TabRFR[Recherche RFR],0),MATCH(TEXT(YEAR(BD!I565),"Standard"),TabRFR[[#Headers],[2021]:[2025]],0)),"Modeste",IF(X565&lt;=INDEX(TabRFR[[2021]:[2025]],MATCH(BD!W565&amp;"-Intermédiaire",TabRFR[Recherche RFR],0),MATCH(TEXT(YEAR(BD!I565),"Standard"),TabRFR[[#Headers],[2021]:[2025]],0)),"Intermédiaire","Supérieur")))))))</f>
        <v>Data RFR manquantes</v>
      </c>
      <c r="Z565" s="77"/>
      <c r="AA565" s="77" t="s">
        <v>3750</v>
      </c>
      <c r="AB565" s="77">
        <v>38210</v>
      </c>
      <c r="AC565" s="77" t="s">
        <v>195</v>
      </c>
      <c r="AD565" s="78"/>
      <c r="AE565" s="102"/>
      <c r="AF565" s="77" t="s">
        <v>95</v>
      </c>
      <c r="AG565" s="77"/>
      <c r="AH565" s="77"/>
      <c r="AI565" s="77"/>
      <c r="AJ565" s="77"/>
      <c r="AK565" s="77"/>
      <c r="AL565" s="77"/>
      <c r="AM565" s="77" t="s">
        <v>4130</v>
      </c>
      <c r="AN565" s="77" t="s">
        <v>4349</v>
      </c>
      <c r="AO565" s="77" t="s">
        <v>3751</v>
      </c>
      <c r="AP565" s="77" t="s">
        <v>97</v>
      </c>
      <c r="AQ565" s="77"/>
      <c r="AR565" s="79"/>
      <c r="AS565" s="102" t="s">
        <v>337</v>
      </c>
      <c r="AT565" s="78">
        <v>438021901</v>
      </c>
      <c r="AU565" s="77" t="s">
        <v>111</v>
      </c>
      <c r="AV565" s="77">
        <v>1998</v>
      </c>
      <c r="AW565" s="77" t="s">
        <v>100</v>
      </c>
      <c r="AX565" s="77" t="s">
        <v>112</v>
      </c>
      <c r="AY565" s="77" t="s">
        <v>338</v>
      </c>
      <c r="AZ565" s="77" t="s">
        <v>3774</v>
      </c>
      <c r="BA565" s="77">
        <v>29</v>
      </c>
      <c r="BB565" s="77">
        <v>8</v>
      </c>
      <c r="BC565" s="77">
        <v>77</v>
      </c>
      <c r="BD565" s="77">
        <v>0.05</v>
      </c>
      <c r="BE565" s="77" t="s">
        <v>97</v>
      </c>
      <c r="BF565" s="77"/>
      <c r="BG565" s="77">
        <v>1336</v>
      </c>
      <c r="BH565" s="77"/>
      <c r="BI565" s="77"/>
      <c r="BJ565" s="77"/>
      <c r="BK565" s="77">
        <v>800</v>
      </c>
      <c r="BL565" s="75">
        <f t="shared" si="24"/>
        <v>2136</v>
      </c>
      <c r="BM565" s="103">
        <f t="shared" si="25"/>
        <v>117.48</v>
      </c>
      <c r="BN565" s="103">
        <f t="shared" si="26"/>
        <v>2253.48</v>
      </c>
      <c r="BO565" s="80">
        <v>3321</v>
      </c>
      <c r="BP565" s="77" t="s">
        <v>97</v>
      </c>
      <c r="BQ565" s="77"/>
      <c r="BR565" s="77"/>
      <c r="BS565" s="157">
        <v>2019</v>
      </c>
      <c r="BT565" s="235">
        <v>43770</v>
      </c>
      <c r="BU565">
        <v>2019</v>
      </c>
    </row>
    <row r="566" spans="1:73" ht="43.15" customHeight="1" x14ac:dyDescent="0.25">
      <c r="A566" s="31" t="s">
        <v>90</v>
      </c>
      <c r="B566" s="31" t="s">
        <v>3175</v>
      </c>
      <c r="C566" s="163">
        <v>400</v>
      </c>
      <c r="D566" s="76">
        <v>43698</v>
      </c>
      <c r="E566" s="76">
        <v>43699</v>
      </c>
      <c r="F566" s="76">
        <v>43718</v>
      </c>
      <c r="G566" s="76" t="s">
        <v>3791</v>
      </c>
      <c r="H566" s="76">
        <v>43727</v>
      </c>
      <c r="I566" s="76">
        <v>43727</v>
      </c>
      <c r="J566" s="76">
        <v>43733</v>
      </c>
      <c r="K566" s="218"/>
      <c r="L566" s="76"/>
      <c r="M566" s="76"/>
      <c r="N566" s="76"/>
      <c r="O566" s="76"/>
      <c r="P566" s="76"/>
      <c r="Q566" s="76"/>
      <c r="R566" s="82"/>
      <c r="S566" s="76"/>
      <c r="T566" s="77" t="s">
        <v>4337</v>
      </c>
      <c r="U566" s="77"/>
      <c r="V566" s="77"/>
      <c r="W566" s="77">
        <v>2</v>
      </c>
      <c r="X566" s="77">
        <v>43012</v>
      </c>
      <c r="Y566" s="75" t="str">
        <f ca="1">IF(I566="",IF(D566="","",IF(W566+X566&lt;15,"Données Nb pers ou RFR manquantes",IF(COUNTA(INDIRECT("TabRFR["&amp;YEAR(D566)&amp;"]"))&lt;&gt;COUNTA(TabRFR[Recherche RFR]),"Data RFR manquantes", IF(X566&lt;=INDEX(TabRFR[[2021]:[2025]],MATCH(BD!W566&amp;"-Très modestes",TabRFR[Recherche RFR],0),MATCH(TEXT(YEAR(BD!D566),"Standard"),TabRFR[[#Headers],[2021]:[2025]],0)),"Très Modeste",IF(X566&lt;=INDEX(TabRFR[[2021]:[2025]],MATCH(BD!W566&amp;"-modestes",TabRFR[Recherche RFR],0),MATCH(TEXT(YEAR(BD!D566),"Standard"),TabRFR[[#Headers],[2021]:[2025]],0)),"Modeste",IF(X566&lt;=INDEX(TabRFR[[2021]:[2025]],MATCH(BD!W566&amp;"-Intermédiaire",TabRFR[Recherche RFR],0),MATCH(TEXT(YEAR(BD!D566),"Standard"),TabRFR[[#Headers],[2021]:[2025]],0)),"Intermédiaire","Supérieur")))))),IF(D566="","",IF(W566+X566&lt;15,"Données Nb pers ou RFR manquantes",IF(COUNTA(INDIRECT("TabRFR["&amp;YEAR(I566)&amp;"]"))&lt;&gt;COUNTA(TabRFR[Recherche RFR]),"Data RFR manquantes", IF(X566&lt;=INDEX(TabRFR[[2021]:[2025]],MATCH(BD!W566&amp;"-Très modestes",TabRFR[Recherche RFR],0),MATCH(TEXT(YEAR(BD!I566),"Standard"),TabRFR[[#Headers],[2021]:[2025]],0)),"Très Modeste",IF(X566&lt;=INDEX(TabRFR[[2021]:[2025]],MATCH(BD!W566&amp;"-modestes",TabRFR[Recherche RFR],0),MATCH(TEXT(YEAR(BD!I566),"Standard"),TabRFR[[#Headers],[2021]:[2025]],0)),"Modeste",IF(X566&lt;=INDEX(TabRFR[[2021]:[2025]],MATCH(BD!W566&amp;"-Intermédiaire",TabRFR[Recherche RFR],0),MATCH(TEXT(YEAR(BD!I566),"Standard"),TabRFR[[#Headers],[2021]:[2025]],0)),"Intermédiaire","Supérieur")))))))</f>
        <v>Data RFR manquantes</v>
      </c>
      <c r="Z566" s="77"/>
      <c r="AA566" s="77" t="s">
        <v>3752</v>
      </c>
      <c r="AB566" s="77">
        <v>38340</v>
      </c>
      <c r="AC566" s="77" t="s">
        <v>108</v>
      </c>
      <c r="AD566" s="78"/>
      <c r="AE566" s="102"/>
      <c r="AF566" s="77" t="s">
        <v>95</v>
      </c>
      <c r="AG566" s="77"/>
      <c r="AH566" s="77"/>
      <c r="AI566" s="77"/>
      <c r="AJ566" s="77"/>
      <c r="AK566" s="77"/>
      <c r="AL566" s="77"/>
      <c r="AM566" s="77" t="s">
        <v>4357</v>
      </c>
      <c r="AN566" s="77" t="s">
        <v>829</v>
      </c>
      <c r="AO566" s="77" t="s">
        <v>721</v>
      </c>
      <c r="AP566" s="77" t="s">
        <v>97</v>
      </c>
      <c r="AQ566" s="77" t="s">
        <v>154</v>
      </c>
      <c r="AR566" s="79">
        <v>43903</v>
      </c>
      <c r="AS566" s="102" t="s">
        <v>156</v>
      </c>
      <c r="AT566" s="78">
        <v>698193037</v>
      </c>
      <c r="AU566" s="77" t="s">
        <v>430</v>
      </c>
      <c r="AV566" s="77" t="s">
        <v>9</v>
      </c>
      <c r="AW566" s="77" t="s">
        <v>100</v>
      </c>
      <c r="AX566" s="75" t="s">
        <v>2071</v>
      </c>
      <c r="AY566" s="77" t="s">
        <v>157</v>
      </c>
      <c r="AZ566" s="77" t="s">
        <v>3775</v>
      </c>
      <c r="BA566" s="77">
        <v>9</v>
      </c>
      <c r="BB566" s="77">
        <v>6.5</v>
      </c>
      <c r="BC566" s="77">
        <v>89</v>
      </c>
      <c r="BD566" s="77">
        <v>0</v>
      </c>
      <c r="BE566" s="77" t="s">
        <v>97</v>
      </c>
      <c r="BF566" s="77"/>
      <c r="BG566" s="77">
        <v>1662.11</v>
      </c>
      <c r="BH566" s="77"/>
      <c r="BI566" s="77"/>
      <c r="BJ566" s="77"/>
      <c r="BK566" s="77">
        <v>1085</v>
      </c>
      <c r="BL566" s="75">
        <f t="shared" si="24"/>
        <v>2747.1099999999997</v>
      </c>
      <c r="BM566" s="103">
        <f t="shared" si="25"/>
        <v>151.09105</v>
      </c>
      <c r="BN566" s="103">
        <f t="shared" si="26"/>
        <v>2898.2010499999997</v>
      </c>
      <c r="BO566" s="80"/>
      <c r="BP566" s="77" t="s">
        <v>104</v>
      </c>
      <c r="BQ566" s="77"/>
      <c r="BR566" s="77"/>
      <c r="BS566" s="157">
        <v>2019</v>
      </c>
      <c r="BU566" t="s">
        <v>4180</v>
      </c>
    </row>
    <row r="567" spans="1:73" ht="43.15" customHeight="1" x14ac:dyDescent="0.25">
      <c r="A567" s="31" t="s">
        <v>90</v>
      </c>
      <c r="B567" s="31" t="s">
        <v>3174</v>
      </c>
      <c r="C567" s="163">
        <v>400</v>
      </c>
      <c r="D567" s="76">
        <v>43706</v>
      </c>
      <c r="E567" s="76">
        <v>43706</v>
      </c>
      <c r="F567" s="76">
        <v>43718</v>
      </c>
      <c r="G567" s="76" t="s">
        <v>3776</v>
      </c>
      <c r="H567" s="76">
        <v>43727</v>
      </c>
      <c r="I567" s="76">
        <v>43727</v>
      </c>
      <c r="J567" s="76">
        <v>43733</v>
      </c>
      <c r="K567" s="218"/>
      <c r="L567" s="76" t="s">
        <v>4339</v>
      </c>
      <c r="M567" s="76"/>
      <c r="N567" s="76"/>
      <c r="O567" s="76"/>
      <c r="P567" s="76"/>
      <c r="Q567" s="76"/>
      <c r="R567" s="82"/>
      <c r="S567" s="76">
        <v>44174</v>
      </c>
      <c r="T567" s="77" t="s">
        <v>4335</v>
      </c>
      <c r="U567" s="77"/>
      <c r="V567" s="77"/>
      <c r="W567" s="77">
        <v>2</v>
      </c>
      <c r="X567" s="77">
        <v>281253</v>
      </c>
      <c r="Y567" s="75" t="str">
        <f ca="1">IF(I567="",IF(D567="","",IF(W567+X567&lt;15,"Données Nb pers ou RFR manquantes",IF(COUNTA(INDIRECT("TabRFR["&amp;YEAR(D567)&amp;"]"))&lt;&gt;COUNTA(TabRFR[Recherche RFR]),"Data RFR manquantes", IF(X567&lt;=INDEX(TabRFR[[2021]:[2025]],MATCH(BD!W567&amp;"-Très modestes",TabRFR[Recherche RFR],0),MATCH(TEXT(YEAR(BD!D567),"Standard"),TabRFR[[#Headers],[2021]:[2025]],0)),"Très Modeste",IF(X567&lt;=INDEX(TabRFR[[2021]:[2025]],MATCH(BD!W567&amp;"-modestes",TabRFR[Recherche RFR],0),MATCH(TEXT(YEAR(BD!D567),"Standard"),TabRFR[[#Headers],[2021]:[2025]],0)),"Modeste",IF(X567&lt;=INDEX(TabRFR[[2021]:[2025]],MATCH(BD!W567&amp;"-Intermédiaire",TabRFR[Recherche RFR],0),MATCH(TEXT(YEAR(BD!D567),"Standard"),TabRFR[[#Headers],[2021]:[2025]],0)),"Intermédiaire","Supérieur")))))),IF(D567="","",IF(W567+X567&lt;15,"Données Nb pers ou RFR manquantes",IF(COUNTA(INDIRECT("TabRFR["&amp;YEAR(I567)&amp;"]"))&lt;&gt;COUNTA(TabRFR[Recherche RFR]),"Data RFR manquantes", IF(X567&lt;=INDEX(TabRFR[[2021]:[2025]],MATCH(BD!W567&amp;"-Très modestes",TabRFR[Recherche RFR],0),MATCH(TEXT(YEAR(BD!I567),"Standard"),TabRFR[[#Headers],[2021]:[2025]],0)),"Très Modeste",IF(X567&lt;=INDEX(TabRFR[[2021]:[2025]],MATCH(BD!W567&amp;"-modestes",TabRFR[Recherche RFR],0),MATCH(TEXT(YEAR(BD!I567),"Standard"),TabRFR[[#Headers],[2021]:[2025]],0)),"Modeste",IF(X567&lt;=INDEX(TabRFR[[2021]:[2025]],MATCH(BD!W567&amp;"-Intermédiaire",TabRFR[Recherche RFR],0),MATCH(TEXT(YEAR(BD!I567),"Standard"),TabRFR[[#Headers],[2021]:[2025]],0)),"Intermédiaire","Supérieur")))))))</f>
        <v>Data RFR manquantes</v>
      </c>
      <c r="Z567" s="77"/>
      <c r="AA567" s="77" t="s">
        <v>3753</v>
      </c>
      <c r="AB567" s="77">
        <v>38620</v>
      </c>
      <c r="AC567" s="77" t="s">
        <v>3754</v>
      </c>
      <c r="AD567" s="78"/>
      <c r="AE567" s="102"/>
      <c r="AF567" s="77" t="s">
        <v>95</v>
      </c>
      <c r="AG567" s="77"/>
      <c r="AH567" s="77"/>
      <c r="AI567" s="77"/>
      <c r="AJ567" s="77"/>
      <c r="AK567" s="77"/>
      <c r="AL567" s="77"/>
      <c r="AM567" s="77" t="s">
        <v>3973</v>
      </c>
      <c r="AN567" s="77" t="s">
        <v>96</v>
      </c>
      <c r="AO567" s="77" t="s">
        <v>9</v>
      </c>
      <c r="AP567" s="77" t="s">
        <v>97</v>
      </c>
      <c r="AQ567" s="77"/>
      <c r="AR567" s="79">
        <v>44092</v>
      </c>
      <c r="AS567" s="102" t="s">
        <v>141</v>
      </c>
      <c r="AT567" s="78" t="s">
        <v>820</v>
      </c>
      <c r="AU567" s="77" t="s">
        <v>100</v>
      </c>
      <c r="AV567" s="77">
        <v>1999</v>
      </c>
      <c r="AW567" s="77" t="s">
        <v>100</v>
      </c>
      <c r="AX567" s="75" t="s">
        <v>2071</v>
      </c>
      <c r="AY567" s="77" t="s">
        <v>1017</v>
      </c>
      <c r="AZ567" s="77" t="s">
        <v>3783</v>
      </c>
      <c r="BA567" s="77">
        <v>8</v>
      </c>
      <c r="BB567" s="77">
        <v>8.1999999999999993</v>
      </c>
      <c r="BC567" s="77">
        <v>87.7</v>
      </c>
      <c r="BD567" s="77">
        <v>2E-3</v>
      </c>
      <c r="BE567" s="77" t="s">
        <v>97</v>
      </c>
      <c r="BF567" s="77"/>
      <c r="BG567" s="77">
        <v>2519</v>
      </c>
      <c r="BH567" s="77"/>
      <c r="BI567" s="77"/>
      <c r="BJ567" s="77"/>
      <c r="BK567" s="77">
        <v>880</v>
      </c>
      <c r="BL567" s="75">
        <f t="shared" si="24"/>
        <v>3399</v>
      </c>
      <c r="BM567" s="103">
        <f t="shared" si="25"/>
        <v>186.94499999999999</v>
      </c>
      <c r="BN567" s="103">
        <f t="shared" si="26"/>
        <v>3585.9450000000002</v>
      </c>
      <c r="BO567" s="80"/>
      <c r="BP567" s="77" t="s">
        <v>97</v>
      </c>
      <c r="BQ567" s="77"/>
      <c r="BR567" s="77"/>
      <c r="BS567" s="157">
        <v>2019</v>
      </c>
      <c r="BU567" t="s">
        <v>4180</v>
      </c>
    </row>
    <row r="568" spans="1:73" ht="43.15" customHeight="1" x14ac:dyDescent="0.25">
      <c r="A568" s="241" t="s">
        <v>90</v>
      </c>
      <c r="B568" s="241" t="s">
        <v>3173</v>
      </c>
      <c r="C568" s="163">
        <v>400</v>
      </c>
      <c r="D568" s="76">
        <v>43710</v>
      </c>
      <c r="E568" s="76">
        <v>43710</v>
      </c>
      <c r="F568" s="76">
        <v>43721</v>
      </c>
      <c r="G568" s="76">
        <v>43723</v>
      </c>
      <c r="H568" s="76">
        <v>43727</v>
      </c>
      <c r="I568" s="76">
        <v>43727</v>
      </c>
      <c r="J568" s="76">
        <v>43733</v>
      </c>
      <c r="K568" s="218"/>
      <c r="L568" s="76">
        <v>43808</v>
      </c>
      <c r="M568" s="76">
        <v>43798</v>
      </c>
      <c r="N568" s="76"/>
      <c r="O568" s="76">
        <v>43810</v>
      </c>
      <c r="P568" s="76">
        <v>43810</v>
      </c>
      <c r="Q568" s="76">
        <v>43816</v>
      </c>
      <c r="R568" s="82"/>
      <c r="S568" s="76"/>
      <c r="T568" s="77"/>
      <c r="U568" s="77"/>
      <c r="V568" s="77"/>
      <c r="W568" s="77">
        <v>4</v>
      </c>
      <c r="X568" s="77">
        <v>59585</v>
      </c>
      <c r="Y568" s="75" t="str">
        <f ca="1">IF(I568="",IF(D568="","",IF(W568+X568&lt;15,"Données Nb pers ou RFR manquantes",IF(COUNTA(INDIRECT("TabRFR["&amp;YEAR(D568)&amp;"]"))&lt;&gt;COUNTA(TabRFR[Recherche RFR]),"Data RFR manquantes", IF(X568&lt;=INDEX(TabRFR[[2021]:[2025]],MATCH(BD!W568&amp;"-Très modestes",TabRFR[Recherche RFR],0),MATCH(TEXT(YEAR(BD!D568),"Standard"),TabRFR[[#Headers],[2021]:[2025]],0)),"Très Modeste",IF(X568&lt;=INDEX(TabRFR[[2021]:[2025]],MATCH(BD!W568&amp;"-modestes",TabRFR[Recherche RFR],0),MATCH(TEXT(YEAR(BD!D568),"Standard"),TabRFR[[#Headers],[2021]:[2025]],0)),"Modeste",IF(X568&lt;=INDEX(TabRFR[[2021]:[2025]],MATCH(BD!W568&amp;"-Intermédiaire",TabRFR[Recherche RFR],0),MATCH(TEXT(YEAR(BD!D568),"Standard"),TabRFR[[#Headers],[2021]:[2025]],0)),"Intermédiaire","Supérieur")))))),IF(D568="","",IF(W568+X568&lt;15,"Données Nb pers ou RFR manquantes",IF(COUNTA(INDIRECT("TabRFR["&amp;YEAR(I568)&amp;"]"))&lt;&gt;COUNTA(TabRFR[Recherche RFR]),"Data RFR manquantes", IF(X568&lt;=INDEX(TabRFR[[2021]:[2025]],MATCH(BD!W568&amp;"-Très modestes",TabRFR[Recherche RFR],0),MATCH(TEXT(YEAR(BD!I568),"Standard"),TabRFR[[#Headers],[2021]:[2025]],0)),"Très Modeste",IF(X568&lt;=INDEX(TabRFR[[2021]:[2025]],MATCH(BD!W568&amp;"-modestes",TabRFR[Recherche RFR],0),MATCH(TEXT(YEAR(BD!I568),"Standard"),TabRFR[[#Headers],[2021]:[2025]],0)),"Modeste",IF(X568&lt;=INDEX(TabRFR[[2021]:[2025]],MATCH(BD!W568&amp;"-Intermédiaire",TabRFR[Recherche RFR],0),MATCH(TEXT(YEAR(BD!I568),"Standard"),TabRFR[[#Headers],[2021]:[2025]],0)),"Intermédiaire","Supérieur")))))))</f>
        <v>Data RFR manquantes</v>
      </c>
      <c r="Z568" s="77"/>
      <c r="AA568" s="77" t="s">
        <v>1306</v>
      </c>
      <c r="AB568" s="77">
        <v>38134</v>
      </c>
      <c r="AC568" s="77" t="s">
        <v>3755</v>
      </c>
      <c r="AD568" s="78"/>
      <c r="AE568" s="102"/>
      <c r="AF568" s="77" t="s">
        <v>95</v>
      </c>
      <c r="AG568" s="77"/>
      <c r="AH568" s="77"/>
      <c r="AI568" s="77"/>
      <c r="AJ568" s="77"/>
      <c r="AK568" s="77"/>
      <c r="AL568" s="77"/>
      <c r="AM568" s="77" t="s">
        <v>4191</v>
      </c>
      <c r="AN568" s="77" t="s">
        <v>96</v>
      </c>
      <c r="AO568" s="77" t="s">
        <v>3756</v>
      </c>
      <c r="AP568" s="77" t="s">
        <v>97</v>
      </c>
      <c r="AQ568" s="77"/>
      <c r="AR568" s="79">
        <v>44059</v>
      </c>
      <c r="AS568" s="102" t="s">
        <v>230</v>
      </c>
      <c r="AT568" s="78" t="s">
        <v>3757</v>
      </c>
      <c r="AU568" s="77" t="s">
        <v>100</v>
      </c>
      <c r="AV568" s="77">
        <v>2000</v>
      </c>
      <c r="AW568" s="77" t="s">
        <v>100</v>
      </c>
      <c r="AX568" s="75" t="s">
        <v>2071</v>
      </c>
      <c r="AY568" s="77" t="s">
        <v>232</v>
      </c>
      <c r="AZ568" s="77" t="s">
        <v>3782</v>
      </c>
      <c r="BA568" s="77">
        <v>17.5</v>
      </c>
      <c r="BB568" s="77">
        <v>10</v>
      </c>
      <c r="BC568" s="77">
        <v>92.7</v>
      </c>
      <c r="BD568" s="77">
        <v>4.0000000000000001E-3</v>
      </c>
      <c r="BE568" s="77" t="s">
        <v>374</v>
      </c>
      <c r="BF568" s="77"/>
      <c r="BG568" s="77">
        <v>6739</v>
      </c>
      <c r="BH568" s="77"/>
      <c r="BI568" s="77"/>
      <c r="BJ568" s="77"/>
      <c r="BK568" s="77">
        <v>480</v>
      </c>
      <c r="BL568" s="75">
        <f t="shared" si="24"/>
        <v>7219</v>
      </c>
      <c r="BM568" s="103">
        <f t="shared" si="25"/>
        <v>397.04500000000002</v>
      </c>
      <c r="BN568" s="103">
        <f t="shared" si="26"/>
        <v>7616.0450000000001</v>
      </c>
      <c r="BO568" s="80">
        <v>6000</v>
      </c>
      <c r="BP568" s="77" t="s">
        <v>97</v>
      </c>
      <c r="BQ568" s="77"/>
      <c r="BR568" s="77"/>
      <c r="BS568" s="157">
        <v>2019</v>
      </c>
      <c r="BU568">
        <v>2019</v>
      </c>
    </row>
    <row r="569" spans="1:73" ht="43.15" customHeight="1" x14ac:dyDescent="0.25">
      <c r="A569" s="241" t="s">
        <v>90</v>
      </c>
      <c r="B569" s="241" t="s">
        <v>3172</v>
      </c>
      <c r="C569" s="163">
        <v>400</v>
      </c>
      <c r="D569" s="76">
        <v>43712</v>
      </c>
      <c r="E569" s="76">
        <v>43712</v>
      </c>
      <c r="F569" s="76"/>
      <c r="G569" s="76"/>
      <c r="H569" s="76">
        <v>43721</v>
      </c>
      <c r="I569" s="76">
        <v>43721</v>
      </c>
      <c r="J569" s="76">
        <v>43724</v>
      </c>
      <c r="K569" s="218"/>
      <c r="L569" s="76">
        <v>43753</v>
      </c>
      <c r="M569" s="76">
        <v>43750</v>
      </c>
      <c r="N569" s="76" t="s">
        <v>9</v>
      </c>
      <c r="O569" s="76">
        <v>43761</v>
      </c>
      <c r="P569" s="76">
        <v>43761</v>
      </c>
      <c r="Q569" s="76">
        <v>43761</v>
      </c>
      <c r="R569" s="82"/>
      <c r="S569" s="76"/>
      <c r="T569" s="77"/>
      <c r="U569" s="77"/>
      <c r="V569" s="77"/>
      <c r="W569" s="77">
        <v>2</v>
      </c>
      <c r="X569" s="77">
        <v>64777</v>
      </c>
      <c r="Y569" s="75" t="str">
        <f ca="1">IF(I569="",IF(D569="","",IF(W569+X569&lt;15,"Données Nb pers ou RFR manquantes",IF(COUNTA(INDIRECT("TabRFR["&amp;YEAR(D569)&amp;"]"))&lt;&gt;COUNTA(TabRFR[Recherche RFR]),"Data RFR manquantes", IF(X569&lt;=INDEX(TabRFR[[2021]:[2025]],MATCH(BD!W569&amp;"-Très modestes",TabRFR[Recherche RFR],0),MATCH(TEXT(YEAR(BD!D569),"Standard"),TabRFR[[#Headers],[2021]:[2025]],0)),"Très Modeste",IF(X569&lt;=INDEX(TabRFR[[2021]:[2025]],MATCH(BD!W569&amp;"-modestes",TabRFR[Recherche RFR],0),MATCH(TEXT(YEAR(BD!D569),"Standard"),TabRFR[[#Headers],[2021]:[2025]],0)),"Modeste",IF(X569&lt;=INDEX(TabRFR[[2021]:[2025]],MATCH(BD!W569&amp;"-Intermédiaire",TabRFR[Recherche RFR],0),MATCH(TEXT(YEAR(BD!D569),"Standard"),TabRFR[[#Headers],[2021]:[2025]],0)),"Intermédiaire","Supérieur")))))),IF(D569="","",IF(W569+X569&lt;15,"Données Nb pers ou RFR manquantes",IF(COUNTA(INDIRECT("TabRFR["&amp;YEAR(I569)&amp;"]"))&lt;&gt;COUNTA(TabRFR[Recherche RFR]),"Data RFR manquantes", IF(X569&lt;=INDEX(TabRFR[[2021]:[2025]],MATCH(BD!W569&amp;"-Très modestes",TabRFR[Recherche RFR],0),MATCH(TEXT(YEAR(BD!I569),"Standard"),TabRFR[[#Headers],[2021]:[2025]],0)),"Très Modeste",IF(X569&lt;=INDEX(TabRFR[[2021]:[2025]],MATCH(BD!W569&amp;"-modestes",TabRFR[Recherche RFR],0),MATCH(TEXT(YEAR(BD!I569),"Standard"),TabRFR[[#Headers],[2021]:[2025]],0)),"Modeste",IF(X569&lt;=INDEX(TabRFR[[2021]:[2025]],MATCH(BD!W569&amp;"-Intermédiaire",TabRFR[Recherche RFR],0),MATCH(TEXT(YEAR(BD!I569),"Standard"),TabRFR[[#Headers],[2021]:[2025]],0)),"Intermédiaire","Supérieur")))))))</f>
        <v>Data RFR manquantes</v>
      </c>
      <c r="Z569" s="77"/>
      <c r="AA569" s="77" t="s">
        <v>3758</v>
      </c>
      <c r="AB569" s="77">
        <v>38340</v>
      </c>
      <c r="AC569" s="77" t="s">
        <v>108</v>
      </c>
      <c r="AD569" s="78"/>
      <c r="AE569" s="102"/>
      <c r="AF569" s="77" t="s">
        <v>95</v>
      </c>
      <c r="AG569" s="77"/>
      <c r="AH569" s="77"/>
      <c r="AI569" s="77"/>
      <c r="AJ569" s="77"/>
      <c r="AK569" s="77"/>
      <c r="AL569" s="77"/>
      <c r="AM569" s="77" t="s">
        <v>4359</v>
      </c>
      <c r="AN569" s="77" t="s">
        <v>829</v>
      </c>
      <c r="AO569" s="77" t="s">
        <v>3720</v>
      </c>
      <c r="AP569" s="77" t="s">
        <v>97</v>
      </c>
      <c r="AQ569" s="77"/>
      <c r="AR569" s="79">
        <v>43752</v>
      </c>
      <c r="AS569" s="102" t="s">
        <v>491</v>
      </c>
      <c r="AT569" s="78">
        <v>476452433</v>
      </c>
      <c r="AU569" s="77" t="s">
        <v>430</v>
      </c>
      <c r="AV569" s="77">
        <v>1990</v>
      </c>
      <c r="AW569" s="77" t="s">
        <v>100</v>
      </c>
      <c r="AX569" s="77" t="s">
        <v>112</v>
      </c>
      <c r="AY569" s="77" t="s">
        <v>492</v>
      </c>
      <c r="AZ569" s="77" t="s">
        <v>3784</v>
      </c>
      <c r="BA569" s="77">
        <v>16</v>
      </c>
      <c r="BB569" s="77">
        <v>6.4</v>
      </c>
      <c r="BC569" s="77">
        <v>81</v>
      </c>
      <c r="BD569" s="77">
        <v>0.08</v>
      </c>
      <c r="BE569" s="77" t="s">
        <v>97</v>
      </c>
      <c r="BF569" s="77"/>
      <c r="BG569" s="77">
        <v>4779</v>
      </c>
      <c r="BH569" s="77"/>
      <c r="BI569" s="77">
        <v>1285</v>
      </c>
      <c r="BJ569" s="77"/>
      <c r="BK569" s="77">
        <v>1285</v>
      </c>
      <c r="BL569" s="75">
        <f t="shared" si="24"/>
        <v>6064</v>
      </c>
      <c r="BM569" s="103">
        <f t="shared" si="25"/>
        <v>333.52</v>
      </c>
      <c r="BN569" s="103">
        <f t="shared" si="26"/>
        <v>6397.52</v>
      </c>
      <c r="BO569" s="80">
        <v>7224.47</v>
      </c>
      <c r="BP569" s="77" t="s">
        <v>97</v>
      </c>
      <c r="BQ569" s="77"/>
      <c r="BR569" s="77"/>
      <c r="BS569" s="157">
        <v>2019</v>
      </c>
      <c r="BT569" s="235">
        <v>43770</v>
      </c>
      <c r="BU569">
        <v>2019</v>
      </c>
    </row>
    <row r="570" spans="1:73" ht="43.15" customHeight="1" x14ac:dyDescent="0.25">
      <c r="A570" s="241" t="s">
        <v>3305</v>
      </c>
      <c r="B570" s="241" t="s">
        <v>3171</v>
      </c>
      <c r="C570" s="163">
        <v>400</v>
      </c>
      <c r="D570" s="76">
        <v>43712</v>
      </c>
      <c r="E570" s="76">
        <v>43712</v>
      </c>
      <c r="F570" s="76">
        <v>43727</v>
      </c>
      <c r="G570" s="76">
        <v>43728</v>
      </c>
      <c r="H570" s="76">
        <v>43731</v>
      </c>
      <c r="I570" s="76">
        <v>43731</v>
      </c>
      <c r="J570" s="76">
        <v>43738</v>
      </c>
      <c r="K570" s="218"/>
      <c r="L570" s="76">
        <v>43773</v>
      </c>
      <c r="M570" s="76">
        <v>43753</v>
      </c>
      <c r="N570" s="76" t="s">
        <v>9</v>
      </c>
      <c r="O570" s="76">
        <v>43775</v>
      </c>
      <c r="P570" s="76">
        <v>43775</v>
      </c>
      <c r="Q570" s="76">
        <v>43787</v>
      </c>
      <c r="R570" s="82"/>
      <c r="S570" s="76"/>
      <c r="T570" s="77"/>
      <c r="U570" s="77"/>
      <c r="V570" s="77"/>
      <c r="W570" s="77">
        <v>2</v>
      </c>
      <c r="X570" s="77">
        <v>29986</v>
      </c>
      <c r="Y570" s="75" t="str">
        <f ca="1">IF(I570="",IF(D570="","",IF(W570+X570&lt;15,"Données Nb pers ou RFR manquantes",IF(COUNTA(INDIRECT("TabRFR["&amp;YEAR(D570)&amp;"]"))&lt;&gt;COUNTA(TabRFR[Recherche RFR]),"Data RFR manquantes", IF(X570&lt;=INDEX(TabRFR[[2021]:[2025]],MATCH(BD!W570&amp;"-Très modestes",TabRFR[Recherche RFR],0),MATCH(TEXT(YEAR(BD!D570),"Standard"),TabRFR[[#Headers],[2021]:[2025]],0)),"Très Modeste",IF(X570&lt;=INDEX(TabRFR[[2021]:[2025]],MATCH(BD!W570&amp;"-modestes",TabRFR[Recherche RFR],0),MATCH(TEXT(YEAR(BD!D570),"Standard"),TabRFR[[#Headers],[2021]:[2025]],0)),"Modeste",IF(X570&lt;=INDEX(TabRFR[[2021]:[2025]],MATCH(BD!W570&amp;"-Intermédiaire",TabRFR[Recherche RFR],0),MATCH(TEXT(YEAR(BD!D570),"Standard"),TabRFR[[#Headers],[2021]:[2025]],0)),"Intermédiaire","Supérieur")))))),IF(D570="","",IF(W570+X570&lt;15,"Données Nb pers ou RFR manquantes",IF(COUNTA(INDIRECT("TabRFR["&amp;YEAR(I570)&amp;"]"))&lt;&gt;COUNTA(TabRFR[Recherche RFR]),"Data RFR manquantes", IF(X570&lt;=INDEX(TabRFR[[2021]:[2025]],MATCH(BD!W570&amp;"-Très modestes",TabRFR[Recherche RFR],0),MATCH(TEXT(YEAR(BD!I570),"Standard"),TabRFR[[#Headers],[2021]:[2025]],0)),"Très Modeste",IF(X570&lt;=INDEX(TabRFR[[2021]:[2025]],MATCH(BD!W570&amp;"-modestes",TabRFR[Recherche RFR],0),MATCH(TEXT(YEAR(BD!I570),"Standard"),TabRFR[[#Headers],[2021]:[2025]],0)),"Modeste",IF(X570&lt;=INDEX(TabRFR[[2021]:[2025]],MATCH(BD!W570&amp;"-Intermédiaire",TabRFR[Recherche RFR],0),MATCH(TEXT(YEAR(BD!I570),"Standard"),TabRFR[[#Headers],[2021]:[2025]],0)),"Intermédiaire","Supérieur")))))))</f>
        <v>Data RFR manquantes</v>
      </c>
      <c r="Z570" s="77"/>
      <c r="AA570" s="77" t="s">
        <v>3759</v>
      </c>
      <c r="AB570" s="77">
        <v>38500</v>
      </c>
      <c r="AC570" s="77" t="s">
        <v>94</v>
      </c>
      <c r="AD570" s="78"/>
      <c r="AE570" s="102"/>
      <c r="AF570" s="77" t="s">
        <v>95</v>
      </c>
      <c r="AG570" s="77"/>
      <c r="AH570" s="77"/>
      <c r="AI570" s="77"/>
      <c r="AJ570" s="77"/>
      <c r="AK570" s="77"/>
      <c r="AL570" s="77"/>
      <c r="AM570" s="77" t="s">
        <v>2246</v>
      </c>
      <c r="AN570" s="77" t="s">
        <v>96</v>
      </c>
      <c r="AO570" s="77" t="s">
        <v>119</v>
      </c>
      <c r="AP570" s="77" t="s">
        <v>97</v>
      </c>
      <c r="AQ570" s="77"/>
      <c r="AR570" s="79">
        <v>43772</v>
      </c>
      <c r="AS570" s="102" t="s">
        <v>2319</v>
      </c>
      <c r="AT570" s="78">
        <v>476071461</v>
      </c>
      <c r="AU570" s="77" t="s">
        <v>100</v>
      </c>
      <c r="AV570" s="77">
        <v>2000</v>
      </c>
      <c r="AW570" s="77" t="s">
        <v>100</v>
      </c>
      <c r="AX570" s="77" t="s">
        <v>3797</v>
      </c>
      <c r="AY570" s="77" t="s">
        <v>121</v>
      </c>
      <c r="AZ570" s="77" t="s">
        <v>3798</v>
      </c>
      <c r="BA570" s="77">
        <v>22</v>
      </c>
      <c r="BB570" s="77">
        <v>7</v>
      </c>
      <c r="BC570" s="77">
        <v>80</v>
      </c>
      <c r="BD570" s="77">
        <v>0.08</v>
      </c>
      <c r="BE570" s="77" t="s">
        <v>97</v>
      </c>
      <c r="BF570" s="77"/>
      <c r="BG570" s="77">
        <v>2763.18</v>
      </c>
      <c r="BH570" s="77"/>
      <c r="BI570" s="77"/>
      <c r="BJ570" s="77"/>
      <c r="BK570" s="77">
        <v>350</v>
      </c>
      <c r="BL570" s="75">
        <f t="shared" si="24"/>
        <v>3113.18</v>
      </c>
      <c r="BM570" s="103">
        <f t="shared" si="25"/>
        <v>171.22489999999999</v>
      </c>
      <c r="BN570" s="103">
        <f t="shared" si="26"/>
        <v>3284.4049</v>
      </c>
      <c r="BO570" s="80">
        <v>3066.4</v>
      </c>
      <c r="BP570" s="77" t="s">
        <v>104</v>
      </c>
      <c r="BQ570" s="77"/>
      <c r="BR570" s="77"/>
      <c r="BS570" s="157">
        <v>2019</v>
      </c>
      <c r="BT570" s="235">
        <v>43770</v>
      </c>
      <c r="BU570">
        <v>2019</v>
      </c>
    </row>
    <row r="571" spans="1:73" ht="43.15" customHeight="1" x14ac:dyDescent="0.25">
      <c r="A571" s="241" t="s">
        <v>3305</v>
      </c>
      <c r="B571" s="241" t="s">
        <v>3170</v>
      </c>
      <c r="C571" s="163">
        <v>400</v>
      </c>
      <c r="D571" s="76">
        <v>43712</v>
      </c>
      <c r="E571" s="76">
        <v>43712</v>
      </c>
      <c r="F571" s="76" t="s">
        <v>9</v>
      </c>
      <c r="G571" s="76" t="s">
        <v>9</v>
      </c>
      <c r="H571" s="76">
        <v>43728</v>
      </c>
      <c r="I571" s="76">
        <v>43728</v>
      </c>
      <c r="J571" s="76">
        <v>43733</v>
      </c>
      <c r="K571" s="218"/>
      <c r="L571" s="76">
        <v>43797</v>
      </c>
      <c r="M571" s="76"/>
      <c r="N571" s="76" t="s">
        <v>4000</v>
      </c>
      <c r="O571" s="76">
        <v>43803</v>
      </c>
      <c r="P571" s="76">
        <v>43803</v>
      </c>
      <c r="Q571" s="76">
        <v>43809</v>
      </c>
      <c r="R571" s="82"/>
      <c r="S571" s="76"/>
      <c r="T571" s="77"/>
      <c r="U571" s="77"/>
      <c r="V571" s="77"/>
      <c r="W571" s="77">
        <v>3</v>
      </c>
      <c r="X571" s="77">
        <v>39264</v>
      </c>
      <c r="Y571" s="75" t="str">
        <f ca="1">IF(I571="",IF(D571="","",IF(W571+X571&lt;15,"Données Nb pers ou RFR manquantes",IF(COUNTA(INDIRECT("TabRFR["&amp;YEAR(D571)&amp;"]"))&lt;&gt;COUNTA(TabRFR[Recherche RFR]),"Data RFR manquantes", IF(X571&lt;=INDEX(TabRFR[[2021]:[2025]],MATCH(BD!W571&amp;"-Très modestes",TabRFR[Recherche RFR],0),MATCH(TEXT(YEAR(BD!D571),"Standard"),TabRFR[[#Headers],[2021]:[2025]],0)),"Très Modeste",IF(X571&lt;=INDEX(TabRFR[[2021]:[2025]],MATCH(BD!W571&amp;"-modestes",TabRFR[Recherche RFR],0),MATCH(TEXT(YEAR(BD!D571),"Standard"),TabRFR[[#Headers],[2021]:[2025]],0)),"Modeste",IF(X571&lt;=INDEX(TabRFR[[2021]:[2025]],MATCH(BD!W571&amp;"-Intermédiaire",TabRFR[Recherche RFR],0),MATCH(TEXT(YEAR(BD!D571),"Standard"),TabRFR[[#Headers],[2021]:[2025]],0)),"Intermédiaire","Supérieur")))))),IF(D571="","",IF(W571+X571&lt;15,"Données Nb pers ou RFR manquantes",IF(COUNTA(INDIRECT("TabRFR["&amp;YEAR(I571)&amp;"]"))&lt;&gt;COUNTA(TabRFR[Recherche RFR]),"Data RFR manquantes", IF(X571&lt;=INDEX(TabRFR[[2021]:[2025]],MATCH(BD!W571&amp;"-Très modestes",TabRFR[Recherche RFR],0),MATCH(TEXT(YEAR(BD!I571),"Standard"),TabRFR[[#Headers],[2021]:[2025]],0)),"Très Modeste",IF(X571&lt;=INDEX(TabRFR[[2021]:[2025]],MATCH(BD!W571&amp;"-modestes",TabRFR[Recherche RFR],0),MATCH(TEXT(YEAR(BD!I571),"Standard"),TabRFR[[#Headers],[2021]:[2025]],0)),"Modeste",IF(X571&lt;=INDEX(TabRFR[[2021]:[2025]],MATCH(BD!W571&amp;"-Intermédiaire",TabRFR[Recherche RFR],0),MATCH(TEXT(YEAR(BD!I571),"Standard"),TabRFR[[#Headers],[2021]:[2025]],0)),"Intermédiaire","Supérieur")))))))</f>
        <v>Data RFR manquantes</v>
      </c>
      <c r="Z571" s="77"/>
      <c r="AA571" s="77" t="s">
        <v>3760</v>
      </c>
      <c r="AB571" s="77">
        <v>38140</v>
      </c>
      <c r="AC571" s="77" t="s">
        <v>237</v>
      </c>
      <c r="AD571" s="78"/>
      <c r="AE571" s="102"/>
      <c r="AF571" s="77" t="s">
        <v>95</v>
      </c>
      <c r="AG571" s="77"/>
      <c r="AH571" s="77"/>
      <c r="AI571" s="77"/>
      <c r="AJ571" s="77"/>
      <c r="AK571" s="77"/>
      <c r="AL571" s="77"/>
      <c r="AM571" s="77" t="s">
        <v>3973</v>
      </c>
      <c r="AN571" s="77" t="s">
        <v>96</v>
      </c>
      <c r="AO571" s="77" t="s">
        <v>3761</v>
      </c>
      <c r="AP571" s="77" t="s">
        <v>97</v>
      </c>
      <c r="AQ571" s="77"/>
      <c r="AR571" s="79">
        <v>44092</v>
      </c>
      <c r="AS571" s="102" t="s">
        <v>3762</v>
      </c>
      <c r="AT571" s="78">
        <v>476069938</v>
      </c>
      <c r="AU571" s="77" t="s">
        <v>100</v>
      </c>
      <c r="AV571" s="77">
        <v>1999</v>
      </c>
      <c r="AW571" s="77" t="s">
        <v>100</v>
      </c>
      <c r="AX571" s="77" t="s">
        <v>3800</v>
      </c>
      <c r="AY571" s="77" t="s">
        <v>3543</v>
      </c>
      <c r="AZ571" s="77" t="s">
        <v>3801</v>
      </c>
      <c r="BA571" s="77">
        <v>23</v>
      </c>
      <c r="BB571" s="77">
        <v>2.7</v>
      </c>
      <c r="BC571" s="77">
        <v>86</v>
      </c>
      <c r="BD571" s="77">
        <v>1125</v>
      </c>
      <c r="BE571" s="77" t="s">
        <v>97</v>
      </c>
      <c r="BF571" s="77"/>
      <c r="BG571" s="77">
        <v>5511.32</v>
      </c>
      <c r="BH571" s="77"/>
      <c r="BI571" s="77"/>
      <c r="BJ571" s="77"/>
      <c r="BK571" s="77">
        <v>890</v>
      </c>
      <c r="BL571" s="75">
        <f t="shared" si="24"/>
        <v>6401.32</v>
      </c>
      <c r="BM571" s="103">
        <f t="shared" si="25"/>
        <v>352.07259999999997</v>
      </c>
      <c r="BN571" s="103">
        <f t="shared" si="26"/>
        <v>6753.3925999999992</v>
      </c>
      <c r="BO571" s="80">
        <v>7488.39</v>
      </c>
      <c r="BP571" s="77" t="s">
        <v>97</v>
      </c>
      <c r="BQ571" s="77"/>
      <c r="BR571" s="77"/>
      <c r="BS571" s="157">
        <v>2019</v>
      </c>
      <c r="BT571">
        <v>2020</v>
      </c>
      <c r="BU571">
        <v>2019</v>
      </c>
    </row>
    <row r="572" spans="1:73" ht="43.15" customHeight="1" x14ac:dyDescent="0.25">
      <c r="A572" s="241" t="s">
        <v>3305</v>
      </c>
      <c r="B572" s="241" t="s">
        <v>3169</v>
      </c>
      <c r="C572" s="163">
        <v>400</v>
      </c>
      <c r="D572" s="76">
        <v>43712</v>
      </c>
      <c r="E572" s="76">
        <v>43712</v>
      </c>
      <c r="F572" s="76" t="s">
        <v>9</v>
      </c>
      <c r="G572" s="76" t="s">
        <v>9</v>
      </c>
      <c r="H572" s="76">
        <v>43728</v>
      </c>
      <c r="I572" s="76">
        <v>43728</v>
      </c>
      <c r="J572" s="76">
        <v>43733</v>
      </c>
      <c r="K572" s="218"/>
      <c r="L572" s="76">
        <v>43811</v>
      </c>
      <c r="M572" s="76">
        <v>43804</v>
      </c>
      <c r="N572" s="76"/>
      <c r="O572" s="76">
        <v>43817</v>
      </c>
      <c r="P572" s="76">
        <v>43817</v>
      </c>
      <c r="Q572" s="76">
        <v>43817</v>
      </c>
      <c r="R572" s="82"/>
      <c r="S572" s="76"/>
      <c r="T572" s="77"/>
      <c r="U572" s="77"/>
      <c r="V572" s="77"/>
      <c r="W572" s="77">
        <v>2</v>
      </c>
      <c r="X572" s="77">
        <v>74353</v>
      </c>
      <c r="Y572" s="75" t="str">
        <f ca="1">IF(I572="",IF(D572="","",IF(W572+X572&lt;15,"Données Nb pers ou RFR manquantes",IF(COUNTA(INDIRECT("TabRFR["&amp;YEAR(D572)&amp;"]"))&lt;&gt;COUNTA(TabRFR[Recherche RFR]),"Data RFR manquantes", IF(X572&lt;=INDEX(TabRFR[[2021]:[2025]],MATCH(BD!W572&amp;"-Très modestes",TabRFR[Recherche RFR],0),MATCH(TEXT(YEAR(BD!D572),"Standard"),TabRFR[[#Headers],[2021]:[2025]],0)),"Très Modeste",IF(X572&lt;=INDEX(TabRFR[[2021]:[2025]],MATCH(BD!W572&amp;"-modestes",TabRFR[Recherche RFR],0),MATCH(TEXT(YEAR(BD!D572),"Standard"),TabRFR[[#Headers],[2021]:[2025]],0)),"Modeste",IF(X572&lt;=INDEX(TabRFR[[2021]:[2025]],MATCH(BD!W572&amp;"-Intermédiaire",TabRFR[Recherche RFR],0),MATCH(TEXT(YEAR(BD!D572),"Standard"),TabRFR[[#Headers],[2021]:[2025]],0)),"Intermédiaire","Supérieur")))))),IF(D572="","",IF(W572+X572&lt;15,"Données Nb pers ou RFR manquantes",IF(COUNTA(INDIRECT("TabRFR["&amp;YEAR(I572)&amp;"]"))&lt;&gt;COUNTA(TabRFR[Recherche RFR]),"Data RFR manquantes", IF(X572&lt;=INDEX(TabRFR[[2021]:[2025]],MATCH(BD!W572&amp;"-Très modestes",TabRFR[Recherche RFR],0),MATCH(TEXT(YEAR(BD!I572),"Standard"),TabRFR[[#Headers],[2021]:[2025]],0)),"Très Modeste",IF(X572&lt;=INDEX(TabRFR[[2021]:[2025]],MATCH(BD!W572&amp;"-modestes",TabRFR[Recherche RFR],0),MATCH(TEXT(YEAR(BD!I572),"Standard"),TabRFR[[#Headers],[2021]:[2025]],0)),"Modeste",IF(X572&lt;=INDEX(TabRFR[[2021]:[2025]],MATCH(BD!W572&amp;"-Intermédiaire",TabRFR[Recherche RFR],0),MATCH(TEXT(YEAR(BD!I572),"Standard"),TabRFR[[#Headers],[2021]:[2025]],0)),"Intermédiaire","Supérieur")))))))</f>
        <v>Data RFR manquantes</v>
      </c>
      <c r="Z572" s="77"/>
      <c r="AA572" s="77" t="s">
        <v>3763</v>
      </c>
      <c r="AB572" s="77">
        <v>38430</v>
      </c>
      <c r="AC572" s="77" t="s">
        <v>3202</v>
      </c>
      <c r="AD572" s="78"/>
      <c r="AE572" s="102"/>
      <c r="AF572" s="77" t="s">
        <v>95</v>
      </c>
      <c r="AG572" s="77"/>
      <c r="AH572" s="77"/>
      <c r="AI572" s="77"/>
      <c r="AJ572" s="77"/>
      <c r="AK572" s="77"/>
      <c r="AL572" s="77"/>
      <c r="AM572" s="77" t="s">
        <v>3973</v>
      </c>
      <c r="AN572" s="77" t="s">
        <v>96</v>
      </c>
      <c r="AO572" s="77"/>
      <c r="AP572" s="77" t="s">
        <v>97</v>
      </c>
      <c r="AQ572" s="77"/>
      <c r="AR572" s="79">
        <v>44092</v>
      </c>
      <c r="AS572" s="102" t="s">
        <v>3802</v>
      </c>
      <c r="AT572" s="78">
        <v>476069938</v>
      </c>
      <c r="AU572" s="77" t="s">
        <v>100</v>
      </c>
      <c r="AV572" s="77">
        <v>2001</v>
      </c>
      <c r="AW572" s="77" t="s">
        <v>100</v>
      </c>
      <c r="AX572" s="75" t="s">
        <v>2071</v>
      </c>
      <c r="AY572" s="77" t="s">
        <v>3803</v>
      </c>
      <c r="AZ572" s="77" t="s">
        <v>3804</v>
      </c>
      <c r="BA572" s="77">
        <v>14</v>
      </c>
      <c r="BB572" s="77">
        <v>6</v>
      </c>
      <c r="BC572" s="77">
        <v>93</v>
      </c>
      <c r="BD572" s="77">
        <v>125</v>
      </c>
      <c r="BE572" s="77" t="s">
        <v>97</v>
      </c>
      <c r="BF572" s="77"/>
      <c r="BG572" s="77">
        <v>1690</v>
      </c>
      <c r="BH572" s="77"/>
      <c r="BI572" s="77"/>
      <c r="BJ572" s="77"/>
      <c r="BK572" s="77">
        <v>1520</v>
      </c>
      <c r="BL572" s="75">
        <f t="shared" si="24"/>
        <v>3210</v>
      </c>
      <c r="BM572" s="103">
        <f t="shared" si="25"/>
        <v>176.55</v>
      </c>
      <c r="BN572" s="103">
        <f t="shared" si="26"/>
        <v>3386.55</v>
      </c>
      <c r="BO572" s="80">
        <v>3386.55</v>
      </c>
      <c r="BP572" s="77" t="s">
        <v>97</v>
      </c>
      <c r="BQ572" s="77"/>
      <c r="BR572" s="77"/>
      <c r="BS572" s="157">
        <v>2019</v>
      </c>
      <c r="BU572">
        <v>2019</v>
      </c>
    </row>
    <row r="573" spans="1:73" ht="43.15" customHeight="1" x14ac:dyDescent="0.25">
      <c r="A573" s="241" t="s">
        <v>3305</v>
      </c>
      <c r="B573" s="241" t="s">
        <v>3764</v>
      </c>
      <c r="C573" s="159">
        <v>400</v>
      </c>
      <c r="D573" s="76">
        <v>43713</v>
      </c>
      <c r="E573" s="76">
        <v>43713</v>
      </c>
      <c r="F573" s="76">
        <v>43728</v>
      </c>
      <c r="G573" s="76">
        <v>43728</v>
      </c>
      <c r="H573" s="76">
        <v>43731</v>
      </c>
      <c r="I573" s="76">
        <v>43731</v>
      </c>
      <c r="J573" s="76">
        <v>43738</v>
      </c>
      <c r="K573" s="218"/>
      <c r="L573" s="76">
        <v>43899</v>
      </c>
      <c r="M573" s="76">
        <v>43885</v>
      </c>
      <c r="N573" s="76" t="s">
        <v>1220</v>
      </c>
      <c r="O573" s="76" t="s">
        <v>4340</v>
      </c>
      <c r="P573" s="76">
        <v>44126</v>
      </c>
      <c r="Q573" s="76">
        <v>44139</v>
      </c>
      <c r="R573" s="82"/>
      <c r="S573" s="76"/>
      <c r="T573" s="77"/>
      <c r="U573" s="77"/>
      <c r="V573" s="77"/>
      <c r="W573" s="77">
        <v>4</v>
      </c>
      <c r="X573" s="77">
        <v>46388</v>
      </c>
      <c r="Y573" s="75" t="str">
        <f ca="1">IF(I573="",IF(D573="","",IF(W573+X573&lt;15,"Données Nb pers ou RFR manquantes",IF(COUNTA(INDIRECT("TabRFR["&amp;YEAR(D573)&amp;"]"))&lt;&gt;COUNTA(TabRFR[Recherche RFR]),"Data RFR manquantes", IF(X573&lt;=INDEX(TabRFR[[2021]:[2025]],MATCH(BD!W573&amp;"-Très modestes",TabRFR[Recherche RFR],0),MATCH(TEXT(YEAR(BD!D573),"Standard"),TabRFR[[#Headers],[2021]:[2025]],0)),"Très Modeste",IF(X573&lt;=INDEX(TabRFR[[2021]:[2025]],MATCH(BD!W573&amp;"-modestes",TabRFR[Recherche RFR],0),MATCH(TEXT(YEAR(BD!D573),"Standard"),TabRFR[[#Headers],[2021]:[2025]],0)),"Modeste",IF(X573&lt;=INDEX(TabRFR[[2021]:[2025]],MATCH(BD!W573&amp;"-Intermédiaire",TabRFR[Recherche RFR],0),MATCH(TEXT(YEAR(BD!D573),"Standard"),TabRFR[[#Headers],[2021]:[2025]],0)),"Intermédiaire","Supérieur")))))),IF(D573="","",IF(W573+X573&lt;15,"Données Nb pers ou RFR manquantes",IF(COUNTA(INDIRECT("TabRFR["&amp;YEAR(I573)&amp;"]"))&lt;&gt;COUNTA(TabRFR[Recherche RFR]),"Data RFR manquantes", IF(X573&lt;=INDEX(TabRFR[[2021]:[2025]],MATCH(BD!W573&amp;"-Très modestes",TabRFR[Recherche RFR],0),MATCH(TEXT(YEAR(BD!I573),"Standard"),TabRFR[[#Headers],[2021]:[2025]],0)),"Très Modeste",IF(X573&lt;=INDEX(TabRFR[[2021]:[2025]],MATCH(BD!W573&amp;"-modestes",TabRFR[Recherche RFR],0),MATCH(TEXT(YEAR(BD!I573),"Standard"),TabRFR[[#Headers],[2021]:[2025]],0)),"Modeste",IF(X573&lt;=INDEX(TabRFR[[2021]:[2025]],MATCH(BD!W573&amp;"-Intermédiaire",TabRFR[Recherche RFR],0),MATCH(TEXT(YEAR(BD!I573),"Standard"),TabRFR[[#Headers],[2021]:[2025]],0)),"Intermédiaire","Supérieur")))))))</f>
        <v>Data RFR manquantes</v>
      </c>
      <c r="Z573" s="77"/>
      <c r="AA573" s="77" t="s">
        <v>2073</v>
      </c>
      <c r="AB573" s="77">
        <v>38620</v>
      </c>
      <c r="AC573" s="77" t="s">
        <v>3754</v>
      </c>
      <c r="AD573" s="78"/>
      <c r="AE573" s="102"/>
      <c r="AF573" s="77" t="s">
        <v>95</v>
      </c>
      <c r="AG573" s="77"/>
      <c r="AH573" s="77"/>
      <c r="AI573" s="77"/>
      <c r="AJ573" s="77"/>
      <c r="AK573" s="77"/>
      <c r="AL573" s="77"/>
      <c r="AM573" s="77" t="s">
        <v>4134</v>
      </c>
      <c r="AN573" s="77" t="s">
        <v>598</v>
      </c>
      <c r="AO573" s="77" t="s">
        <v>3766</v>
      </c>
      <c r="AP573" s="77" t="s">
        <v>97</v>
      </c>
      <c r="AQ573" s="77"/>
      <c r="AR573" s="79">
        <v>43793</v>
      </c>
      <c r="AS573" s="102" t="s">
        <v>3284</v>
      </c>
      <c r="AT573" s="78">
        <v>616945292</v>
      </c>
      <c r="AU573" s="77" t="s">
        <v>111</v>
      </c>
      <c r="AV573" s="77"/>
      <c r="AW573" s="77" t="s">
        <v>111</v>
      </c>
      <c r="AX573" s="77" t="s">
        <v>112</v>
      </c>
      <c r="AY573" s="77" t="s">
        <v>316</v>
      </c>
      <c r="AZ573" s="77" t="s">
        <v>3805</v>
      </c>
      <c r="BA573" s="77">
        <v>39</v>
      </c>
      <c r="BB573" s="77">
        <v>10</v>
      </c>
      <c r="BC573" s="77">
        <v>80</v>
      </c>
      <c r="BD573" s="77"/>
      <c r="BE573" s="77" t="s">
        <v>97</v>
      </c>
      <c r="BF573" s="77"/>
      <c r="BG573" s="77">
        <v>1998</v>
      </c>
      <c r="BH573" s="77"/>
      <c r="BI573" s="77"/>
      <c r="BJ573" s="77"/>
      <c r="BK573" s="77">
        <v>1300</v>
      </c>
      <c r="BL573" s="75">
        <f t="shared" si="24"/>
        <v>3298</v>
      </c>
      <c r="BM573" s="103">
        <f t="shared" si="25"/>
        <v>181.39000000000001</v>
      </c>
      <c r="BN573" s="103">
        <f t="shared" si="26"/>
        <v>3479.39</v>
      </c>
      <c r="BO573" s="80">
        <v>5527.4</v>
      </c>
      <c r="BP573" s="77" t="s">
        <v>104</v>
      </c>
      <c r="BQ573" s="77"/>
      <c r="BR573" s="77"/>
      <c r="BS573" s="157">
        <v>2019</v>
      </c>
      <c r="BT573" s="235">
        <v>43770</v>
      </c>
      <c r="BU573">
        <v>2020</v>
      </c>
    </row>
    <row r="574" spans="1:73" ht="43.15" customHeight="1" x14ac:dyDescent="0.25">
      <c r="A574" s="241" t="s">
        <v>3305</v>
      </c>
      <c r="B574" s="241" t="s">
        <v>3765</v>
      </c>
      <c r="C574" s="159">
        <v>400</v>
      </c>
      <c r="D574" s="76">
        <v>43713</v>
      </c>
      <c r="E574" s="76">
        <v>43713</v>
      </c>
      <c r="F574" s="76"/>
      <c r="G574" s="76"/>
      <c r="H574" s="76">
        <v>43782</v>
      </c>
      <c r="I574" s="76">
        <v>43782</v>
      </c>
      <c r="J574" s="76">
        <v>43790</v>
      </c>
      <c r="K574" s="218"/>
      <c r="L574" s="76">
        <v>43857</v>
      </c>
      <c r="M574" s="76">
        <v>43805</v>
      </c>
      <c r="N574" s="76" t="s">
        <v>4044</v>
      </c>
      <c r="O574" s="76">
        <v>43860</v>
      </c>
      <c r="P574" s="76">
        <v>43860</v>
      </c>
      <c r="Q574" s="76">
        <v>43861</v>
      </c>
      <c r="R574" s="82"/>
      <c r="S574" s="76"/>
      <c r="T574" s="77"/>
      <c r="U574" s="77"/>
      <c r="V574" s="77"/>
      <c r="W574" s="77">
        <v>4</v>
      </c>
      <c r="X574" s="77">
        <v>71800</v>
      </c>
      <c r="Y574" s="75" t="str">
        <f ca="1">IF(I574="",IF(D574="","",IF(W574+X574&lt;15,"Données Nb pers ou RFR manquantes",IF(COUNTA(INDIRECT("TabRFR["&amp;YEAR(D574)&amp;"]"))&lt;&gt;COUNTA(TabRFR[Recherche RFR]),"Data RFR manquantes", IF(X574&lt;=INDEX(TabRFR[[2021]:[2025]],MATCH(BD!W574&amp;"-Très modestes",TabRFR[Recherche RFR],0),MATCH(TEXT(YEAR(BD!D574),"Standard"),TabRFR[[#Headers],[2021]:[2025]],0)),"Très Modeste",IF(X574&lt;=INDEX(TabRFR[[2021]:[2025]],MATCH(BD!W574&amp;"-modestes",TabRFR[Recherche RFR],0),MATCH(TEXT(YEAR(BD!D574),"Standard"),TabRFR[[#Headers],[2021]:[2025]],0)),"Modeste",IF(X574&lt;=INDEX(TabRFR[[2021]:[2025]],MATCH(BD!W574&amp;"-Intermédiaire",TabRFR[Recherche RFR],0),MATCH(TEXT(YEAR(BD!D574),"Standard"),TabRFR[[#Headers],[2021]:[2025]],0)),"Intermédiaire","Supérieur")))))),IF(D574="","",IF(W574+X574&lt;15,"Données Nb pers ou RFR manquantes",IF(COUNTA(INDIRECT("TabRFR["&amp;YEAR(I574)&amp;"]"))&lt;&gt;COUNTA(TabRFR[Recherche RFR]),"Data RFR manquantes", IF(X574&lt;=INDEX(TabRFR[[2021]:[2025]],MATCH(BD!W574&amp;"-Très modestes",TabRFR[Recherche RFR],0),MATCH(TEXT(YEAR(BD!I574),"Standard"),TabRFR[[#Headers],[2021]:[2025]],0)),"Très Modeste",IF(X574&lt;=INDEX(TabRFR[[2021]:[2025]],MATCH(BD!W574&amp;"-modestes",TabRFR[Recherche RFR],0),MATCH(TEXT(YEAR(BD!I574),"Standard"),TabRFR[[#Headers],[2021]:[2025]],0)),"Modeste",IF(X574&lt;=INDEX(TabRFR[[2021]:[2025]],MATCH(BD!W574&amp;"-Intermédiaire",TabRFR[Recherche RFR],0),MATCH(TEXT(YEAR(BD!I574),"Standard"),TabRFR[[#Headers],[2021]:[2025]],0)),"Intermédiaire","Supérieur")))))))</f>
        <v>Data RFR manquantes</v>
      </c>
      <c r="Z574" s="77"/>
      <c r="AA574" s="77" t="s">
        <v>3767</v>
      </c>
      <c r="AB574" s="77">
        <v>38500</v>
      </c>
      <c r="AC574" s="77" t="s">
        <v>94</v>
      </c>
      <c r="AD574" s="78"/>
      <c r="AE574" s="102"/>
      <c r="AF574" s="77" t="s">
        <v>95</v>
      </c>
      <c r="AG574" s="77"/>
      <c r="AH574" s="77"/>
      <c r="AI574" s="77"/>
      <c r="AJ574" s="77"/>
      <c r="AK574" s="77"/>
      <c r="AL574" s="77"/>
      <c r="AM574" s="77" t="s">
        <v>2246</v>
      </c>
      <c r="AN574" s="77" t="s">
        <v>96</v>
      </c>
      <c r="AO574" s="77" t="s">
        <v>119</v>
      </c>
      <c r="AP574" s="77" t="s">
        <v>97</v>
      </c>
      <c r="AQ574" s="77"/>
      <c r="AR574" s="79"/>
      <c r="AS574" s="102" t="s">
        <v>120</v>
      </c>
      <c r="AT574" s="78">
        <v>476071461</v>
      </c>
      <c r="AU574" s="77" t="s">
        <v>430</v>
      </c>
      <c r="AV574" s="77">
        <v>1800</v>
      </c>
      <c r="AW574" s="77" t="s">
        <v>100</v>
      </c>
      <c r="AX574" s="77" t="s">
        <v>112</v>
      </c>
      <c r="AY574" s="77" t="s">
        <v>3240</v>
      </c>
      <c r="AZ574" s="77" t="s">
        <v>3924</v>
      </c>
      <c r="BA574" s="77">
        <v>15</v>
      </c>
      <c r="BB574" s="77">
        <v>11</v>
      </c>
      <c r="BC574" s="77">
        <v>78</v>
      </c>
      <c r="BD574" s="77">
        <v>0.09</v>
      </c>
      <c r="BE574" s="77" t="s">
        <v>97</v>
      </c>
      <c r="BF574" s="77"/>
      <c r="BG574" s="77">
        <v>2286.1999999999998</v>
      </c>
      <c r="BH574" s="77"/>
      <c r="BI574" s="77"/>
      <c r="BJ574" s="77"/>
      <c r="BK574" s="77">
        <v>450</v>
      </c>
      <c r="BL574" s="75">
        <f t="shared" si="24"/>
        <v>2736.2</v>
      </c>
      <c r="BM574" s="103">
        <f t="shared" si="25"/>
        <v>150.49099999999999</v>
      </c>
      <c r="BN574" s="103">
        <f t="shared" si="26"/>
        <v>2886.6909999999998</v>
      </c>
      <c r="BO574" s="80">
        <v>4040.04</v>
      </c>
      <c r="BP574" s="77" t="s">
        <v>104</v>
      </c>
      <c r="BQ574" s="77"/>
      <c r="BR574" s="77"/>
      <c r="BS574" s="157">
        <v>2019</v>
      </c>
      <c r="BT574" s="235">
        <v>43770</v>
      </c>
      <c r="BU574">
        <v>2019</v>
      </c>
    </row>
    <row r="575" spans="1:73" ht="43.15" customHeight="1" x14ac:dyDescent="0.25">
      <c r="A575" s="241" t="s">
        <v>3305</v>
      </c>
      <c r="B575" s="241" t="s">
        <v>3768</v>
      </c>
      <c r="C575" s="159">
        <v>400</v>
      </c>
      <c r="D575" s="76">
        <v>43717</v>
      </c>
      <c r="E575" s="76">
        <v>43717</v>
      </c>
      <c r="F575" s="76"/>
      <c r="G575" s="76"/>
      <c r="H575" s="76">
        <v>43728</v>
      </c>
      <c r="I575" s="76">
        <v>43728</v>
      </c>
      <c r="J575" s="76">
        <v>43733</v>
      </c>
      <c r="K575" s="218"/>
      <c r="L575" s="76">
        <v>43761</v>
      </c>
      <c r="M575" s="76">
        <v>43746</v>
      </c>
      <c r="N575" s="76" t="s">
        <v>9</v>
      </c>
      <c r="O575" s="76">
        <v>43775</v>
      </c>
      <c r="P575" s="76">
        <v>43775</v>
      </c>
      <c r="Q575" s="76">
        <v>43787</v>
      </c>
      <c r="R575" s="82"/>
      <c r="S575" s="76"/>
      <c r="T575" s="77"/>
      <c r="U575" s="77"/>
      <c r="V575" s="77"/>
      <c r="W575" s="77">
        <v>3</v>
      </c>
      <c r="X575" s="77">
        <v>53441</v>
      </c>
      <c r="Y575" s="75" t="str">
        <f ca="1">IF(I575="",IF(D575="","",IF(W575+X575&lt;15,"Données Nb pers ou RFR manquantes",IF(COUNTA(INDIRECT("TabRFR["&amp;YEAR(D575)&amp;"]"))&lt;&gt;COUNTA(TabRFR[Recherche RFR]),"Data RFR manquantes", IF(X575&lt;=INDEX(TabRFR[[2021]:[2025]],MATCH(BD!W575&amp;"-Très modestes",TabRFR[Recherche RFR],0),MATCH(TEXT(YEAR(BD!D575),"Standard"),TabRFR[[#Headers],[2021]:[2025]],0)),"Très Modeste",IF(X575&lt;=INDEX(TabRFR[[2021]:[2025]],MATCH(BD!W575&amp;"-modestes",TabRFR[Recherche RFR],0),MATCH(TEXT(YEAR(BD!D575),"Standard"),TabRFR[[#Headers],[2021]:[2025]],0)),"Modeste",IF(X575&lt;=INDEX(TabRFR[[2021]:[2025]],MATCH(BD!W575&amp;"-Intermédiaire",TabRFR[Recherche RFR],0),MATCH(TEXT(YEAR(BD!D575),"Standard"),TabRFR[[#Headers],[2021]:[2025]],0)),"Intermédiaire","Supérieur")))))),IF(D575="","",IF(W575+X575&lt;15,"Données Nb pers ou RFR manquantes",IF(COUNTA(INDIRECT("TabRFR["&amp;YEAR(I575)&amp;"]"))&lt;&gt;COUNTA(TabRFR[Recherche RFR]),"Data RFR manquantes", IF(X575&lt;=INDEX(TabRFR[[2021]:[2025]],MATCH(BD!W575&amp;"-Très modestes",TabRFR[Recherche RFR],0),MATCH(TEXT(YEAR(BD!I575),"Standard"),TabRFR[[#Headers],[2021]:[2025]],0)),"Très Modeste",IF(X575&lt;=INDEX(TabRFR[[2021]:[2025]],MATCH(BD!W575&amp;"-modestes",TabRFR[Recherche RFR],0),MATCH(TEXT(YEAR(BD!I575),"Standard"),TabRFR[[#Headers],[2021]:[2025]],0)),"Modeste",IF(X575&lt;=INDEX(TabRFR[[2021]:[2025]],MATCH(BD!W575&amp;"-Intermédiaire",TabRFR[Recherche RFR],0),MATCH(TEXT(YEAR(BD!I575),"Standard"),TabRFR[[#Headers],[2021]:[2025]],0)),"Intermédiaire","Supérieur")))))))</f>
        <v>Data RFR manquantes</v>
      </c>
      <c r="Z575" s="77"/>
      <c r="AA575" s="77" t="s">
        <v>3770</v>
      </c>
      <c r="AB575" s="77">
        <v>38140</v>
      </c>
      <c r="AC575" s="77" t="s">
        <v>3048</v>
      </c>
      <c r="AD575" s="78"/>
      <c r="AE575" s="102"/>
      <c r="AF575" s="77" t="s">
        <v>95</v>
      </c>
      <c r="AG575" s="77"/>
      <c r="AH575" s="77"/>
      <c r="AI575" s="77"/>
      <c r="AJ575" s="77"/>
      <c r="AK575" s="77"/>
      <c r="AL575" s="77"/>
      <c r="AM575" s="77" t="s">
        <v>4359</v>
      </c>
      <c r="AN575" s="77" t="s">
        <v>829</v>
      </c>
      <c r="AO575" s="77"/>
      <c r="AP575" s="77" t="s">
        <v>97</v>
      </c>
      <c r="AQ575" s="77"/>
      <c r="AR575" s="79">
        <v>43752</v>
      </c>
      <c r="AS575" s="102" t="s">
        <v>491</v>
      </c>
      <c r="AT575" s="78">
        <v>476452433</v>
      </c>
      <c r="AU575" s="77" t="s">
        <v>100</v>
      </c>
      <c r="AV575" s="77">
        <v>2000</v>
      </c>
      <c r="AW575" s="77" t="s">
        <v>100</v>
      </c>
      <c r="AX575" s="77" t="s">
        <v>3797</v>
      </c>
      <c r="AY575" s="77" t="s">
        <v>492</v>
      </c>
      <c r="AZ575" s="77" t="s">
        <v>979</v>
      </c>
      <c r="BA575" s="77">
        <v>25</v>
      </c>
      <c r="BB575" s="77">
        <v>6</v>
      </c>
      <c r="BC575" s="77">
        <v>0.06</v>
      </c>
      <c r="BD575" s="77">
        <v>81</v>
      </c>
      <c r="BE575" s="77" t="s">
        <v>97</v>
      </c>
      <c r="BF575" s="77"/>
      <c r="BG575" s="77">
        <v>2739</v>
      </c>
      <c r="BH575" s="77"/>
      <c r="BI575" s="77"/>
      <c r="BJ575" s="77"/>
      <c r="BK575" s="77">
        <v>450</v>
      </c>
      <c r="BL575" s="75">
        <f t="shared" si="24"/>
        <v>3189</v>
      </c>
      <c r="BM575" s="103">
        <f t="shared" si="25"/>
        <v>175.39500000000001</v>
      </c>
      <c r="BN575" s="103">
        <f t="shared" si="26"/>
        <v>3364.395</v>
      </c>
      <c r="BO575" s="80">
        <v>5087.25</v>
      </c>
      <c r="BP575" s="77" t="s">
        <v>104</v>
      </c>
      <c r="BQ575" s="77"/>
      <c r="BR575" s="77"/>
      <c r="BS575" s="157">
        <v>2019</v>
      </c>
      <c r="BT575" s="235">
        <v>43770</v>
      </c>
      <c r="BU575">
        <v>2019</v>
      </c>
    </row>
    <row r="576" spans="1:73" ht="43.15" customHeight="1" x14ac:dyDescent="0.25">
      <c r="A576" s="241" t="s">
        <v>3305</v>
      </c>
      <c r="B576" s="241" t="s">
        <v>3769</v>
      </c>
      <c r="C576" s="159">
        <v>400</v>
      </c>
      <c r="D576" s="76">
        <v>43717</v>
      </c>
      <c r="E576" s="76">
        <v>43717</v>
      </c>
      <c r="F576" s="76"/>
      <c r="G576" s="76"/>
      <c r="H576" s="76">
        <v>43728</v>
      </c>
      <c r="I576" s="76">
        <v>43728</v>
      </c>
      <c r="J576" s="76">
        <v>43733</v>
      </c>
      <c r="K576" s="218"/>
      <c r="L576" s="76">
        <v>43781</v>
      </c>
      <c r="M576" s="76">
        <v>43775</v>
      </c>
      <c r="N576" s="76" t="s">
        <v>9</v>
      </c>
      <c r="O576" s="76">
        <v>43782</v>
      </c>
      <c r="P576" s="76">
        <v>43782</v>
      </c>
      <c r="Q576" s="76">
        <v>43787</v>
      </c>
      <c r="R576" s="82"/>
      <c r="S576" s="76"/>
      <c r="T576" s="77"/>
      <c r="U576" s="77"/>
      <c r="V576" s="77"/>
      <c r="W576" s="77">
        <v>3</v>
      </c>
      <c r="X576" s="77">
        <v>96889</v>
      </c>
      <c r="Y576" s="75" t="str">
        <f ca="1">IF(I576="",IF(D576="","",IF(W576+X576&lt;15,"Données Nb pers ou RFR manquantes",IF(COUNTA(INDIRECT("TabRFR["&amp;YEAR(D576)&amp;"]"))&lt;&gt;COUNTA(TabRFR[Recherche RFR]),"Data RFR manquantes", IF(X576&lt;=INDEX(TabRFR[[2021]:[2025]],MATCH(BD!W576&amp;"-Très modestes",TabRFR[Recherche RFR],0),MATCH(TEXT(YEAR(BD!D576),"Standard"),TabRFR[[#Headers],[2021]:[2025]],0)),"Très Modeste",IF(X576&lt;=INDEX(TabRFR[[2021]:[2025]],MATCH(BD!W576&amp;"-modestes",TabRFR[Recherche RFR],0),MATCH(TEXT(YEAR(BD!D576),"Standard"),TabRFR[[#Headers],[2021]:[2025]],0)),"Modeste",IF(X576&lt;=INDEX(TabRFR[[2021]:[2025]],MATCH(BD!W576&amp;"-Intermédiaire",TabRFR[Recherche RFR],0),MATCH(TEXT(YEAR(BD!D576),"Standard"),TabRFR[[#Headers],[2021]:[2025]],0)),"Intermédiaire","Supérieur")))))),IF(D576="","",IF(W576+X576&lt;15,"Données Nb pers ou RFR manquantes",IF(COUNTA(INDIRECT("TabRFR["&amp;YEAR(I576)&amp;"]"))&lt;&gt;COUNTA(TabRFR[Recherche RFR]),"Data RFR manquantes", IF(X576&lt;=INDEX(TabRFR[[2021]:[2025]],MATCH(BD!W576&amp;"-Très modestes",TabRFR[Recherche RFR],0),MATCH(TEXT(YEAR(BD!I576),"Standard"),TabRFR[[#Headers],[2021]:[2025]],0)),"Très Modeste",IF(X576&lt;=INDEX(TabRFR[[2021]:[2025]],MATCH(BD!W576&amp;"-modestes",TabRFR[Recherche RFR],0),MATCH(TEXT(YEAR(BD!I576),"Standard"),TabRFR[[#Headers],[2021]:[2025]],0)),"Modeste",IF(X576&lt;=INDEX(TabRFR[[2021]:[2025]],MATCH(BD!W576&amp;"-Intermédiaire",TabRFR[Recherche RFR],0),MATCH(TEXT(YEAR(BD!I576),"Standard"),TabRFR[[#Headers],[2021]:[2025]],0)),"Intermédiaire","Supérieur")))))))</f>
        <v>Data RFR manquantes</v>
      </c>
      <c r="Z576" s="77"/>
      <c r="AA576" s="77" t="s">
        <v>3697</v>
      </c>
      <c r="AB576" s="77">
        <v>38340</v>
      </c>
      <c r="AC576" s="77" t="s">
        <v>108</v>
      </c>
      <c r="AD576" s="78"/>
      <c r="AE576" s="102"/>
      <c r="AF576" s="77" t="s">
        <v>95</v>
      </c>
      <c r="AG576" s="77"/>
      <c r="AH576" s="77"/>
      <c r="AI576" s="77"/>
      <c r="AJ576" s="77"/>
      <c r="AK576" s="77"/>
      <c r="AL576" s="77"/>
      <c r="AM576" s="77" t="s">
        <v>4359</v>
      </c>
      <c r="AN576" s="77" t="s">
        <v>829</v>
      </c>
      <c r="AO576" s="77" t="s">
        <v>3720</v>
      </c>
      <c r="AP576" s="77" t="s">
        <v>97</v>
      </c>
      <c r="AQ576" s="77"/>
      <c r="AR576" s="79">
        <v>43752</v>
      </c>
      <c r="AS576" s="102" t="s">
        <v>491</v>
      </c>
      <c r="AT576" s="78">
        <v>476452433</v>
      </c>
      <c r="AU576" s="77" t="s">
        <v>111</v>
      </c>
      <c r="AV576" s="77">
        <v>2001</v>
      </c>
      <c r="AW576" s="77" t="s">
        <v>100</v>
      </c>
      <c r="AX576" s="77" t="s">
        <v>112</v>
      </c>
      <c r="AY576" s="77" t="s">
        <v>492</v>
      </c>
      <c r="AZ576" s="77" t="s">
        <v>3806</v>
      </c>
      <c r="BA576" s="77">
        <v>16</v>
      </c>
      <c r="BB576" s="77">
        <v>6</v>
      </c>
      <c r="BC576" s="77">
        <v>81</v>
      </c>
      <c r="BD576" s="77">
        <v>16</v>
      </c>
      <c r="BE576" s="77" t="s">
        <v>97</v>
      </c>
      <c r="BF576" s="77"/>
      <c r="BG576" s="77">
        <v>4812.3900000000003</v>
      </c>
      <c r="BH576" s="77"/>
      <c r="BI576" s="77"/>
      <c r="BJ576" s="77"/>
      <c r="BK576" s="77">
        <v>1</v>
      </c>
      <c r="BL576" s="75">
        <f t="shared" si="24"/>
        <v>4813.3900000000003</v>
      </c>
      <c r="BM576" s="103">
        <f t="shared" si="25"/>
        <v>264.73645000000005</v>
      </c>
      <c r="BN576" s="103">
        <f t="shared" si="26"/>
        <v>5078.1264500000007</v>
      </c>
      <c r="BO576" s="80">
        <v>5077.2299999999996</v>
      </c>
      <c r="BP576" s="77" t="s">
        <v>104</v>
      </c>
      <c r="BQ576" s="77"/>
      <c r="BR576" s="77"/>
      <c r="BS576" s="157">
        <v>2019</v>
      </c>
      <c r="BT576" s="235">
        <v>43770</v>
      </c>
      <c r="BU576">
        <v>2019</v>
      </c>
    </row>
    <row r="577" spans="1:73" ht="43.15" customHeight="1" x14ac:dyDescent="0.25">
      <c r="A577" s="241" t="s">
        <v>3305</v>
      </c>
      <c r="B577" s="241" t="s">
        <v>3771</v>
      </c>
      <c r="C577" s="159">
        <v>400</v>
      </c>
      <c r="D577" s="76">
        <v>43717</v>
      </c>
      <c r="E577" s="76"/>
      <c r="F577" s="76"/>
      <c r="G577" s="76"/>
      <c r="H577" s="76" t="s">
        <v>3807</v>
      </c>
      <c r="I577" s="76">
        <v>43728</v>
      </c>
      <c r="J577" s="76">
        <v>43733</v>
      </c>
      <c r="K577" s="218"/>
      <c r="L577" s="76">
        <v>43797</v>
      </c>
      <c r="M577" s="76">
        <v>43754</v>
      </c>
      <c r="N577" s="76" t="s">
        <v>9</v>
      </c>
      <c r="O577" s="76">
        <v>43803</v>
      </c>
      <c r="P577" s="76">
        <v>43803</v>
      </c>
      <c r="Q577" s="76">
        <v>43809</v>
      </c>
      <c r="R577" s="82"/>
      <c r="S577" s="76"/>
      <c r="T577" s="77"/>
      <c r="U577" s="77"/>
      <c r="V577" s="77"/>
      <c r="W577" s="77">
        <v>2</v>
      </c>
      <c r="X577" s="77" t="s">
        <v>3772</v>
      </c>
      <c r="Y577" s="75" t="e">
        <f ca="1">IF(I577="",IF(D577="","",IF(W577+X577&lt;15,"Données Nb pers ou RFR manquantes",IF(COUNTA(INDIRECT("TabRFR["&amp;YEAR(D577)&amp;"]"))&lt;&gt;COUNTA(TabRFR[Recherche RFR]),"Data RFR manquantes", IF(X577&lt;=INDEX(TabRFR[[2021]:[2025]],MATCH(BD!W577&amp;"-Très modestes",TabRFR[Recherche RFR],0),MATCH(TEXT(YEAR(BD!D577),"Standard"),TabRFR[[#Headers],[2021]:[2025]],0)),"Très Modeste",IF(X577&lt;=INDEX(TabRFR[[2021]:[2025]],MATCH(BD!W577&amp;"-modestes",TabRFR[Recherche RFR],0),MATCH(TEXT(YEAR(BD!D577),"Standard"),TabRFR[[#Headers],[2021]:[2025]],0)),"Modeste",IF(X577&lt;=INDEX(TabRFR[[2021]:[2025]],MATCH(BD!W577&amp;"-Intermédiaire",TabRFR[Recherche RFR],0),MATCH(TEXT(YEAR(BD!D577),"Standard"),TabRFR[[#Headers],[2021]:[2025]],0)),"Intermédiaire","Supérieur")))))),IF(D577="","",IF(W577+X577&lt;15,"Données Nb pers ou RFR manquantes",IF(COUNTA(INDIRECT("TabRFR["&amp;YEAR(I577)&amp;"]"))&lt;&gt;COUNTA(TabRFR[Recherche RFR]),"Data RFR manquantes", IF(X577&lt;=INDEX(TabRFR[[2021]:[2025]],MATCH(BD!W577&amp;"-Très modestes",TabRFR[Recherche RFR],0),MATCH(TEXT(YEAR(BD!I577),"Standard"),TabRFR[[#Headers],[2021]:[2025]],0)),"Très Modeste",IF(X577&lt;=INDEX(TabRFR[[2021]:[2025]],MATCH(BD!W577&amp;"-modestes",TabRFR[Recherche RFR],0),MATCH(TEXT(YEAR(BD!I577),"Standard"),TabRFR[[#Headers],[2021]:[2025]],0)),"Modeste",IF(X577&lt;=INDEX(TabRFR[[2021]:[2025]],MATCH(BD!W577&amp;"-Intermédiaire",TabRFR[Recherche RFR],0),MATCH(TEXT(YEAR(BD!I577),"Standard"),TabRFR[[#Headers],[2021]:[2025]],0)),"Intermédiaire","Supérieur")))))))</f>
        <v>#VALUE!</v>
      </c>
      <c r="Z577" s="77"/>
      <c r="AA577" s="77" t="s">
        <v>3773</v>
      </c>
      <c r="AB577" s="77">
        <v>38620</v>
      </c>
      <c r="AC577" s="77" t="s">
        <v>857</v>
      </c>
      <c r="AD577" s="78"/>
      <c r="AE577" s="102"/>
      <c r="AF577" s="77" t="s">
        <v>95</v>
      </c>
      <c r="AG577" s="77"/>
      <c r="AH577" s="77"/>
      <c r="AI577" s="77"/>
      <c r="AJ577" s="77"/>
      <c r="AK577" s="77"/>
      <c r="AL577" s="77"/>
      <c r="AM577" s="77" t="s">
        <v>4191</v>
      </c>
      <c r="AN577" s="77" t="s">
        <v>96</v>
      </c>
      <c r="AO577" s="77" t="s">
        <v>1850</v>
      </c>
      <c r="AP577" s="77" t="s">
        <v>97</v>
      </c>
      <c r="AQ577" s="77"/>
      <c r="AR577" s="79">
        <v>44059</v>
      </c>
      <c r="AS577" s="102" t="s">
        <v>230</v>
      </c>
      <c r="AT577" s="78">
        <v>476059444</v>
      </c>
      <c r="AU577" s="77" t="s">
        <v>100</v>
      </c>
      <c r="AV577" s="77">
        <v>1998</v>
      </c>
      <c r="AW577" s="77" t="s">
        <v>100</v>
      </c>
      <c r="AX577" s="75" t="s">
        <v>2071</v>
      </c>
      <c r="AY577" s="77" t="s">
        <v>232</v>
      </c>
      <c r="AZ577" s="77" t="s">
        <v>564</v>
      </c>
      <c r="BA577" s="77">
        <v>14.5</v>
      </c>
      <c r="BB577" s="77">
        <v>8</v>
      </c>
      <c r="BC577" s="77">
        <v>91.5</v>
      </c>
      <c r="BD577" s="77">
        <v>3.7000000000000002E-3</v>
      </c>
      <c r="BE577" s="77" t="s">
        <v>374</v>
      </c>
      <c r="BF577" s="77"/>
      <c r="BG577" s="77">
        <v>4365</v>
      </c>
      <c r="BH577" s="77"/>
      <c r="BI577" s="77"/>
      <c r="BJ577" s="77"/>
      <c r="BK577" s="77">
        <v>300</v>
      </c>
      <c r="BL577" s="75">
        <f t="shared" si="24"/>
        <v>4665</v>
      </c>
      <c r="BM577" s="103">
        <f t="shared" si="25"/>
        <v>256.57499999999999</v>
      </c>
      <c r="BN577" s="103">
        <f t="shared" si="26"/>
        <v>4921.5749999999998</v>
      </c>
      <c r="BO577" s="80">
        <v>4320.2299999999996</v>
      </c>
      <c r="BP577" s="77" t="s">
        <v>97</v>
      </c>
      <c r="BQ577" s="77"/>
      <c r="BR577" s="77"/>
      <c r="BS577" s="157">
        <v>2019</v>
      </c>
      <c r="BU577">
        <v>2019</v>
      </c>
    </row>
    <row r="578" spans="1:73" ht="43.15" customHeight="1" x14ac:dyDescent="0.25">
      <c r="A578" s="241" t="s">
        <v>3305</v>
      </c>
      <c r="B578" s="241" t="s">
        <v>3777</v>
      </c>
      <c r="C578" s="159">
        <v>800</v>
      </c>
      <c r="D578" s="76">
        <v>43718</v>
      </c>
      <c r="E578" s="76">
        <v>43718</v>
      </c>
      <c r="F578" s="76">
        <v>43728</v>
      </c>
      <c r="G578" s="76">
        <v>43728</v>
      </c>
      <c r="H578" s="76">
        <v>43731</v>
      </c>
      <c r="I578" s="76">
        <v>43731</v>
      </c>
      <c r="J578" s="76">
        <v>43738</v>
      </c>
      <c r="K578" s="218"/>
      <c r="L578" s="76">
        <v>43845</v>
      </c>
      <c r="M578" s="76">
        <v>44176</v>
      </c>
      <c r="N578" s="76" t="s">
        <v>4044</v>
      </c>
      <c r="O578" s="76">
        <v>43846</v>
      </c>
      <c r="P578" s="76">
        <v>43846</v>
      </c>
      <c r="Q578" s="76">
        <v>43853</v>
      </c>
      <c r="R578" s="82"/>
      <c r="S578" s="76"/>
      <c r="T578" s="77"/>
      <c r="U578" s="77"/>
      <c r="V578" s="77"/>
      <c r="W578" s="77">
        <v>4</v>
      </c>
      <c r="X578" s="77">
        <v>30177</v>
      </c>
      <c r="Y578" s="75" t="str">
        <f ca="1">IF(I578="",IF(D578="","",IF(W578+X578&lt;15,"Données Nb pers ou RFR manquantes",IF(COUNTA(INDIRECT("TabRFR["&amp;YEAR(D578)&amp;"]"))&lt;&gt;COUNTA(TabRFR[Recherche RFR]),"Data RFR manquantes", IF(X578&lt;=INDEX(TabRFR[[2021]:[2025]],MATCH(BD!W578&amp;"-Très modestes",TabRFR[Recherche RFR],0),MATCH(TEXT(YEAR(BD!D578),"Standard"),TabRFR[[#Headers],[2021]:[2025]],0)),"Très Modeste",IF(X578&lt;=INDEX(TabRFR[[2021]:[2025]],MATCH(BD!W578&amp;"-modestes",TabRFR[Recherche RFR],0),MATCH(TEXT(YEAR(BD!D578),"Standard"),TabRFR[[#Headers],[2021]:[2025]],0)),"Modeste",IF(X578&lt;=INDEX(TabRFR[[2021]:[2025]],MATCH(BD!W578&amp;"-Intermédiaire",TabRFR[Recherche RFR],0),MATCH(TEXT(YEAR(BD!D578),"Standard"),TabRFR[[#Headers],[2021]:[2025]],0)),"Intermédiaire","Supérieur")))))),IF(D578="","",IF(W578+X578&lt;15,"Données Nb pers ou RFR manquantes",IF(COUNTA(INDIRECT("TabRFR["&amp;YEAR(I578)&amp;"]"))&lt;&gt;COUNTA(TabRFR[Recherche RFR]),"Data RFR manquantes", IF(X578&lt;=INDEX(TabRFR[[2021]:[2025]],MATCH(BD!W578&amp;"-Très modestes",TabRFR[Recherche RFR],0),MATCH(TEXT(YEAR(BD!I578),"Standard"),TabRFR[[#Headers],[2021]:[2025]],0)),"Très Modeste",IF(X578&lt;=INDEX(TabRFR[[2021]:[2025]],MATCH(BD!W578&amp;"-modestes",TabRFR[Recherche RFR],0),MATCH(TEXT(YEAR(BD!I578),"Standard"),TabRFR[[#Headers],[2021]:[2025]],0)),"Modeste",IF(X578&lt;=INDEX(TabRFR[[2021]:[2025]],MATCH(BD!W578&amp;"-Intermédiaire",TabRFR[Recherche RFR],0),MATCH(TEXT(YEAR(BD!I578),"Standard"),TabRFR[[#Headers],[2021]:[2025]],0)),"Intermédiaire","Supérieur")))))))</f>
        <v>Data RFR manquantes</v>
      </c>
      <c r="Z578" s="77"/>
      <c r="AA578" s="77" t="s">
        <v>3778</v>
      </c>
      <c r="AB578" s="77">
        <v>38850</v>
      </c>
      <c r="AC578" s="77" t="s">
        <v>242</v>
      </c>
      <c r="AD578" s="78"/>
      <c r="AE578" s="102"/>
      <c r="AF578" s="77" t="s">
        <v>95</v>
      </c>
      <c r="AG578" s="77"/>
      <c r="AH578" s="77"/>
      <c r="AI578" s="77"/>
      <c r="AJ578" s="77"/>
      <c r="AK578" s="77"/>
      <c r="AL578" s="77"/>
      <c r="AM578" s="77" t="s">
        <v>4376</v>
      </c>
      <c r="AN578" s="77" t="s">
        <v>451</v>
      </c>
      <c r="AO578" s="77" t="s">
        <v>3808</v>
      </c>
      <c r="AP578" s="77" t="s">
        <v>97</v>
      </c>
      <c r="AQ578" s="77"/>
      <c r="AR578" s="79">
        <v>44044</v>
      </c>
      <c r="AS578" s="102" t="s">
        <v>698</v>
      </c>
      <c r="AT578" s="78">
        <v>474430411</v>
      </c>
      <c r="AU578" s="77" t="s">
        <v>111</v>
      </c>
      <c r="AV578" s="77">
        <v>1980</v>
      </c>
      <c r="AW578" s="77" t="s">
        <v>100</v>
      </c>
      <c r="AX578" s="75" t="s">
        <v>2071</v>
      </c>
      <c r="AY578" s="77" t="s">
        <v>174</v>
      </c>
      <c r="AZ578" s="77" t="s">
        <v>3809</v>
      </c>
      <c r="BA578" s="77">
        <v>9</v>
      </c>
      <c r="BB578" s="77">
        <v>12</v>
      </c>
      <c r="BC578" s="77">
        <v>90</v>
      </c>
      <c r="BD578" s="77">
        <v>90</v>
      </c>
      <c r="BE578" s="77" t="s">
        <v>97</v>
      </c>
      <c r="BF578" s="77"/>
      <c r="BG578" s="77">
        <v>3700</v>
      </c>
      <c r="BH578" s="77"/>
      <c r="BI578" s="77"/>
      <c r="BJ578" s="77"/>
      <c r="BK578" s="77">
        <v>980</v>
      </c>
      <c r="BL578" s="75">
        <f t="shared" si="24"/>
        <v>4680</v>
      </c>
      <c r="BM578" s="103">
        <f t="shared" si="25"/>
        <v>257.39999999999998</v>
      </c>
      <c r="BN578" s="103">
        <f t="shared" si="26"/>
        <v>4937.3999999999996</v>
      </c>
      <c r="BO578" s="80">
        <v>4937.3999999999996</v>
      </c>
      <c r="BP578" s="77" t="s">
        <v>97</v>
      </c>
      <c r="BQ578" s="77"/>
      <c r="BR578" s="77"/>
      <c r="BS578" s="157">
        <v>2019</v>
      </c>
      <c r="BU578">
        <v>2019</v>
      </c>
    </row>
    <row r="579" spans="1:73" ht="43.15" customHeight="1" x14ac:dyDescent="0.25">
      <c r="A579" s="241" t="s">
        <v>4007</v>
      </c>
      <c r="B579" s="241" t="s">
        <v>3779</v>
      </c>
      <c r="C579" s="163">
        <v>400</v>
      </c>
      <c r="D579" s="76">
        <v>43718</v>
      </c>
      <c r="E579" s="76">
        <v>43718</v>
      </c>
      <c r="F579" s="76"/>
      <c r="G579" s="76"/>
      <c r="H579" s="76">
        <v>43728</v>
      </c>
      <c r="I579" s="76">
        <v>43728</v>
      </c>
      <c r="J579" s="76">
        <v>43733</v>
      </c>
      <c r="K579" s="218"/>
      <c r="L579" s="76">
        <v>43783</v>
      </c>
      <c r="M579" s="76">
        <v>43774</v>
      </c>
      <c r="N579" s="76" t="s">
        <v>9</v>
      </c>
      <c r="O579" s="76">
        <v>43784</v>
      </c>
      <c r="P579" s="76">
        <v>43784</v>
      </c>
      <c r="Q579" s="76">
        <v>43787</v>
      </c>
      <c r="R579" s="82"/>
      <c r="S579" s="76"/>
      <c r="T579" s="77"/>
      <c r="U579" s="77"/>
      <c r="V579" s="77"/>
      <c r="W579" s="77">
        <v>3</v>
      </c>
      <c r="X579" s="77">
        <v>62157</v>
      </c>
      <c r="Y579" s="75" t="str">
        <f ca="1">IF(I579="",IF(D579="","",IF(W579+X579&lt;15,"Données Nb pers ou RFR manquantes",IF(COUNTA(INDIRECT("TabRFR["&amp;YEAR(D579)&amp;"]"))&lt;&gt;COUNTA(TabRFR[Recherche RFR]),"Data RFR manquantes", IF(X579&lt;=INDEX(TabRFR[[2021]:[2025]],MATCH(BD!W579&amp;"-Très modestes",TabRFR[Recherche RFR],0),MATCH(TEXT(YEAR(BD!D579),"Standard"),TabRFR[[#Headers],[2021]:[2025]],0)),"Très Modeste",IF(X579&lt;=INDEX(TabRFR[[2021]:[2025]],MATCH(BD!W579&amp;"-modestes",TabRFR[Recherche RFR],0),MATCH(TEXT(YEAR(BD!D579),"Standard"),TabRFR[[#Headers],[2021]:[2025]],0)),"Modeste",IF(X579&lt;=INDEX(TabRFR[[2021]:[2025]],MATCH(BD!W579&amp;"-Intermédiaire",TabRFR[Recherche RFR],0),MATCH(TEXT(YEAR(BD!D579),"Standard"),TabRFR[[#Headers],[2021]:[2025]],0)),"Intermédiaire","Supérieur")))))),IF(D579="","",IF(W579+X579&lt;15,"Données Nb pers ou RFR manquantes",IF(COUNTA(INDIRECT("TabRFR["&amp;YEAR(I579)&amp;"]"))&lt;&gt;COUNTA(TabRFR[Recherche RFR]),"Data RFR manquantes", IF(X579&lt;=INDEX(TabRFR[[2021]:[2025]],MATCH(BD!W579&amp;"-Très modestes",TabRFR[Recherche RFR],0),MATCH(TEXT(YEAR(BD!I579),"Standard"),TabRFR[[#Headers],[2021]:[2025]],0)),"Très Modeste",IF(X579&lt;=INDEX(TabRFR[[2021]:[2025]],MATCH(BD!W579&amp;"-modestes",TabRFR[Recherche RFR],0),MATCH(TEXT(YEAR(BD!I579),"Standard"),TabRFR[[#Headers],[2021]:[2025]],0)),"Modeste",IF(X579&lt;=INDEX(TabRFR[[2021]:[2025]],MATCH(BD!W579&amp;"-Intermédiaire",TabRFR[Recherche RFR],0),MATCH(TEXT(YEAR(BD!I579),"Standard"),TabRFR[[#Headers],[2021]:[2025]],0)),"Intermédiaire","Supérieur")))))))</f>
        <v>Data RFR manquantes</v>
      </c>
      <c r="Z579" s="77"/>
      <c r="AA579" s="77" t="s">
        <v>3780</v>
      </c>
      <c r="AB579" s="77">
        <v>38960</v>
      </c>
      <c r="AC579" s="77" t="s">
        <v>2378</v>
      </c>
      <c r="AD579" s="78"/>
      <c r="AE579" s="102"/>
      <c r="AF579" s="77" t="s">
        <v>95</v>
      </c>
      <c r="AG579" s="77"/>
      <c r="AH579" s="77"/>
      <c r="AI579" s="77"/>
      <c r="AJ579" s="77"/>
      <c r="AK579" s="77"/>
      <c r="AL579" s="77"/>
      <c r="AM579" s="77" t="s">
        <v>3973</v>
      </c>
      <c r="AN579" s="77" t="s">
        <v>96</v>
      </c>
      <c r="AO579" s="77" t="s">
        <v>3761</v>
      </c>
      <c r="AP579" s="77" t="s">
        <v>97</v>
      </c>
      <c r="AQ579" s="77"/>
      <c r="AR579" s="79">
        <v>44092</v>
      </c>
      <c r="AS579" s="102" t="s">
        <v>141</v>
      </c>
      <c r="AT579" s="78">
        <v>476069938</v>
      </c>
      <c r="AU579" s="77" t="s">
        <v>111</v>
      </c>
      <c r="AV579" s="77">
        <v>1987</v>
      </c>
      <c r="AW579" s="77" t="s">
        <v>111</v>
      </c>
      <c r="AX579" s="77" t="s">
        <v>112</v>
      </c>
      <c r="AY579" s="77" t="s">
        <v>1249</v>
      </c>
      <c r="AZ579" s="77" t="s">
        <v>3810</v>
      </c>
      <c r="BA579" s="77">
        <v>30</v>
      </c>
      <c r="BB579" s="77">
        <v>8</v>
      </c>
      <c r="BC579" s="77">
        <v>85</v>
      </c>
      <c r="BD579" s="77">
        <v>7.0000000000000007E-2</v>
      </c>
      <c r="BE579" s="77" t="s">
        <v>97</v>
      </c>
      <c r="BF579" s="77"/>
      <c r="BG579" s="77">
        <v>5865</v>
      </c>
      <c r="BH579" s="77"/>
      <c r="BI579" s="77"/>
      <c r="BJ579" s="77"/>
      <c r="BK579" s="77">
        <v>2080</v>
      </c>
      <c r="BL579" s="75">
        <f t="shared" si="24"/>
        <v>7945</v>
      </c>
      <c r="BM579" s="103">
        <f t="shared" si="25"/>
        <v>436.97500000000002</v>
      </c>
      <c r="BN579" s="103">
        <f t="shared" si="26"/>
        <v>8381.9750000000004</v>
      </c>
      <c r="BO579" s="80">
        <v>8118.23</v>
      </c>
      <c r="BP579" s="77" t="s">
        <v>97</v>
      </c>
      <c r="BQ579" s="77"/>
      <c r="BR579" s="77"/>
      <c r="BS579" s="157">
        <v>2019</v>
      </c>
      <c r="BT579" s="235">
        <v>43770</v>
      </c>
      <c r="BU579">
        <v>2019</v>
      </c>
    </row>
    <row r="580" spans="1:73" ht="43.15" customHeight="1" x14ac:dyDescent="0.25">
      <c r="A580" s="241" t="s">
        <v>3305</v>
      </c>
      <c r="B580" s="241" t="s">
        <v>3787</v>
      </c>
      <c r="C580" s="163">
        <v>400</v>
      </c>
      <c r="D580" s="76">
        <v>43721</v>
      </c>
      <c r="E580" s="76">
        <v>43721</v>
      </c>
      <c r="F580" s="76">
        <v>43728</v>
      </c>
      <c r="G580" s="76">
        <v>43728</v>
      </c>
      <c r="H580" s="76">
        <v>43731</v>
      </c>
      <c r="I580" s="76">
        <v>43731</v>
      </c>
      <c r="J580" s="76">
        <v>43738</v>
      </c>
      <c r="K580" s="218"/>
      <c r="L580" s="76">
        <v>43790</v>
      </c>
      <c r="M580" s="76">
        <v>43728</v>
      </c>
      <c r="N580" s="76" t="s">
        <v>9</v>
      </c>
      <c r="O580" s="76">
        <v>43803</v>
      </c>
      <c r="P580" s="76">
        <v>43803</v>
      </c>
      <c r="Q580" s="76">
        <v>43809</v>
      </c>
      <c r="R580" s="82"/>
      <c r="S580" s="76"/>
      <c r="T580" s="77"/>
      <c r="U580" s="77"/>
      <c r="V580" s="77"/>
      <c r="W580" s="77">
        <v>3</v>
      </c>
      <c r="X580" s="77">
        <v>40582</v>
      </c>
      <c r="Y580" s="75" t="str">
        <f ca="1">IF(I580="",IF(D580="","",IF(W580+X580&lt;15,"Données Nb pers ou RFR manquantes",IF(COUNTA(INDIRECT("TabRFR["&amp;YEAR(D580)&amp;"]"))&lt;&gt;COUNTA(TabRFR[Recherche RFR]),"Data RFR manquantes", IF(X580&lt;=INDEX(TabRFR[[2021]:[2025]],MATCH(BD!W580&amp;"-Très modestes",TabRFR[Recherche RFR],0),MATCH(TEXT(YEAR(BD!D580),"Standard"),TabRFR[[#Headers],[2021]:[2025]],0)),"Très Modeste",IF(X580&lt;=INDEX(TabRFR[[2021]:[2025]],MATCH(BD!W580&amp;"-modestes",TabRFR[Recherche RFR],0),MATCH(TEXT(YEAR(BD!D580),"Standard"),TabRFR[[#Headers],[2021]:[2025]],0)),"Modeste",IF(X580&lt;=INDEX(TabRFR[[2021]:[2025]],MATCH(BD!W580&amp;"-Intermédiaire",TabRFR[Recherche RFR],0),MATCH(TEXT(YEAR(BD!D580),"Standard"),TabRFR[[#Headers],[2021]:[2025]],0)),"Intermédiaire","Supérieur")))))),IF(D580="","",IF(W580+X580&lt;15,"Données Nb pers ou RFR manquantes",IF(COUNTA(INDIRECT("TabRFR["&amp;YEAR(I580)&amp;"]"))&lt;&gt;COUNTA(TabRFR[Recherche RFR]),"Data RFR manquantes", IF(X580&lt;=INDEX(TabRFR[[2021]:[2025]],MATCH(BD!W580&amp;"-Très modestes",TabRFR[Recherche RFR],0),MATCH(TEXT(YEAR(BD!I580),"Standard"),TabRFR[[#Headers],[2021]:[2025]],0)),"Très Modeste",IF(X580&lt;=INDEX(TabRFR[[2021]:[2025]],MATCH(BD!W580&amp;"-modestes",TabRFR[Recherche RFR],0),MATCH(TEXT(YEAR(BD!I580),"Standard"),TabRFR[[#Headers],[2021]:[2025]],0)),"Modeste",IF(X580&lt;=INDEX(TabRFR[[2021]:[2025]],MATCH(BD!W580&amp;"-Intermédiaire",TabRFR[Recherche RFR],0),MATCH(TEXT(YEAR(BD!I580),"Standard"),TabRFR[[#Headers],[2021]:[2025]],0)),"Intermédiaire","Supérieur")))))))</f>
        <v>Data RFR manquantes</v>
      </c>
      <c r="Z580" s="77"/>
      <c r="AA580" s="77" t="s">
        <v>3788</v>
      </c>
      <c r="AB580" s="77">
        <v>38850</v>
      </c>
      <c r="AC580" s="77" t="s">
        <v>438</v>
      </c>
      <c r="AD580" s="78"/>
      <c r="AE580" s="102"/>
      <c r="AF580" s="77" t="s">
        <v>95</v>
      </c>
      <c r="AG580" s="77"/>
      <c r="AH580" s="77"/>
      <c r="AI580" s="77"/>
      <c r="AJ580" s="77"/>
      <c r="AK580" s="77"/>
      <c r="AL580" s="77"/>
      <c r="AM580" s="77" t="s">
        <v>4233</v>
      </c>
      <c r="AN580" s="77" t="s">
        <v>829</v>
      </c>
      <c r="AO580" s="77" t="s">
        <v>839</v>
      </c>
      <c r="AP580" s="77" t="s">
        <v>97</v>
      </c>
      <c r="AQ580" s="77"/>
      <c r="AR580" s="79">
        <v>44052</v>
      </c>
      <c r="AS580" s="102" t="s">
        <v>211</v>
      </c>
      <c r="AT580" s="78">
        <v>438029038</v>
      </c>
      <c r="AU580" s="77" t="s">
        <v>111</v>
      </c>
      <c r="AV580" s="77"/>
      <c r="AW580" s="77" t="s">
        <v>100</v>
      </c>
      <c r="AX580" s="77" t="s">
        <v>112</v>
      </c>
      <c r="AY580" s="77" t="s">
        <v>1039</v>
      </c>
      <c r="AZ580" s="77" t="s">
        <v>1148</v>
      </c>
      <c r="BA580" s="77">
        <v>14</v>
      </c>
      <c r="BB580" s="77">
        <v>7</v>
      </c>
      <c r="BC580" s="77">
        <v>80</v>
      </c>
      <c r="BD580" s="77">
        <v>0.1</v>
      </c>
      <c r="BE580" s="77" t="s">
        <v>97</v>
      </c>
      <c r="BF580" s="77"/>
      <c r="BG580" s="77">
        <v>3190.5</v>
      </c>
      <c r="BH580" s="77"/>
      <c r="BI580" s="77"/>
      <c r="BJ580" s="77"/>
      <c r="BK580" s="77">
        <v>710.9</v>
      </c>
      <c r="BL580" s="75">
        <f t="shared" si="24"/>
        <v>3901.4</v>
      </c>
      <c r="BM580" s="103">
        <f t="shared" si="25"/>
        <v>214.577</v>
      </c>
      <c r="BN580" s="103">
        <f t="shared" si="26"/>
        <v>4115.9769999999999</v>
      </c>
      <c r="BO580" s="80"/>
      <c r="BP580" s="77" t="s">
        <v>104</v>
      </c>
      <c r="BQ580" s="77"/>
      <c r="BR580" s="77"/>
      <c r="BS580" s="157">
        <v>2019</v>
      </c>
      <c r="BT580" s="235">
        <v>43770</v>
      </c>
      <c r="BU580">
        <v>2019</v>
      </c>
    </row>
    <row r="581" spans="1:73" ht="43.15" customHeight="1" x14ac:dyDescent="0.25">
      <c r="A581" s="241" t="s">
        <v>3305</v>
      </c>
      <c r="B581" s="241" t="s">
        <v>3789</v>
      </c>
      <c r="C581" s="163">
        <v>400</v>
      </c>
      <c r="D581" s="76">
        <v>43721</v>
      </c>
      <c r="E581" s="76"/>
      <c r="F581" s="76"/>
      <c r="G581" s="76">
        <v>43783</v>
      </c>
      <c r="H581" s="76">
        <v>43783</v>
      </c>
      <c r="I581" s="76" t="s">
        <v>9</v>
      </c>
      <c r="J581" s="76">
        <v>43788</v>
      </c>
      <c r="K581" s="218"/>
      <c r="L581" s="76">
        <v>43874</v>
      </c>
      <c r="M581" s="76">
        <v>43868</v>
      </c>
      <c r="N581" s="76" t="s">
        <v>4044</v>
      </c>
      <c r="O581" s="76">
        <v>43874</v>
      </c>
      <c r="P581" s="76">
        <v>43874</v>
      </c>
      <c r="Q581" s="76">
        <v>43875</v>
      </c>
      <c r="R581" s="82"/>
      <c r="S581" s="76"/>
      <c r="T581" s="77"/>
      <c r="U581" s="77"/>
      <c r="V581" s="77"/>
      <c r="W581" s="77">
        <v>2</v>
      </c>
      <c r="X581" s="77">
        <v>29828</v>
      </c>
      <c r="Y581" s="75" t="str">
        <f ca="1">IF(I581="",IF(D581="","",IF(W581+X581&lt;15,"Données Nb pers ou RFR manquantes",IF(COUNTA(INDIRECT("TabRFR["&amp;YEAR(D581)&amp;"]"))&lt;&gt;COUNTA(TabRFR[Recherche RFR]),"Data RFR manquantes", IF(X581&lt;=INDEX(TabRFR[[2021]:[2025]],MATCH(BD!W581&amp;"-Très modestes",TabRFR[Recherche RFR],0),MATCH(TEXT(YEAR(BD!D581),"Standard"),TabRFR[[#Headers],[2021]:[2025]],0)),"Très Modeste",IF(X581&lt;=INDEX(TabRFR[[2021]:[2025]],MATCH(BD!W581&amp;"-modestes",TabRFR[Recherche RFR],0),MATCH(TEXT(YEAR(BD!D581),"Standard"),TabRFR[[#Headers],[2021]:[2025]],0)),"Modeste",IF(X581&lt;=INDEX(TabRFR[[2021]:[2025]],MATCH(BD!W581&amp;"-Intermédiaire",TabRFR[Recherche RFR],0),MATCH(TEXT(YEAR(BD!D581),"Standard"),TabRFR[[#Headers],[2021]:[2025]],0)),"Intermédiaire","Supérieur")))))),IF(D581="","",IF(W581+X581&lt;15,"Données Nb pers ou RFR manquantes",IF(COUNTA(INDIRECT("TabRFR["&amp;YEAR(I581)&amp;"]"))&lt;&gt;COUNTA(TabRFR[Recherche RFR]),"Data RFR manquantes", IF(X581&lt;=INDEX(TabRFR[[2021]:[2025]],MATCH(BD!W581&amp;"-Très modestes",TabRFR[Recherche RFR],0),MATCH(TEXT(YEAR(BD!I581),"Standard"),TabRFR[[#Headers],[2021]:[2025]],0)),"Très Modeste",IF(X581&lt;=INDEX(TabRFR[[2021]:[2025]],MATCH(BD!W581&amp;"-modestes",TabRFR[Recherche RFR],0),MATCH(TEXT(YEAR(BD!I581),"Standard"),TabRFR[[#Headers],[2021]:[2025]],0)),"Modeste",IF(X581&lt;=INDEX(TabRFR[[2021]:[2025]],MATCH(BD!W581&amp;"-Intermédiaire",TabRFR[Recherche RFR],0),MATCH(TEXT(YEAR(BD!I581),"Standard"),TabRFR[[#Headers],[2021]:[2025]],0)),"Intermédiaire","Supérieur")))))))</f>
        <v>Data RFR manquantes</v>
      </c>
      <c r="Z581" s="77"/>
      <c r="AA581" s="77" t="s">
        <v>3790</v>
      </c>
      <c r="AB581" s="77">
        <v>38340</v>
      </c>
      <c r="AC581" s="77" t="s">
        <v>108</v>
      </c>
      <c r="AD581" s="78"/>
      <c r="AE581" s="102"/>
      <c r="AF581" s="77" t="s">
        <v>95</v>
      </c>
      <c r="AG581" s="77"/>
      <c r="AH581" s="77"/>
      <c r="AI581" s="77"/>
      <c r="AJ581" s="77"/>
      <c r="AK581" s="77"/>
      <c r="AL581" s="77"/>
      <c r="AM581" s="77" t="s">
        <v>4035</v>
      </c>
      <c r="AN581" s="77" t="s">
        <v>108</v>
      </c>
      <c r="AO581" s="77" t="s">
        <v>109</v>
      </c>
      <c r="AP581" s="77" t="s">
        <v>97</v>
      </c>
      <c r="AQ581" s="77"/>
      <c r="AR581" s="79">
        <v>44010</v>
      </c>
      <c r="AS581" s="102" t="s">
        <v>110</v>
      </c>
      <c r="AT581" s="78">
        <v>476500550</v>
      </c>
      <c r="AU581" s="77" t="s">
        <v>111</v>
      </c>
      <c r="AV581" s="77" t="s">
        <v>231</v>
      </c>
      <c r="AW581" s="77" t="s">
        <v>100</v>
      </c>
      <c r="AX581" s="75" t="s">
        <v>2071</v>
      </c>
      <c r="AY581" s="77" t="s">
        <v>1896</v>
      </c>
      <c r="AZ581" s="77" t="s">
        <v>3928</v>
      </c>
      <c r="BA581" s="77">
        <v>12</v>
      </c>
      <c r="BB581" s="77">
        <v>12</v>
      </c>
      <c r="BC581" s="77">
        <v>88.5</v>
      </c>
      <c r="BD581" s="77">
        <v>4.0000000000000001E-3</v>
      </c>
      <c r="BE581" s="77" t="s">
        <v>97</v>
      </c>
      <c r="BF581" s="77"/>
      <c r="BG581" s="77">
        <v>3765</v>
      </c>
      <c r="BH581" s="77"/>
      <c r="BI581" s="77"/>
      <c r="BJ581" s="77"/>
      <c r="BK581" s="77">
        <v>600</v>
      </c>
      <c r="BL581" s="75">
        <f t="shared" si="24"/>
        <v>4365</v>
      </c>
      <c r="BM581" s="103">
        <f t="shared" si="25"/>
        <v>240.07499999999999</v>
      </c>
      <c r="BN581" s="103">
        <f t="shared" si="26"/>
        <v>4605.0749999999998</v>
      </c>
      <c r="BO581" s="80">
        <v>5978.69</v>
      </c>
      <c r="BP581" s="77" t="s">
        <v>97</v>
      </c>
      <c r="BQ581" s="77"/>
      <c r="BR581" s="77"/>
      <c r="BS581" s="157">
        <v>2019</v>
      </c>
      <c r="BU581">
        <v>2019</v>
      </c>
    </row>
    <row r="582" spans="1:73" ht="43.15" customHeight="1" x14ac:dyDescent="0.25">
      <c r="A582" s="241" t="s">
        <v>3305</v>
      </c>
      <c r="B582" s="241" t="s">
        <v>3792</v>
      </c>
      <c r="C582" s="163">
        <v>400</v>
      </c>
      <c r="D582" s="76">
        <v>43726</v>
      </c>
      <c r="E582" s="76">
        <v>43726</v>
      </c>
      <c r="F582" s="76"/>
      <c r="G582" s="76"/>
      <c r="H582" s="76">
        <v>43728</v>
      </c>
      <c r="I582" s="76">
        <v>43728</v>
      </c>
      <c r="J582" s="76">
        <v>43733</v>
      </c>
      <c r="K582" s="218"/>
      <c r="L582" s="76">
        <v>43766</v>
      </c>
      <c r="M582" s="76">
        <v>43762</v>
      </c>
      <c r="N582" s="76" t="s">
        <v>9</v>
      </c>
      <c r="O582" s="76">
        <v>43775</v>
      </c>
      <c r="P582" s="76">
        <v>43775</v>
      </c>
      <c r="Q582" s="76">
        <v>43787</v>
      </c>
      <c r="R582" s="82"/>
      <c r="S582" s="76"/>
      <c r="T582" s="77"/>
      <c r="U582" s="77"/>
      <c r="V582" s="77"/>
      <c r="W582" s="77">
        <v>1</v>
      </c>
      <c r="X582" s="77">
        <v>51140</v>
      </c>
      <c r="Y582" s="75" t="str">
        <f ca="1">IF(I582="",IF(D582="","",IF(W582+X582&lt;15,"Données Nb pers ou RFR manquantes",IF(COUNTA(INDIRECT("TabRFR["&amp;YEAR(D582)&amp;"]"))&lt;&gt;COUNTA(TabRFR[Recherche RFR]),"Data RFR manquantes", IF(X582&lt;=INDEX(TabRFR[[2021]:[2025]],MATCH(BD!W582&amp;"-Très modestes",TabRFR[Recherche RFR],0),MATCH(TEXT(YEAR(BD!D582),"Standard"),TabRFR[[#Headers],[2021]:[2025]],0)),"Très Modeste",IF(X582&lt;=INDEX(TabRFR[[2021]:[2025]],MATCH(BD!W582&amp;"-modestes",TabRFR[Recherche RFR],0),MATCH(TEXT(YEAR(BD!D582),"Standard"),TabRFR[[#Headers],[2021]:[2025]],0)),"Modeste",IF(X582&lt;=INDEX(TabRFR[[2021]:[2025]],MATCH(BD!W582&amp;"-Intermédiaire",TabRFR[Recherche RFR],0),MATCH(TEXT(YEAR(BD!D582),"Standard"),TabRFR[[#Headers],[2021]:[2025]],0)),"Intermédiaire","Supérieur")))))),IF(D582="","",IF(W582+X582&lt;15,"Données Nb pers ou RFR manquantes",IF(COUNTA(INDIRECT("TabRFR["&amp;YEAR(I582)&amp;"]"))&lt;&gt;COUNTA(TabRFR[Recherche RFR]),"Data RFR manquantes", IF(X582&lt;=INDEX(TabRFR[[2021]:[2025]],MATCH(BD!W582&amp;"-Très modestes",TabRFR[Recherche RFR],0),MATCH(TEXT(YEAR(BD!I582),"Standard"),TabRFR[[#Headers],[2021]:[2025]],0)),"Très Modeste",IF(X582&lt;=INDEX(TabRFR[[2021]:[2025]],MATCH(BD!W582&amp;"-modestes",TabRFR[Recherche RFR],0),MATCH(TEXT(YEAR(BD!I582),"Standard"),TabRFR[[#Headers],[2021]:[2025]],0)),"Modeste",IF(X582&lt;=INDEX(TabRFR[[2021]:[2025]],MATCH(BD!W582&amp;"-Intermédiaire",TabRFR[Recherche RFR],0),MATCH(TEXT(YEAR(BD!I582),"Standard"),TabRFR[[#Headers],[2021]:[2025]],0)),"Intermédiaire","Supérieur")))))))</f>
        <v>Data RFR manquantes</v>
      </c>
      <c r="Z582" s="77"/>
      <c r="AA582" s="77" t="s">
        <v>3793</v>
      </c>
      <c r="AB582" s="77">
        <v>38500</v>
      </c>
      <c r="AC582" s="77" t="s">
        <v>94</v>
      </c>
      <c r="AD582" s="78"/>
      <c r="AE582" s="102"/>
      <c r="AF582" s="77" t="s">
        <v>95</v>
      </c>
      <c r="AG582" s="77"/>
      <c r="AH582" s="77"/>
      <c r="AI582" s="77"/>
      <c r="AJ582" s="77"/>
      <c r="AK582" s="77"/>
      <c r="AL582" s="77"/>
      <c r="AM582" s="77" t="s">
        <v>218</v>
      </c>
      <c r="AN582" s="77" t="s">
        <v>217</v>
      </c>
      <c r="AO582" s="77" t="s">
        <v>219</v>
      </c>
      <c r="AP582" s="77" t="s">
        <v>97</v>
      </c>
      <c r="AQ582" s="77"/>
      <c r="AR582" s="79">
        <v>43764</v>
      </c>
      <c r="AS582" s="102" t="s">
        <v>220</v>
      </c>
      <c r="AT582" s="78">
        <v>476355605</v>
      </c>
      <c r="AU582" s="77" t="s">
        <v>111</v>
      </c>
      <c r="AV582" s="77"/>
      <c r="AW582" s="77" t="s">
        <v>111</v>
      </c>
      <c r="AX582" s="77" t="s">
        <v>112</v>
      </c>
      <c r="AY582" s="77" t="s">
        <v>121</v>
      </c>
      <c r="AZ582" s="77">
        <v>775</v>
      </c>
      <c r="BA582" s="77">
        <v>23</v>
      </c>
      <c r="BB582" s="77">
        <v>10</v>
      </c>
      <c r="BC582" s="77">
        <v>78</v>
      </c>
      <c r="BD582" s="77">
        <v>7.0000000000000007E-2</v>
      </c>
      <c r="BE582" s="77" t="s">
        <v>97</v>
      </c>
      <c r="BF582" s="77"/>
      <c r="BG582" s="77">
        <v>4116.95</v>
      </c>
      <c r="BH582" s="77"/>
      <c r="BI582" s="77"/>
      <c r="BJ582" s="77"/>
      <c r="BK582" s="77">
        <v>1149.0899999999999</v>
      </c>
      <c r="BL582" s="75">
        <f t="shared" ref="BL582:BL645" si="27">BG582+BK582</f>
        <v>5266.04</v>
      </c>
      <c r="BM582" s="103">
        <f t="shared" ref="BM582:BM645" si="28">BL582*0.055</f>
        <v>289.63220000000001</v>
      </c>
      <c r="BN582" s="103">
        <f t="shared" ref="BN582:BN645" si="29">BL582+BM582</f>
        <v>5555.6722</v>
      </c>
      <c r="BO582" s="80">
        <v>5555.67</v>
      </c>
      <c r="BP582" s="77" t="s">
        <v>97</v>
      </c>
      <c r="BQ582" s="77"/>
      <c r="BR582" s="77"/>
      <c r="BS582" s="157">
        <v>2019</v>
      </c>
      <c r="BT582" s="235">
        <v>43770</v>
      </c>
      <c r="BU582">
        <v>2019</v>
      </c>
    </row>
    <row r="583" spans="1:73" ht="43.15" customHeight="1" x14ac:dyDescent="0.25">
      <c r="A583" s="31" t="s">
        <v>3305</v>
      </c>
      <c r="B583" s="31" t="s">
        <v>3794</v>
      </c>
      <c r="C583" s="163">
        <v>400</v>
      </c>
      <c r="D583" s="76">
        <v>43726</v>
      </c>
      <c r="E583" s="76">
        <v>43726</v>
      </c>
      <c r="F583" s="76"/>
      <c r="G583" s="76"/>
      <c r="H583" s="76">
        <v>43728</v>
      </c>
      <c r="I583" s="76">
        <v>43728</v>
      </c>
      <c r="J583" s="76">
        <v>43733</v>
      </c>
      <c r="K583" s="218"/>
      <c r="L583" s="76" t="s">
        <v>4339</v>
      </c>
      <c r="M583" s="76"/>
      <c r="N583" s="76"/>
      <c r="O583" s="76"/>
      <c r="P583" s="76"/>
      <c r="Q583" s="76"/>
      <c r="R583" s="82"/>
      <c r="S583" s="76">
        <v>44176</v>
      </c>
      <c r="T583" s="77" t="s">
        <v>4335</v>
      </c>
      <c r="U583" s="77"/>
      <c r="V583" s="77"/>
      <c r="W583" s="77">
        <v>3</v>
      </c>
      <c r="X583" s="77">
        <v>60713</v>
      </c>
      <c r="Y583" s="75" t="str">
        <f ca="1">IF(I583="",IF(D583="","",IF(W583+X583&lt;15,"Données Nb pers ou RFR manquantes",IF(COUNTA(INDIRECT("TabRFR["&amp;YEAR(D583)&amp;"]"))&lt;&gt;COUNTA(TabRFR[Recherche RFR]),"Data RFR manquantes", IF(X583&lt;=INDEX(TabRFR[[2021]:[2025]],MATCH(BD!W583&amp;"-Très modestes",TabRFR[Recherche RFR],0),MATCH(TEXT(YEAR(BD!D583),"Standard"),TabRFR[[#Headers],[2021]:[2025]],0)),"Très Modeste",IF(X583&lt;=INDEX(TabRFR[[2021]:[2025]],MATCH(BD!W583&amp;"-modestes",TabRFR[Recherche RFR],0),MATCH(TEXT(YEAR(BD!D583),"Standard"),TabRFR[[#Headers],[2021]:[2025]],0)),"Modeste",IF(X583&lt;=INDEX(TabRFR[[2021]:[2025]],MATCH(BD!W583&amp;"-Intermédiaire",TabRFR[Recherche RFR],0),MATCH(TEXT(YEAR(BD!D583),"Standard"),TabRFR[[#Headers],[2021]:[2025]],0)),"Intermédiaire","Supérieur")))))),IF(D583="","",IF(W583+X583&lt;15,"Données Nb pers ou RFR manquantes",IF(COUNTA(INDIRECT("TabRFR["&amp;YEAR(I583)&amp;"]"))&lt;&gt;COUNTA(TabRFR[Recherche RFR]),"Data RFR manquantes", IF(X583&lt;=INDEX(TabRFR[[2021]:[2025]],MATCH(BD!W583&amp;"-Très modestes",TabRFR[Recherche RFR],0),MATCH(TEXT(YEAR(BD!I583),"Standard"),TabRFR[[#Headers],[2021]:[2025]],0)),"Très Modeste",IF(X583&lt;=INDEX(TabRFR[[2021]:[2025]],MATCH(BD!W583&amp;"-modestes",TabRFR[Recherche RFR],0),MATCH(TEXT(YEAR(BD!I583),"Standard"),TabRFR[[#Headers],[2021]:[2025]],0)),"Modeste",IF(X583&lt;=INDEX(TabRFR[[2021]:[2025]],MATCH(BD!W583&amp;"-Intermédiaire",TabRFR[Recherche RFR],0),MATCH(TEXT(YEAR(BD!I583),"Standard"),TabRFR[[#Headers],[2021]:[2025]],0)),"Intermédiaire","Supérieur")))))))</f>
        <v>Data RFR manquantes</v>
      </c>
      <c r="Z583" s="77"/>
      <c r="AA583" s="77" t="s">
        <v>3795</v>
      </c>
      <c r="AB583" s="77">
        <v>38134</v>
      </c>
      <c r="AC583" s="77" t="s">
        <v>3796</v>
      </c>
      <c r="AD583" s="78"/>
      <c r="AE583" s="102"/>
      <c r="AF583" s="77" t="s">
        <v>95</v>
      </c>
      <c r="AG583" s="77"/>
      <c r="AH583" s="77"/>
      <c r="AI583" s="77"/>
      <c r="AJ583" s="77"/>
      <c r="AK583" s="77"/>
      <c r="AL583" s="77"/>
      <c r="AM583" s="77" t="s">
        <v>3973</v>
      </c>
      <c r="AN583" s="77" t="s">
        <v>96</v>
      </c>
      <c r="AO583" s="77"/>
      <c r="AP583" s="77" t="s">
        <v>97</v>
      </c>
      <c r="AQ583" s="77"/>
      <c r="AR583" s="79">
        <v>44092</v>
      </c>
      <c r="AS583" s="102" t="s">
        <v>141</v>
      </c>
      <c r="AT583" s="78">
        <v>476069938</v>
      </c>
      <c r="AU583" s="77" t="s">
        <v>111</v>
      </c>
      <c r="AV583" s="77">
        <v>1980</v>
      </c>
      <c r="AW583" s="77" t="s">
        <v>111</v>
      </c>
      <c r="AX583" s="77" t="s">
        <v>112</v>
      </c>
      <c r="AY583" s="77" t="s">
        <v>1249</v>
      </c>
      <c r="AZ583" s="77" t="s">
        <v>3811</v>
      </c>
      <c r="BA583" s="77">
        <v>40</v>
      </c>
      <c r="BB583" s="77">
        <v>10.4</v>
      </c>
      <c r="BC583" s="77">
        <v>83.4</v>
      </c>
      <c r="BD583" s="77">
        <v>0.1</v>
      </c>
      <c r="BE583" s="77" t="s">
        <v>97</v>
      </c>
      <c r="BF583" s="77"/>
      <c r="BG583" s="77">
        <v>4075</v>
      </c>
      <c r="BH583" s="77"/>
      <c r="BI583" s="77"/>
      <c r="BJ583" s="77"/>
      <c r="BK583" s="77">
        <v>3890</v>
      </c>
      <c r="BL583" s="75">
        <f t="shared" si="27"/>
        <v>7965</v>
      </c>
      <c r="BM583" s="103">
        <f t="shared" si="28"/>
        <v>438.07499999999999</v>
      </c>
      <c r="BN583" s="103">
        <f t="shared" si="29"/>
        <v>8403.0750000000007</v>
      </c>
      <c r="BO583" s="80"/>
      <c r="BP583" s="77" t="s">
        <v>97</v>
      </c>
      <c r="BQ583" s="77"/>
      <c r="BR583" s="77"/>
      <c r="BS583" s="157">
        <v>2019</v>
      </c>
      <c r="BT583" s="235">
        <v>43770</v>
      </c>
      <c r="BU583" t="s">
        <v>4180</v>
      </c>
    </row>
    <row r="584" spans="1:73" ht="43.15" customHeight="1" x14ac:dyDescent="0.25">
      <c r="A584" s="241" t="s">
        <v>3305</v>
      </c>
      <c r="B584" s="241" t="s">
        <v>3812</v>
      </c>
      <c r="C584" s="163">
        <v>400</v>
      </c>
      <c r="D584" s="76">
        <v>43731</v>
      </c>
      <c r="E584" s="76">
        <v>43731</v>
      </c>
      <c r="F584" s="76">
        <v>43733</v>
      </c>
      <c r="G584" s="76" t="s">
        <v>3819</v>
      </c>
      <c r="H584" s="76">
        <v>43733</v>
      </c>
      <c r="I584" s="76">
        <v>43818</v>
      </c>
      <c r="J584" s="76">
        <v>43748</v>
      </c>
      <c r="K584" s="218"/>
      <c r="L584" s="76">
        <v>43857</v>
      </c>
      <c r="M584" s="76">
        <v>43822</v>
      </c>
      <c r="N584" s="76" t="s">
        <v>4044</v>
      </c>
      <c r="O584" s="76">
        <v>43858</v>
      </c>
      <c r="P584" s="76">
        <v>43858</v>
      </c>
      <c r="Q584" s="76">
        <v>43868</v>
      </c>
      <c r="R584" s="82"/>
      <c r="S584" s="76"/>
      <c r="T584" s="77"/>
      <c r="U584" s="77"/>
      <c r="V584" s="77"/>
      <c r="W584" s="77">
        <v>5</v>
      </c>
      <c r="X584" s="77">
        <v>176906</v>
      </c>
      <c r="Y584" s="75" t="str">
        <f ca="1">IF(I584="",IF(D584="","",IF(W584+X584&lt;15,"Données Nb pers ou RFR manquantes",IF(COUNTA(INDIRECT("TabRFR["&amp;YEAR(D584)&amp;"]"))&lt;&gt;COUNTA(TabRFR[Recherche RFR]),"Data RFR manquantes", IF(X584&lt;=INDEX(TabRFR[[2021]:[2025]],MATCH(BD!W584&amp;"-Très modestes",TabRFR[Recherche RFR],0),MATCH(TEXT(YEAR(BD!D584),"Standard"),TabRFR[[#Headers],[2021]:[2025]],0)),"Très Modeste",IF(X584&lt;=INDEX(TabRFR[[2021]:[2025]],MATCH(BD!W584&amp;"-modestes",TabRFR[Recherche RFR],0),MATCH(TEXT(YEAR(BD!D584),"Standard"),TabRFR[[#Headers],[2021]:[2025]],0)),"Modeste",IF(X584&lt;=INDEX(TabRFR[[2021]:[2025]],MATCH(BD!W584&amp;"-Intermédiaire",TabRFR[Recherche RFR],0),MATCH(TEXT(YEAR(BD!D584),"Standard"),TabRFR[[#Headers],[2021]:[2025]],0)),"Intermédiaire","Supérieur")))))),IF(D584="","",IF(W584+X584&lt;15,"Données Nb pers ou RFR manquantes",IF(COUNTA(INDIRECT("TabRFR["&amp;YEAR(I584)&amp;"]"))&lt;&gt;COUNTA(TabRFR[Recherche RFR]),"Data RFR manquantes", IF(X584&lt;=INDEX(TabRFR[[2021]:[2025]],MATCH(BD!W584&amp;"-Très modestes",TabRFR[Recherche RFR],0),MATCH(TEXT(YEAR(BD!I584),"Standard"),TabRFR[[#Headers],[2021]:[2025]],0)),"Très Modeste",IF(X584&lt;=INDEX(TabRFR[[2021]:[2025]],MATCH(BD!W584&amp;"-modestes",TabRFR[Recherche RFR],0),MATCH(TEXT(YEAR(BD!I584),"Standard"),TabRFR[[#Headers],[2021]:[2025]],0)),"Modeste",IF(X584&lt;=INDEX(TabRFR[[2021]:[2025]],MATCH(BD!W584&amp;"-Intermédiaire",TabRFR[Recherche RFR],0),MATCH(TEXT(YEAR(BD!I584),"Standard"),TabRFR[[#Headers],[2021]:[2025]],0)),"Intermédiaire","Supérieur")))))))</f>
        <v>Data RFR manquantes</v>
      </c>
      <c r="Z584" s="77"/>
      <c r="AA584" s="77" t="s">
        <v>3813</v>
      </c>
      <c r="AB584" s="77">
        <v>38140</v>
      </c>
      <c r="AC584" s="77" t="s">
        <v>363</v>
      </c>
      <c r="AD584" s="78"/>
      <c r="AE584" s="102"/>
      <c r="AF584" s="77" t="s">
        <v>95</v>
      </c>
      <c r="AG584" s="77"/>
      <c r="AH584" s="77"/>
      <c r="AI584" s="77"/>
      <c r="AJ584" s="77"/>
      <c r="AK584" s="77"/>
      <c r="AL584" s="77"/>
      <c r="AM584" s="77" t="s">
        <v>218</v>
      </c>
      <c r="AN584" s="77" t="s">
        <v>217</v>
      </c>
      <c r="AO584" s="77" t="s">
        <v>219</v>
      </c>
      <c r="AP584" s="77" t="s">
        <v>97</v>
      </c>
      <c r="AQ584" s="77"/>
      <c r="AR584" s="79">
        <v>43764</v>
      </c>
      <c r="AS584" s="102" t="s">
        <v>220</v>
      </c>
      <c r="AT584" s="78">
        <v>476355605</v>
      </c>
      <c r="AU584" s="77" t="s">
        <v>399</v>
      </c>
      <c r="AV584" s="77">
        <v>1996</v>
      </c>
      <c r="AW584" s="77" t="s">
        <v>111</v>
      </c>
      <c r="AX584" s="77" t="s">
        <v>112</v>
      </c>
      <c r="AY584" s="77" t="s">
        <v>878</v>
      </c>
      <c r="AZ584" s="77" t="s">
        <v>3384</v>
      </c>
      <c r="BA584" s="77">
        <v>34</v>
      </c>
      <c r="BB584" s="77">
        <v>13</v>
      </c>
      <c r="BC584" s="77">
        <v>81.2</v>
      </c>
      <c r="BD584" s="77">
        <v>0.04</v>
      </c>
      <c r="BE584" s="77" t="s">
        <v>97</v>
      </c>
      <c r="BF584" s="77"/>
      <c r="BG584" s="77">
        <v>2980</v>
      </c>
      <c r="BH584" s="77"/>
      <c r="BI584" s="77"/>
      <c r="BJ584" s="77"/>
      <c r="BK584" s="77">
        <v>150</v>
      </c>
      <c r="BL584" s="75">
        <f t="shared" si="27"/>
        <v>3130</v>
      </c>
      <c r="BM584" s="103">
        <f t="shared" si="28"/>
        <v>172.15</v>
      </c>
      <c r="BN584" s="103">
        <f t="shared" si="29"/>
        <v>3302.15</v>
      </c>
      <c r="BO584" s="80">
        <v>3302.15</v>
      </c>
      <c r="BP584" s="77" t="s">
        <v>97</v>
      </c>
      <c r="BQ584" s="77"/>
      <c r="BR584" s="77"/>
      <c r="BS584" s="157">
        <v>2019</v>
      </c>
      <c r="BT584" s="235">
        <v>43770</v>
      </c>
      <c r="BU584">
        <v>2019</v>
      </c>
    </row>
    <row r="585" spans="1:73" ht="43.15" customHeight="1" x14ac:dyDescent="0.25">
      <c r="A585" s="241" t="s">
        <v>3305</v>
      </c>
      <c r="B585" s="241" t="s">
        <v>3814</v>
      </c>
      <c r="C585" s="163">
        <v>400</v>
      </c>
      <c r="D585" s="76">
        <v>43731</v>
      </c>
      <c r="E585" s="76">
        <v>43731</v>
      </c>
      <c r="F585" s="76" t="s">
        <v>9</v>
      </c>
      <c r="G585" s="76" t="s">
        <v>9</v>
      </c>
      <c r="H585" s="76">
        <v>43733</v>
      </c>
      <c r="I585" s="76">
        <v>43733</v>
      </c>
      <c r="J585" s="76"/>
      <c r="K585" s="218"/>
      <c r="L585" s="76">
        <v>43776</v>
      </c>
      <c r="M585" s="76">
        <v>43750</v>
      </c>
      <c r="N585" s="76" t="s">
        <v>9</v>
      </c>
      <c r="O585" s="76">
        <v>43782</v>
      </c>
      <c r="P585" s="76">
        <v>43782</v>
      </c>
      <c r="Q585" s="76">
        <v>43787</v>
      </c>
      <c r="R585" s="82"/>
      <c r="S585" s="76"/>
      <c r="T585" s="77"/>
      <c r="U585" s="77"/>
      <c r="V585" s="77"/>
      <c r="W585" s="77">
        <v>2</v>
      </c>
      <c r="X585" s="77">
        <v>61105</v>
      </c>
      <c r="Y585" s="75" t="str">
        <f ca="1">IF(I585="",IF(D585="","",IF(W585+X585&lt;15,"Données Nb pers ou RFR manquantes",IF(COUNTA(INDIRECT("TabRFR["&amp;YEAR(D585)&amp;"]"))&lt;&gt;COUNTA(TabRFR[Recherche RFR]),"Data RFR manquantes", IF(X585&lt;=INDEX(TabRFR[[2021]:[2025]],MATCH(BD!W585&amp;"-Très modestes",TabRFR[Recherche RFR],0),MATCH(TEXT(YEAR(BD!D585),"Standard"),TabRFR[[#Headers],[2021]:[2025]],0)),"Très Modeste",IF(X585&lt;=INDEX(TabRFR[[2021]:[2025]],MATCH(BD!W585&amp;"-modestes",TabRFR[Recherche RFR],0),MATCH(TEXT(YEAR(BD!D585),"Standard"),TabRFR[[#Headers],[2021]:[2025]],0)),"Modeste",IF(X585&lt;=INDEX(TabRFR[[2021]:[2025]],MATCH(BD!W585&amp;"-Intermédiaire",TabRFR[Recherche RFR],0),MATCH(TEXT(YEAR(BD!D585),"Standard"),TabRFR[[#Headers],[2021]:[2025]],0)),"Intermédiaire","Supérieur")))))),IF(D585="","",IF(W585+X585&lt;15,"Données Nb pers ou RFR manquantes",IF(COUNTA(INDIRECT("TabRFR["&amp;YEAR(I585)&amp;"]"))&lt;&gt;COUNTA(TabRFR[Recherche RFR]),"Data RFR manquantes", IF(X585&lt;=INDEX(TabRFR[[2021]:[2025]],MATCH(BD!W585&amp;"-Très modestes",TabRFR[Recherche RFR],0),MATCH(TEXT(YEAR(BD!I585),"Standard"),TabRFR[[#Headers],[2021]:[2025]],0)),"Très Modeste",IF(X585&lt;=INDEX(TabRFR[[2021]:[2025]],MATCH(BD!W585&amp;"-modestes",TabRFR[Recherche RFR],0),MATCH(TEXT(YEAR(BD!I585),"Standard"),TabRFR[[#Headers],[2021]:[2025]],0)),"Modeste",IF(X585&lt;=INDEX(TabRFR[[2021]:[2025]],MATCH(BD!W585&amp;"-Intermédiaire",TabRFR[Recherche RFR],0),MATCH(TEXT(YEAR(BD!I585),"Standard"),TabRFR[[#Headers],[2021]:[2025]],0)),"Intermédiaire","Supérieur")))))))</f>
        <v>Data RFR manquantes</v>
      </c>
      <c r="Z585" s="77"/>
      <c r="AA585" s="77" t="s">
        <v>3815</v>
      </c>
      <c r="AB585" s="77">
        <v>38850</v>
      </c>
      <c r="AC585" s="77" t="s">
        <v>148</v>
      </c>
      <c r="AD585" s="78"/>
      <c r="AE585" s="102"/>
      <c r="AF585" s="77" t="s">
        <v>95</v>
      </c>
      <c r="AG585" s="77"/>
      <c r="AH585" s="77"/>
      <c r="AI585" s="77"/>
      <c r="AJ585" s="77"/>
      <c r="AK585" s="77"/>
      <c r="AL585" s="77"/>
      <c r="AM585" s="77" t="s">
        <v>3973</v>
      </c>
      <c r="AN585" s="77" t="s">
        <v>96</v>
      </c>
      <c r="AO585" s="77"/>
      <c r="AP585" s="77" t="s">
        <v>97</v>
      </c>
      <c r="AQ585" s="77"/>
      <c r="AR585" s="79">
        <v>44092</v>
      </c>
      <c r="AS585" s="102" t="s">
        <v>141</v>
      </c>
      <c r="AT585" s="78">
        <v>476069938</v>
      </c>
      <c r="AU585" s="77" t="s">
        <v>430</v>
      </c>
      <c r="AV585" s="77">
        <v>1982</v>
      </c>
      <c r="AW585" s="77" t="s">
        <v>100</v>
      </c>
      <c r="AX585" s="77" t="s">
        <v>112</v>
      </c>
      <c r="AY585" s="77" t="s">
        <v>144</v>
      </c>
      <c r="AZ585" s="77" t="s">
        <v>3820</v>
      </c>
      <c r="BA585" s="77">
        <v>25</v>
      </c>
      <c r="BB585" s="77">
        <v>8</v>
      </c>
      <c r="BC585" s="77">
        <v>80</v>
      </c>
      <c r="BD585" s="77">
        <v>1500</v>
      </c>
      <c r="BE585" s="77" t="s">
        <v>97</v>
      </c>
      <c r="BF585" s="77"/>
      <c r="BG585" s="77">
        <v>2690</v>
      </c>
      <c r="BH585" s="77"/>
      <c r="BI585" s="77"/>
      <c r="BJ585" s="77"/>
      <c r="BK585" s="77">
        <v>966.4</v>
      </c>
      <c r="BL585" s="75">
        <f t="shared" si="27"/>
        <v>3656.4</v>
      </c>
      <c r="BM585" s="103">
        <f t="shared" si="28"/>
        <v>201.102</v>
      </c>
      <c r="BN585" s="103">
        <f t="shared" si="29"/>
        <v>3857.502</v>
      </c>
      <c r="BO585" s="80">
        <v>4500</v>
      </c>
      <c r="BP585" s="77" t="s">
        <v>97</v>
      </c>
      <c r="BQ585" s="77"/>
      <c r="BR585" s="77"/>
      <c r="BS585" s="157">
        <v>2019</v>
      </c>
      <c r="BT585" s="235">
        <v>43770</v>
      </c>
      <c r="BU585">
        <v>2019</v>
      </c>
    </row>
    <row r="586" spans="1:73" ht="43.15" customHeight="1" x14ac:dyDescent="0.25">
      <c r="A586" s="241" t="s">
        <v>3845</v>
      </c>
      <c r="B586" s="241" t="s">
        <v>3816</v>
      </c>
      <c r="C586" s="163">
        <v>800</v>
      </c>
      <c r="D586" s="76">
        <v>43733</v>
      </c>
      <c r="E586" s="76">
        <v>43733</v>
      </c>
      <c r="F586" s="76" t="s">
        <v>9</v>
      </c>
      <c r="G586" s="76" t="s">
        <v>9</v>
      </c>
      <c r="H586" s="76">
        <v>43753</v>
      </c>
      <c r="I586" s="76">
        <v>43753</v>
      </c>
      <c r="J586" s="76">
        <v>43759</v>
      </c>
      <c r="K586" s="218"/>
      <c r="L586" s="76">
        <v>43819</v>
      </c>
      <c r="M586" s="76">
        <v>43811</v>
      </c>
      <c r="N586" s="76" t="s">
        <v>4044</v>
      </c>
      <c r="O586" s="76">
        <v>43819</v>
      </c>
      <c r="P586" s="76">
        <v>43819</v>
      </c>
      <c r="Q586" s="76">
        <v>43853</v>
      </c>
      <c r="R586" s="82"/>
      <c r="S586" s="76"/>
      <c r="T586" s="77"/>
      <c r="U586" s="77"/>
      <c r="V586" s="77"/>
      <c r="W586" s="77">
        <v>2</v>
      </c>
      <c r="X586" s="77">
        <v>26225</v>
      </c>
      <c r="Y586" s="75" t="str">
        <f ca="1">IF(I586="",IF(D586="","",IF(W586+X586&lt;15,"Données Nb pers ou RFR manquantes",IF(COUNTA(INDIRECT("TabRFR["&amp;YEAR(D586)&amp;"]"))&lt;&gt;COUNTA(TabRFR[Recherche RFR]),"Data RFR manquantes", IF(X586&lt;=INDEX(TabRFR[[2021]:[2025]],MATCH(BD!W586&amp;"-Très modestes",TabRFR[Recherche RFR],0),MATCH(TEXT(YEAR(BD!D586),"Standard"),TabRFR[[#Headers],[2021]:[2025]],0)),"Très Modeste",IF(X586&lt;=INDEX(TabRFR[[2021]:[2025]],MATCH(BD!W586&amp;"-modestes",TabRFR[Recherche RFR],0),MATCH(TEXT(YEAR(BD!D586),"Standard"),TabRFR[[#Headers],[2021]:[2025]],0)),"Modeste",IF(X586&lt;=INDEX(TabRFR[[2021]:[2025]],MATCH(BD!W586&amp;"-Intermédiaire",TabRFR[Recherche RFR],0),MATCH(TEXT(YEAR(BD!D586),"Standard"),TabRFR[[#Headers],[2021]:[2025]],0)),"Intermédiaire","Supérieur")))))),IF(D586="","",IF(W586+X586&lt;15,"Données Nb pers ou RFR manquantes",IF(COUNTA(INDIRECT("TabRFR["&amp;YEAR(I586)&amp;"]"))&lt;&gt;COUNTA(TabRFR[Recherche RFR]),"Data RFR manquantes", IF(X586&lt;=INDEX(TabRFR[[2021]:[2025]],MATCH(BD!W586&amp;"-Très modestes",TabRFR[Recherche RFR],0),MATCH(TEXT(YEAR(BD!I586),"Standard"),TabRFR[[#Headers],[2021]:[2025]],0)),"Très Modeste",IF(X586&lt;=INDEX(TabRFR[[2021]:[2025]],MATCH(BD!W586&amp;"-modestes",TabRFR[Recherche RFR],0),MATCH(TEXT(YEAR(BD!I586),"Standard"),TabRFR[[#Headers],[2021]:[2025]],0)),"Modeste",IF(X586&lt;=INDEX(TabRFR[[2021]:[2025]],MATCH(BD!W586&amp;"-Intermédiaire",TabRFR[Recherche RFR],0),MATCH(TEXT(YEAR(BD!I586),"Standard"),TabRFR[[#Headers],[2021]:[2025]],0)),"Intermédiaire","Supérieur")))))))</f>
        <v>Data RFR manquantes</v>
      </c>
      <c r="Z586" s="77"/>
      <c r="AA586" s="77" t="s">
        <v>3817</v>
      </c>
      <c r="AB586" s="77">
        <v>38340</v>
      </c>
      <c r="AC586" s="77" t="s">
        <v>3129</v>
      </c>
      <c r="AD586" s="78"/>
      <c r="AE586" s="102"/>
      <c r="AF586" s="77" t="s">
        <v>3818</v>
      </c>
      <c r="AG586" s="77"/>
      <c r="AH586" s="77"/>
      <c r="AI586" s="77"/>
      <c r="AJ586" s="77"/>
      <c r="AK586" s="77"/>
      <c r="AL586" s="77"/>
      <c r="AM586" s="77" t="s">
        <v>4035</v>
      </c>
      <c r="AN586" s="77" t="s">
        <v>108</v>
      </c>
      <c r="AO586" s="77" t="s">
        <v>109</v>
      </c>
      <c r="AP586" s="77" t="s">
        <v>97</v>
      </c>
      <c r="AQ586" s="77"/>
      <c r="AR586" s="79">
        <v>44010</v>
      </c>
      <c r="AS586" s="102" t="s">
        <v>110</v>
      </c>
      <c r="AT586" s="78">
        <v>476500550</v>
      </c>
      <c r="AU586" s="77" t="s">
        <v>172</v>
      </c>
      <c r="AV586" s="77">
        <v>1990</v>
      </c>
      <c r="AW586" s="77" t="s">
        <v>100</v>
      </c>
      <c r="AX586" s="77" t="s">
        <v>112</v>
      </c>
      <c r="AY586" s="77" t="s">
        <v>3846</v>
      </c>
      <c r="AZ586" s="77" t="s">
        <v>3847</v>
      </c>
      <c r="BA586" s="77">
        <v>32</v>
      </c>
      <c r="BB586" s="77">
        <v>7</v>
      </c>
      <c r="BC586" s="77">
        <v>77.8</v>
      </c>
      <c r="BD586" s="77">
        <v>0.08</v>
      </c>
      <c r="BE586" s="77" t="s">
        <v>97</v>
      </c>
      <c r="BF586" s="77"/>
      <c r="BG586" s="77">
        <v>1991.67</v>
      </c>
      <c r="BH586" s="77"/>
      <c r="BI586" s="77"/>
      <c r="BJ586" s="77"/>
      <c r="BK586" s="77">
        <v>750</v>
      </c>
      <c r="BL586" s="75">
        <f t="shared" si="27"/>
        <v>2741.67</v>
      </c>
      <c r="BM586" s="103">
        <f t="shared" si="28"/>
        <v>150.79185000000001</v>
      </c>
      <c r="BN586" s="103">
        <f t="shared" si="29"/>
        <v>2892.4618500000001</v>
      </c>
      <c r="BO586" s="80">
        <v>3999.6</v>
      </c>
      <c r="BP586" s="77" t="s">
        <v>97</v>
      </c>
      <c r="BQ586" s="77"/>
      <c r="BR586" s="77"/>
      <c r="BS586" s="157">
        <v>2019</v>
      </c>
      <c r="BT586" s="235">
        <v>43770</v>
      </c>
      <c r="BU586">
        <v>2019</v>
      </c>
    </row>
    <row r="587" spans="1:73" ht="43.15" customHeight="1" x14ac:dyDescent="0.25">
      <c r="A587" s="241" t="s">
        <v>3845</v>
      </c>
      <c r="B587" s="241" t="s">
        <v>3822</v>
      </c>
      <c r="C587" s="163">
        <v>800</v>
      </c>
      <c r="D587" s="222">
        <v>43740</v>
      </c>
      <c r="E587" s="76">
        <v>43741</v>
      </c>
      <c r="F587" s="76" t="s">
        <v>9</v>
      </c>
      <c r="G587" s="76" t="s">
        <v>9</v>
      </c>
      <c r="H587" s="76">
        <v>43753</v>
      </c>
      <c r="I587" s="76">
        <v>43753</v>
      </c>
      <c r="J587" s="76">
        <v>43759</v>
      </c>
      <c r="K587" s="218"/>
      <c r="L587" s="76">
        <v>43797</v>
      </c>
      <c r="M587" s="76">
        <v>43782</v>
      </c>
      <c r="N587" s="76" t="s">
        <v>4097</v>
      </c>
      <c r="O587" s="76">
        <v>43844</v>
      </c>
      <c r="P587" s="76">
        <v>43844</v>
      </c>
      <c r="Q587" s="76">
        <v>43853</v>
      </c>
      <c r="R587" s="82"/>
      <c r="S587" s="76"/>
      <c r="T587" s="77"/>
      <c r="U587" s="77"/>
      <c r="V587" s="77"/>
      <c r="W587" s="77">
        <v>2</v>
      </c>
      <c r="X587" s="77">
        <v>23990</v>
      </c>
      <c r="Y587" s="75" t="str">
        <f ca="1">IF(I587="",IF(D587="","",IF(W587+X587&lt;15,"Données Nb pers ou RFR manquantes",IF(COUNTA(INDIRECT("TabRFR["&amp;YEAR(D587)&amp;"]"))&lt;&gt;COUNTA(TabRFR[Recherche RFR]),"Data RFR manquantes", IF(X587&lt;=INDEX(TabRFR[[2021]:[2025]],MATCH(BD!W587&amp;"-Très modestes",TabRFR[Recherche RFR],0),MATCH(TEXT(YEAR(BD!D587),"Standard"),TabRFR[[#Headers],[2021]:[2025]],0)),"Très Modeste",IF(X587&lt;=INDEX(TabRFR[[2021]:[2025]],MATCH(BD!W587&amp;"-modestes",TabRFR[Recherche RFR],0),MATCH(TEXT(YEAR(BD!D587),"Standard"),TabRFR[[#Headers],[2021]:[2025]],0)),"Modeste",IF(X587&lt;=INDEX(TabRFR[[2021]:[2025]],MATCH(BD!W587&amp;"-Intermédiaire",TabRFR[Recherche RFR],0),MATCH(TEXT(YEAR(BD!D587),"Standard"),TabRFR[[#Headers],[2021]:[2025]],0)),"Intermédiaire","Supérieur")))))),IF(D587="","",IF(W587+X587&lt;15,"Données Nb pers ou RFR manquantes",IF(COUNTA(INDIRECT("TabRFR["&amp;YEAR(I587)&amp;"]"))&lt;&gt;COUNTA(TabRFR[Recherche RFR]),"Data RFR manquantes", IF(X587&lt;=INDEX(TabRFR[[2021]:[2025]],MATCH(BD!W587&amp;"-Très modestes",TabRFR[Recherche RFR],0),MATCH(TEXT(YEAR(BD!I587),"Standard"),TabRFR[[#Headers],[2021]:[2025]],0)),"Très Modeste",IF(X587&lt;=INDEX(TabRFR[[2021]:[2025]],MATCH(BD!W587&amp;"-modestes",TabRFR[Recherche RFR],0),MATCH(TEXT(YEAR(BD!I587),"Standard"),TabRFR[[#Headers],[2021]:[2025]],0)),"Modeste",IF(X587&lt;=INDEX(TabRFR[[2021]:[2025]],MATCH(BD!W587&amp;"-Intermédiaire",TabRFR[Recherche RFR],0),MATCH(TEXT(YEAR(BD!I587),"Standard"),TabRFR[[#Headers],[2021]:[2025]],0)),"Intermédiaire","Supérieur")))))))</f>
        <v>Data RFR manquantes</v>
      </c>
      <c r="Z587" s="77"/>
      <c r="AA587" s="77" t="s">
        <v>1352</v>
      </c>
      <c r="AB587" s="77">
        <v>38430</v>
      </c>
      <c r="AC587" s="77" t="s">
        <v>3202</v>
      </c>
      <c r="AD587" s="78"/>
      <c r="AE587" s="102"/>
      <c r="AF587" s="77" t="s">
        <v>95</v>
      </c>
      <c r="AG587" s="77"/>
      <c r="AH587" s="77"/>
      <c r="AI587" s="77"/>
      <c r="AJ587" s="77"/>
      <c r="AK587" s="77"/>
      <c r="AL587" s="77"/>
      <c r="AM587" s="77" t="s">
        <v>4368</v>
      </c>
      <c r="AN587" s="77" t="s">
        <v>917</v>
      </c>
      <c r="AO587" s="77" t="s">
        <v>1405</v>
      </c>
      <c r="AP587" s="77" t="s">
        <v>97</v>
      </c>
      <c r="AQ587" s="79"/>
      <c r="AR587" s="79">
        <v>44012</v>
      </c>
      <c r="AS587" s="102" t="s">
        <v>918</v>
      </c>
      <c r="AT587" s="78" t="s">
        <v>3849</v>
      </c>
      <c r="AU587" s="77" t="s">
        <v>100</v>
      </c>
      <c r="AV587" s="77">
        <v>2001</v>
      </c>
      <c r="AW587" s="77" t="s">
        <v>100</v>
      </c>
      <c r="AX587" s="75" t="s">
        <v>2071</v>
      </c>
      <c r="AY587" s="77" t="s">
        <v>174</v>
      </c>
      <c r="AZ587" s="77" t="s">
        <v>1840</v>
      </c>
      <c r="BA587" s="77">
        <v>26</v>
      </c>
      <c r="BB587" s="77">
        <v>8</v>
      </c>
      <c r="BC587" s="77">
        <v>90.1</v>
      </c>
      <c r="BD587" s="77">
        <v>0.01</v>
      </c>
      <c r="BE587" s="77" t="s">
        <v>97</v>
      </c>
      <c r="BF587" s="77"/>
      <c r="BG587" s="77">
        <v>3630</v>
      </c>
      <c r="BH587" s="77"/>
      <c r="BI587" s="77"/>
      <c r="BJ587" s="77"/>
      <c r="BK587" s="77">
        <v>650</v>
      </c>
      <c r="BL587" s="75">
        <f t="shared" si="27"/>
        <v>4280</v>
      </c>
      <c r="BM587" s="103">
        <f t="shared" si="28"/>
        <v>235.4</v>
      </c>
      <c r="BN587" s="103">
        <f t="shared" si="29"/>
        <v>4515.3999999999996</v>
      </c>
      <c r="BO587" s="80">
        <v>4550</v>
      </c>
      <c r="BP587" s="77" t="s">
        <v>97</v>
      </c>
      <c r="BQ587" s="77"/>
      <c r="BR587" s="77"/>
      <c r="BS587" s="157">
        <v>2019</v>
      </c>
      <c r="BU587">
        <v>2019</v>
      </c>
    </row>
    <row r="588" spans="1:73" ht="43.15" customHeight="1" x14ac:dyDescent="0.25">
      <c r="A588" s="241" t="s">
        <v>3845</v>
      </c>
      <c r="B588" s="241" t="s">
        <v>3823</v>
      </c>
      <c r="C588" s="163">
        <v>400</v>
      </c>
      <c r="D588" s="222">
        <v>43740</v>
      </c>
      <c r="E588" s="76">
        <v>43741</v>
      </c>
      <c r="F588" s="76" t="s">
        <v>9</v>
      </c>
      <c r="G588" s="76" t="s">
        <v>9</v>
      </c>
      <c r="H588" s="76">
        <v>43753</v>
      </c>
      <c r="I588" s="76">
        <v>43753</v>
      </c>
      <c r="J588" s="76">
        <v>43759</v>
      </c>
      <c r="K588" s="218"/>
      <c r="L588" s="76">
        <v>43798</v>
      </c>
      <c r="M588" s="76">
        <v>43781</v>
      </c>
      <c r="N588" s="76" t="s">
        <v>4044</v>
      </c>
      <c r="O588" s="76">
        <v>43853</v>
      </c>
      <c r="P588" s="76">
        <v>43853</v>
      </c>
      <c r="Q588" s="76">
        <v>43854</v>
      </c>
      <c r="R588" s="82"/>
      <c r="S588" s="76"/>
      <c r="T588" s="77"/>
      <c r="U588" s="77"/>
      <c r="V588" s="77"/>
      <c r="W588" s="77">
        <v>3</v>
      </c>
      <c r="X588" s="77">
        <v>59318</v>
      </c>
      <c r="Y588" s="75" t="str">
        <f ca="1">IF(I588="",IF(D588="","",IF(W588+X588&lt;15,"Données Nb pers ou RFR manquantes",IF(COUNTA(INDIRECT("TabRFR["&amp;YEAR(D588)&amp;"]"))&lt;&gt;COUNTA(TabRFR[Recherche RFR]),"Data RFR manquantes", IF(X588&lt;=INDEX(TabRFR[[2021]:[2025]],MATCH(BD!W588&amp;"-Très modestes",TabRFR[Recherche RFR],0),MATCH(TEXT(YEAR(BD!D588),"Standard"),TabRFR[[#Headers],[2021]:[2025]],0)),"Très Modeste",IF(X588&lt;=INDEX(TabRFR[[2021]:[2025]],MATCH(BD!W588&amp;"-modestes",TabRFR[Recherche RFR],0),MATCH(TEXT(YEAR(BD!D588),"Standard"),TabRFR[[#Headers],[2021]:[2025]],0)),"Modeste",IF(X588&lt;=INDEX(TabRFR[[2021]:[2025]],MATCH(BD!W588&amp;"-Intermédiaire",TabRFR[Recherche RFR],0),MATCH(TEXT(YEAR(BD!D588),"Standard"),TabRFR[[#Headers],[2021]:[2025]],0)),"Intermédiaire","Supérieur")))))),IF(D588="","",IF(W588+X588&lt;15,"Données Nb pers ou RFR manquantes",IF(COUNTA(INDIRECT("TabRFR["&amp;YEAR(I588)&amp;"]"))&lt;&gt;COUNTA(TabRFR[Recherche RFR]),"Data RFR manquantes", IF(X588&lt;=INDEX(TabRFR[[2021]:[2025]],MATCH(BD!W588&amp;"-Très modestes",TabRFR[Recherche RFR],0),MATCH(TEXT(YEAR(BD!I588),"Standard"),TabRFR[[#Headers],[2021]:[2025]],0)),"Très Modeste",IF(X588&lt;=INDEX(TabRFR[[2021]:[2025]],MATCH(BD!W588&amp;"-modestes",TabRFR[Recherche RFR],0),MATCH(TEXT(YEAR(BD!I588),"Standard"),TabRFR[[#Headers],[2021]:[2025]],0)),"Modeste",IF(X588&lt;=INDEX(TabRFR[[2021]:[2025]],MATCH(BD!W588&amp;"-Intermédiaire",TabRFR[Recherche RFR],0),MATCH(TEXT(YEAR(BD!I588),"Standard"),TabRFR[[#Headers],[2021]:[2025]],0)),"Intermédiaire","Supérieur")))))))</f>
        <v>Data RFR manquantes</v>
      </c>
      <c r="Z588" s="77"/>
      <c r="AA588" s="77" t="s">
        <v>3824</v>
      </c>
      <c r="AB588" s="77">
        <v>38340</v>
      </c>
      <c r="AC588" s="77" t="s">
        <v>108</v>
      </c>
      <c r="AD588" s="78"/>
      <c r="AE588" s="102"/>
      <c r="AF588" s="77" t="s">
        <v>95</v>
      </c>
      <c r="AG588" s="77"/>
      <c r="AH588" s="77"/>
      <c r="AI588" s="77"/>
      <c r="AJ588" s="77"/>
      <c r="AK588" s="77"/>
      <c r="AL588" s="77"/>
      <c r="AM588" s="77" t="s">
        <v>4035</v>
      </c>
      <c r="AN588" s="77" t="s">
        <v>108</v>
      </c>
      <c r="AO588" s="77" t="s">
        <v>109</v>
      </c>
      <c r="AP588" s="77" t="s">
        <v>97</v>
      </c>
      <c r="AQ588" s="77"/>
      <c r="AR588" s="79">
        <v>44010</v>
      </c>
      <c r="AS588" s="102" t="s">
        <v>110</v>
      </c>
      <c r="AT588" s="78">
        <v>476500550</v>
      </c>
      <c r="AU588" s="77" t="s">
        <v>100</v>
      </c>
      <c r="AV588" s="77" t="s">
        <v>3850</v>
      </c>
      <c r="AW588" s="77" t="s">
        <v>100</v>
      </c>
      <c r="AX588" s="75" t="s">
        <v>2071</v>
      </c>
      <c r="AY588" s="77" t="s">
        <v>1436</v>
      </c>
      <c r="AZ588" s="77" t="s">
        <v>3851</v>
      </c>
      <c r="BA588" s="77">
        <v>14</v>
      </c>
      <c r="BB588" s="77">
        <v>6.9</v>
      </c>
      <c r="BC588" s="77">
        <v>92.6</v>
      </c>
      <c r="BD588" s="77">
        <v>4.0000000000000001E-3</v>
      </c>
      <c r="BE588" s="77" t="s">
        <v>97</v>
      </c>
      <c r="BF588" s="77"/>
      <c r="BG588" s="77">
        <v>2790</v>
      </c>
      <c r="BH588" s="77"/>
      <c r="BI588" s="77"/>
      <c r="BJ588" s="77"/>
      <c r="BK588" s="77">
        <v>600</v>
      </c>
      <c r="BL588" s="75">
        <f t="shared" si="27"/>
        <v>3390</v>
      </c>
      <c r="BM588" s="103">
        <f t="shared" si="28"/>
        <v>186.45</v>
      </c>
      <c r="BN588" s="103">
        <f t="shared" si="29"/>
        <v>3576.45</v>
      </c>
      <c r="BO588" s="80">
        <v>4697</v>
      </c>
      <c r="BP588" s="77" t="s">
        <v>97</v>
      </c>
      <c r="BQ588" s="77"/>
      <c r="BR588" s="77"/>
      <c r="BS588" s="157">
        <v>2019</v>
      </c>
      <c r="BU588">
        <v>2019</v>
      </c>
    </row>
    <row r="589" spans="1:73" ht="43.15" customHeight="1" x14ac:dyDescent="0.25">
      <c r="A589" s="241" t="s">
        <v>3845</v>
      </c>
      <c r="B589" s="241" t="s">
        <v>3825</v>
      </c>
      <c r="C589" s="163">
        <v>400</v>
      </c>
      <c r="D589" s="76">
        <v>43741</v>
      </c>
      <c r="E589" s="76">
        <v>43741</v>
      </c>
      <c r="F589" s="76">
        <v>43762</v>
      </c>
      <c r="G589" s="76">
        <v>43773</v>
      </c>
      <c r="H589" s="76">
        <v>43773</v>
      </c>
      <c r="I589" s="76">
        <v>43773</v>
      </c>
      <c r="J589" s="76">
        <v>43787</v>
      </c>
      <c r="K589" s="218"/>
      <c r="L589" s="76">
        <v>43850</v>
      </c>
      <c r="M589" s="76">
        <v>43809</v>
      </c>
      <c r="N589" s="76" t="s">
        <v>4044</v>
      </c>
      <c r="O589" s="76">
        <v>43852</v>
      </c>
      <c r="P589" s="76">
        <v>43852</v>
      </c>
      <c r="Q589" s="76">
        <v>43854</v>
      </c>
      <c r="R589" s="82"/>
      <c r="S589" s="76"/>
      <c r="T589" s="77"/>
      <c r="U589" s="77"/>
      <c r="V589" s="77"/>
      <c r="W589" s="77">
        <v>3</v>
      </c>
      <c r="X589" s="77">
        <v>48346</v>
      </c>
      <c r="Y589" s="75" t="str">
        <f ca="1">IF(I589="",IF(D589="","",IF(W589+X589&lt;15,"Données Nb pers ou RFR manquantes",IF(COUNTA(INDIRECT("TabRFR["&amp;YEAR(D589)&amp;"]"))&lt;&gt;COUNTA(TabRFR[Recherche RFR]),"Data RFR manquantes", IF(X589&lt;=INDEX(TabRFR[[2021]:[2025]],MATCH(BD!W589&amp;"-Très modestes",TabRFR[Recherche RFR],0),MATCH(TEXT(YEAR(BD!D589),"Standard"),TabRFR[[#Headers],[2021]:[2025]],0)),"Très Modeste",IF(X589&lt;=INDEX(TabRFR[[2021]:[2025]],MATCH(BD!W589&amp;"-modestes",TabRFR[Recherche RFR],0),MATCH(TEXT(YEAR(BD!D589),"Standard"),TabRFR[[#Headers],[2021]:[2025]],0)),"Modeste",IF(X589&lt;=INDEX(TabRFR[[2021]:[2025]],MATCH(BD!W589&amp;"-Intermédiaire",TabRFR[Recherche RFR],0),MATCH(TEXT(YEAR(BD!D589),"Standard"),TabRFR[[#Headers],[2021]:[2025]],0)),"Intermédiaire","Supérieur")))))),IF(D589="","",IF(W589+X589&lt;15,"Données Nb pers ou RFR manquantes",IF(COUNTA(INDIRECT("TabRFR["&amp;YEAR(I589)&amp;"]"))&lt;&gt;COUNTA(TabRFR[Recherche RFR]),"Data RFR manquantes", IF(X589&lt;=INDEX(TabRFR[[2021]:[2025]],MATCH(BD!W589&amp;"-Très modestes",TabRFR[Recherche RFR],0),MATCH(TEXT(YEAR(BD!I589),"Standard"),TabRFR[[#Headers],[2021]:[2025]],0)),"Très Modeste",IF(X589&lt;=INDEX(TabRFR[[2021]:[2025]],MATCH(BD!W589&amp;"-modestes",TabRFR[Recherche RFR],0),MATCH(TEXT(YEAR(BD!I589),"Standard"),TabRFR[[#Headers],[2021]:[2025]],0)),"Modeste",IF(X589&lt;=INDEX(TabRFR[[2021]:[2025]],MATCH(BD!W589&amp;"-Intermédiaire",TabRFR[Recherche RFR],0),MATCH(TEXT(YEAR(BD!I589),"Standard"),TabRFR[[#Headers],[2021]:[2025]],0)),"Intermédiaire","Supérieur")))))))</f>
        <v>Data RFR manquantes</v>
      </c>
      <c r="Z589" s="77"/>
      <c r="AA589" s="77" t="s">
        <v>3826</v>
      </c>
      <c r="AB589" s="77">
        <v>38960</v>
      </c>
      <c r="AC589" s="77" t="s">
        <v>2403</v>
      </c>
      <c r="AD589" s="78"/>
      <c r="AE589" s="102"/>
      <c r="AF589" s="77" t="s">
        <v>95</v>
      </c>
      <c r="AG589" s="77"/>
      <c r="AH589" s="77"/>
      <c r="AI589" s="77"/>
      <c r="AJ589" s="77"/>
      <c r="AK589" s="77"/>
      <c r="AL589" s="77"/>
      <c r="AM589" s="77" t="s">
        <v>4359</v>
      </c>
      <c r="AN589" s="77" t="s">
        <v>829</v>
      </c>
      <c r="AO589" s="77" t="s">
        <v>3652</v>
      </c>
      <c r="AP589" s="77" t="s">
        <v>97</v>
      </c>
      <c r="AQ589" s="77"/>
      <c r="AR589" s="79">
        <v>43990</v>
      </c>
      <c r="AS589" s="102" t="s">
        <v>491</v>
      </c>
      <c r="AT589" s="78" t="s">
        <v>3208</v>
      </c>
      <c r="AU589" s="77" t="s">
        <v>111</v>
      </c>
      <c r="AV589" s="77">
        <v>2001</v>
      </c>
      <c r="AW589" s="77" t="s">
        <v>100</v>
      </c>
      <c r="AX589" s="75" t="s">
        <v>2071</v>
      </c>
      <c r="AY589" s="77" t="s">
        <v>3887</v>
      </c>
      <c r="AZ589" s="77" t="s">
        <v>3888</v>
      </c>
      <c r="BA589" s="77">
        <v>18.899999999999999</v>
      </c>
      <c r="BB589" s="77">
        <v>8.5</v>
      </c>
      <c r="BC589" s="77">
        <v>90</v>
      </c>
      <c r="BD589" s="77">
        <v>0.01</v>
      </c>
      <c r="BE589" s="77" t="s">
        <v>97</v>
      </c>
      <c r="BF589" s="77"/>
      <c r="BG589" s="77">
        <v>4309.7</v>
      </c>
      <c r="BH589" s="77"/>
      <c r="BI589" s="77"/>
      <c r="BJ589" s="77"/>
      <c r="BK589" s="77">
        <v>860</v>
      </c>
      <c r="BL589" s="75">
        <f t="shared" si="27"/>
        <v>5169.7</v>
      </c>
      <c r="BM589" s="103">
        <f t="shared" si="28"/>
        <v>284.33350000000002</v>
      </c>
      <c r="BN589" s="103">
        <f t="shared" si="29"/>
        <v>5454.0334999999995</v>
      </c>
      <c r="BO589" s="80">
        <v>5454.03</v>
      </c>
      <c r="BP589" s="77" t="s">
        <v>104</v>
      </c>
      <c r="BQ589" s="77"/>
      <c r="BR589" s="77"/>
      <c r="BS589" s="157">
        <v>2019</v>
      </c>
      <c r="BU589">
        <v>2019</v>
      </c>
    </row>
    <row r="590" spans="1:73" ht="43.15" customHeight="1" x14ac:dyDescent="0.25">
      <c r="A590" s="31" t="s">
        <v>3845</v>
      </c>
      <c r="B590" s="31" t="s">
        <v>3827</v>
      </c>
      <c r="C590" s="163">
        <v>400</v>
      </c>
      <c r="D590" s="76">
        <v>43745</v>
      </c>
      <c r="E590" s="76">
        <v>43746</v>
      </c>
      <c r="F590" s="76">
        <v>43759</v>
      </c>
      <c r="G590" s="76">
        <v>43818</v>
      </c>
      <c r="H590" s="76">
        <v>43818</v>
      </c>
      <c r="I590" s="76">
        <v>43818</v>
      </c>
      <c r="J590" s="76">
        <v>43857</v>
      </c>
      <c r="K590" s="218"/>
      <c r="L590" s="76">
        <v>44127</v>
      </c>
      <c r="M590" s="76">
        <v>43776</v>
      </c>
      <c r="N590" s="76" t="s">
        <v>9</v>
      </c>
      <c r="O590" s="76" t="s">
        <v>9</v>
      </c>
      <c r="P590" s="76" t="s">
        <v>9</v>
      </c>
      <c r="Q590" s="76" t="s">
        <v>9</v>
      </c>
      <c r="R590" s="82"/>
      <c r="S590" s="76">
        <v>44131</v>
      </c>
      <c r="T590" s="77" t="s">
        <v>4341</v>
      </c>
      <c r="U590" s="77"/>
      <c r="V590" s="77"/>
      <c r="W590" s="77">
        <v>2</v>
      </c>
      <c r="X590" s="77">
        <v>50631</v>
      </c>
      <c r="Y590" s="75" t="str">
        <f ca="1">IF(I590="",IF(D590="","",IF(W590+X590&lt;15,"Données Nb pers ou RFR manquantes",IF(COUNTA(INDIRECT("TabRFR["&amp;YEAR(D590)&amp;"]"))&lt;&gt;COUNTA(TabRFR[Recherche RFR]),"Data RFR manquantes", IF(X590&lt;=INDEX(TabRFR[[2021]:[2025]],MATCH(BD!W590&amp;"-Très modestes",TabRFR[Recherche RFR],0),MATCH(TEXT(YEAR(BD!D590),"Standard"),TabRFR[[#Headers],[2021]:[2025]],0)),"Très Modeste",IF(X590&lt;=INDEX(TabRFR[[2021]:[2025]],MATCH(BD!W590&amp;"-modestes",TabRFR[Recherche RFR],0),MATCH(TEXT(YEAR(BD!D590),"Standard"),TabRFR[[#Headers],[2021]:[2025]],0)),"Modeste",IF(X590&lt;=INDEX(TabRFR[[2021]:[2025]],MATCH(BD!W590&amp;"-Intermédiaire",TabRFR[Recherche RFR],0),MATCH(TEXT(YEAR(BD!D590),"Standard"),TabRFR[[#Headers],[2021]:[2025]],0)),"Intermédiaire","Supérieur")))))),IF(D590="","",IF(W590+X590&lt;15,"Données Nb pers ou RFR manquantes",IF(COUNTA(INDIRECT("TabRFR["&amp;YEAR(I590)&amp;"]"))&lt;&gt;COUNTA(TabRFR[Recherche RFR]),"Data RFR manquantes", IF(X590&lt;=INDEX(TabRFR[[2021]:[2025]],MATCH(BD!W590&amp;"-Très modestes",TabRFR[Recherche RFR],0),MATCH(TEXT(YEAR(BD!I590),"Standard"),TabRFR[[#Headers],[2021]:[2025]],0)),"Très Modeste",IF(X590&lt;=INDEX(TabRFR[[2021]:[2025]],MATCH(BD!W590&amp;"-modestes",TabRFR[Recherche RFR],0),MATCH(TEXT(YEAR(BD!I590),"Standard"),TabRFR[[#Headers],[2021]:[2025]],0)),"Modeste",IF(X590&lt;=INDEX(TabRFR[[2021]:[2025]],MATCH(BD!W590&amp;"-Intermédiaire",TabRFR[Recherche RFR],0),MATCH(TEXT(YEAR(BD!I590),"Standard"),TabRFR[[#Headers],[2021]:[2025]],0)),"Intermédiaire","Supérieur")))))))</f>
        <v>Data RFR manquantes</v>
      </c>
      <c r="Z590" s="77"/>
      <c r="AA590" s="77" t="s">
        <v>3832</v>
      </c>
      <c r="AB590" s="77">
        <v>38620</v>
      </c>
      <c r="AC590" s="77" t="s">
        <v>3833</v>
      </c>
      <c r="AD590" s="78"/>
      <c r="AE590" s="102"/>
      <c r="AF590" s="77" t="s">
        <v>95</v>
      </c>
      <c r="AG590" s="77"/>
      <c r="AH590" s="77"/>
      <c r="AI590" s="77"/>
      <c r="AJ590" s="77"/>
      <c r="AK590" s="77"/>
      <c r="AL590" s="77"/>
      <c r="AM590" s="77" t="s">
        <v>4408</v>
      </c>
      <c r="AN590" s="77" t="s">
        <v>3856</v>
      </c>
      <c r="AO590" s="77"/>
      <c r="AP590" s="77" t="s">
        <v>97</v>
      </c>
      <c r="AQ590" s="77"/>
      <c r="AR590" s="79">
        <v>44115</v>
      </c>
      <c r="AS590" s="102"/>
      <c r="AT590" s="78" t="s">
        <v>3857</v>
      </c>
      <c r="AU590" s="77" t="s">
        <v>746</v>
      </c>
      <c r="AV590" s="77">
        <v>1988</v>
      </c>
      <c r="AW590" s="77" t="s">
        <v>746</v>
      </c>
      <c r="AX590" s="77" t="s">
        <v>112</v>
      </c>
      <c r="AY590" s="77" t="s">
        <v>3858</v>
      </c>
      <c r="AZ590" s="77" t="s">
        <v>3859</v>
      </c>
      <c r="BA590" s="77">
        <v>22</v>
      </c>
      <c r="BB590" s="77">
        <v>25</v>
      </c>
      <c r="BC590" s="77">
        <v>91.2</v>
      </c>
      <c r="BD590" s="77">
        <v>1.264E-2</v>
      </c>
      <c r="BE590" s="77" t="s">
        <v>97</v>
      </c>
      <c r="BF590" s="77"/>
      <c r="BG590" s="77">
        <v>11920</v>
      </c>
      <c r="BH590" s="77"/>
      <c r="BI590" s="77"/>
      <c r="BJ590" s="77"/>
      <c r="BK590" s="77">
        <v>1950</v>
      </c>
      <c r="BL590" s="75">
        <f t="shared" si="27"/>
        <v>13870</v>
      </c>
      <c r="BM590" s="103">
        <f t="shared" si="28"/>
        <v>762.85</v>
      </c>
      <c r="BN590" s="103">
        <f t="shared" si="29"/>
        <v>14632.85</v>
      </c>
      <c r="BO590" s="80"/>
      <c r="BP590" s="77" t="s">
        <v>97</v>
      </c>
      <c r="BQ590" s="77"/>
      <c r="BR590" s="77"/>
      <c r="BS590" s="157">
        <v>2020</v>
      </c>
      <c r="BT590" s="235">
        <v>43770</v>
      </c>
      <c r="BU590" t="s">
        <v>4180</v>
      </c>
    </row>
    <row r="591" spans="1:73" ht="43.15" customHeight="1" x14ac:dyDescent="0.25">
      <c r="A591" s="241" t="s">
        <v>3845</v>
      </c>
      <c r="B591" s="241" t="s">
        <v>3828</v>
      </c>
      <c r="C591" s="163">
        <v>800</v>
      </c>
      <c r="D591" s="76">
        <v>43746</v>
      </c>
      <c r="E591" s="76">
        <v>43746</v>
      </c>
      <c r="F591" s="76" t="s">
        <v>9</v>
      </c>
      <c r="G591" s="76" t="s">
        <v>9</v>
      </c>
      <c r="H591" s="76">
        <v>43759</v>
      </c>
      <c r="I591" s="76">
        <v>43759</v>
      </c>
      <c r="J591" s="76">
        <v>43759</v>
      </c>
      <c r="K591" s="218"/>
      <c r="L591" s="76">
        <v>43868</v>
      </c>
      <c r="M591" s="76">
        <v>43813</v>
      </c>
      <c r="N591" s="76" t="s">
        <v>4044</v>
      </c>
      <c r="O591" s="76">
        <v>43872</v>
      </c>
      <c r="P591" s="76">
        <v>43872</v>
      </c>
      <c r="Q591" s="76">
        <v>43875</v>
      </c>
      <c r="R591" s="82"/>
      <c r="S591" s="76"/>
      <c r="T591" s="77"/>
      <c r="U591" s="77"/>
      <c r="V591" s="77"/>
      <c r="W591" s="77">
        <v>2</v>
      </c>
      <c r="X591" s="77">
        <v>16728</v>
      </c>
      <c r="Y591" s="75" t="str">
        <f ca="1">IF(I591="",IF(D591="","",IF(W591+X591&lt;15,"Données Nb pers ou RFR manquantes",IF(COUNTA(INDIRECT("TabRFR["&amp;YEAR(D591)&amp;"]"))&lt;&gt;COUNTA(TabRFR[Recherche RFR]),"Data RFR manquantes", IF(X591&lt;=INDEX(TabRFR[[2021]:[2025]],MATCH(BD!W591&amp;"-Très modestes",TabRFR[Recherche RFR],0),MATCH(TEXT(YEAR(BD!D591),"Standard"),TabRFR[[#Headers],[2021]:[2025]],0)),"Très Modeste",IF(X591&lt;=INDEX(TabRFR[[2021]:[2025]],MATCH(BD!W591&amp;"-modestes",TabRFR[Recherche RFR],0),MATCH(TEXT(YEAR(BD!D591),"Standard"),TabRFR[[#Headers],[2021]:[2025]],0)),"Modeste",IF(X591&lt;=INDEX(TabRFR[[2021]:[2025]],MATCH(BD!W591&amp;"-Intermédiaire",TabRFR[Recherche RFR],0),MATCH(TEXT(YEAR(BD!D591),"Standard"),TabRFR[[#Headers],[2021]:[2025]],0)),"Intermédiaire","Supérieur")))))),IF(D591="","",IF(W591+X591&lt;15,"Données Nb pers ou RFR manquantes",IF(COUNTA(INDIRECT("TabRFR["&amp;YEAR(I591)&amp;"]"))&lt;&gt;COUNTA(TabRFR[Recherche RFR]),"Data RFR manquantes", IF(X591&lt;=INDEX(TabRFR[[2021]:[2025]],MATCH(BD!W591&amp;"-Très modestes",TabRFR[Recherche RFR],0),MATCH(TEXT(YEAR(BD!I591),"Standard"),TabRFR[[#Headers],[2021]:[2025]],0)),"Très Modeste",IF(X591&lt;=INDEX(TabRFR[[2021]:[2025]],MATCH(BD!W591&amp;"-modestes",TabRFR[Recherche RFR],0),MATCH(TEXT(YEAR(BD!I591),"Standard"),TabRFR[[#Headers],[2021]:[2025]],0)),"Modeste",IF(X591&lt;=INDEX(TabRFR[[2021]:[2025]],MATCH(BD!W591&amp;"-Intermédiaire",TabRFR[Recherche RFR],0),MATCH(TEXT(YEAR(BD!I591),"Standard"),TabRFR[[#Headers],[2021]:[2025]],0)),"Intermédiaire","Supérieur")))))))</f>
        <v>Data RFR manquantes</v>
      </c>
      <c r="Z591" s="77"/>
      <c r="AA591" s="77" t="s">
        <v>3834</v>
      </c>
      <c r="AB591" s="77">
        <v>38620</v>
      </c>
      <c r="AC591" s="77" t="s">
        <v>851</v>
      </c>
      <c r="AD591" s="78"/>
      <c r="AE591" s="102"/>
      <c r="AF591" s="77" t="s">
        <v>95</v>
      </c>
      <c r="AG591" s="77"/>
      <c r="AH591" s="77"/>
      <c r="AI591" s="77"/>
      <c r="AJ591" s="77"/>
      <c r="AK591" s="77"/>
      <c r="AL591" s="77"/>
      <c r="AM591" s="77" t="s">
        <v>4409</v>
      </c>
      <c r="AN591" s="77" t="s">
        <v>4410</v>
      </c>
      <c r="AO591" s="77" t="s">
        <v>3860</v>
      </c>
      <c r="AP591" s="77" t="s">
        <v>97</v>
      </c>
      <c r="AQ591" s="77"/>
      <c r="AR591" s="79">
        <v>43822</v>
      </c>
      <c r="AS591" s="102"/>
      <c r="AT591" s="78" t="s">
        <v>3861</v>
      </c>
      <c r="AU591" s="77" t="s">
        <v>100</v>
      </c>
      <c r="AV591" s="77">
        <v>2000</v>
      </c>
      <c r="AW591" s="77" t="s">
        <v>100</v>
      </c>
      <c r="AX591" s="77" t="s">
        <v>112</v>
      </c>
      <c r="AY591" s="77" t="s">
        <v>646</v>
      </c>
      <c r="AZ591" s="77" t="s">
        <v>3862</v>
      </c>
      <c r="BA591" s="77">
        <v>15</v>
      </c>
      <c r="BB591" s="77">
        <v>5</v>
      </c>
      <c r="BC591" s="77">
        <v>84.4</v>
      </c>
      <c r="BD591" s="77">
        <v>0.09</v>
      </c>
      <c r="BE591" s="77" t="s">
        <v>97</v>
      </c>
      <c r="BF591" s="77"/>
      <c r="BG591" s="77"/>
      <c r="BH591" s="77"/>
      <c r="BI591" s="77"/>
      <c r="BJ591" s="77"/>
      <c r="BK591" s="77"/>
      <c r="BL591" s="75">
        <f t="shared" si="27"/>
        <v>0</v>
      </c>
      <c r="BM591" s="103">
        <f t="shared" si="28"/>
        <v>0</v>
      </c>
      <c r="BN591" s="103">
        <f t="shared" si="29"/>
        <v>0</v>
      </c>
      <c r="BO591" s="80">
        <v>4163.24</v>
      </c>
      <c r="BP591" s="77" t="s">
        <v>97</v>
      </c>
      <c r="BQ591" s="77"/>
      <c r="BR591" s="77"/>
      <c r="BS591" s="157">
        <v>2019</v>
      </c>
      <c r="BT591" s="235">
        <v>43770</v>
      </c>
      <c r="BU591">
        <v>2019</v>
      </c>
    </row>
    <row r="592" spans="1:73" ht="43.15" customHeight="1" x14ac:dyDescent="0.25">
      <c r="A592" s="241" t="s">
        <v>3845</v>
      </c>
      <c r="B592" s="241" t="s">
        <v>3829</v>
      </c>
      <c r="C592" s="163">
        <v>400</v>
      </c>
      <c r="D592" s="76">
        <v>43748</v>
      </c>
      <c r="E592" s="76">
        <v>43748</v>
      </c>
      <c r="F592" s="76" t="s">
        <v>9</v>
      </c>
      <c r="G592" s="76" t="s">
        <v>9</v>
      </c>
      <c r="H592" s="76">
        <v>43759</v>
      </c>
      <c r="I592" s="76">
        <v>43759</v>
      </c>
      <c r="J592" s="76"/>
      <c r="K592" s="218"/>
      <c r="L592" s="76">
        <v>43819</v>
      </c>
      <c r="M592" s="76">
        <v>43811</v>
      </c>
      <c r="N592" s="76"/>
      <c r="O592" s="76">
        <v>43819</v>
      </c>
      <c r="P592" s="76">
        <v>43819</v>
      </c>
      <c r="Q592" s="76">
        <v>43853</v>
      </c>
      <c r="R592" s="82"/>
      <c r="S592" s="76"/>
      <c r="T592" s="77"/>
      <c r="U592" s="77"/>
      <c r="V592" s="77"/>
      <c r="W592" s="77">
        <v>3</v>
      </c>
      <c r="X592" s="77">
        <v>55921</v>
      </c>
      <c r="Y592" s="75" t="str">
        <f ca="1">IF(I592="",IF(D592="","",IF(W592+X592&lt;15,"Données Nb pers ou RFR manquantes",IF(COUNTA(INDIRECT("TabRFR["&amp;YEAR(D592)&amp;"]"))&lt;&gt;COUNTA(TabRFR[Recherche RFR]),"Data RFR manquantes", IF(X592&lt;=INDEX(TabRFR[[2021]:[2025]],MATCH(BD!W592&amp;"-Très modestes",TabRFR[Recherche RFR],0),MATCH(TEXT(YEAR(BD!D592),"Standard"),TabRFR[[#Headers],[2021]:[2025]],0)),"Très Modeste",IF(X592&lt;=INDEX(TabRFR[[2021]:[2025]],MATCH(BD!W592&amp;"-modestes",TabRFR[Recherche RFR],0),MATCH(TEXT(YEAR(BD!D592),"Standard"),TabRFR[[#Headers],[2021]:[2025]],0)),"Modeste",IF(X592&lt;=INDEX(TabRFR[[2021]:[2025]],MATCH(BD!W592&amp;"-Intermédiaire",TabRFR[Recherche RFR],0),MATCH(TEXT(YEAR(BD!D592),"Standard"),TabRFR[[#Headers],[2021]:[2025]],0)),"Intermédiaire","Supérieur")))))),IF(D592="","",IF(W592+X592&lt;15,"Données Nb pers ou RFR manquantes",IF(COUNTA(INDIRECT("TabRFR["&amp;YEAR(I592)&amp;"]"))&lt;&gt;COUNTA(TabRFR[Recherche RFR]),"Data RFR manquantes", IF(X592&lt;=INDEX(TabRFR[[2021]:[2025]],MATCH(BD!W592&amp;"-Très modestes",TabRFR[Recherche RFR],0),MATCH(TEXT(YEAR(BD!I592),"Standard"),TabRFR[[#Headers],[2021]:[2025]],0)),"Très Modeste",IF(X592&lt;=INDEX(TabRFR[[2021]:[2025]],MATCH(BD!W592&amp;"-modestes",TabRFR[Recherche RFR],0),MATCH(TEXT(YEAR(BD!I592),"Standard"),TabRFR[[#Headers],[2021]:[2025]],0)),"Modeste",IF(X592&lt;=INDEX(TabRFR[[2021]:[2025]],MATCH(BD!W592&amp;"-Intermédiaire",TabRFR[Recherche RFR],0),MATCH(TEXT(YEAR(BD!I592),"Standard"),TabRFR[[#Headers],[2021]:[2025]],0)),"Intermédiaire","Supérieur")))))))</f>
        <v>Data RFR manquantes</v>
      </c>
      <c r="Z592" s="77"/>
      <c r="AA592" s="77" t="s">
        <v>3367</v>
      </c>
      <c r="AB592" s="77">
        <v>38620</v>
      </c>
      <c r="AC592" s="77" t="s">
        <v>851</v>
      </c>
      <c r="AD592" s="78"/>
      <c r="AE592" s="102"/>
      <c r="AF592" s="77" t="s">
        <v>95</v>
      </c>
      <c r="AG592" s="77"/>
      <c r="AH592" s="77"/>
      <c r="AI592" s="77"/>
      <c r="AJ592" s="77"/>
      <c r="AK592" s="77"/>
      <c r="AL592" s="77"/>
      <c r="AM592" s="77" t="s">
        <v>4348</v>
      </c>
      <c r="AN592" s="77" t="s">
        <v>96</v>
      </c>
      <c r="AO592" s="77" t="s">
        <v>238</v>
      </c>
      <c r="AP592" s="77" t="s">
        <v>97</v>
      </c>
      <c r="AQ592" s="77"/>
      <c r="AR592" s="79">
        <v>44064</v>
      </c>
      <c r="AS592" s="102" t="s">
        <v>98</v>
      </c>
      <c r="AT592" s="78" t="s">
        <v>802</v>
      </c>
      <c r="AU592" s="77" t="s">
        <v>399</v>
      </c>
      <c r="AV592" s="77">
        <v>1982</v>
      </c>
      <c r="AW592" s="77" t="s">
        <v>100</v>
      </c>
      <c r="AX592" s="77" t="s">
        <v>112</v>
      </c>
      <c r="AY592" s="77" t="s">
        <v>251</v>
      </c>
      <c r="AZ592" s="77" t="s">
        <v>3863</v>
      </c>
      <c r="BA592" s="77">
        <v>4</v>
      </c>
      <c r="BB592" s="77">
        <v>6.8</v>
      </c>
      <c r="BC592" s="77">
        <v>78</v>
      </c>
      <c r="BD592" s="77">
        <v>0.06</v>
      </c>
      <c r="BE592" s="77" t="s">
        <v>97</v>
      </c>
      <c r="BF592" s="77"/>
      <c r="BG592" s="77">
        <v>2500</v>
      </c>
      <c r="BH592" s="77"/>
      <c r="BI592" s="77"/>
      <c r="BJ592" s="77"/>
      <c r="BK592" s="77">
        <v>662</v>
      </c>
      <c r="BL592" s="75">
        <f t="shared" si="27"/>
        <v>3162</v>
      </c>
      <c r="BM592" s="103">
        <f t="shared" si="28"/>
        <v>173.91</v>
      </c>
      <c r="BN592" s="103">
        <f t="shared" si="29"/>
        <v>3335.91</v>
      </c>
      <c r="BO592" s="80">
        <v>3067.94</v>
      </c>
      <c r="BP592" s="77" t="s">
        <v>104</v>
      </c>
      <c r="BQ592" s="77"/>
      <c r="BR592" s="77"/>
      <c r="BS592" s="157">
        <v>2019</v>
      </c>
      <c r="BT592" s="235">
        <v>43770</v>
      </c>
      <c r="BU592">
        <v>2019</v>
      </c>
    </row>
    <row r="593" spans="1:73" ht="43.15" customHeight="1" x14ac:dyDescent="0.25">
      <c r="A593" s="241" t="s">
        <v>3845</v>
      </c>
      <c r="B593" s="241" t="s">
        <v>3830</v>
      </c>
      <c r="C593" s="163">
        <v>400</v>
      </c>
      <c r="D593" s="76">
        <v>43749</v>
      </c>
      <c r="E593" s="76">
        <v>43749</v>
      </c>
      <c r="F593" s="76" t="s">
        <v>9</v>
      </c>
      <c r="G593" s="76" t="s">
        <v>9</v>
      </c>
      <c r="H593" s="76">
        <v>43759</v>
      </c>
      <c r="I593" s="76">
        <v>43759</v>
      </c>
      <c r="J593" s="76"/>
      <c r="K593" s="218"/>
      <c r="L593" s="76">
        <v>43467</v>
      </c>
      <c r="M593" s="76">
        <v>43781</v>
      </c>
      <c r="N593" s="76" t="s">
        <v>4044</v>
      </c>
      <c r="O593" s="76">
        <v>43837</v>
      </c>
      <c r="P593" s="76">
        <v>43837</v>
      </c>
      <c r="Q593" s="76">
        <v>43853</v>
      </c>
      <c r="R593" s="82"/>
      <c r="S593" s="76"/>
      <c r="T593" s="77"/>
      <c r="U593" s="77"/>
      <c r="V593" s="77"/>
      <c r="W593" s="77">
        <v>3</v>
      </c>
      <c r="X593" s="77">
        <v>40169</v>
      </c>
      <c r="Y593" s="75" t="str">
        <f ca="1">IF(I593="",IF(D593="","",IF(W593+X593&lt;15,"Données Nb pers ou RFR manquantes",IF(COUNTA(INDIRECT("TabRFR["&amp;YEAR(D593)&amp;"]"))&lt;&gt;COUNTA(TabRFR[Recherche RFR]),"Data RFR manquantes", IF(X593&lt;=INDEX(TabRFR[[2021]:[2025]],MATCH(BD!W593&amp;"-Très modestes",TabRFR[Recherche RFR],0),MATCH(TEXT(YEAR(BD!D593),"Standard"),TabRFR[[#Headers],[2021]:[2025]],0)),"Très Modeste",IF(X593&lt;=INDEX(TabRFR[[2021]:[2025]],MATCH(BD!W593&amp;"-modestes",TabRFR[Recherche RFR],0),MATCH(TEXT(YEAR(BD!D593),"Standard"),TabRFR[[#Headers],[2021]:[2025]],0)),"Modeste",IF(X593&lt;=INDEX(TabRFR[[2021]:[2025]],MATCH(BD!W593&amp;"-Intermédiaire",TabRFR[Recherche RFR],0),MATCH(TEXT(YEAR(BD!D593),"Standard"),TabRFR[[#Headers],[2021]:[2025]],0)),"Intermédiaire","Supérieur")))))),IF(D593="","",IF(W593+X593&lt;15,"Données Nb pers ou RFR manquantes",IF(COUNTA(INDIRECT("TabRFR["&amp;YEAR(I593)&amp;"]"))&lt;&gt;COUNTA(TabRFR[Recherche RFR]),"Data RFR manquantes", IF(X593&lt;=INDEX(TabRFR[[2021]:[2025]],MATCH(BD!W593&amp;"-Très modestes",TabRFR[Recherche RFR],0),MATCH(TEXT(YEAR(BD!I593),"Standard"),TabRFR[[#Headers],[2021]:[2025]],0)),"Très Modeste",IF(X593&lt;=INDEX(TabRFR[[2021]:[2025]],MATCH(BD!W593&amp;"-modestes",TabRFR[Recherche RFR],0),MATCH(TEXT(YEAR(BD!I593),"Standard"),TabRFR[[#Headers],[2021]:[2025]],0)),"Modeste",IF(X593&lt;=INDEX(TabRFR[[2021]:[2025]],MATCH(BD!W593&amp;"-Intermédiaire",TabRFR[Recherche RFR],0),MATCH(TEXT(YEAR(BD!I593),"Standard"),TabRFR[[#Headers],[2021]:[2025]],0)),"Intermédiaire","Supérieur")))))))</f>
        <v>Data RFR manquantes</v>
      </c>
      <c r="Z593" s="77"/>
      <c r="AA593" s="77" t="s">
        <v>3843</v>
      </c>
      <c r="AB593" s="77">
        <v>38500</v>
      </c>
      <c r="AC593" s="77" t="s">
        <v>96</v>
      </c>
      <c r="AD593" s="78"/>
      <c r="AE593" s="102"/>
      <c r="AF593" s="77" t="s">
        <v>95</v>
      </c>
      <c r="AG593" s="77"/>
      <c r="AH593" s="77"/>
      <c r="AI593" s="77"/>
      <c r="AJ593" s="77"/>
      <c r="AK593" s="77"/>
      <c r="AL593" s="77"/>
      <c r="AM593" s="77" t="s">
        <v>218</v>
      </c>
      <c r="AN593" s="77" t="s">
        <v>217</v>
      </c>
      <c r="AO593" s="77" t="s">
        <v>219</v>
      </c>
      <c r="AP593" s="77" t="s">
        <v>97</v>
      </c>
      <c r="AQ593" s="77"/>
      <c r="AR593" s="79">
        <v>44130</v>
      </c>
      <c r="AS593" s="102" t="s">
        <v>220</v>
      </c>
      <c r="AT593" s="78" t="s">
        <v>620</v>
      </c>
      <c r="AU593" s="77" t="s">
        <v>399</v>
      </c>
      <c r="AV593" s="77">
        <v>1996</v>
      </c>
      <c r="AW593" s="77" t="s">
        <v>100</v>
      </c>
      <c r="AX593" s="77" t="s">
        <v>112</v>
      </c>
      <c r="AY593" s="77" t="s">
        <v>3864</v>
      </c>
      <c r="AZ593" s="77" t="s">
        <v>3865</v>
      </c>
      <c r="BA593" s="77">
        <v>18</v>
      </c>
      <c r="BB593" s="77">
        <v>10.6</v>
      </c>
      <c r="BC593" s="77">
        <v>88</v>
      </c>
      <c r="BD593" s="77">
        <v>7.0000000000000007E-2</v>
      </c>
      <c r="BE593" s="77" t="s">
        <v>97</v>
      </c>
      <c r="BF593" s="77"/>
      <c r="BG593" s="77">
        <v>3092.34</v>
      </c>
      <c r="BH593" s="77"/>
      <c r="BI593" s="77"/>
      <c r="BJ593" s="77"/>
      <c r="BK593" s="77">
        <v>625</v>
      </c>
      <c r="BL593" s="75">
        <f t="shared" si="27"/>
        <v>3717.34</v>
      </c>
      <c r="BM593" s="103">
        <f t="shared" si="28"/>
        <v>204.4537</v>
      </c>
      <c r="BN593" s="103">
        <f t="shared" si="29"/>
        <v>3921.7937000000002</v>
      </c>
      <c r="BO593" s="80">
        <v>3969.06</v>
      </c>
      <c r="BP593" s="77" t="s">
        <v>104</v>
      </c>
      <c r="BQ593" s="77"/>
      <c r="BR593" s="77"/>
      <c r="BS593" s="157">
        <v>2019</v>
      </c>
      <c r="BT593" s="235">
        <v>43770</v>
      </c>
      <c r="BU593">
        <v>2019</v>
      </c>
    </row>
    <row r="594" spans="1:73" ht="43.15" customHeight="1" x14ac:dyDescent="0.25">
      <c r="A594" s="241" t="s">
        <v>3845</v>
      </c>
      <c r="B594" s="241" t="s">
        <v>3831</v>
      </c>
      <c r="C594" s="163">
        <v>400</v>
      </c>
      <c r="D594" s="76">
        <v>43749</v>
      </c>
      <c r="E594" s="76">
        <v>43749</v>
      </c>
      <c r="F594" s="76">
        <v>43759</v>
      </c>
      <c r="G594" s="76">
        <v>43775</v>
      </c>
      <c r="H594" s="76">
        <v>43776</v>
      </c>
      <c r="I594" s="76">
        <v>43776</v>
      </c>
      <c r="J594" s="76">
        <v>43787</v>
      </c>
      <c r="K594" s="218"/>
      <c r="L594" s="76">
        <v>43805</v>
      </c>
      <c r="M594" s="76">
        <v>43794</v>
      </c>
      <c r="N594" s="76" t="s">
        <v>4093</v>
      </c>
      <c r="O594" s="76">
        <v>43840</v>
      </c>
      <c r="P594" s="76">
        <v>43840</v>
      </c>
      <c r="Q594" s="76">
        <v>43853</v>
      </c>
      <c r="R594" s="82"/>
      <c r="S594" s="76"/>
      <c r="T594" s="77"/>
      <c r="U594" s="77"/>
      <c r="V594" s="77"/>
      <c r="W594" s="77">
        <v>2</v>
      </c>
      <c r="X594" s="77">
        <v>36851</v>
      </c>
      <c r="Y594" s="75" t="str">
        <f ca="1">IF(I594="",IF(D594="","",IF(W594+X594&lt;15,"Données Nb pers ou RFR manquantes",IF(COUNTA(INDIRECT("TabRFR["&amp;YEAR(D594)&amp;"]"))&lt;&gt;COUNTA(TabRFR[Recherche RFR]),"Data RFR manquantes", IF(X594&lt;=INDEX(TabRFR[[2021]:[2025]],MATCH(BD!W594&amp;"-Très modestes",TabRFR[Recherche RFR],0),MATCH(TEXT(YEAR(BD!D594),"Standard"),TabRFR[[#Headers],[2021]:[2025]],0)),"Très Modeste",IF(X594&lt;=INDEX(TabRFR[[2021]:[2025]],MATCH(BD!W594&amp;"-modestes",TabRFR[Recherche RFR],0),MATCH(TEXT(YEAR(BD!D594),"Standard"),TabRFR[[#Headers],[2021]:[2025]],0)),"Modeste",IF(X594&lt;=INDEX(TabRFR[[2021]:[2025]],MATCH(BD!W594&amp;"-Intermédiaire",TabRFR[Recherche RFR],0),MATCH(TEXT(YEAR(BD!D594),"Standard"),TabRFR[[#Headers],[2021]:[2025]],0)),"Intermédiaire","Supérieur")))))),IF(D594="","",IF(W594+X594&lt;15,"Données Nb pers ou RFR manquantes",IF(COUNTA(INDIRECT("TabRFR["&amp;YEAR(I594)&amp;"]"))&lt;&gt;COUNTA(TabRFR[Recherche RFR]),"Data RFR manquantes", IF(X594&lt;=INDEX(TabRFR[[2021]:[2025]],MATCH(BD!W594&amp;"-Très modestes",TabRFR[Recherche RFR],0),MATCH(TEXT(YEAR(BD!I594),"Standard"),TabRFR[[#Headers],[2021]:[2025]],0)),"Très Modeste",IF(X594&lt;=INDEX(TabRFR[[2021]:[2025]],MATCH(BD!W594&amp;"-modestes",TabRFR[Recherche RFR],0),MATCH(TEXT(YEAR(BD!I594),"Standard"),TabRFR[[#Headers],[2021]:[2025]],0)),"Modeste",IF(X594&lt;=INDEX(TabRFR[[2021]:[2025]],MATCH(BD!W594&amp;"-Intermédiaire",TabRFR[Recherche RFR],0),MATCH(TEXT(YEAR(BD!I594),"Standard"),TabRFR[[#Headers],[2021]:[2025]],0)),"Intermédiaire","Supérieur")))))))</f>
        <v>Data RFR manquantes</v>
      </c>
      <c r="Z594" s="77"/>
      <c r="AA594" s="77" t="s">
        <v>3844</v>
      </c>
      <c r="AB594" s="77">
        <v>38620</v>
      </c>
      <c r="AC594" s="77" t="s">
        <v>783</v>
      </c>
      <c r="AD594" s="78"/>
      <c r="AE594" s="102"/>
      <c r="AF594" s="77" t="s">
        <v>95</v>
      </c>
      <c r="AG594" s="77"/>
      <c r="AH594" s="77"/>
      <c r="AI594" s="77"/>
      <c r="AJ594" s="77"/>
      <c r="AK594" s="77"/>
      <c r="AL594" s="77"/>
      <c r="AM594" s="77" t="s">
        <v>4167</v>
      </c>
      <c r="AN594" s="77" t="s">
        <v>3996</v>
      </c>
      <c r="AO594" s="77"/>
      <c r="AP594" s="77" t="s">
        <v>97</v>
      </c>
      <c r="AQ594" s="77"/>
      <c r="AR594" s="79">
        <v>43882</v>
      </c>
      <c r="AS594" s="102"/>
      <c r="AT594" s="78"/>
      <c r="AU594" s="77" t="s">
        <v>100</v>
      </c>
      <c r="AV594" s="77">
        <v>1996</v>
      </c>
      <c r="AW594" s="77" t="s">
        <v>100</v>
      </c>
      <c r="AX594" s="75" t="s">
        <v>2071</v>
      </c>
      <c r="AY594" s="77" t="s">
        <v>734</v>
      </c>
      <c r="AZ594" s="77" t="s">
        <v>3905</v>
      </c>
      <c r="BA594" s="77">
        <v>15</v>
      </c>
      <c r="BB594" s="77">
        <v>9</v>
      </c>
      <c r="BC594" s="77">
        <v>91</v>
      </c>
      <c r="BD594" s="77">
        <v>0.01</v>
      </c>
      <c r="BE594" s="77" t="s">
        <v>97</v>
      </c>
      <c r="BF594" s="77"/>
      <c r="BG594" s="77">
        <v>1575.65</v>
      </c>
      <c r="BH594" s="77"/>
      <c r="BI594" s="77"/>
      <c r="BJ594" s="77"/>
      <c r="BK594" s="77">
        <v>800</v>
      </c>
      <c r="BL594" s="75">
        <f t="shared" si="27"/>
        <v>2375.65</v>
      </c>
      <c r="BM594" s="103">
        <f t="shared" si="28"/>
        <v>130.66075000000001</v>
      </c>
      <c r="BN594" s="103">
        <f t="shared" si="29"/>
        <v>2506.3107500000001</v>
      </c>
      <c r="BO594" s="80">
        <v>2497.87</v>
      </c>
      <c r="BP594" s="77" t="s">
        <v>104</v>
      </c>
      <c r="BQ594" s="77"/>
      <c r="BR594" s="77"/>
      <c r="BS594" s="157">
        <v>2019</v>
      </c>
      <c r="BU594">
        <v>2019</v>
      </c>
    </row>
    <row r="595" spans="1:73" ht="43.15" customHeight="1" x14ac:dyDescent="0.25">
      <c r="A595" s="31" t="s">
        <v>3845</v>
      </c>
      <c r="B595" s="31" t="s">
        <v>3835</v>
      </c>
      <c r="C595" s="163">
        <v>800</v>
      </c>
      <c r="D595" s="76">
        <v>43753</v>
      </c>
      <c r="E595" s="76">
        <v>43753</v>
      </c>
      <c r="F595" s="76">
        <v>43759</v>
      </c>
      <c r="G595" s="76" t="s">
        <v>4061</v>
      </c>
      <c r="H595" s="76">
        <v>43851</v>
      </c>
      <c r="I595" s="76">
        <v>43851</v>
      </c>
      <c r="J595" s="76">
        <v>43861</v>
      </c>
      <c r="K595" s="218"/>
      <c r="L595" s="76" t="s">
        <v>4412</v>
      </c>
      <c r="M595" s="76"/>
      <c r="N595" s="76"/>
      <c r="O595" s="76"/>
      <c r="P595" s="76"/>
      <c r="Q595" s="76"/>
      <c r="R595" s="82"/>
      <c r="S595" s="76">
        <v>44293</v>
      </c>
      <c r="T595" s="77" t="s">
        <v>4335</v>
      </c>
      <c r="U595" s="77"/>
      <c r="V595" s="77"/>
      <c r="W595" s="77">
        <v>2</v>
      </c>
      <c r="X595" s="77">
        <v>19373</v>
      </c>
      <c r="Y595" s="75" t="str">
        <f ca="1">IF(I595="",IF(D595="","",IF(W595+X595&lt;15,"Données Nb pers ou RFR manquantes",IF(COUNTA(INDIRECT("TabRFR["&amp;YEAR(D595)&amp;"]"))&lt;&gt;COUNTA(TabRFR[Recherche RFR]),"Data RFR manquantes", IF(X595&lt;=INDEX(TabRFR[[2021]:[2025]],MATCH(BD!W595&amp;"-Très modestes",TabRFR[Recherche RFR],0),MATCH(TEXT(YEAR(BD!D595),"Standard"),TabRFR[[#Headers],[2021]:[2025]],0)),"Très Modeste",IF(X595&lt;=INDEX(TabRFR[[2021]:[2025]],MATCH(BD!W595&amp;"-modestes",TabRFR[Recherche RFR],0),MATCH(TEXT(YEAR(BD!D595),"Standard"),TabRFR[[#Headers],[2021]:[2025]],0)),"Modeste",IF(X595&lt;=INDEX(TabRFR[[2021]:[2025]],MATCH(BD!W595&amp;"-Intermédiaire",TabRFR[Recherche RFR],0),MATCH(TEXT(YEAR(BD!D595),"Standard"),TabRFR[[#Headers],[2021]:[2025]],0)),"Intermédiaire","Supérieur")))))),IF(D595="","",IF(W595+X595&lt;15,"Données Nb pers ou RFR manquantes",IF(COUNTA(INDIRECT("TabRFR["&amp;YEAR(I595)&amp;"]"))&lt;&gt;COUNTA(TabRFR[Recherche RFR]),"Data RFR manquantes", IF(X595&lt;=INDEX(TabRFR[[2021]:[2025]],MATCH(BD!W595&amp;"-Très modestes",TabRFR[Recherche RFR],0),MATCH(TEXT(YEAR(BD!I595),"Standard"),TabRFR[[#Headers],[2021]:[2025]],0)),"Très Modeste",IF(X595&lt;=INDEX(TabRFR[[2021]:[2025]],MATCH(BD!W595&amp;"-modestes",TabRFR[Recherche RFR],0),MATCH(TEXT(YEAR(BD!I595),"Standard"),TabRFR[[#Headers],[2021]:[2025]],0)),"Modeste",IF(X595&lt;=INDEX(TabRFR[[2021]:[2025]],MATCH(BD!W595&amp;"-Intermédiaire",TabRFR[Recherche RFR],0),MATCH(TEXT(YEAR(BD!I595),"Standard"),TabRFR[[#Headers],[2021]:[2025]],0)),"Intermédiaire","Supérieur")))))))</f>
        <v>Data RFR manquantes</v>
      </c>
      <c r="Z595" s="77"/>
      <c r="AA595" s="77" t="s">
        <v>3852</v>
      </c>
      <c r="AB595" s="77">
        <v>38620</v>
      </c>
      <c r="AC595" s="77" t="s">
        <v>851</v>
      </c>
      <c r="AD595" s="78"/>
      <c r="AE595" s="102"/>
      <c r="AF595" s="77" t="s">
        <v>95</v>
      </c>
      <c r="AG595" s="77"/>
      <c r="AH595" s="77"/>
      <c r="AI595" s="77"/>
      <c r="AJ595" s="77"/>
      <c r="AK595" s="77"/>
      <c r="AL595" s="77"/>
      <c r="AM595" s="77" t="s">
        <v>4236</v>
      </c>
      <c r="AN595" s="77" t="s">
        <v>4091</v>
      </c>
      <c r="AO595" s="77" t="s">
        <v>163</v>
      </c>
      <c r="AP595" s="77" t="s">
        <v>97</v>
      </c>
      <c r="AQ595" s="77"/>
      <c r="AR595" s="79">
        <v>44152</v>
      </c>
      <c r="AS595" s="102" t="s">
        <v>164</v>
      </c>
      <c r="AT595" s="78" t="s">
        <v>3853</v>
      </c>
      <c r="AU595" s="77" t="s">
        <v>100</v>
      </c>
      <c r="AV595" s="77">
        <v>1675</v>
      </c>
      <c r="AW595" s="77" t="s">
        <v>100</v>
      </c>
      <c r="AX595" s="77" t="s">
        <v>112</v>
      </c>
      <c r="AY595" s="77" t="s">
        <v>3866</v>
      </c>
      <c r="AZ595" s="77" t="s">
        <v>3867</v>
      </c>
      <c r="BA595" s="77">
        <v>36</v>
      </c>
      <c r="BB595" s="77">
        <v>9</v>
      </c>
      <c r="BC595" s="77">
        <v>77</v>
      </c>
      <c r="BD595" s="77">
        <v>0.1</v>
      </c>
      <c r="BE595" s="77" t="s">
        <v>97</v>
      </c>
      <c r="BF595" s="77"/>
      <c r="BG595" s="77">
        <v>4792.46</v>
      </c>
      <c r="BH595" s="77"/>
      <c r="BI595" s="77"/>
      <c r="BJ595" s="77"/>
      <c r="BK595" s="77">
        <v>390</v>
      </c>
      <c r="BL595" s="75">
        <f t="shared" si="27"/>
        <v>5182.46</v>
      </c>
      <c r="BM595" s="103">
        <f t="shared" si="28"/>
        <v>285.03530000000001</v>
      </c>
      <c r="BN595" s="103">
        <f t="shared" si="29"/>
        <v>5467.4953000000005</v>
      </c>
      <c r="BO595" s="80"/>
      <c r="BP595" s="77" t="s">
        <v>97</v>
      </c>
      <c r="BQ595" s="77"/>
      <c r="BR595" s="77"/>
      <c r="BS595" s="157">
        <v>2019</v>
      </c>
      <c r="BT595" s="235">
        <v>43770</v>
      </c>
      <c r="BU595" t="s">
        <v>4180</v>
      </c>
    </row>
    <row r="596" spans="1:73" ht="43.15" customHeight="1" x14ac:dyDescent="0.25">
      <c r="A596" s="241" t="s">
        <v>3845</v>
      </c>
      <c r="B596" s="241" t="s">
        <v>3836</v>
      </c>
      <c r="C596" s="163">
        <v>800</v>
      </c>
      <c r="D596" s="76">
        <v>43753</v>
      </c>
      <c r="E596" s="76">
        <v>43753</v>
      </c>
      <c r="F596" s="76">
        <v>43759</v>
      </c>
      <c r="G596" s="76">
        <v>43760</v>
      </c>
      <c r="H596" s="76">
        <v>43762</v>
      </c>
      <c r="I596" s="76">
        <v>43762</v>
      </c>
      <c r="J596" s="76">
        <v>43763</v>
      </c>
      <c r="K596" s="218"/>
      <c r="L596" s="76">
        <v>43851</v>
      </c>
      <c r="M596" s="76">
        <v>43775</v>
      </c>
      <c r="N596" s="76" t="s">
        <v>4044</v>
      </c>
      <c r="O596" s="76">
        <v>43852</v>
      </c>
      <c r="P596" s="76">
        <v>43852</v>
      </c>
      <c r="Q596" s="76">
        <v>43854</v>
      </c>
      <c r="R596" s="82"/>
      <c r="S596" s="76"/>
      <c r="T596" s="77"/>
      <c r="U596" s="77"/>
      <c r="V596" s="77"/>
      <c r="W596" s="77">
        <v>2</v>
      </c>
      <c r="X596" s="77">
        <v>19282</v>
      </c>
      <c r="Y596" s="75" t="str">
        <f ca="1">IF(I596="",IF(D596="","",IF(W596+X596&lt;15,"Données Nb pers ou RFR manquantes",IF(COUNTA(INDIRECT("TabRFR["&amp;YEAR(D596)&amp;"]"))&lt;&gt;COUNTA(TabRFR[Recherche RFR]),"Data RFR manquantes", IF(X596&lt;=INDEX(TabRFR[[2021]:[2025]],MATCH(BD!W596&amp;"-Très modestes",TabRFR[Recherche RFR],0),MATCH(TEXT(YEAR(BD!D596),"Standard"),TabRFR[[#Headers],[2021]:[2025]],0)),"Très Modeste",IF(X596&lt;=INDEX(TabRFR[[2021]:[2025]],MATCH(BD!W596&amp;"-modestes",TabRFR[Recherche RFR],0),MATCH(TEXT(YEAR(BD!D596),"Standard"),TabRFR[[#Headers],[2021]:[2025]],0)),"Modeste",IF(X596&lt;=INDEX(TabRFR[[2021]:[2025]],MATCH(BD!W596&amp;"-Intermédiaire",TabRFR[Recherche RFR],0),MATCH(TEXT(YEAR(BD!D596),"Standard"),TabRFR[[#Headers],[2021]:[2025]],0)),"Intermédiaire","Supérieur")))))),IF(D596="","",IF(W596+X596&lt;15,"Données Nb pers ou RFR manquantes",IF(COUNTA(INDIRECT("TabRFR["&amp;YEAR(I596)&amp;"]"))&lt;&gt;COUNTA(TabRFR[Recherche RFR]),"Data RFR manquantes", IF(X596&lt;=INDEX(TabRFR[[2021]:[2025]],MATCH(BD!W596&amp;"-Très modestes",TabRFR[Recherche RFR],0),MATCH(TEXT(YEAR(BD!I596),"Standard"),TabRFR[[#Headers],[2021]:[2025]],0)),"Très Modeste",IF(X596&lt;=INDEX(TabRFR[[2021]:[2025]],MATCH(BD!W596&amp;"-modestes",TabRFR[Recherche RFR],0),MATCH(TEXT(YEAR(BD!I596),"Standard"),TabRFR[[#Headers],[2021]:[2025]],0)),"Modeste",IF(X596&lt;=INDEX(TabRFR[[2021]:[2025]],MATCH(BD!W596&amp;"-Intermédiaire",TabRFR[Recherche RFR],0),MATCH(TEXT(YEAR(BD!I596),"Standard"),TabRFR[[#Headers],[2021]:[2025]],0)),"Intermédiaire","Supérieur")))))))</f>
        <v>Data RFR manquantes</v>
      </c>
      <c r="Z596" s="77"/>
      <c r="AA596" s="77" t="s">
        <v>3234</v>
      </c>
      <c r="AB596" s="77">
        <v>38850</v>
      </c>
      <c r="AC596" s="77" t="s">
        <v>148</v>
      </c>
      <c r="AD596" s="78"/>
      <c r="AE596" s="102"/>
      <c r="AF596" s="77" t="s">
        <v>95</v>
      </c>
      <c r="AG596" s="77"/>
      <c r="AH596" s="77"/>
      <c r="AI596" s="77"/>
      <c r="AJ596" s="77"/>
      <c r="AK596" s="77"/>
      <c r="AL596" s="77"/>
      <c r="AM596" s="77" t="s">
        <v>3969</v>
      </c>
      <c r="AN596" s="77" t="s">
        <v>96</v>
      </c>
      <c r="AO596" s="77" t="s">
        <v>3868</v>
      </c>
      <c r="AP596" s="77" t="s">
        <v>97</v>
      </c>
      <c r="AQ596" s="77"/>
      <c r="AR596" s="79">
        <v>44068</v>
      </c>
      <c r="AS596" s="102" t="s">
        <v>3869</v>
      </c>
      <c r="AT596" s="78" t="s">
        <v>3870</v>
      </c>
      <c r="AU596" s="77" t="s">
        <v>399</v>
      </c>
      <c r="AV596" s="77">
        <v>1990</v>
      </c>
      <c r="AW596" s="77" t="s">
        <v>100</v>
      </c>
      <c r="AX596" s="77" t="s">
        <v>112</v>
      </c>
      <c r="AY596" s="77" t="s">
        <v>212</v>
      </c>
      <c r="AZ596" s="77" t="s">
        <v>3871</v>
      </c>
      <c r="BA596" s="77">
        <v>36</v>
      </c>
      <c r="BB596" s="77">
        <v>9</v>
      </c>
      <c r="BC596" s="77">
        <v>79</v>
      </c>
      <c r="BD596" s="77">
        <v>0.09</v>
      </c>
      <c r="BE596" s="77" t="s">
        <v>97</v>
      </c>
      <c r="BF596" s="77"/>
      <c r="BG596" s="77">
        <v>1990</v>
      </c>
      <c r="BH596" s="77"/>
      <c r="BI596" s="77"/>
      <c r="BJ596" s="77"/>
      <c r="BK596" s="77">
        <v>630</v>
      </c>
      <c r="BL596" s="75">
        <f t="shared" si="27"/>
        <v>2620</v>
      </c>
      <c r="BM596" s="103">
        <f t="shared" si="28"/>
        <v>144.1</v>
      </c>
      <c r="BN596" s="103">
        <f t="shared" si="29"/>
        <v>2764.1</v>
      </c>
      <c r="BO596" s="80">
        <v>3900.01</v>
      </c>
      <c r="BP596" s="77" t="s">
        <v>104</v>
      </c>
      <c r="BQ596" s="77"/>
      <c r="BR596" s="77"/>
      <c r="BS596" s="157">
        <v>2019</v>
      </c>
      <c r="BT596" s="235">
        <v>43770</v>
      </c>
      <c r="BU596">
        <v>2019</v>
      </c>
    </row>
    <row r="597" spans="1:73" ht="43.15" customHeight="1" x14ac:dyDescent="0.25">
      <c r="A597" s="241" t="s">
        <v>3845</v>
      </c>
      <c r="B597" s="241" t="s">
        <v>3837</v>
      </c>
      <c r="C597" s="163">
        <v>400</v>
      </c>
      <c r="D597" s="76">
        <v>43753</v>
      </c>
      <c r="E597" s="76">
        <v>43753</v>
      </c>
      <c r="F597" s="76">
        <v>43759</v>
      </c>
      <c r="G597" s="76">
        <v>43762</v>
      </c>
      <c r="H597" s="76">
        <v>43762</v>
      </c>
      <c r="I597" s="76">
        <v>43762</v>
      </c>
      <c r="J597" s="76">
        <v>43763</v>
      </c>
      <c r="K597" s="218"/>
      <c r="L597" s="76">
        <v>43816</v>
      </c>
      <c r="M597" s="76">
        <v>43799</v>
      </c>
      <c r="N597" s="76" t="s">
        <v>4044</v>
      </c>
      <c r="O597" s="76">
        <v>43817</v>
      </c>
      <c r="P597" s="76">
        <v>43817</v>
      </c>
      <c r="Q597" s="76">
        <v>43817</v>
      </c>
      <c r="R597" s="82"/>
      <c r="S597" s="76"/>
      <c r="T597" s="77"/>
      <c r="U597" s="77"/>
      <c r="V597" s="77"/>
      <c r="W597" s="77">
        <v>2</v>
      </c>
      <c r="X597" s="77">
        <f>17926+23814</f>
        <v>41740</v>
      </c>
      <c r="Y597" s="75" t="str">
        <f ca="1">IF(I597="",IF(D597="","",IF(W597+X597&lt;15,"Données Nb pers ou RFR manquantes",IF(COUNTA(INDIRECT("TabRFR["&amp;YEAR(D597)&amp;"]"))&lt;&gt;COUNTA(TabRFR[Recherche RFR]),"Data RFR manquantes", IF(X597&lt;=INDEX(TabRFR[[2021]:[2025]],MATCH(BD!W597&amp;"-Très modestes",TabRFR[Recherche RFR],0),MATCH(TEXT(YEAR(BD!D597),"Standard"),TabRFR[[#Headers],[2021]:[2025]],0)),"Très Modeste",IF(X597&lt;=INDEX(TabRFR[[2021]:[2025]],MATCH(BD!W597&amp;"-modestes",TabRFR[Recherche RFR],0),MATCH(TEXT(YEAR(BD!D597),"Standard"),TabRFR[[#Headers],[2021]:[2025]],0)),"Modeste",IF(X597&lt;=INDEX(TabRFR[[2021]:[2025]],MATCH(BD!W597&amp;"-Intermédiaire",TabRFR[Recherche RFR],0),MATCH(TEXT(YEAR(BD!D597),"Standard"),TabRFR[[#Headers],[2021]:[2025]],0)),"Intermédiaire","Supérieur")))))),IF(D597="","",IF(W597+X597&lt;15,"Données Nb pers ou RFR manquantes",IF(COUNTA(INDIRECT("TabRFR["&amp;YEAR(I597)&amp;"]"))&lt;&gt;COUNTA(TabRFR[Recherche RFR]),"Data RFR manquantes", IF(X597&lt;=INDEX(TabRFR[[2021]:[2025]],MATCH(BD!W597&amp;"-Très modestes",TabRFR[Recherche RFR],0),MATCH(TEXT(YEAR(BD!I597),"Standard"),TabRFR[[#Headers],[2021]:[2025]],0)),"Très Modeste",IF(X597&lt;=INDEX(TabRFR[[2021]:[2025]],MATCH(BD!W597&amp;"-modestes",TabRFR[Recherche RFR],0),MATCH(TEXT(YEAR(BD!I597),"Standard"),TabRFR[[#Headers],[2021]:[2025]],0)),"Modeste",IF(X597&lt;=INDEX(TabRFR[[2021]:[2025]],MATCH(BD!W597&amp;"-Intermédiaire",TabRFR[Recherche RFR],0),MATCH(TEXT(YEAR(BD!I597),"Standard"),TabRFR[[#Headers],[2021]:[2025]],0)),"Intermédiaire","Supérieur")))))))</f>
        <v>Data RFR manquantes</v>
      </c>
      <c r="Z597" s="77"/>
      <c r="AA597" s="77" t="s">
        <v>3854</v>
      </c>
      <c r="AB597" s="77">
        <v>38960</v>
      </c>
      <c r="AC597" s="77" t="s">
        <v>2378</v>
      </c>
      <c r="AD597" s="78"/>
      <c r="AE597" s="102"/>
      <c r="AF597" s="77" t="s">
        <v>95</v>
      </c>
      <c r="AG597" s="77"/>
      <c r="AH597" s="77"/>
      <c r="AI597" s="77"/>
      <c r="AJ597" s="77"/>
      <c r="AK597" s="77"/>
      <c r="AL597" s="77"/>
      <c r="AM597" s="77" t="s">
        <v>4348</v>
      </c>
      <c r="AN597" s="77" t="s">
        <v>96</v>
      </c>
      <c r="AO597" s="77" t="s">
        <v>238</v>
      </c>
      <c r="AP597" s="77" t="s">
        <v>97</v>
      </c>
      <c r="AQ597" s="77"/>
      <c r="AR597" s="79">
        <v>44064</v>
      </c>
      <c r="AS597" s="102" t="s">
        <v>98</v>
      </c>
      <c r="AT597" s="78" t="s">
        <v>802</v>
      </c>
      <c r="AU597" s="77" t="s">
        <v>100</v>
      </c>
      <c r="AV597" s="77">
        <v>1996</v>
      </c>
      <c r="AW597" s="77" t="s">
        <v>100</v>
      </c>
      <c r="AX597" s="77" t="s">
        <v>112</v>
      </c>
      <c r="AY597" s="77" t="s">
        <v>873</v>
      </c>
      <c r="AZ597" s="77" t="s">
        <v>3872</v>
      </c>
      <c r="BA597" s="77">
        <v>26</v>
      </c>
      <c r="BB597" s="77">
        <v>7.7</v>
      </c>
      <c r="BC597" s="77">
        <v>78.3</v>
      </c>
      <c r="BD597" s="77">
        <v>0.08</v>
      </c>
      <c r="BE597" s="77" t="s">
        <v>97</v>
      </c>
      <c r="BF597" s="77"/>
      <c r="BG597" s="77">
        <v>2200</v>
      </c>
      <c r="BH597" s="77"/>
      <c r="BI597" s="77"/>
      <c r="BJ597" s="77"/>
      <c r="BK597" s="77">
        <v>519</v>
      </c>
      <c r="BL597" s="75">
        <f t="shared" si="27"/>
        <v>2719</v>
      </c>
      <c r="BM597" s="103">
        <f t="shared" si="28"/>
        <v>149.54499999999999</v>
      </c>
      <c r="BN597" s="103">
        <f t="shared" si="29"/>
        <v>2868.5450000000001</v>
      </c>
      <c r="BO597" s="80">
        <v>2882.27</v>
      </c>
      <c r="BP597" s="77" t="s">
        <v>104</v>
      </c>
      <c r="BQ597" s="77"/>
      <c r="BR597" s="77"/>
      <c r="BS597" s="157">
        <v>2019</v>
      </c>
      <c r="BT597" s="235">
        <v>43770</v>
      </c>
      <c r="BU597">
        <v>2019</v>
      </c>
    </row>
    <row r="598" spans="1:73" ht="43.15" customHeight="1" x14ac:dyDescent="0.25">
      <c r="A598" s="241" t="s">
        <v>3845</v>
      </c>
      <c r="B598" s="241" t="s">
        <v>3838</v>
      </c>
      <c r="C598" s="163">
        <v>400</v>
      </c>
      <c r="D598" s="76">
        <v>43759</v>
      </c>
      <c r="E598" s="76">
        <v>43762</v>
      </c>
      <c r="F598" s="76">
        <v>43762</v>
      </c>
      <c r="G598" s="76">
        <v>43768</v>
      </c>
      <c r="H598" s="76">
        <v>43773</v>
      </c>
      <c r="I598" s="76">
        <v>43773</v>
      </c>
      <c r="J598" s="76">
        <v>43787</v>
      </c>
      <c r="K598" s="218"/>
      <c r="L598" s="76">
        <v>43815</v>
      </c>
      <c r="M598" s="76">
        <v>43803</v>
      </c>
      <c r="N598" s="76" t="s">
        <v>4044</v>
      </c>
      <c r="O598" s="76">
        <v>43817</v>
      </c>
      <c r="P598" s="76">
        <v>43817</v>
      </c>
      <c r="Q598" s="76">
        <v>43817</v>
      </c>
      <c r="R598" s="82"/>
      <c r="S598" s="76"/>
      <c r="T598" s="77"/>
      <c r="U598" s="77"/>
      <c r="V598" s="77"/>
      <c r="W598" s="77">
        <v>2</v>
      </c>
      <c r="X598" s="77">
        <v>28835</v>
      </c>
      <c r="Y598" s="75" t="str">
        <f ca="1">IF(I598="",IF(D598="","",IF(W598+X598&lt;15,"Données Nb pers ou RFR manquantes",IF(COUNTA(INDIRECT("TabRFR["&amp;YEAR(D598)&amp;"]"))&lt;&gt;COUNTA(TabRFR[Recherche RFR]),"Data RFR manquantes", IF(X598&lt;=INDEX(TabRFR[[2021]:[2025]],MATCH(BD!W598&amp;"-Très modestes",TabRFR[Recherche RFR],0),MATCH(TEXT(YEAR(BD!D598),"Standard"),TabRFR[[#Headers],[2021]:[2025]],0)),"Très Modeste",IF(X598&lt;=INDEX(TabRFR[[2021]:[2025]],MATCH(BD!W598&amp;"-modestes",TabRFR[Recherche RFR],0),MATCH(TEXT(YEAR(BD!D598),"Standard"),TabRFR[[#Headers],[2021]:[2025]],0)),"Modeste",IF(X598&lt;=INDEX(TabRFR[[2021]:[2025]],MATCH(BD!W598&amp;"-Intermédiaire",TabRFR[Recherche RFR],0),MATCH(TEXT(YEAR(BD!D598),"Standard"),TabRFR[[#Headers],[2021]:[2025]],0)),"Intermédiaire","Supérieur")))))),IF(D598="","",IF(W598+X598&lt;15,"Données Nb pers ou RFR manquantes",IF(COUNTA(INDIRECT("TabRFR["&amp;YEAR(I598)&amp;"]"))&lt;&gt;COUNTA(TabRFR[Recherche RFR]),"Data RFR manquantes", IF(X598&lt;=INDEX(TabRFR[[2021]:[2025]],MATCH(BD!W598&amp;"-Très modestes",TabRFR[Recherche RFR],0),MATCH(TEXT(YEAR(BD!I598),"Standard"),TabRFR[[#Headers],[2021]:[2025]],0)),"Très Modeste",IF(X598&lt;=INDEX(TabRFR[[2021]:[2025]],MATCH(BD!W598&amp;"-modestes",TabRFR[Recherche RFR],0),MATCH(TEXT(YEAR(BD!I598),"Standard"),TabRFR[[#Headers],[2021]:[2025]],0)),"Modeste",IF(X598&lt;=INDEX(TabRFR[[2021]:[2025]],MATCH(BD!W598&amp;"-Intermédiaire",TabRFR[Recherche RFR],0),MATCH(TEXT(YEAR(BD!I598),"Standard"),TabRFR[[#Headers],[2021]:[2025]],0)),"Intermédiaire","Supérieur")))))))</f>
        <v>Data RFR manquantes</v>
      </c>
      <c r="Z598" s="77"/>
      <c r="AA598" s="77" t="s">
        <v>3873</v>
      </c>
      <c r="AB598" s="77">
        <v>38140</v>
      </c>
      <c r="AC598" s="77" t="s">
        <v>2357</v>
      </c>
      <c r="AD598" s="78"/>
      <c r="AE598" s="102"/>
      <c r="AF598" s="77" t="s">
        <v>95</v>
      </c>
      <c r="AG598" s="77"/>
      <c r="AH598" s="77"/>
      <c r="AI598" s="77"/>
      <c r="AJ598" s="77"/>
      <c r="AK598" s="77"/>
      <c r="AL598" s="77"/>
      <c r="AM598" s="77" t="s">
        <v>4130</v>
      </c>
      <c r="AN598" s="77" t="s">
        <v>4349</v>
      </c>
      <c r="AO598" s="77" t="s">
        <v>3875</v>
      </c>
      <c r="AP598" s="77" t="s">
        <v>97</v>
      </c>
      <c r="AQ598" s="77"/>
      <c r="AR598" s="79">
        <v>43911</v>
      </c>
      <c r="AS598" s="102" t="s">
        <v>337</v>
      </c>
      <c r="AT598" s="78" t="s">
        <v>691</v>
      </c>
      <c r="AU598" s="77" t="s">
        <v>430</v>
      </c>
      <c r="AV598" s="77">
        <v>2000</v>
      </c>
      <c r="AW598" s="77" t="s">
        <v>399</v>
      </c>
      <c r="AX598" s="77" t="s">
        <v>112</v>
      </c>
      <c r="AY598" s="77" t="s">
        <v>338</v>
      </c>
      <c r="AZ598" s="77" t="s">
        <v>3876</v>
      </c>
      <c r="BA598" s="77">
        <v>18</v>
      </c>
      <c r="BB598" s="77">
        <v>13</v>
      </c>
      <c r="BC598" s="77">
        <v>76</v>
      </c>
      <c r="BD598" s="77">
        <v>0.09</v>
      </c>
      <c r="BE598" s="77" t="s">
        <v>97</v>
      </c>
      <c r="BF598" s="77"/>
      <c r="BG598" s="77">
        <v>5249</v>
      </c>
      <c r="BH598" s="77"/>
      <c r="BI598" s="77"/>
      <c r="BJ598" s="77"/>
      <c r="BK598" s="77">
        <v>892</v>
      </c>
      <c r="BL598" s="75">
        <f t="shared" si="27"/>
        <v>6141</v>
      </c>
      <c r="BM598" s="103">
        <f t="shared" si="28"/>
        <v>337.755</v>
      </c>
      <c r="BN598" s="103">
        <f t="shared" si="29"/>
        <v>6478.7550000000001</v>
      </c>
      <c r="BO598" s="80">
        <v>5582</v>
      </c>
      <c r="BP598" s="77" t="s">
        <v>97</v>
      </c>
      <c r="BQ598" s="77"/>
      <c r="BR598" s="77"/>
      <c r="BS598" s="157">
        <v>2019</v>
      </c>
      <c r="BT598" s="235">
        <v>43770</v>
      </c>
      <c r="BU598">
        <v>2019</v>
      </c>
    </row>
    <row r="599" spans="1:73" ht="43.15" customHeight="1" x14ac:dyDescent="0.25">
      <c r="A599" s="241" t="s">
        <v>3845</v>
      </c>
      <c r="B599" s="241" t="s">
        <v>3839</v>
      </c>
      <c r="C599" s="163">
        <v>400</v>
      </c>
      <c r="D599" s="76">
        <v>43760</v>
      </c>
      <c r="E599" s="76">
        <v>43762</v>
      </c>
      <c r="F599" s="76" t="s">
        <v>9</v>
      </c>
      <c r="G599" s="76" t="s">
        <v>9</v>
      </c>
      <c r="H599" s="76">
        <v>43762</v>
      </c>
      <c r="I599" s="76">
        <v>43762</v>
      </c>
      <c r="J599" s="76">
        <v>43775</v>
      </c>
      <c r="K599" s="218"/>
      <c r="L599" s="76">
        <v>43860</v>
      </c>
      <c r="M599" s="76">
        <v>43817</v>
      </c>
      <c r="N599" s="76" t="s">
        <v>4044</v>
      </c>
      <c r="O599" s="76">
        <v>43860</v>
      </c>
      <c r="P599" s="76">
        <v>43860</v>
      </c>
      <c r="Q599" s="76">
        <v>43861</v>
      </c>
      <c r="R599" s="82"/>
      <c r="S599" s="76"/>
      <c r="T599" s="77"/>
      <c r="U599" s="77"/>
      <c r="V599" s="77"/>
      <c r="W599" s="77">
        <v>4</v>
      </c>
      <c r="X599" s="77">
        <v>87828</v>
      </c>
      <c r="Y599" s="75" t="str">
        <f ca="1">IF(I599="",IF(D599="","",IF(W599+X599&lt;15,"Données Nb pers ou RFR manquantes",IF(COUNTA(INDIRECT("TabRFR["&amp;YEAR(D599)&amp;"]"))&lt;&gt;COUNTA(TabRFR[Recherche RFR]),"Data RFR manquantes", IF(X599&lt;=INDEX(TabRFR[[2021]:[2025]],MATCH(BD!W599&amp;"-Très modestes",TabRFR[Recherche RFR],0),MATCH(TEXT(YEAR(BD!D599),"Standard"),TabRFR[[#Headers],[2021]:[2025]],0)),"Très Modeste",IF(X599&lt;=INDEX(TabRFR[[2021]:[2025]],MATCH(BD!W599&amp;"-modestes",TabRFR[Recherche RFR],0),MATCH(TEXT(YEAR(BD!D599),"Standard"),TabRFR[[#Headers],[2021]:[2025]],0)),"Modeste",IF(X599&lt;=INDEX(TabRFR[[2021]:[2025]],MATCH(BD!W599&amp;"-Intermédiaire",TabRFR[Recherche RFR],0),MATCH(TEXT(YEAR(BD!D599),"Standard"),TabRFR[[#Headers],[2021]:[2025]],0)),"Intermédiaire","Supérieur")))))),IF(D599="","",IF(W599+X599&lt;15,"Données Nb pers ou RFR manquantes",IF(COUNTA(INDIRECT("TabRFR["&amp;YEAR(I599)&amp;"]"))&lt;&gt;COUNTA(TabRFR[Recherche RFR]),"Data RFR manquantes", IF(X599&lt;=INDEX(TabRFR[[2021]:[2025]],MATCH(BD!W599&amp;"-Très modestes",TabRFR[Recherche RFR],0),MATCH(TEXT(YEAR(BD!I599),"Standard"),TabRFR[[#Headers],[2021]:[2025]],0)),"Très Modeste",IF(X599&lt;=INDEX(TabRFR[[2021]:[2025]],MATCH(BD!W599&amp;"-modestes",TabRFR[Recherche RFR],0),MATCH(TEXT(YEAR(BD!I599),"Standard"),TabRFR[[#Headers],[2021]:[2025]],0)),"Modeste",IF(X599&lt;=INDEX(TabRFR[[2021]:[2025]],MATCH(BD!W599&amp;"-Intermédiaire",TabRFR[Recherche RFR],0),MATCH(TEXT(YEAR(BD!I599),"Standard"),TabRFR[[#Headers],[2021]:[2025]],0)),"Intermédiaire","Supérieur")))))))</f>
        <v>Data RFR manquantes</v>
      </c>
      <c r="Z599" s="77"/>
      <c r="AA599" s="77" t="s">
        <v>3874</v>
      </c>
      <c r="AB599" s="77">
        <v>38140</v>
      </c>
      <c r="AC599" s="77" t="s">
        <v>2357</v>
      </c>
      <c r="AD599" s="78"/>
      <c r="AE599" s="102"/>
      <c r="AF599" s="77" t="s">
        <v>95</v>
      </c>
      <c r="AG599" s="77"/>
      <c r="AH599" s="77"/>
      <c r="AI599" s="77"/>
      <c r="AJ599" s="77"/>
      <c r="AK599" s="77"/>
      <c r="AL599" s="77"/>
      <c r="AM599" s="77" t="s">
        <v>4191</v>
      </c>
      <c r="AN599" s="77" t="s">
        <v>96</v>
      </c>
      <c r="AO599" s="77" t="s">
        <v>229</v>
      </c>
      <c r="AP599" s="77" t="s">
        <v>97</v>
      </c>
      <c r="AQ599" s="77"/>
      <c r="AR599" s="79">
        <v>44059</v>
      </c>
      <c r="AS599" s="102" t="s">
        <v>230</v>
      </c>
      <c r="AT599" s="78" t="s">
        <v>9</v>
      </c>
      <c r="AU599" s="77" t="s">
        <v>100</v>
      </c>
      <c r="AV599" s="77" t="s">
        <v>3850</v>
      </c>
      <c r="AW599" s="77" t="s">
        <v>100</v>
      </c>
      <c r="AX599" s="75" t="s">
        <v>2071</v>
      </c>
      <c r="AY599" s="77" t="s">
        <v>232</v>
      </c>
      <c r="AZ599" s="77" t="s">
        <v>3782</v>
      </c>
      <c r="BA599" s="77">
        <v>17.5</v>
      </c>
      <c r="BB599" s="77">
        <v>10</v>
      </c>
      <c r="BC599" s="77">
        <v>92.7</v>
      </c>
      <c r="BD599" s="77">
        <v>4.0000000000000001E-3</v>
      </c>
      <c r="BE599" s="77" t="s">
        <v>97</v>
      </c>
      <c r="BF599" s="77"/>
      <c r="BG599" s="77">
        <v>7441</v>
      </c>
      <c r="BH599" s="77"/>
      <c r="BI599" s="77"/>
      <c r="BJ599" s="77"/>
      <c r="BK599" s="77">
        <v>790</v>
      </c>
      <c r="BL599" s="75">
        <f t="shared" si="27"/>
        <v>8231</v>
      </c>
      <c r="BM599" s="103">
        <f t="shared" si="28"/>
        <v>452.70499999999998</v>
      </c>
      <c r="BN599" s="103">
        <f t="shared" si="29"/>
        <v>8683.7049999999999</v>
      </c>
      <c r="BO599" s="80">
        <v>8683.17</v>
      </c>
      <c r="BP599" s="77" t="s">
        <v>97</v>
      </c>
      <c r="BQ599" s="77"/>
      <c r="BR599" s="77"/>
      <c r="BS599" s="157">
        <v>2019</v>
      </c>
      <c r="BU599">
        <v>2019</v>
      </c>
    </row>
    <row r="600" spans="1:73" ht="43.15" customHeight="1" x14ac:dyDescent="0.25">
      <c r="A600" s="241" t="s">
        <v>3845</v>
      </c>
      <c r="B600" s="241" t="s">
        <v>3840</v>
      </c>
      <c r="C600" s="163">
        <v>400</v>
      </c>
      <c r="D600" s="76">
        <v>43763</v>
      </c>
      <c r="E600" s="76">
        <v>43763</v>
      </c>
      <c r="F600" s="76">
        <v>43773</v>
      </c>
      <c r="G600" s="76">
        <v>43775</v>
      </c>
      <c r="H600" s="76">
        <v>43776</v>
      </c>
      <c r="I600" s="76">
        <v>43776</v>
      </c>
      <c r="J600" s="76">
        <v>43787</v>
      </c>
      <c r="K600" s="218"/>
      <c r="L600" s="76">
        <v>44134</v>
      </c>
      <c r="M600" s="76">
        <v>44060</v>
      </c>
      <c r="N600" s="76" t="s">
        <v>4044</v>
      </c>
      <c r="O600" s="76">
        <v>44140</v>
      </c>
      <c r="P600" s="76">
        <v>44140</v>
      </c>
      <c r="Q600" s="76">
        <v>44147</v>
      </c>
      <c r="R600" s="82"/>
      <c r="S600" s="76"/>
      <c r="T600" s="77"/>
      <c r="U600" s="77"/>
      <c r="V600" s="77"/>
      <c r="W600" s="77">
        <v>1</v>
      </c>
      <c r="X600" s="77">
        <v>28249</v>
      </c>
      <c r="Y600" s="75" t="str">
        <f ca="1">IF(I600="",IF(D600="","",IF(W600+X600&lt;15,"Données Nb pers ou RFR manquantes",IF(COUNTA(INDIRECT("TabRFR["&amp;YEAR(D600)&amp;"]"))&lt;&gt;COUNTA(TabRFR[Recherche RFR]),"Data RFR manquantes", IF(X600&lt;=INDEX(TabRFR[[2021]:[2025]],MATCH(BD!W600&amp;"-Très modestes",TabRFR[Recherche RFR],0),MATCH(TEXT(YEAR(BD!D600),"Standard"),TabRFR[[#Headers],[2021]:[2025]],0)),"Très Modeste",IF(X600&lt;=INDEX(TabRFR[[2021]:[2025]],MATCH(BD!W600&amp;"-modestes",TabRFR[Recherche RFR],0),MATCH(TEXT(YEAR(BD!D600),"Standard"),TabRFR[[#Headers],[2021]:[2025]],0)),"Modeste",IF(X600&lt;=INDEX(TabRFR[[2021]:[2025]],MATCH(BD!W600&amp;"-Intermédiaire",TabRFR[Recherche RFR],0),MATCH(TEXT(YEAR(BD!D600),"Standard"),TabRFR[[#Headers],[2021]:[2025]],0)),"Intermédiaire","Supérieur")))))),IF(D600="","",IF(W600+X600&lt;15,"Données Nb pers ou RFR manquantes",IF(COUNTA(INDIRECT("TabRFR["&amp;YEAR(I600)&amp;"]"))&lt;&gt;COUNTA(TabRFR[Recherche RFR]),"Data RFR manquantes", IF(X600&lt;=INDEX(TabRFR[[2021]:[2025]],MATCH(BD!W600&amp;"-Très modestes",TabRFR[Recherche RFR],0),MATCH(TEXT(YEAR(BD!I600),"Standard"),TabRFR[[#Headers],[2021]:[2025]],0)),"Très Modeste",IF(X600&lt;=INDEX(TabRFR[[2021]:[2025]],MATCH(BD!W600&amp;"-modestes",TabRFR[Recherche RFR],0),MATCH(TEXT(YEAR(BD!I600),"Standard"),TabRFR[[#Headers],[2021]:[2025]],0)),"Modeste",IF(X600&lt;=INDEX(TabRFR[[2021]:[2025]],MATCH(BD!W600&amp;"-Intermédiaire",TabRFR[Recherche RFR],0),MATCH(TEXT(YEAR(BD!I600),"Standard"),TabRFR[[#Headers],[2021]:[2025]],0)),"Intermédiaire","Supérieur")))))))</f>
        <v>Data RFR manquantes</v>
      </c>
      <c r="Z600" s="77"/>
      <c r="AA600" s="77" t="s">
        <v>3884</v>
      </c>
      <c r="AB600" s="77">
        <v>38210</v>
      </c>
      <c r="AC600" s="77" t="s">
        <v>195</v>
      </c>
      <c r="AD600" s="78"/>
      <c r="AE600" s="102"/>
      <c r="AF600" s="77" t="s">
        <v>95</v>
      </c>
      <c r="AG600" s="77"/>
      <c r="AH600" s="77"/>
      <c r="AI600" s="77"/>
      <c r="AJ600" s="77"/>
      <c r="AK600" s="77"/>
      <c r="AL600" s="77"/>
      <c r="AM600" s="77" t="s">
        <v>4356</v>
      </c>
      <c r="AN600" s="77" t="s">
        <v>96</v>
      </c>
      <c r="AO600" s="77" t="s">
        <v>119</v>
      </c>
      <c r="AP600" s="77" t="s">
        <v>97</v>
      </c>
      <c r="AQ600" s="77"/>
      <c r="AR600" s="79">
        <v>44138</v>
      </c>
      <c r="AS600" s="102" t="s">
        <v>120</v>
      </c>
      <c r="AT600" s="78" t="s">
        <v>658</v>
      </c>
      <c r="AU600" s="77" t="s">
        <v>430</v>
      </c>
      <c r="AV600" s="77">
        <v>1985</v>
      </c>
      <c r="AW600" s="77" t="s">
        <v>100</v>
      </c>
      <c r="AX600" s="77" t="s">
        <v>112</v>
      </c>
      <c r="AY600" s="77" t="s">
        <v>907</v>
      </c>
      <c r="AZ600" s="77" t="s">
        <v>3320</v>
      </c>
      <c r="BA600" s="77">
        <v>29</v>
      </c>
      <c r="BB600" s="77">
        <v>8</v>
      </c>
      <c r="BC600" s="77">
        <v>76</v>
      </c>
      <c r="BD600" s="77">
        <v>0.11</v>
      </c>
      <c r="BE600" s="77" t="s">
        <v>97</v>
      </c>
      <c r="BF600" s="77"/>
      <c r="BG600" s="77">
        <v>3915.84</v>
      </c>
      <c r="BH600" s="77"/>
      <c r="BI600" s="77"/>
      <c r="BJ600" s="77"/>
      <c r="BK600" s="77">
        <v>420</v>
      </c>
      <c r="BL600" s="75">
        <f t="shared" si="27"/>
        <v>4335.84</v>
      </c>
      <c r="BM600" s="103">
        <f t="shared" si="28"/>
        <v>238.47120000000001</v>
      </c>
      <c r="BN600" s="103">
        <f t="shared" si="29"/>
        <v>4574.3112000000001</v>
      </c>
      <c r="BO600" s="80"/>
      <c r="BP600" s="77" t="s">
        <v>97</v>
      </c>
      <c r="BQ600" s="77"/>
      <c r="BR600" s="77"/>
      <c r="BS600" s="157">
        <v>2019</v>
      </c>
      <c r="BT600" s="235">
        <v>43770</v>
      </c>
      <c r="BU600">
        <v>2020</v>
      </c>
    </row>
    <row r="601" spans="1:73" ht="43.15" customHeight="1" x14ac:dyDescent="0.25">
      <c r="A601" s="241" t="s">
        <v>3845</v>
      </c>
      <c r="B601" s="241" t="s">
        <v>3841</v>
      </c>
      <c r="C601" s="163">
        <v>400</v>
      </c>
      <c r="D601" s="76">
        <v>43766</v>
      </c>
      <c r="E601" s="76">
        <v>43766</v>
      </c>
      <c r="F601" s="76">
        <v>43773</v>
      </c>
      <c r="G601" s="76">
        <v>43776</v>
      </c>
      <c r="H601" s="76">
        <v>43776</v>
      </c>
      <c r="I601" s="76">
        <v>43776</v>
      </c>
      <c r="J601" s="76">
        <v>43787</v>
      </c>
      <c r="K601" s="218"/>
      <c r="L601" s="76">
        <v>43854</v>
      </c>
      <c r="M601" s="76" t="s">
        <v>4116</v>
      </c>
      <c r="N601" s="76"/>
      <c r="O601" s="76">
        <v>43858</v>
      </c>
      <c r="P601" s="76">
        <v>43858</v>
      </c>
      <c r="Q601" s="76">
        <v>43868</v>
      </c>
      <c r="R601" s="82"/>
      <c r="S601" s="76"/>
      <c r="T601" s="77"/>
      <c r="U601" s="77"/>
      <c r="V601" s="77"/>
      <c r="W601" s="77">
        <v>5</v>
      </c>
      <c r="X601" s="77">
        <v>50038</v>
      </c>
      <c r="Y601" s="75" t="str">
        <f ca="1">IF(I601="",IF(D601="","",IF(W601+X601&lt;15,"Données Nb pers ou RFR manquantes",IF(COUNTA(INDIRECT("TabRFR["&amp;YEAR(D601)&amp;"]"))&lt;&gt;COUNTA(TabRFR[Recherche RFR]),"Data RFR manquantes", IF(X601&lt;=INDEX(TabRFR[[2021]:[2025]],MATCH(BD!W601&amp;"-Très modestes",TabRFR[Recherche RFR],0),MATCH(TEXT(YEAR(BD!D601),"Standard"),TabRFR[[#Headers],[2021]:[2025]],0)),"Très Modeste",IF(X601&lt;=INDEX(TabRFR[[2021]:[2025]],MATCH(BD!W601&amp;"-modestes",TabRFR[Recherche RFR],0),MATCH(TEXT(YEAR(BD!D601),"Standard"),TabRFR[[#Headers],[2021]:[2025]],0)),"Modeste",IF(X601&lt;=INDEX(TabRFR[[2021]:[2025]],MATCH(BD!W601&amp;"-Intermédiaire",TabRFR[Recherche RFR],0),MATCH(TEXT(YEAR(BD!D601),"Standard"),TabRFR[[#Headers],[2021]:[2025]],0)),"Intermédiaire","Supérieur")))))),IF(D601="","",IF(W601+X601&lt;15,"Données Nb pers ou RFR manquantes",IF(COUNTA(INDIRECT("TabRFR["&amp;YEAR(I601)&amp;"]"))&lt;&gt;COUNTA(TabRFR[Recherche RFR]),"Data RFR manquantes", IF(X601&lt;=INDEX(TabRFR[[2021]:[2025]],MATCH(BD!W601&amp;"-Très modestes",TabRFR[Recherche RFR],0),MATCH(TEXT(YEAR(BD!I601),"Standard"),TabRFR[[#Headers],[2021]:[2025]],0)),"Très Modeste",IF(X601&lt;=INDEX(TabRFR[[2021]:[2025]],MATCH(BD!W601&amp;"-modestes",TabRFR[Recherche RFR],0),MATCH(TEXT(YEAR(BD!I601),"Standard"),TabRFR[[#Headers],[2021]:[2025]],0)),"Modeste",IF(X601&lt;=INDEX(TabRFR[[2021]:[2025]],MATCH(BD!W601&amp;"-Intermédiaire",TabRFR[Recherche RFR],0),MATCH(TEXT(YEAR(BD!I601),"Standard"),TabRFR[[#Headers],[2021]:[2025]],0)),"Intermédiaire","Supérieur")))))))</f>
        <v>Data RFR manquantes</v>
      </c>
      <c r="Z601" s="77"/>
      <c r="AA601" s="77" t="s">
        <v>3885</v>
      </c>
      <c r="AB601" s="77">
        <v>38500</v>
      </c>
      <c r="AC601" s="77" t="s">
        <v>94</v>
      </c>
      <c r="AD601" s="78"/>
      <c r="AE601" s="102"/>
      <c r="AF601" s="77" t="s">
        <v>95</v>
      </c>
      <c r="AG601" s="77"/>
      <c r="AH601" s="77"/>
      <c r="AI601" s="77"/>
      <c r="AJ601" s="77"/>
      <c r="AK601" s="77"/>
      <c r="AL601" s="77"/>
      <c r="AM601" s="77" t="s">
        <v>4348</v>
      </c>
      <c r="AN601" s="77" t="s">
        <v>96</v>
      </c>
      <c r="AO601" s="77" t="s">
        <v>3889</v>
      </c>
      <c r="AP601" s="77" t="s">
        <v>97</v>
      </c>
      <c r="AQ601" s="77"/>
      <c r="AR601" s="79">
        <v>44064</v>
      </c>
      <c r="AS601" s="102" t="s">
        <v>1259</v>
      </c>
      <c r="AT601" s="78" t="s">
        <v>802</v>
      </c>
      <c r="AU601" s="77" t="s">
        <v>2317</v>
      </c>
      <c r="AV601" s="77">
        <v>1996</v>
      </c>
      <c r="AW601" s="77" t="s">
        <v>100</v>
      </c>
      <c r="AX601" s="75" t="s">
        <v>2071</v>
      </c>
      <c r="AY601" s="77" t="s">
        <v>102</v>
      </c>
      <c r="AZ601" s="77" t="s">
        <v>3890</v>
      </c>
      <c r="BA601" s="77">
        <v>17</v>
      </c>
      <c r="BB601" s="77">
        <v>10.1</v>
      </c>
      <c r="BC601" s="77">
        <v>90</v>
      </c>
      <c r="BD601" s="77">
        <v>0.02</v>
      </c>
      <c r="BE601" s="77" t="s">
        <v>97</v>
      </c>
      <c r="BF601" s="77"/>
      <c r="BG601" s="77">
        <v>450</v>
      </c>
      <c r="BH601" s="77"/>
      <c r="BI601" s="77"/>
      <c r="BJ601" s="77"/>
      <c r="BK601" s="77">
        <v>488</v>
      </c>
      <c r="BL601" s="75">
        <f t="shared" si="27"/>
        <v>938</v>
      </c>
      <c r="BM601" s="103">
        <f t="shared" si="28"/>
        <v>51.59</v>
      </c>
      <c r="BN601" s="103">
        <f t="shared" si="29"/>
        <v>989.59</v>
      </c>
      <c r="BO601" s="80">
        <v>989.59</v>
      </c>
      <c r="BP601" s="77" t="s">
        <v>97</v>
      </c>
      <c r="BQ601" s="77"/>
      <c r="BR601" s="77"/>
      <c r="BS601" s="157">
        <v>2019</v>
      </c>
      <c r="BU601">
        <v>2019</v>
      </c>
    </row>
    <row r="602" spans="1:73" ht="43.15" customHeight="1" x14ac:dyDescent="0.25">
      <c r="A602" s="241" t="s">
        <v>3845</v>
      </c>
      <c r="B602" s="241" t="s">
        <v>3842</v>
      </c>
      <c r="C602" s="163">
        <v>400</v>
      </c>
      <c r="D602" s="76">
        <v>43769</v>
      </c>
      <c r="E602" s="76">
        <v>43769</v>
      </c>
      <c r="F602" s="76">
        <v>43773</v>
      </c>
      <c r="G602" s="76">
        <v>43800</v>
      </c>
      <c r="H602" s="76">
        <v>43811</v>
      </c>
      <c r="I602" s="76">
        <v>43811</v>
      </c>
      <c r="J602" s="76">
        <v>43817</v>
      </c>
      <c r="K602" s="218"/>
      <c r="L602" s="76">
        <v>43902</v>
      </c>
      <c r="M602" s="76">
        <v>43895</v>
      </c>
      <c r="N602" s="76" t="s">
        <v>9</v>
      </c>
      <c r="O602" s="76">
        <v>43962</v>
      </c>
      <c r="P602" s="76">
        <v>43962</v>
      </c>
      <c r="Q602" s="76">
        <v>43965</v>
      </c>
      <c r="R602" s="82"/>
      <c r="S602" s="76"/>
      <c r="T602" s="77"/>
      <c r="U602" s="77"/>
      <c r="V602" s="77"/>
      <c r="W602" s="77">
        <v>3</v>
      </c>
      <c r="X602" s="77">
        <v>60513</v>
      </c>
      <c r="Y602" s="75" t="str">
        <f ca="1">IF(I602="",IF(D602="","",IF(W602+X602&lt;15,"Données Nb pers ou RFR manquantes",IF(COUNTA(INDIRECT("TabRFR["&amp;YEAR(D602)&amp;"]"))&lt;&gt;COUNTA(TabRFR[Recherche RFR]),"Data RFR manquantes", IF(X602&lt;=INDEX(TabRFR[[2021]:[2025]],MATCH(BD!W602&amp;"-Très modestes",TabRFR[Recherche RFR],0),MATCH(TEXT(YEAR(BD!D602),"Standard"),TabRFR[[#Headers],[2021]:[2025]],0)),"Très Modeste",IF(X602&lt;=INDEX(TabRFR[[2021]:[2025]],MATCH(BD!W602&amp;"-modestes",TabRFR[Recherche RFR],0),MATCH(TEXT(YEAR(BD!D602),"Standard"),TabRFR[[#Headers],[2021]:[2025]],0)),"Modeste",IF(X602&lt;=INDEX(TabRFR[[2021]:[2025]],MATCH(BD!W602&amp;"-Intermédiaire",TabRFR[Recherche RFR],0),MATCH(TEXT(YEAR(BD!D602),"Standard"),TabRFR[[#Headers],[2021]:[2025]],0)),"Intermédiaire","Supérieur")))))),IF(D602="","",IF(W602+X602&lt;15,"Données Nb pers ou RFR manquantes",IF(COUNTA(INDIRECT("TabRFR["&amp;YEAR(I602)&amp;"]"))&lt;&gt;COUNTA(TabRFR[Recherche RFR]),"Data RFR manquantes", IF(X602&lt;=INDEX(TabRFR[[2021]:[2025]],MATCH(BD!W602&amp;"-Très modestes",TabRFR[Recherche RFR],0),MATCH(TEXT(YEAR(BD!I602),"Standard"),TabRFR[[#Headers],[2021]:[2025]],0)),"Très Modeste",IF(X602&lt;=INDEX(TabRFR[[2021]:[2025]],MATCH(BD!W602&amp;"-modestes",TabRFR[Recherche RFR],0),MATCH(TEXT(YEAR(BD!I602),"Standard"),TabRFR[[#Headers],[2021]:[2025]],0)),"Modeste",IF(X602&lt;=INDEX(TabRFR[[2021]:[2025]],MATCH(BD!W602&amp;"-Intermédiaire",TabRFR[Recherche RFR],0),MATCH(TEXT(YEAR(BD!I602),"Standard"),TabRFR[[#Headers],[2021]:[2025]],0)),"Intermédiaire","Supérieur")))))))</f>
        <v>Data RFR manquantes</v>
      </c>
      <c r="Z602" s="77"/>
      <c r="AA602" s="77" t="s">
        <v>3886</v>
      </c>
      <c r="AB602" s="77">
        <v>38500</v>
      </c>
      <c r="AC602" s="77" t="s">
        <v>2873</v>
      </c>
      <c r="AD602" s="78"/>
      <c r="AE602" s="102"/>
      <c r="AF602" s="77" t="s">
        <v>95</v>
      </c>
      <c r="AG602" s="77"/>
      <c r="AH602" s="77"/>
      <c r="AI602" s="77"/>
      <c r="AJ602" s="77"/>
      <c r="AK602" s="77"/>
      <c r="AL602" s="77"/>
      <c r="AM602" s="77" t="s">
        <v>4359</v>
      </c>
      <c r="AN602" s="77" t="s">
        <v>829</v>
      </c>
      <c r="AO602" s="77" t="s">
        <v>9</v>
      </c>
      <c r="AP602" s="77" t="s">
        <v>97</v>
      </c>
      <c r="AQ602" s="77"/>
      <c r="AR602" s="79">
        <v>44118</v>
      </c>
      <c r="AS602" s="102" t="s">
        <v>491</v>
      </c>
      <c r="AT602" s="78" t="s">
        <v>3208</v>
      </c>
      <c r="AU602" s="77" t="s">
        <v>2317</v>
      </c>
      <c r="AV602" s="77" t="s">
        <v>3850</v>
      </c>
      <c r="AW602" s="77" t="s">
        <v>100</v>
      </c>
      <c r="AX602" s="75" t="s">
        <v>2071</v>
      </c>
      <c r="AY602" s="77" t="s">
        <v>3887</v>
      </c>
      <c r="AZ602" s="77" t="s">
        <v>4019</v>
      </c>
      <c r="BA602" s="77">
        <v>4</v>
      </c>
      <c r="BB602" s="77">
        <v>9.2100000000000009</v>
      </c>
      <c r="BC602" s="77">
        <v>90.9</v>
      </c>
      <c r="BD602" s="77">
        <v>1.6E-2</v>
      </c>
      <c r="BE602" s="77" t="s">
        <v>97</v>
      </c>
      <c r="BF602" s="77"/>
      <c r="BG602" s="77">
        <f>225+110.68+350.16+162.25+35.26+246.32+85.36+4770.36</f>
        <v>5985.3899999999994</v>
      </c>
      <c r="BH602" s="77"/>
      <c r="BI602" s="77"/>
      <c r="BJ602" s="77"/>
      <c r="BK602" s="77">
        <f>350+500+535.26</f>
        <v>1385.26</v>
      </c>
      <c r="BL602" s="75">
        <f t="shared" si="27"/>
        <v>7370.65</v>
      </c>
      <c r="BM602" s="103">
        <f t="shared" si="28"/>
        <v>405.38574999999997</v>
      </c>
      <c r="BN602" s="103">
        <f t="shared" si="29"/>
        <v>7776.03575</v>
      </c>
      <c r="BO602" s="80">
        <v>7776.04</v>
      </c>
      <c r="BP602" s="77" t="s">
        <v>97</v>
      </c>
      <c r="BQ602" s="77"/>
      <c r="BR602" s="77"/>
      <c r="BS602" s="157">
        <v>2019</v>
      </c>
      <c r="BU602">
        <v>2019</v>
      </c>
    </row>
    <row r="603" spans="1:73" ht="43.15" customHeight="1" x14ac:dyDescent="0.25">
      <c r="A603" s="241" t="s">
        <v>3845</v>
      </c>
      <c r="B603" s="241" t="s">
        <v>3878</v>
      </c>
      <c r="C603" s="163">
        <v>400</v>
      </c>
      <c r="D603" s="76">
        <v>43774</v>
      </c>
      <c r="E603" s="76">
        <v>43776</v>
      </c>
      <c r="F603" s="76">
        <v>43776</v>
      </c>
      <c r="G603" s="76" t="s">
        <v>9</v>
      </c>
      <c r="H603" s="76">
        <v>43776</v>
      </c>
      <c r="I603" s="76">
        <v>43776</v>
      </c>
      <c r="J603" s="76">
        <v>43788</v>
      </c>
      <c r="K603" s="218"/>
      <c r="L603" s="76">
        <v>43985</v>
      </c>
      <c r="M603" s="76">
        <v>43901</v>
      </c>
      <c r="N603" s="76" t="s">
        <v>9</v>
      </c>
      <c r="O603" s="76">
        <v>44007</v>
      </c>
      <c r="P603" s="76">
        <v>44007</v>
      </c>
      <c r="Q603" s="76">
        <v>44011</v>
      </c>
      <c r="R603" s="82"/>
      <c r="S603" s="76"/>
      <c r="T603" s="77"/>
      <c r="U603" s="77"/>
      <c r="V603" s="77"/>
      <c r="W603" s="77">
        <v>3</v>
      </c>
      <c r="X603" s="77">
        <v>52327</v>
      </c>
      <c r="Y603" s="75" t="str">
        <f ca="1">IF(I603="",IF(D603="","",IF(W603+X603&lt;15,"Données Nb pers ou RFR manquantes",IF(COUNTA(INDIRECT("TabRFR["&amp;YEAR(D603)&amp;"]"))&lt;&gt;COUNTA(TabRFR[Recherche RFR]),"Data RFR manquantes", IF(X603&lt;=INDEX(TabRFR[[2021]:[2025]],MATCH(BD!W603&amp;"-Très modestes",TabRFR[Recherche RFR],0),MATCH(TEXT(YEAR(BD!D603),"Standard"),TabRFR[[#Headers],[2021]:[2025]],0)),"Très Modeste",IF(X603&lt;=INDEX(TabRFR[[2021]:[2025]],MATCH(BD!W603&amp;"-modestes",TabRFR[Recherche RFR],0),MATCH(TEXT(YEAR(BD!D603),"Standard"),TabRFR[[#Headers],[2021]:[2025]],0)),"Modeste",IF(X603&lt;=INDEX(TabRFR[[2021]:[2025]],MATCH(BD!W603&amp;"-Intermédiaire",TabRFR[Recherche RFR],0),MATCH(TEXT(YEAR(BD!D603),"Standard"),TabRFR[[#Headers],[2021]:[2025]],0)),"Intermédiaire","Supérieur")))))),IF(D603="","",IF(W603+X603&lt;15,"Données Nb pers ou RFR manquantes",IF(COUNTA(INDIRECT("TabRFR["&amp;YEAR(I603)&amp;"]"))&lt;&gt;COUNTA(TabRFR[Recherche RFR]),"Data RFR manquantes", IF(X603&lt;=INDEX(TabRFR[[2021]:[2025]],MATCH(BD!W603&amp;"-Très modestes",TabRFR[Recherche RFR],0),MATCH(TEXT(YEAR(BD!I603),"Standard"),TabRFR[[#Headers],[2021]:[2025]],0)),"Très Modeste",IF(X603&lt;=INDEX(TabRFR[[2021]:[2025]],MATCH(BD!W603&amp;"-modestes",TabRFR[Recherche RFR],0),MATCH(TEXT(YEAR(BD!I603),"Standard"),TabRFR[[#Headers],[2021]:[2025]],0)),"Modeste",IF(X603&lt;=INDEX(TabRFR[[2021]:[2025]],MATCH(BD!W603&amp;"-Intermédiaire",TabRFR[Recherche RFR],0),MATCH(TEXT(YEAR(BD!I603),"Standard"),TabRFR[[#Headers],[2021]:[2025]],0)),"Intermédiaire","Supérieur")))))))</f>
        <v>Data RFR manquantes</v>
      </c>
      <c r="Z603" s="77"/>
      <c r="AA603" s="77" t="s">
        <v>3903</v>
      </c>
      <c r="AB603" s="77">
        <v>38500</v>
      </c>
      <c r="AC603" s="77" t="s">
        <v>96</v>
      </c>
      <c r="AD603" s="78"/>
      <c r="AE603" s="102"/>
      <c r="AF603" s="77" t="s">
        <v>95</v>
      </c>
      <c r="AG603" s="77"/>
      <c r="AH603" s="77"/>
      <c r="AI603" s="77"/>
      <c r="AJ603" s="77"/>
      <c r="AK603" s="77"/>
      <c r="AL603" s="77"/>
      <c r="AM603" s="77" t="s">
        <v>4035</v>
      </c>
      <c r="AN603" s="77" t="s">
        <v>108</v>
      </c>
      <c r="AO603" s="77" t="s">
        <v>109</v>
      </c>
      <c r="AP603" s="77" t="s">
        <v>97</v>
      </c>
      <c r="AQ603" s="77"/>
      <c r="AR603" s="79">
        <v>44010</v>
      </c>
      <c r="AS603" s="102" t="s">
        <v>110</v>
      </c>
      <c r="AT603" s="78" t="s">
        <v>616</v>
      </c>
      <c r="AU603" s="77" t="s">
        <v>430</v>
      </c>
      <c r="AV603" s="77">
        <v>1984</v>
      </c>
      <c r="AW603" s="77" t="s">
        <v>399</v>
      </c>
      <c r="AX603" s="77" t="s">
        <v>112</v>
      </c>
      <c r="AY603" s="77" t="s">
        <v>1896</v>
      </c>
      <c r="AZ603" s="77" t="s">
        <v>3906</v>
      </c>
      <c r="BA603" s="77">
        <v>40</v>
      </c>
      <c r="BB603" s="77">
        <v>18</v>
      </c>
      <c r="BC603" s="77">
        <v>79</v>
      </c>
      <c r="BD603" s="77">
        <v>7.0000000000000007E-2</v>
      </c>
      <c r="BE603" s="77" t="s">
        <v>97</v>
      </c>
      <c r="BF603" s="77"/>
      <c r="BG603" s="77">
        <v>2658.33</v>
      </c>
      <c r="BH603" s="77"/>
      <c r="BI603" s="77"/>
      <c r="BJ603" s="77"/>
      <c r="BK603" s="77">
        <v>1710</v>
      </c>
      <c r="BL603" s="75">
        <f t="shared" si="27"/>
        <v>4368.33</v>
      </c>
      <c r="BM603" s="103">
        <f t="shared" si="28"/>
        <v>240.25815</v>
      </c>
      <c r="BN603" s="103">
        <f t="shared" si="29"/>
        <v>4608.5881499999996</v>
      </c>
      <c r="BO603" s="80"/>
      <c r="BP603" s="77" t="s">
        <v>97</v>
      </c>
      <c r="BQ603" s="77"/>
      <c r="BR603" s="77"/>
      <c r="BS603" s="157">
        <v>2019</v>
      </c>
      <c r="BT603" s="235">
        <v>43770</v>
      </c>
      <c r="BU603">
        <v>2020</v>
      </c>
    </row>
    <row r="604" spans="1:73" ht="43.15" customHeight="1" x14ac:dyDescent="0.25">
      <c r="A604" s="31" t="s">
        <v>3845</v>
      </c>
      <c r="B604" s="31" t="s">
        <v>3879</v>
      </c>
      <c r="C604" s="163" t="s">
        <v>9</v>
      </c>
      <c r="D604" s="76">
        <v>43775</v>
      </c>
      <c r="E604" s="76">
        <v>43776</v>
      </c>
      <c r="F604" s="76"/>
      <c r="G604" s="76"/>
      <c r="H604" s="76"/>
      <c r="I604" s="76"/>
      <c r="J604" s="76"/>
      <c r="K604" s="218"/>
      <c r="L604" s="76"/>
      <c r="M604" s="76"/>
      <c r="N604" s="76"/>
      <c r="O604" s="76"/>
      <c r="P604" s="76"/>
      <c r="Q604" s="76"/>
      <c r="R604" s="82"/>
      <c r="S604" s="76">
        <v>43783</v>
      </c>
      <c r="T604" s="77" t="s">
        <v>3264</v>
      </c>
      <c r="U604" s="77"/>
      <c r="V604" s="77"/>
      <c r="W604" s="77">
        <v>1</v>
      </c>
      <c r="X604" s="77">
        <v>13000</v>
      </c>
      <c r="Y604" s="75" t="str">
        <f ca="1">IF(I604="",IF(D604="","",IF(W604+X604&lt;15,"Données Nb pers ou RFR manquantes",IF(COUNTA(INDIRECT("TabRFR["&amp;YEAR(D604)&amp;"]"))&lt;&gt;COUNTA(TabRFR[Recherche RFR]),"Data RFR manquantes", IF(X604&lt;=INDEX(TabRFR[[2021]:[2025]],MATCH(BD!W604&amp;"-Très modestes",TabRFR[Recherche RFR],0),MATCH(TEXT(YEAR(BD!D604),"Standard"),TabRFR[[#Headers],[2021]:[2025]],0)),"Très Modeste",IF(X604&lt;=INDEX(TabRFR[[2021]:[2025]],MATCH(BD!W604&amp;"-modestes",TabRFR[Recherche RFR],0),MATCH(TEXT(YEAR(BD!D604),"Standard"),TabRFR[[#Headers],[2021]:[2025]],0)),"Modeste",IF(X604&lt;=INDEX(TabRFR[[2021]:[2025]],MATCH(BD!W604&amp;"-Intermédiaire",TabRFR[Recherche RFR],0),MATCH(TEXT(YEAR(BD!D604),"Standard"),TabRFR[[#Headers],[2021]:[2025]],0)),"Intermédiaire","Supérieur")))))),IF(D604="","",IF(W604+X604&lt;15,"Données Nb pers ou RFR manquantes",IF(COUNTA(INDIRECT("TabRFR["&amp;YEAR(I604)&amp;"]"))&lt;&gt;COUNTA(TabRFR[Recherche RFR]),"Data RFR manquantes", IF(X604&lt;=INDEX(TabRFR[[2021]:[2025]],MATCH(BD!W604&amp;"-Très modestes",TabRFR[Recherche RFR],0),MATCH(TEXT(YEAR(BD!I604),"Standard"),TabRFR[[#Headers],[2021]:[2025]],0)),"Très Modeste",IF(X604&lt;=INDEX(TabRFR[[2021]:[2025]],MATCH(BD!W604&amp;"-modestes",TabRFR[Recherche RFR],0),MATCH(TEXT(YEAR(BD!I604),"Standard"),TabRFR[[#Headers],[2021]:[2025]],0)),"Modeste",IF(X604&lt;=INDEX(TabRFR[[2021]:[2025]],MATCH(BD!W604&amp;"-Intermédiaire",TabRFR[Recherche RFR],0),MATCH(TEXT(YEAR(BD!I604),"Standard"),TabRFR[[#Headers],[2021]:[2025]],0)),"Intermédiaire","Supérieur")))))))</f>
        <v>Data RFR manquantes</v>
      </c>
      <c r="Z604" s="77"/>
      <c r="AA604" s="77" t="s">
        <v>3904</v>
      </c>
      <c r="AB604" s="77">
        <v>38340</v>
      </c>
      <c r="AC604" s="77" t="s">
        <v>108</v>
      </c>
      <c r="AD604" s="78"/>
      <c r="AE604" s="102"/>
      <c r="AF604" s="77" t="s">
        <v>3264</v>
      </c>
      <c r="AG604" s="77"/>
      <c r="AH604" s="77"/>
      <c r="AI604" s="77"/>
      <c r="AJ604" s="77"/>
      <c r="AK604" s="77"/>
      <c r="AL604" s="77"/>
      <c r="AM604" s="77" t="s">
        <v>350</v>
      </c>
      <c r="AN604" s="77" t="s">
        <v>451</v>
      </c>
      <c r="AO604" s="77" t="s">
        <v>351</v>
      </c>
      <c r="AP604" s="77" t="s">
        <v>97</v>
      </c>
      <c r="AQ604" s="77"/>
      <c r="AR604" s="79">
        <v>43938</v>
      </c>
      <c r="AS604" s="102" t="s">
        <v>498</v>
      </c>
      <c r="AT604" s="78" t="s">
        <v>3907</v>
      </c>
      <c r="AU604" s="77" t="s">
        <v>430</v>
      </c>
      <c r="AV604" s="77">
        <v>1949</v>
      </c>
      <c r="AW604" s="77" t="s">
        <v>100</v>
      </c>
      <c r="AX604" s="77" t="s">
        <v>112</v>
      </c>
      <c r="AY604" s="77" t="s">
        <v>251</v>
      </c>
      <c r="AZ604" s="77" t="s">
        <v>3908</v>
      </c>
      <c r="BA604" s="77">
        <v>6</v>
      </c>
      <c r="BB604" s="77">
        <v>5.2</v>
      </c>
      <c r="BC604" s="77">
        <v>83</v>
      </c>
      <c r="BD604" s="77">
        <v>0.1</v>
      </c>
      <c r="BE604" s="77" t="s">
        <v>97</v>
      </c>
      <c r="BF604" s="77"/>
      <c r="BG604" s="77">
        <v>2400.27</v>
      </c>
      <c r="BH604" s="77"/>
      <c r="BI604" s="77"/>
      <c r="BJ604" s="77"/>
      <c r="BK604" s="77">
        <v>1259</v>
      </c>
      <c r="BL604" s="75">
        <f t="shared" si="27"/>
        <v>3659.27</v>
      </c>
      <c r="BM604" s="103">
        <f t="shared" si="28"/>
        <v>201.25985</v>
      </c>
      <c r="BN604" s="103">
        <f t="shared" si="29"/>
        <v>3860.5298499999999</v>
      </c>
      <c r="BO604" s="80"/>
      <c r="BP604" s="77" t="s">
        <v>104</v>
      </c>
      <c r="BQ604" s="77"/>
      <c r="BR604" s="77"/>
      <c r="BS604" s="157">
        <v>2019</v>
      </c>
      <c r="BT604" s="235">
        <v>43770</v>
      </c>
      <c r="BU604" t="s">
        <v>4180</v>
      </c>
    </row>
    <row r="605" spans="1:73" ht="43.15" customHeight="1" x14ac:dyDescent="0.25">
      <c r="A605" s="241" t="s">
        <v>3845</v>
      </c>
      <c r="B605" s="241" t="s">
        <v>3880</v>
      </c>
      <c r="C605" s="163">
        <v>400</v>
      </c>
      <c r="D605" s="76">
        <v>43776</v>
      </c>
      <c r="E605" s="76">
        <v>43776</v>
      </c>
      <c r="F605" s="76" t="s">
        <v>9</v>
      </c>
      <c r="G605" s="76" t="s">
        <v>9</v>
      </c>
      <c r="H605" s="76">
        <v>43783</v>
      </c>
      <c r="I605" s="76">
        <v>43783</v>
      </c>
      <c r="J605" s="76">
        <v>43788</v>
      </c>
      <c r="K605" s="218"/>
      <c r="L605" s="76">
        <v>43818</v>
      </c>
      <c r="M605" s="76">
        <v>43808</v>
      </c>
      <c r="N605" s="76"/>
      <c r="O605" s="76">
        <v>43819</v>
      </c>
      <c r="P605" s="76">
        <v>43819</v>
      </c>
      <c r="Q605" s="76">
        <v>43853</v>
      </c>
      <c r="R605" s="82"/>
      <c r="S605" s="76"/>
      <c r="T605" s="77"/>
      <c r="U605" s="77"/>
      <c r="V605" s="77"/>
      <c r="W605" s="77">
        <v>2</v>
      </c>
      <c r="X605" s="77">
        <v>68470</v>
      </c>
      <c r="Y605" s="75" t="str">
        <f ca="1">IF(I605="",IF(D605="","",IF(W605+X605&lt;15,"Données Nb pers ou RFR manquantes",IF(COUNTA(INDIRECT("TabRFR["&amp;YEAR(D605)&amp;"]"))&lt;&gt;COUNTA(TabRFR[Recherche RFR]),"Data RFR manquantes", IF(X605&lt;=INDEX(TabRFR[[2021]:[2025]],MATCH(BD!W605&amp;"-Très modestes",TabRFR[Recherche RFR],0),MATCH(TEXT(YEAR(BD!D605),"Standard"),TabRFR[[#Headers],[2021]:[2025]],0)),"Très Modeste",IF(X605&lt;=INDEX(TabRFR[[2021]:[2025]],MATCH(BD!W605&amp;"-modestes",TabRFR[Recherche RFR],0),MATCH(TEXT(YEAR(BD!D605),"Standard"),TabRFR[[#Headers],[2021]:[2025]],0)),"Modeste",IF(X605&lt;=INDEX(TabRFR[[2021]:[2025]],MATCH(BD!W605&amp;"-Intermédiaire",TabRFR[Recherche RFR],0),MATCH(TEXT(YEAR(BD!D605),"Standard"),TabRFR[[#Headers],[2021]:[2025]],0)),"Intermédiaire","Supérieur")))))),IF(D605="","",IF(W605+X605&lt;15,"Données Nb pers ou RFR manquantes",IF(COUNTA(INDIRECT("TabRFR["&amp;YEAR(I605)&amp;"]"))&lt;&gt;COUNTA(TabRFR[Recherche RFR]),"Data RFR manquantes", IF(X605&lt;=INDEX(TabRFR[[2021]:[2025]],MATCH(BD!W605&amp;"-Très modestes",TabRFR[Recherche RFR],0),MATCH(TEXT(YEAR(BD!I605),"Standard"),TabRFR[[#Headers],[2021]:[2025]],0)),"Très Modeste",IF(X605&lt;=INDEX(TabRFR[[2021]:[2025]],MATCH(BD!W605&amp;"-modestes",TabRFR[Recherche RFR],0),MATCH(TEXT(YEAR(BD!I605),"Standard"),TabRFR[[#Headers],[2021]:[2025]],0)),"Modeste",IF(X605&lt;=INDEX(TabRFR[[2021]:[2025]],MATCH(BD!W605&amp;"-Intermédiaire",TabRFR[Recherche RFR],0),MATCH(TEXT(YEAR(BD!I605),"Standard"),TabRFR[[#Headers],[2021]:[2025]],0)),"Intermédiaire","Supérieur")))))))</f>
        <v>Data RFR manquantes</v>
      </c>
      <c r="Z605" s="77"/>
      <c r="AA605" s="77" t="s">
        <v>3909</v>
      </c>
      <c r="AB605" s="77">
        <v>38500</v>
      </c>
      <c r="AC605" s="77" t="s">
        <v>118</v>
      </c>
      <c r="AD605" s="78"/>
      <c r="AE605" s="102"/>
      <c r="AF605" s="77" t="s">
        <v>95</v>
      </c>
      <c r="AG605" s="77"/>
      <c r="AH605" s="77"/>
      <c r="AI605" s="77"/>
      <c r="AJ605" s="77"/>
      <c r="AK605" s="77"/>
      <c r="AL605" s="77"/>
      <c r="AM605" s="77" t="s">
        <v>4368</v>
      </c>
      <c r="AN605" s="77" t="s">
        <v>917</v>
      </c>
      <c r="AO605" s="77" t="s">
        <v>3929</v>
      </c>
      <c r="AP605" s="77" t="s">
        <v>97</v>
      </c>
      <c r="AQ605" s="77"/>
      <c r="AR605" s="79">
        <v>44012</v>
      </c>
      <c r="AS605" s="102" t="s">
        <v>918</v>
      </c>
      <c r="AT605" s="78" t="s">
        <v>3910</v>
      </c>
      <c r="AU605" s="77" t="s">
        <v>399</v>
      </c>
      <c r="AV605" s="77" t="s">
        <v>173</v>
      </c>
      <c r="AW605" s="77" t="s">
        <v>100</v>
      </c>
      <c r="AX605" s="75" t="s">
        <v>2071</v>
      </c>
      <c r="AY605" s="77" t="s">
        <v>174</v>
      </c>
      <c r="AZ605" s="77" t="s">
        <v>3930</v>
      </c>
      <c r="BA605" s="77">
        <v>20</v>
      </c>
      <c r="BB605" s="77">
        <v>8.1999999999999993</v>
      </c>
      <c r="BC605" s="77">
        <v>91.5</v>
      </c>
      <c r="BD605" s="77">
        <v>0.01</v>
      </c>
      <c r="BE605" s="77" t="s">
        <v>97</v>
      </c>
      <c r="BF605" s="77"/>
      <c r="BG605" s="77">
        <v>3317</v>
      </c>
      <c r="BH605" s="77"/>
      <c r="BI605" s="77"/>
      <c r="BJ605" s="77"/>
      <c r="BK605" s="77">
        <v>782.93</v>
      </c>
      <c r="BL605" s="75">
        <f t="shared" si="27"/>
        <v>4099.93</v>
      </c>
      <c r="BM605" s="103">
        <f t="shared" si="28"/>
        <v>225.49615000000003</v>
      </c>
      <c r="BN605" s="103">
        <f t="shared" si="29"/>
        <v>4325.4261500000002</v>
      </c>
      <c r="BO605" s="80">
        <v>4326</v>
      </c>
      <c r="BP605" s="77" t="s">
        <v>97</v>
      </c>
      <c r="BQ605" s="77"/>
      <c r="BR605" s="77"/>
      <c r="BS605" s="157">
        <v>2019</v>
      </c>
      <c r="BU605">
        <v>2019</v>
      </c>
    </row>
    <row r="606" spans="1:73" ht="43.15" customHeight="1" x14ac:dyDescent="0.25">
      <c r="A606" s="31" t="s">
        <v>3845</v>
      </c>
      <c r="B606" s="31" t="s">
        <v>3881</v>
      </c>
      <c r="C606" s="163" t="s">
        <v>9</v>
      </c>
      <c r="D606" s="76">
        <v>43777</v>
      </c>
      <c r="E606" s="76">
        <v>43777</v>
      </c>
      <c r="F606" s="76">
        <v>43783</v>
      </c>
      <c r="G606" s="76"/>
      <c r="H606" s="76"/>
      <c r="I606" s="76"/>
      <c r="J606" s="76"/>
      <c r="K606" s="218"/>
      <c r="L606" s="76"/>
      <c r="M606" s="76"/>
      <c r="N606" s="76"/>
      <c r="O606" s="76"/>
      <c r="P606" s="76"/>
      <c r="Q606" s="76"/>
      <c r="R606" s="82"/>
      <c r="S606" s="76">
        <v>43783</v>
      </c>
      <c r="T606" s="77" t="s">
        <v>3979</v>
      </c>
      <c r="U606" s="77"/>
      <c r="V606" s="77"/>
      <c r="W606" s="77">
        <v>2</v>
      </c>
      <c r="X606" s="77">
        <v>47633</v>
      </c>
      <c r="Y606" s="75" t="str">
        <f ca="1">IF(I606="",IF(D606="","",IF(W606+X606&lt;15,"Données Nb pers ou RFR manquantes",IF(COUNTA(INDIRECT("TabRFR["&amp;YEAR(D606)&amp;"]"))&lt;&gt;COUNTA(TabRFR[Recherche RFR]),"Data RFR manquantes", IF(X606&lt;=INDEX(TabRFR[[2021]:[2025]],MATCH(BD!W606&amp;"-Très modestes",TabRFR[Recherche RFR],0),MATCH(TEXT(YEAR(BD!D606),"Standard"),TabRFR[[#Headers],[2021]:[2025]],0)),"Très Modeste",IF(X606&lt;=INDEX(TabRFR[[2021]:[2025]],MATCH(BD!W606&amp;"-modestes",TabRFR[Recherche RFR],0),MATCH(TEXT(YEAR(BD!D606),"Standard"),TabRFR[[#Headers],[2021]:[2025]],0)),"Modeste",IF(X606&lt;=INDEX(TabRFR[[2021]:[2025]],MATCH(BD!W606&amp;"-Intermédiaire",TabRFR[Recherche RFR],0),MATCH(TEXT(YEAR(BD!D606),"Standard"),TabRFR[[#Headers],[2021]:[2025]],0)),"Intermédiaire","Supérieur")))))),IF(D606="","",IF(W606+X606&lt;15,"Données Nb pers ou RFR manquantes",IF(COUNTA(INDIRECT("TabRFR["&amp;YEAR(I606)&amp;"]"))&lt;&gt;COUNTA(TabRFR[Recherche RFR]),"Data RFR manquantes", IF(X606&lt;=INDEX(TabRFR[[2021]:[2025]],MATCH(BD!W606&amp;"-Très modestes",TabRFR[Recherche RFR],0),MATCH(TEXT(YEAR(BD!I606),"Standard"),TabRFR[[#Headers],[2021]:[2025]],0)),"Très Modeste",IF(X606&lt;=INDEX(TabRFR[[2021]:[2025]],MATCH(BD!W606&amp;"-modestes",TabRFR[Recherche RFR],0),MATCH(TEXT(YEAR(BD!I606),"Standard"),TabRFR[[#Headers],[2021]:[2025]],0)),"Modeste",IF(X606&lt;=INDEX(TabRFR[[2021]:[2025]],MATCH(BD!W606&amp;"-Intermédiaire",TabRFR[Recherche RFR],0),MATCH(TEXT(YEAR(BD!I606),"Standard"),TabRFR[[#Headers],[2021]:[2025]],0)),"Intermédiaire","Supérieur")))))))</f>
        <v>Data RFR manquantes</v>
      </c>
      <c r="Z606" s="77"/>
      <c r="AA606" s="77" t="s">
        <v>3911</v>
      </c>
      <c r="AB606" s="77">
        <v>38470</v>
      </c>
      <c r="AC606" s="77" t="s">
        <v>4347</v>
      </c>
      <c r="AD606" s="78"/>
      <c r="AE606" s="102"/>
      <c r="AF606" s="77" t="s">
        <v>95</v>
      </c>
      <c r="AG606" s="77"/>
      <c r="AH606" s="77"/>
      <c r="AI606" s="77"/>
      <c r="AJ606" s="77"/>
      <c r="AK606" s="77"/>
      <c r="AL606" s="77"/>
      <c r="AM606" s="77" t="s">
        <v>4368</v>
      </c>
      <c r="AN606" s="77" t="s">
        <v>917</v>
      </c>
      <c r="AO606" s="77" t="s">
        <v>3931</v>
      </c>
      <c r="AP606" s="77" t="s">
        <v>97</v>
      </c>
      <c r="AQ606" s="77"/>
      <c r="AR606" s="79">
        <v>44012</v>
      </c>
      <c r="AS606" s="102" t="s">
        <v>918</v>
      </c>
      <c r="AT606" s="78" t="s">
        <v>3849</v>
      </c>
      <c r="AU606" s="77" t="s">
        <v>100</v>
      </c>
      <c r="AV606" s="77" t="s">
        <v>173</v>
      </c>
      <c r="AW606" s="77" t="s">
        <v>100</v>
      </c>
      <c r="AX606" s="75" t="s">
        <v>2071</v>
      </c>
      <c r="AY606" s="77" t="s">
        <v>174</v>
      </c>
      <c r="AZ606" s="77" t="s">
        <v>3930</v>
      </c>
      <c r="BA606" s="77">
        <v>20</v>
      </c>
      <c r="BB606" s="77">
        <v>8.1999999999999993</v>
      </c>
      <c r="BC606" s="77">
        <v>91.5</v>
      </c>
      <c r="BD606" s="77">
        <v>0.1</v>
      </c>
      <c r="BE606" s="77" t="s">
        <v>97</v>
      </c>
      <c r="BF606" s="77"/>
      <c r="BG606" s="77">
        <v>4131</v>
      </c>
      <c r="BH606" s="77"/>
      <c r="BI606" s="77"/>
      <c r="BJ606" s="77"/>
      <c r="BK606" s="77">
        <v>650</v>
      </c>
      <c r="BL606" s="75">
        <f t="shared" si="27"/>
        <v>4781</v>
      </c>
      <c r="BM606" s="103">
        <f t="shared" si="28"/>
        <v>262.95499999999998</v>
      </c>
      <c r="BN606" s="103">
        <f t="shared" si="29"/>
        <v>5043.9549999999999</v>
      </c>
      <c r="BO606" s="80"/>
      <c r="BP606" s="77"/>
      <c r="BQ606" s="77"/>
      <c r="BR606" s="77"/>
      <c r="BS606" s="157">
        <v>2019</v>
      </c>
      <c r="BU606" t="s">
        <v>4180</v>
      </c>
    </row>
    <row r="607" spans="1:73" ht="43.15" customHeight="1" x14ac:dyDescent="0.25">
      <c r="A607" s="241" t="s">
        <v>3845</v>
      </c>
      <c r="B607" s="241" t="s">
        <v>3882</v>
      </c>
      <c r="C607" s="163">
        <v>400</v>
      </c>
      <c r="D607" s="76">
        <v>43777</v>
      </c>
      <c r="E607" s="76">
        <v>43777</v>
      </c>
      <c r="F607" s="76" t="s">
        <v>9</v>
      </c>
      <c r="G607" s="76" t="s">
        <v>9</v>
      </c>
      <c r="H607" s="76">
        <v>43783</v>
      </c>
      <c r="I607" s="76">
        <v>43783</v>
      </c>
      <c r="J607" s="76">
        <v>43788</v>
      </c>
      <c r="K607" s="218"/>
      <c r="L607" s="76">
        <v>43846</v>
      </c>
      <c r="M607" s="76">
        <v>43836</v>
      </c>
      <c r="N607" s="76" t="s">
        <v>4044</v>
      </c>
      <c r="O607" s="76">
        <v>43852</v>
      </c>
      <c r="P607" s="76">
        <v>43852</v>
      </c>
      <c r="Q607" s="76">
        <v>43854</v>
      </c>
      <c r="R607" s="82"/>
      <c r="S607" s="76"/>
      <c r="T607" s="77"/>
      <c r="U607" s="77"/>
      <c r="V607" s="77"/>
      <c r="W607" s="77">
        <v>2</v>
      </c>
      <c r="X607" s="77">
        <v>50094</v>
      </c>
      <c r="Y607" s="75" t="str">
        <f ca="1">IF(I607="",IF(D607="","",IF(W607+X607&lt;15,"Données Nb pers ou RFR manquantes",IF(COUNTA(INDIRECT("TabRFR["&amp;YEAR(D607)&amp;"]"))&lt;&gt;COUNTA(TabRFR[Recherche RFR]),"Data RFR manquantes", IF(X607&lt;=INDEX(TabRFR[[2021]:[2025]],MATCH(BD!W607&amp;"-Très modestes",TabRFR[Recherche RFR],0),MATCH(TEXT(YEAR(BD!D607),"Standard"),TabRFR[[#Headers],[2021]:[2025]],0)),"Très Modeste",IF(X607&lt;=INDEX(TabRFR[[2021]:[2025]],MATCH(BD!W607&amp;"-modestes",TabRFR[Recherche RFR],0),MATCH(TEXT(YEAR(BD!D607),"Standard"),TabRFR[[#Headers],[2021]:[2025]],0)),"Modeste",IF(X607&lt;=INDEX(TabRFR[[2021]:[2025]],MATCH(BD!W607&amp;"-Intermédiaire",TabRFR[Recherche RFR],0),MATCH(TEXT(YEAR(BD!D607),"Standard"),TabRFR[[#Headers],[2021]:[2025]],0)),"Intermédiaire","Supérieur")))))),IF(D607="","",IF(W607+X607&lt;15,"Données Nb pers ou RFR manquantes",IF(COUNTA(INDIRECT("TabRFR["&amp;YEAR(I607)&amp;"]"))&lt;&gt;COUNTA(TabRFR[Recherche RFR]),"Data RFR manquantes", IF(X607&lt;=INDEX(TabRFR[[2021]:[2025]],MATCH(BD!W607&amp;"-Très modestes",TabRFR[Recherche RFR],0),MATCH(TEXT(YEAR(BD!I607),"Standard"),TabRFR[[#Headers],[2021]:[2025]],0)),"Très Modeste",IF(X607&lt;=INDEX(TabRFR[[2021]:[2025]],MATCH(BD!W607&amp;"-modestes",TabRFR[Recherche RFR],0),MATCH(TEXT(YEAR(BD!I607),"Standard"),TabRFR[[#Headers],[2021]:[2025]],0)),"Modeste",IF(X607&lt;=INDEX(TabRFR[[2021]:[2025]],MATCH(BD!W607&amp;"-Intermédiaire",TabRFR[Recherche RFR],0),MATCH(TEXT(YEAR(BD!I607),"Standard"),TabRFR[[#Headers],[2021]:[2025]],0)),"Intermédiaire","Supérieur")))))))</f>
        <v>Data RFR manquantes</v>
      </c>
      <c r="Z607" s="77"/>
      <c r="AA607" s="77" t="s">
        <v>3922</v>
      </c>
      <c r="AB607" s="77">
        <v>38620</v>
      </c>
      <c r="AC607" s="77" t="s">
        <v>851</v>
      </c>
      <c r="AD607" s="78"/>
      <c r="AE607" s="102"/>
      <c r="AF607" s="77" t="s">
        <v>95</v>
      </c>
      <c r="AG607" s="77"/>
      <c r="AH607" s="77"/>
      <c r="AI607" s="77"/>
      <c r="AJ607" s="77"/>
      <c r="AK607" s="77"/>
      <c r="AL607" s="77"/>
      <c r="AM607" s="77" t="s">
        <v>4356</v>
      </c>
      <c r="AN607" s="77" t="s">
        <v>96</v>
      </c>
      <c r="AO607" s="77" t="s">
        <v>3932</v>
      </c>
      <c r="AP607" s="77" t="s">
        <v>97</v>
      </c>
      <c r="AQ607" s="77"/>
      <c r="AR607" s="79">
        <v>44138</v>
      </c>
      <c r="AS607" s="102" t="s">
        <v>120</v>
      </c>
      <c r="AT607" s="78" t="s">
        <v>3923</v>
      </c>
      <c r="AU607" s="77" t="s">
        <v>172</v>
      </c>
      <c r="AV607" s="77" t="s">
        <v>3933</v>
      </c>
      <c r="AW607" s="77" t="s">
        <v>100</v>
      </c>
      <c r="AX607" s="75" t="s">
        <v>2071</v>
      </c>
      <c r="AY607" s="77" t="s">
        <v>102</v>
      </c>
      <c r="AZ607" s="77" t="s">
        <v>103</v>
      </c>
      <c r="BA607" s="77">
        <v>18</v>
      </c>
      <c r="BB607" s="77">
        <v>10</v>
      </c>
      <c r="BC607" s="77">
        <v>90.4</v>
      </c>
      <c r="BD607" s="77">
        <v>3.0000000000000001E-3</v>
      </c>
      <c r="BE607" s="77" t="s">
        <v>97</v>
      </c>
      <c r="BF607" s="77"/>
      <c r="BG607" s="77">
        <v>3280</v>
      </c>
      <c r="BH607" s="77"/>
      <c r="BI607" s="77"/>
      <c r="BJ607" s="77"/>
      <c r="BK607" s="77">
        <v>350</v>
      </c>
      <c r="BL607" s="75">
        <f t="shared" si="27"/>
        <v>3630</v>
      </c>
      <c r="BM607" s="103">
        <f t="shared" si="28"/>
        <v>199.65</v>
      </c>
      <c r="BN607" s="103">
        <f t="shared" si="29"/>
        <v>3829.65</v>
      </c>
      <c r="BO607" s="80">
        <v>4186.24</v>
      </c>
      <c r="BP607" s="77" t="s">
        <v>97</v>
      </c>
      <c r="BQ607" s="77"/>
      <c r="BR607" s="77"/>
      <c r="BS607" s="157">
        <v>2019</v>
      </c>
      <c r="BU607">
        <v>2019</v>
      </c>
    </row>
    <row r="608" spans="1:73" ht="43.15" customHeight="1" x14ac:dyDescent="0.25">
      <c r="A608" s="31" t="s">
        <v>3845</v>
      </c>
      <c r="B608" s="31" t="s">
        <v>3883</v>
      </c>
      <c r="C608" s="163" t="s">
        <v>9</v>
      </c>
      <c r="D608" s="76">
        <v>43781</v>
      </c>
      <c r="E608" s="76">
        <v>43781</v>
      </c>
      <c r="F608" s="76">
        <v>43783</v>
      </c>
      <c r="G608" s="76"/>
      <c r="H608" s="76"/>
      <c r="I608" s="76"/>
      <c r="J608" s="76"/>
      <c r="K608" s="218"/>
      <c r="L608" s="76"/>
      <c r="M608" s="76"/>
      <c r="N608" s="76"/>
      <c r="O608" s="76"/>
      <c r="P608" s="76"/>
      <c r="Q608" s="76"/>
      <c r="R608" s="82"/>
      <c r="S608" s="76">
        <v>43783</v>
      </c>
      <c r="T608" s="77" t="s">
        <v>3979</v>
      </c>
      <c r="U608" s="77"/>
      <c r="V608" s="77"/>
      <c r="W608" s="77">
        <v>2</v>
      </c>
      <c r="X608" s="77">
        <v>24010</v>
      </c>
      <c r="Y608" s="75" t="str">
        <f ca="1">IF(I608="",IF(D608="","",IF(W608+X608&lt;15,"Données Nb pers ou RFR manquantes",IF(COUNTA(INDIRECT("TabRFR["&amp;YEAR(D608)&amp;"]"))&lt;&gt;COUNTA(TabRFR[Recherche RFR]),"Data RFR manquantes", IF(X608&lt;=INDEX(TabRFR[[2021]:[2025]],MATCH(BD!W608&amp;"-Très modestes",TabRFR[Recherche RFR],0),MATCH(TEXT(YEAR(BD!D608),"Standard"),TabRFR[[#Headers],[2021]:[2025]],0)),"Très Modeste",IF(X608&lt;=INDEX(TabRFR[[2021]:[2025]],MATCH(BD!W608&amp;"-modestes",TabRFR[Recherche RFR],0),MATCH(TEXT(YEAR(BD!D608),"Standard"),TabRFR[[#Headers],[2021]:[2025]],0)),"Modeste",IF(X608&lt;=INDEX(TabRFR[[2021]:[2025]],MATCH(BD!W608&amp;"-Intermédiaire",TabRFR[Recherche RFR],0),MATCH(TEXT(YEAR(BD!D608),"Standard"),TabRFR[[#Headers],[2021]:[2025]],0)),"Intermédiaire","Supérieur")))))),IF(D608="","",IF(W608+X608&lt;15,"Données Nb pers ou RFR manquantes",IF(COUNTA(INDIRECT("TabRFR["&amp;YEAR(I608)&amp;"]"))&lt;&gt;COUNTA(TabRFR[Recherche RFR]),"Data RFR manquantes", IF(X608&lt;=INDEX(TabRFR[[2021]:[2025]],MATCH(BD!W608&amp;"-Très modestes",TabRFR[Recherche RFR],0),MATCH(TEXT(YEAR(BD!I608),"Standard"),TabRFR[[#Headers],[2021]:[2025]],0)),"Très Modeste",IF(X608&lt;=INDEX(TabRFR[[2021]:[2025]],MATCH(BD!W608&amp;"-modestes",TabRFR[Recherche RFR],0),MATCH(TEXT(YEAR(BD!I608),"Standard"),TabRFR[[#Headers],[2021]:[2025]],0)),"Modeste",IF(X608&lt;=INDEX(TabRFR[[2021]:[2025]],MATCH(BD!W608&amp;"-Intermédiaire",TabRFR[Recherche RFR],0),MATCH(TEXT(YEAR(BD!I608),"Standard"),TabRFR[[#Headers],[2021]:[2025]],0)),"Intermédiaire","Supérieur")))))))</f>
        <v>Data RFR manquantes</v>
      </c>
      <c r="Z608" s="77"/>
      <c r="AA608" s="77" t="s">
        <v>3911</v>
      </c>
      <c r="AB608" s="77">
        <v>38470</v>
      </c>
      <c r="AC608" s="77" t="s">
        <v>4347</v>
      </c>
      <c r="AD608" s="78"/>
      <c r="AE608" s="102"/>
      <c r="AF608" s="77"/>
      <c r="AG608" s="77"/>
      <c r="AH608" s="77"/>
      <c r="AI608" s="77"/>
      <c r="AJ608" s="77"/>
      <c r="AK608" s="77"/>
      <c r="AL608" s="77"/>
      <c r="AM608" s="77"/>
      <c r="AN608" s="77"/>
      <c r="AO608" s="77"/>
      <c r="AP608" s="77"/>
      <c r="AQ608" s="77"/>
      <c r="AR608" s="79"/>
      <c r="AS608" s="102"/>
      <c r="AT608" s="78"/>
      <c r="AU608" s="77"/>
      <c r="AV608" s="77"/>
      <c r="AW608" s="77"/>
      <c r="AX608" s="77"/>
      <c r="AY608" s="77"/>
      <c r="AZ608" s="77"/>
      <c r="BA608" s="77"/>
      <c r="BB608" s="77"/>
      <c r="BC608" s="77"/>
      <c r="BD608" s="77"/>
      <c r="BE608" s="77"/>
      <c r="BF608" s="77"/>
      <c r="BG608" s="77"/>
      <c r="BH608" s="77"/>
      <c r="BI608" s="77"/>
      <c r="BJ608" s="77"/>
      <c r="BK608" s="77"/>
      <c r="BL608" s="75">
        <f t="shared" si="27"/>
        <v>0</v>
      </c>
      <c r="BM608" s="103">
        <f t="shared" si="28"/>
        <v>0</v>
      </c>
      <c r="BN608" s="103">
        <f t="shared" si="29"/>
        <v>0</v>
      </c>
      <c r="BO608" s="80"/>
      <c r="BP608" s="77"/>
      <c r="BQ608" s="77"/>
      <c r="BR608" s="77"/>
      <c r="BS608" s="157">
        <v>2019</v>
      </c>
      <c r="BU608" t="s">
        <v>4180</v>
      </c>
    </row>
    <row r="609" spans="1:73" ht="43.15" customHeight="1" x14ac:dyDescent="0.25">
      <c r="A609" s="241" t="s">
        <v>3845</v>
      </c>
      <c r="B609" s="241" t="s">
        <v>3912</v>
      </c>
      <c r="C609" s="163">
        <v>400</v>
      </c>
      <c r="D609" s="76">
        <v>43781</v>
      </c>
      <c r="E609" s="76">
        <v>43783</v>
      </c>
      <c r="F609" s="76" t="s">
        <v>9</v>
      </c>
      <c r="G609" s="76" t="s">
        <v>9</v>
      </c>
      <c r="H609" s="76">
        <v>43783</v>
      </c>
      <c r="I609" s="76">
        <v>43783</v>
      </c>
      <c r="J609" s="76">
        <v>43788</v>
      </c>
      <c r="K609" s="218"/>
      <c r="L609" s="76">
        <v>43819</v>
      </c>
      <c r="M609" s="76">
        <v>43811</v>
      </c>
      <c r="N609" s="76"/>
      <c r="O609" s="76">
        <v>43819</v>
      </c>
      <c r="P609" s="76">
        <v>43819</v>
      </c>
      <c r="Q609" s="76">
        <v>43853</v>
      </c>
      <c r="R609" s="82"/>
      <c r="S609" s="76"/>
      <c r="T609" s="77"/>
      <c r="U609" s="77"/>
      <c r="V609" s="77"/>
      <c r="W609" s="77">
        <v>1</v>
      </c>
      <c r="X609" s="77">
        <v>27633</v>
      </c>
      <c r="Y609" s="75" t="str">
        <f ca="1">IF(I609="",IF(D609="","",IF(W609+X609&lt;15,"Données Nb pers ou RFR manquantes",IF(COUNTA(INDIRECT("TabRFR["&amp;YEAR(D609)&amp;"]"))&lt;&gt;COUNTA(TabRFR[Recherche RFR]),"Data RFR manquantes", IF(X609&lt;=INDEX(TabRFR[[2021]:[2025]],MATCH(BD!W609&amp;"-Très modestes",TabRFR[Recherche RFR],0),MATCH(TEXT(YEAR(BD!D609),"Standard"),TabRFR[[#Headers],[2021]:[2025]],0)),"Très Modeste",IF(X609&lt;=INDEX(TabRFR[[2021]:[2025]],MATCH(BD!W609&amp;"-modestes",TabRFR[Recherche RFR],0),MATCH(TEXT(YEAR(BD!D609),"Standard"),TabRFR[[#Headers],[2021]:[2025]],0)),"Modeste",IF(X609&lt;=INDEX(TabRFR[[2021]:[2025]],MATCH(BD!W609&amp;"-Intermédiaire",TabRFR[Recherche RFR],0),MATCH(TEXT(YEAR(BD!D609),"Standard"),TabRFR[[#Headers],[2021]:[2025]],0)),"Intermédiaire","Supérieur")))))),IF(D609="","",IF(W609+X609&lt;15,"Données Nb pers ou RFR manquantes",IF(COUNTA(INDIRECT("TabRFR["&amp;YEAR(I609)&amp;"]"))&lt;&gt;COUNTA(TabRFR[Recherche RFR]),"Data RFR manquantes", IF(X609&lt;=INDEX(TabRFR[[2021]:[2025]],MATCH(BD!W609&amp;"-Très modestes",TabRFR[Recherche RFR],0),MATCH(TEXT(YEAR(BD!I609),"Standard"),TabRFR[[#Headers],[2021]:[2025]],0)),"Très Modeste",IF(X609&lt;=INDEX(TabRFR[[2021]:[2025]],MATCH(BD!W609&amp;"-modestes",TabRFR[Recherche RFR],0),MATCH(TEXT(YEAR(BD!I609),"Standard"),TabRFR[[#Headers],[2021]:[2025]],0)),"Modeste",IF(X609&lt;=INDEX(TabRFR[[2021]:[2025]],MATCH(BD!W609&amp;"-Intermédiaire",TabRFR[Recherche RFR],0),MATCH(TEXT(YEAR(BD!I609),"Standard"),TabRFR[[#Headers],[2021]:[2025]],0)),"Intermédiaire","Supérieur")))))))</f>
        <v>Data RFR manquantes</v>
      </c>
      <c r="Z609" s="77"/>
      <c r="AA609" s="77" t="s">
        <v>3926</v>
      </c>
      <c r="AB609" s="77">
        <v>38500</v>
      </c>
      <c r="AC609" s="77" t="s">
        <v>96</v>
      </c>
      <c r="AD609" s="78"/>
      <c r="AE609" s="102"/>
      <c r="AF609" s="77" t="s">
        <v>95</v>
      </c>
      <c r="AG609" s="77"/>
      <c r="AH609" s="77"/>
      <c r="AI609" s="77"/>
      <c r="AJ609" s="77"/>
      <c r="AK609" s="77"/>
      <c r="AL609" s="77"/>
      <c r="AM609" s="77" t="s">
        <v>4348</v>
      </c>
      <c r="AN609" s="77" t="s">
        <v>96</v>
      </c>
      <c r="AO609" s="77" t="s">
        <v>9</v>
      </c>
      <c r="AP609" s="77" t="s">
        <v>97</v>
      </c>
      <c r="AQ609" s="77"/>
      <c r="AR609" s="79">
        <v>44064</v>
      </c>
      <c r="AS609" s="102" t="s">
        <v>98</v>
      </c>
      <c r="AT609" s="78" t="s">
        <v>3934</v>
      </c>
      <c r="AU609" s="77" t="s">
        <v>430</v>
      </c>
      <c r="AV609" s="77">
        <v>1979</v>
      </c>
      <c r="AW609" s="77" t="s">
        <v>100</v>
      </c>
      <c r="AX609" s="75" t="s">
        <v>2071</v>
      </c>
      <c r="AY609" s="77" t="s">
        <v>102</v>
      </c>
      <c r="AZ609" s="77" t="s">
        <v>3935</v>
      </c>
      <c r="BA609" s="77">
        <v>17</v>
      </c>
      <c r="BB609" s="77">
        <v>8.1</v>
      </c>
      <c r="BC609" s="77">
        <v>90.9</v>
      </c>
      <c r="BD609" s="77">
        <v>2E-3</v>
      </c>
      <c r="BE609" s="77" t="s">
        <v>97</v>
      </c>
      <c r="BF609" s="77"/>
      <c r="BG609" s="77">
        <v>2700</v>
      </c>
      <c r="BH609" s="77"/>
      <c r="BI609" s="77"/>
      <c r="BJ609" s="77"/>
      <c r="BK609" s="77">
        <v>288</v>
      </c>
      <c r="BL609" s="75">
        <f t="shared" si="27"/>
        <v>2988</v>
      </c>
      <c r="BM609" s="103">
        <f t="shared" si="28"/>
        <v>164.34</v>
      </c>
      <c r="BN609" s="103">
        <f t="shared" si="29"/>
        <v>3152.34</v>
      </c>
      <c r="BO609" s="80">
        <v>4047.69</v>
      </c>
      <c r="BP609" s="77" t="s">
        <v>97</v>
      </c>
      <c r="BQ609" s="77"/>
      <c r="BR609" s="77"/>
      <c r="BS609" s="157">
        <v>2019</v>
      </c>
      <c r="BU609">
        <v>2019</v>
      </c>
    </row>
    <row r="610" spans="1:73" ht="43.15" customHeight="1" x14ac:dyDescent="0.25">
      <c r="A610" s="31" t="s">
        <v>3845</v>
      </c>
      <c r="B610" s="31" t="s">
        <v>3913</v>
      </c>
      <c r="C610" s="163">
        <v>400</v>
      </c>
      <c r="D610" s="76">
        <v>43781</v>
      </c>
      <c r="E610" s="76">
        <v>43783</v>
      </c>
      <c r="F610" s="76" t="s">
        <v>9</v>
      </c>
      <c r="G610" s="76" t="s">
        <v>9</v>
      </c>
      <c r="H610" s="76">
        <v>43783</v>
      </c>
      <c r="I610" s="76">
        <v>43783</v>
      </c>
      <c r="J610" s="76">
        <v>43788</v>
      </c>
      <c r="K610" s="218"/>
      <c r="L610" s="76"/>
      <c r="M610" s="76"/>
      <c r="N610" s="76"/>
      <c r="O610" s="76"/>
      <c r="P610" s="76"/>
      <c r="Q610" s="76"/>
      <c r="R610" s="82"/>
      <c r="S610" s="76">
        <v>44116</v>
      </c>
      <c r="T610" s="77" t="s">
        <v>4338</v>
      </c>
      <c r="U610" s="77"/>
      <c r="V610" s="77"/>
      <c r="W610" s="77">
        <v>2</v>
      </c>
      <c r="X610" s="77">
        <v>104490</v>
      </c>
      <c r="Y610" s="75" t="str">
        <f ca="1">IF(I610="",IF(D610="","",IF(W610+X610&lt;15,"Données Nb pers ou RFR manquantes",IF(COUNTA(INDIRECT("TabRFR["&amp;YEAR(D610)&amp;"]"))&lt;&gt;COUNTA(TabRFR[Recherche RFR]),"Data RFR manquantes", IF(X610&lt;=INDEX(TabRFR[[2021]:[2025]],MATCH(BD!W610&amp;"-Très modestes",TabRFR[Recherche RFR],0),MATCH(TEXT(YEAR(BD!D610),"Standard"),TabRFR[[#Headers],[2021]:[2025]],0)),"Très Modeste",IF(X610&lt;=INDEX(TabRFR[[2021]:[2025]],MATCH(BD!W610&amp;"-modestes",TabRFR[Recherche RFR],0),MATCH(TEXT(YEAR(BD!D610),"Standard"),TabRFR[[#Headers],[2021]:[2025]],0)),"Modeste",IF(X610&lt;=INDEX(TabRFR[[2021]:[2025]],MATCH(BD!W610&amp;"-Intermédiaire",TabRFR[Recherche RFR],0),MATCH(TEXT(YEAR(BD!D610),"Standard"),TabRFR[[#Headers],[2021]:[2025]],0)),"Intermédiaire","Supérieur")))))),IF(D610="","",IF(W610+X610&lt;15,"Données Nb pers ou RFR manquantes",IF(COUNTA(INDIRECT("TabRFR["&amp;YEAR(I610)&amp;"]"))&lt;&gt;COUNTA(TabRFR[Recherche RFR]),"Data RFR manquantes", IF(X610&lt;=INDEX(TabRFR[[2021]:[2025]],MATCH(BD!W610&amp;"-Très modestes",TabRFR[Recherche RFR],0),MATCH(TEXT(YEAR(BD!I610),"Standard"),TabRFR[[#Headers],[2021]:[2025]],0)),"Très Modeste",IF(X610&lt;=INDEX(TabRFR[[2021]:[2025]],MATCH(BD!W610&amp;"-modestes",TabRFR[Recherche RFR],0),MATCH(TEXT(YEAR(BD!I610),"Standard"),TabRFR[[#Headers],[2021]:[2025]],0)),"Modeste",IF(X610&lt;=INDEX(TabRFR[[2021]:[2025]],MATCH(BD!W610&amp;"-Intermédiaire",TabRFR[Recherche RFR],0),MATCH(TEXT(YEAR(BD!I610),"Standard"),TabRFR[[#Headers],[2021]:[2025]],0)),"Intermédiaire","Supérieur")))))))</f>
        <v>Data RFR manquantes</v>
      </c>
      <c r="Z610" s="77"/>
      <c r="AA610" s="77" t="s">
        <v>942</v>
      </c>
      <c r="AB610" s="77">
        <v>38340</v>
      </c>
      <c r="AC610" s="77" t="s">
        <v>108</v>
      </c>
      <c r="AD610" s="78"/>
      <c r="AE610" s="102"/>
      <c r="AF610" s="77" t="s">
        <v>95</v>
      </c>
      <c r="AG610" s="77"/>
      <c r="AH610" s="77"/>
      <c r="AI610" s="77"/>
      <c r="AJ610" s="77"/>
      <c r="AK610" s="77"/>
      <c r="AL610" s="77"/>
      <c r="AM610" s="77" t="s">
        <v>3969</v>
      </c>
      <c r="AN610" s="77" t="s">
        <v>96</v>
      </c>
      <c r="AO610" s="77" t="s">
        <v>4042</v>
      </c>
      <c r="AP610" s="77" t="s">
        <v>97</v>
      </c>
      <c r="AQ610" s="77"/>
      <c r="AR610" s="79">
        <v>44092</v>
      </c>
      <c r="AS610" s="102" t="s">
        <v>3869</v>
      </c>
      <c r="AT610" s="78" t="s">
        <v>3971</v>
      </c>
      <c r="AU610" s="77" t="s">
        <v>399</v>
      </c>
      <c r="AV610" s="77">
        <v>1990</v>
      </c>
      <c r="AW610" s="77" t="s">
        <v>100</v>
      </c>
      <c r="AX610" s="75" t="s">
        <v>2071</v>
      </c>
      <c r="AY610" s="77" t="s">
        <v>419</v>
      </c>
      <c r="AZ610" s="77" t="s">
        <v>3972</v>
      </c>
      <c r="BA610" s="77">
        <v>20</v>
      </c>
      <c r="BB610" s="77">
        <v>7.9</v>
      </c>
      <c r="BC610" s="77">
        <v>89</v>
      </c>
      <c r="BD610" s="77">
        <v>1.7999999999999999E-2</v>
      </c>
      <c r="BE610" s="77" t="s">
        <v>97</v>
      </c>
      <c r="BF610" s="77"/>
      <c r="BG610" s="77">
        <v>5885</v>
      </c>
      <c r="BH610" s="77"/>
      <c r="BI610" s="77"/>
      <c r="BJ610" s="77"/>
      <c r="BK610" s="77">
        <v>750</v>
      </c>
      <c r="BL610" s="75">
        <f t="shared" si="27"/>
        <v>6635</v>
      </c>
      <c r="BM610" s="103">
        <f t="shared" si="28"/>
        <v>364.92500000000001</v>
      </c>
      <c r="BN610" s="103">
        <f t="shared" si="29"/>
        <v>6999.9250000000002</v>
      </c>
      <c r="BO610" s="80"/>
      <c r="BP610" s="77" t="s">
        <v>97</v>
      </c>
      <c r="BQ610" s="77"/>
      <c r="BR610" s="77"/>
      <c r="BS610" s="157">
        <v>2019</v>
      </c>
      <c r="BU610" t="s">
        <v>4180</v>
      </c>
    </row>
    <row r="611" spans="1:73" ht="43.15" customHeight="1" x14ac:dyDescent="0.25">
      <c r="A611" s="241" t="s">
        <v>3845</v>
      </c>
      <c r="B611" s="241" t="s">
        <v>3914</v>
      </c>
      <c r="C611" s="163">
        <v>400</v>
      </c>
      <c r="D611" s="76">
        <v>43781</v>
      </c>
      <c r="E611" s="76">
        <v>43783</v>
      </c>
      <c r="F611" s="76" t="s">
        <v>9</v>
      </c>
      <c r="G611" s="76" t="s">
        <v>9</v>
      </c>
      <c r="H611" s="76">
        <v>43783</v>
      </c>
      <c r="I611" s="76">
        <v>43783</v>
      </c>
      <c r="J611" s="76">
        <v>43788</v>
      </c>
      <c r="K611" s="218"/>
      <c r="L611" s="76">
        <v>43899</v>
      </c>
      <c r="M611" s="76">
        <v>43887</v>
      </c>
      <c r="N611" s="76" t="s">
        <v>4044</v>
      </c>
      <c r="O611" s="76">
        <v>43908</v>
      </c>
      <c r="P611" s="76">
        <v>43970</v>
      </c>
      <c r="Q611" s="76">
        <v>43970</v>
      </c>
      <c r="R611" s="82"/>
      <c r="S611" s="76"/>
      <c r="T611" s="77"/>
      <c r="U611" s="77"/>
      <c r="V611" s="77"/>
      <c r="W611" s="77">
        <v>2</v>
      </c>
      <c r="X611" s="77">
        <v>51466</v>
      </c>
      <c r="Y611" s="75" t="str">
        <f ca="1">IF(I611="",IF(D611="","",IF(W611+X611&lt;15,"Données Nb pers ou RFR manquantes",IF(COUNTA(INDIRECT("TabRFR["&amp;YEAR(D611)&amp;"]"))&lt;&gt;COUNTA(TabRFR[Recherche RFR]),"Data RFR manquantes", IF(X611&lt;=INDEX(TabRFR[[2021]:[2025]],MATCH(BD!W611&amp;"-Très modestes",TabRFR[Recherche RFR],0),MATCH(TEXT(YEAR(BD!D611),"Standard"),TabRFR[[#Headers],[2021]:[2025]],0)),"Très Modeste",IF(X611&lt;=INDEX(TabRFR[[2021]:[2025]],MATCH(BD!W611&amp;"-modestes",TabRFR[Recherche RFR],0),MATCH(TEXT(YEAR(BD!D611),"Standard"),TabRFR[[#Headers],[2021]:[2025]],0)),"Modeste",IF(X611&lt;=INDEX(TabRFR[[2021]:[2025]],MATCH(BD!W611&amp;"-Intermédiaire",TabRFR[Recherche RFR],0),MATCH(TEXT(YEAR(BD!D611),"Standard"),TabRFR[[#Headers],[2021]:[2025]],0)),"Intermédiaire","Supérieur")))))),IF(D611="","",IF(W611+X611&lt;15,"Données Nb pers ou RFR manquantes",IF(COUNTA(INDIRECT("TabRFR["&amp;YEAR(I611)&amp;"]"))&lt;&gt;COUNTA(TabRFR[Recherche RFR]),"Data RFR manquantes", IF(X611&lt;=INDEX(TabRFR[[2021]:[2025]],MATCH(BD!W611&amp;"-Très modestes",TabRFR[Recherche RFR],0),MATCH(TEXT(YEAR(BD!I611),"Standard"),TabRFR[[#Headers],[2021]:[2025]],0)),"Très Modeste",IF(X611&lt;=INDEX(TabRFR[[2021]:[2025]],MATCH(BD!W611&amp;"-modestes",TabRFR[Recherche RFR],0),MATCH(TEXT(YEAR(BD!I611),"Standard"),TabRFR[[#Headers],[2021]:[2025]],0)),"Modeste",IF(X611&lt;=INDEX(TabRFR[[2021]:[2025]],MATCH(BD!W611&amp;"-Intermédiaire",TabRFR[Recherche RFR],0),MATCH(TEXT(YEAR(BD!I611),"Standard"),TabRFR[[#Headers],[2021]:[2025]],0)),"Intermédiaire","Supérieur")))))))</f>
        <v>Data RFR manquantes</v>
      </c>
      <c r="Z611" s="77"/>
      <c r="AA611" s="77" t="s">
        <v>3927</v>
      </c>
      <c r="AB611" s="77">
        <v>38500</v>
      </c>
      <c r="AC611" s="77" t="s">
        <v>118</v>
      </c>
      <c r="AD611" s="78"/>
      <c r="AE611" s="102"/>
      <c r="AF611" s="77" t="s">
        <v>95</v>
      </c>
      <c r="AG611" s="77"/>
      <c r="AH611" s="77"/>
      <c r="AI611" s="77"/>
      <c r="AJ611" s="77"/>
      <c r="AK611" s="77"/>
      <c r="AL611" s="77"/>
      <c r="AM611" s="77" t="s">
        <v>218</v>
      </c>
      <c r="AN611" s="77" t="s">
        <v>217</v>
      </c>
      <c r="AO611" s="77" t="s">
        <v>219</v>
      </c>
      <c r="AP611" s="77" t="s">
        <v>97</v>
      </c>
      <c r="AQ611" s="77"/>
      <c r="AR611" s="79">
        <v>44130</v>
      </c>
      <c r="AS611" s="102" t="s">
        <v>220</v>
      </c>
      <c r="AT611" s="78" t="s">
        <v>620</v>
      </c>
      <c r="AU611" s="77" t="s">
        <v>430</v>
      </c>
      <c r="AV611" s="77">
        <v>1982</v>
      </c>
      <c r="AW611" s="77" t="s">
        <v>143</v>
      </c>
      <c r="AX611" s="77" t="s">
        <v>112</v>
      </c>
      <c r="AY611" s="77" t="s">
        <v>121</v>
      </c>
      <c r="AZ611" s="77" t="s">
        <v>3662</v>
      </c>
      <c r="BA611" s="77">
        <v>26</v>
      </c>
      <c r="BB611" s="77">
        <v>8</v>
      </c>
      <c r="BC611" s="77">
        <v>81</v>
      </c>
      <c r="BD611" s="77">
        <v>7.0000000000000007E-2</v>
      </c>
      <c r="BE611" s="77" t="s">
        <v>97</v>
      </c>
      <c r="BF611" s="77"/>
      <c r="BG611" s="77">
        <v>3122.26</v>
      </c>
      <c r="BH611" s="77"/>
      <c r="BI611" s="77"/>
      <c r="BJ611" s="77"/>
      <c r="BK611" s="77">
        <v>1432.03</v>
      </c>
      <c r="BL611" s="75">
        <f t="shared" si="27"/>
        <v>4554.29</v>
      </c>
      <c r="BM611" s="103">
        <f t="shared" si="28"/>
        <v>250.48595</v>
      </c>
      <c r="BN611" s="103">
        <f t="shared" si="29"/>
        <v>4804.7759500000002</v>
      </c>
      <c r="BO611" s="80">
        <v>4804.78</v>
      </c>
      <c r="BP611" s="77" t="s">
        <v>97</v>
      </c>
      <c r="BQ611" s="77"/>
      <c r="BR611" s="77"/>
      <c r="BS611" s="157">
        <v>2019</v>
      </c>
      <c r="BT611">
        <v>2020</v>
      </c>
      <c r="BU611">
        <v>2020</v>
      </c>
    </row>
    <row r="612" spans="1:73" ht="43.15" customHeight="1" x14ac:dyDescent="0.25">
      <c r="A612" s="241" t="s">
        <v>3845</v>
      </c>
      <c r="B612" s="241" t="s">
        <v>3915</v>
      </c>
      <c r="C612" s="163">
        <v>800</v>
      </c>
      <c r="D612" s="76">
        <v>43782</v>
      </c>
      <c r="E612" s="76">
        <v>43783</v>
      </c>
      <c r="F612" s="76" t="s">
        <v>9</v>
      </c>
      <c r="G612" s="76" t="s">
        <v>9</v>
      </c>
      <c r="H612" s="76">
        <v>43783</v>
      </c>
      <c r="I612" s="76">
        <v>43783</v>
      </c>
      <c r="J612" s="76">
        <v>43788</v>
      </c>
      <c r="K612" s="218"/>
      <c r="L612" s="76">
        <v>43860</v>
      </c>
      <c r="M612" s="76">
        <v>43844</v>
      </c>
      <c r="N612" s="76" t="s">
        <v>4044</v>
      </c>
      <c r="O612" s="76" t="s">
        <v>4117</v>
      </c>
      <c r="P612" s="76">
        <v>43865</v>
      </c>
      <c r="Q612" s="76">
        <v>43868</v>
      </c>
      <c r="R612" s="82"/>
      <c r="S612" s="76"/>
      <c r="T612" s="77"/>
      <c r="U612" s="77"/>
      <c r="V612" s="77"/>
      <c r="W612" s="77">
        <v>1</v>
      </c>
      <c r="X612" s="77">
        <v>16587</v>
      </c>
      <c r="Y612" s="75" t="str">
        <f ca="1">IF(I612="",IF(D612="","",IF(W612+X612&lt;15,"Données Nb pers ou RFR manquantes",IF(COUNTA(INDIRECT("TabRFR["&amp;YEAR(D612)&amp;"]"))&lt;&gt;COUNTA(TabRFR[Recherche RFR]),"Data RFR manquantes", IF(X612&lt;=INDEX(TabRFR[[2021]:[2025]],MATCH(BD!W612&amp;"-Très modestes",TabRFR[Recherche RFR],0),MATCH(TEXT(YEAR(BD!D612),"Standard"),TabRFR[[#Headers],[2021]:[2025]],0)),"Très Modeste",IF(X612&lt;=INDEX(TabRFR[[2021]:[2025]],MATCH(BD!W612&amp;"-modestes",TabRFR[Recherche RFR],0),MATCH(TEXT(YEAR(BD!D612),"Standard"),TabRFR[[#Headers],[2021]:[2025]],0)),"Modeste",IF(X612&lt;=INDEX(TabRFR[[2021]:[2025]],MATCH(BD!W612&amp;"-Intermédiaire",TabRFR[Recherche RFR],0),MATCH(TEXT(YEAR(BD!D612),"Standard"),TabRFR[[#Headers],[2021]:[2025]],0)),"Intermédiaire","Supérieur")))))),IF(D612="","",IF(W612+X612&lt;15,"Données Nb pers ou RFR manquantes",IF(COUNTA(INDIRECT("TabRFR["&amp;YEAR(I612)&amp;"]"))&lt;&gt;COUNTA(TabRFR[Recherche RFR]),"Data RFR manquantes", IF(X612&lt;=INDEX(TabRFR[[2021]:[2025]],MATCH(BD!W612&amp;"-Très modestes",TabRFR[Recherche RFR],0),MATCH(TEXT(YEAR(BD!I612),"Standard"),TabRFR[[#Headers],[2021]:[2025]],0)),"Très Modeste",IF(X612&lt;=INDEX(TabRFR[[2021]:[2025]],MATCH(BD!W612&amp;"-modestes",TabRFR[Recherche RFR],0),MATCH(TEXT(YEAR(BD!I612),"Standard"),TabRFR[[#Headers],[2021]:[2025]],0)),"Modeste",IF(X612&lt;=INDEX(TabRFR[[2021]:[2025]],MATCH(BD!W612&amp;"-Intermédiaire",TabRFR[Recherche RFR],0),MATCH(TEXT(YEAR(BD!I612),"Standard"),TabRFR[[#Headers],[2021]:[2025]],0)),"Intermédiaire","Supérieur")))))))</f>
        <v>Data RFR manquantes</v>
      </c>
      <c r="Z612" s="77"/>
      <c r="AA612" s="77" t="s">
        <v>3385</v>
      </c>
      <c r="AB612" s="77">
        <v>38960</v>
      </c>
      <c r="AC612" s="77" t="s">
        <v>2403</v>
      </c>
      <c r="AD612" s="78"/>
      <c r="AE612" s="102"/>
      <c r="AF612" s="77" t="s">
        <v>95</v>
      </c>
      <c r="AG612" s="77"/>
      <c r="AH612" s="77"/>
      <c r="AI612" s="77"/>
      <c r="AJ612" s="77"/>
      <c r="AK612" s="77"/>
      <c r="AL612" s="77"/>
      <c r="AM612" s="77" t="s">
        <v>4400</v>
      </c>
      <c r="AN612" s="77" t="s">
        <v>892</v>
      </c>
      <c r="AO612" s="77" t="s">
        <v>3936</v>
      </c>
      <c r="AP612" s="77" t="s">
        <v>97</v>
      </c>
      <c r="AQ612" s="77"/>
      <c r="AR612" s="79">
        <v>43885</v>
      </c>
      <c r="AS612" s="102" t="s">
        <v>3937</v>
      </c>
      <c r="AT612" s="78" t="s">
        <v>895</v>
      </c>
      <c r="AU612" s="77" t="s">
        <v>399</v>
      </c>
      <c r="AV612" s="77">
        <v>1983</v>
      </c>
      <c r="AW612" s="77" t="s">
        <v>100</v>
      </c>
      <c r="AX612" s="77" t="s">
        <v>112</v>
      </c>
      <c r="AY612" s="77" t="s">
        <v>190</v>
      </c>
      <c r="AZ612" s="77" t="s">
        <v>3938</v>
      </c>
      <c r="BA612" s="77">
        <v>21</v>
      </c>
      <c r="BB612" s="77">
        <v>6.5</v>
      </c>
      <c r="BC612" s="77">
        <v>80</v>
      </c>
      <c r="BD612" s="77">
        <v>0.08</v>
      </c>
      <c r="BE612" s="77" t="s">
        <v>97</v>
      </c>
      <c r="BF612" s="77"/>
      <c r="BG612" s="77">
        <v>3590</v>
      </c>
      <c r="BH612" s="77"/>
      <c r="BI612" s="77"/>
      <c r="BJ612" s="77"/>
      <c r="BK612" s="77">
        <v>590</v>
      </c>
      <c r="BL612" s="75">
        <f t="shared" si="27"/>
        <v>4180</v>
      </c>
      <c r="BM612" s="103">
        <f t="shared" si="28"/>
        <v>229.9</v>
      </c>
      <c r="BN612" s="103">
        <f t="shared" si="29"/>
        <v>4409.8999999999996</v>
      </c>
      <c r="BO612" s="80">
        <v>4336.37</v>
      </c>
      <c r="BP612" s="77" t="s">
        <v>97</v>
      </c>
      <c r="BQ612" s="77"/>
      <c r="BR612" s="77"/>
      <c r="BS612" s="157">
        <v>2019</v>
      </c>
      <c r="BT612" s="235">
        <v>43770</v>
      </c>
      <c r="BU612">
        <v>2019</v>
      </c>
    </row>
    <row r="613" spans="1:73" ht="43.15" customHeight="1" x14ac:dyDescent="0.25">
      <c r="A613" s="241" t="s">
        <v>3845</v>
      </c>
      <c r="B613" s="241" t="s">
        <v>3916</v>
      </c>
      <c r="C613" s="163">
        <v>800</v>
      </c>
      <c r="D613" s="76">
        <v>43783</v>
      </c>
      <c r="E613" s="76">
        <v>43783</v>
      </c>
      <c r="F613" s="76">
        <v>43788</v>
      </c>
      <c r="G613" s="76">
        <v>43788</v>
      </c>
      <c r="H613" s="76">
        <v>43790</v>
      </c>
      <c r="I613" s="76">
        <v>43790</v>
      </c>
      <c r="J613" s="76">
        <v>43801</v>
      </c>
      <c r="K613" s="218"/>
      <c r="L613" s="76">
        <v>43882</v>
      </c>
      <c r="M613" s="76">
        <v>43851</v>
      </c>
      <c r="N613" s="76"/>
      <c r="O613" s="76">
        <v>43885</v>
      </c>
      <c r="P613" s="76">
        <v>43885</v>
      </c>
      <c r="Q613" s="76">
        <v>43889</v>
      </c>
      <c r="R613" s="82"/>
      <c r="S613" s="76"/>
      <c r="T613" s="77"/>
      <c r="U613" s="77"/>
      <c r="V613" s="77"/>
      <c r="W613" s="77">
        <v>2</v>
      </c>
      <c r="X613" s="77">
        <v>19308</v>
      </c>
      <c r="Y613" s="75" t="str">
        <f ca="1">IF(I613="",IF(D613="","",IF(W613+X613&lt;15,"Données Nb pers ou RFR manquantes",IF(COUNTA(INDIRECT("TabRFR["&amp;YEAR(D613)&amp;"]"))&lt;&gt;COUNTA(TabRFR[Recherche RFR]),"Data RFR manquantes", IF(X613&lt;=INDEX(TabRFR[[2021]:[2025]],MATCH(BD!W613&amp;"-Très modestes",TabRFR[Recherche RFR],0),MATCH(TEXT(YEAR(BD!D613),"Standard"),TabRFR[[#Headers],[2021]:[2025]],0)),"Très Modeste",IF(X613&lt;=INDEX(TabRFR[[2021]:[2025]],MATCH(BD!W613&amp;"-modestes",TabRFR[Recherche RFR],0),MATCH(TEXT(YEAR(BD!D613),"Standard"),TabRFR[[#Headers],[2021]:[2025]],0)),"Modeste",IF(X613&lt;=INDEX(TabRFR[[2021]:[2025]],MATCH(BD!W613&amp;"-Intermédiaire",TabRFR[Recherche RFR],0),MATCH(TEXT(YEAR(BD!D613),"Standard"),TabRFR[[#Headers],[2021]:[2025]],0)),"Intermédiaire","Supérieur")))))),IF(D613="","",IF(W613+X613&lt;15,"Données Nb pers ou RFR manquantes",IF(COUNTA(INDIRECT("TabRFR["&amp;YEAR(I613)&amp;"]"))&lt;&gt;COUNTA(TabRFR[Recherche RFR]),"Data RFR manquantes", IF(X613&lt;=INDEX(TabRFR[[2021]:[2025]],MATCH(BD!W613&amp;"-Très modestes",TabRFR[Recherche RFR],0),MATCH(TEXT(YEAR(BD!I613),"Standard"),TabRFR[[#Headers],[2021]:[2025]],0)),"Très Modeste",IF(X613&lt;=INDEX(TabRFR[[2021]:[2025]],MATCH(BD!W613&amp;"-modestes",TabRFR[Recherche RFR],0),MATCH(TEXT(YEAR(BD!I613),"Standard"),TabRFR[[#Headers],[2021]:[2025]],0)),"Modeste",IF(X613&lt;=INDEX(TabRFR[[2021]:[2025]],MATCH(BD!W613&amp;"-Intermédiaire",TabRFR[Recherche RFR],0),MATCH(TEXT(YEAR(BD!I613),"Standard"),TabRFR[[#Headers],[2021]:[2025]],0)),"Intermédiaire","Supérieur")))))))</f>
        <v>Data RFR manquantes</v>
      </c>
      <c r="Z613" s="77"/>
      <c r="AA613" s="77" t="s">
        <v>3954</v>
      </c>
      <c r="AB613" s="77">
        <v>38240</v>
      </c>
      <c r="AC613" s="77" t="s">
        <v>195</v>
      </c>
      <c r="AD613" s="78"/>
      <c r="AE613" s="102"/>
      <c r="AF613" s="77" t="s">
        <v>95</v>
      </c>
      <c r="AG613" s="77"/>
      <c r="AH613" s="77"/>
      <c r="AI613" s="77"/>
      <c r="AJ613" s="77"/>
      <c r="AK613" s="77"/>
      <c r="AL613" s="77"/>
      <c r="AM613" s="77" t="s">
        <v>4130</v>
      </c>
      <c r="AN613" s="77" t="s">
        <v>4349</v>
      </c>
      <c r="AO613" s="77" t="s">
        <v>3875</v>
      </c>
      <c r="AP613" s="77" t="s">
        <v>97</v>
      </c>
      <c r="AQ613" s="77"/>
      <c r="AR613" s="79">
        <v>43911</v>
      </c>
      <c r="AS613" s="102" t="s">
        <v>337</v>
      </c>
      <c r="AT613" s="78" t="s">
        <v>691</v>
      </c>
      <c r="AU613" s="77" t="s">
        <v>399</v>
      </c>
      <c r="AV613" s="77" t="s">
        <v>231</v>
      </c>
      <c r="AW613" s="77" t="s">
        <v>100</v>
      </c>
      <c r="AX613" s="75" t="s">
        <v>2071</v>
      </c>
      <c r="AY613" s="77" t="s">
        <v>3956</v>
      </c>
      <c r="AZ613" s="77" t="s">
        <v>3957</v>
      </c>
      <c r="BA613" s="77">
        <v>20</v>
      </c>
      <c r="BB613" s="77">
        <v>6.5</v>
      </c>
      <c r="BC613" s="77">
        <v>87</v>
      </c>
      <c r="BD613" s="77">
        <v>0.02</v>
      </c>
      <c r="BE613" s="77" t="s">
        <v>97</v>
      </c>
      <c r="BF613" s="77"/>
      <c r="BG613" s="77">
        <v>5103</v>
      </c>
      <c r="BH613" s="77"/>
      <c r="BI613" s="77"/>
      <c r="BJ613" s="77"/>
      <c r="BK613" s="77">
        <v>750</v>
      </c>
      <c r="BL613" s="75">
        <f t="shared" si="27"/>
        <v>5853</v>
      </c>
      <c r="BM613" s="103">
        <f t="shared" si="28"/>
        <v>321.91500000000002</v>
      </c>
      <c r="BN613" s="103">
        <f t="shared" si="29"/>
        <v>6174.915</v>
      </c>
      <c r="BO613" s="80">
        <v>5974</v>
      </c>
      <c r="BP613" s="77" t="s">
        <v>104</v>
      </c>
      <c r="BQ613" s="77"/>
      <c r="BR613" s="77"/>
      <c r="BS613" s="157">
        <v>2019</v>
      </c>
      <c r="BU613">
        <v>2019</v>
      </c>
    </row>
    <row r="614" spans="1:73" ht="43.15" customHeight="1" x14ac:dyDescent="0.25">
      <c r="A614" s="241" t="s">
        <v>3845</v>
      </c>
      <c r="B614" s="241" t="s">
        <v>3917</v>
      </c>
      <c r="C614" s="163">
        <v>800</v>
      </c>
      <c r="D614" s="76">
        <v>43783</v>
      </c>
      <c r="E614" s="76">
        <v>43783</v>
      </c>
      <c r="F614" s="76" t="s">
        <v>9</v>
      </c>
      <c r="G614" s="76" t="s">
        <v>9</v>
      </c>
      <c r="H614" s="76">
        <v>43790</v>
      </c>
      <c r="I614" s="76">
        <v>43790</v>
      </c>
      <c r="J614" s="76">
        <v>43801</v>
      </c>
      <c r="K614" s="218"/>
      <c r="L614" s="76">
        <v>43866</v>
      </c>
      <c r="M614" s="76">
        <v>43852</v>
      </c>
      <c r="N614" s="76" t="s">
        <v>4044</v>
      </c>
      <c r="O614" s="76">
        <v>43872</v>
      </c>
      <c r="P614" s="76">
        <v>43872</v>
      </c>
      <c r="Q614" s="76">
        <v>43875</v>
      </c>
      <c r="R614" s="82"/>
      <c r="S614" s="76"/>
      <c r="T614" s="77"/>
      <c r="U614" s="77"/>
      <c r="V614" s="77"/>
      <c r="W614" s="77">
        <v>2</v>
      </c>
      <c r="X614" s="77">
        <v>13510</v>
      </c>
      <c r="Y614" s="75" t="str">
        <f ca="1">IF(I614="",IF(D614="","",IF(W614+X614&lt;15,"Données Nb pers ou RFR manquantes",IF(COUNTA(INDIRECT("TabRFR["&amp;YEAR(D614)&amp;"]"))&lt;&gt;COUNTA(TabRFR[Recherche RFR]),"Data RFR manquantes", IF(X614&lt;=INDEX(TabRFR[[2021]:[2025]],MATCH(BD!W614&amp;"-Très modestes",TabRFR[Recherche RFR],0),MATCH(TEXT(YEAR(BD!D614),"Standard"),TabRFR[[#Headers],[2021]:[2025]],0)),"Très Modeste",IF(X614&lt;=INDEX(TabRFR[[2021]:[2025]],MATCH(BD!W614&amp;"-modestes",TabRFR[Recherche RFR],0),MATCH(TEXT(YEAR(BD!D614),"Standard"),TabRFR[[#Headers],[2021]:[2025]],0)),"Modeste",IF(X614&lt;=INDEX(TabRFR[[2021]:[2025]],MATCH(BD!W614&amp;"-Intermédiaire",TabRFR[Recherche RFR],0),MATCH(TEXT(YEAR(BD!D614),"Standard"),TabRFR[[#Headers],[2021]:[2025]],0)),"Intermédiaire","Supérieur")))))),IF(D614="","",IF(W614+X614&lt;15,"Données Nb pers ou RFR manquantes",IF(COUNTA(INDIRECT("TabRFR["&amp;YEAR(I614)&amp;"]"))&lt;&gt;COUNTA(TabRFR[Recherche RFR]),"Data RFR manquantes", IF(X614&lt;=INDEX(TabRFR[[2021]:[2025]],MATCH(BD!W614&amp;"-Très modestes",TabRFR[Recherche RFR],0),MATCH(TEXT(YEAR(BD!I614),"Standard"),TabRFR[[#Headers],[2021]:[2025]],0)),"Très Modeste",IF(X614&lt;=INDEX(TabRFR[[2021]:[2025]],MATCH(BD!W614&amp;"-modestes",TabRFR[Recherche RFR],0),MATCH(TEXT(YEAR(BD!I614),"Standard"),TabRFR[[#Headers],[2021]:[2025]],0)),"Modeste",IF(X614&lt;=INDEX(TabRFR[[2021]:[2025]],MATCH(BD!W614&amp;"-Intermédiaire",TabRFR[Recherche RFR],0),MATCH(TEXT(YEAR(BD!I614),"Standard"),TabRFR[[#Headers],[2021]:[2025]],0)),"Intermédiaire","Supérieur")))))))</f>
        <v>Data RFR manquantes</v>
      </c>
      <c r="Z614" s="77"/>
      <c r="AA614" s="77" t="s">
        <v>3955</v>
      </c>
      <c r="AB614" s="77">
        <v>38730</v>
      </c>
      <c r="AC614" s="77" t="s">
        <v>4304</v>
      </c>
      <c r="AD614" s="78"/>
      <c r="AE614" s="102"/>
      <c r="AF614" s="77" t="s">
        <v>95</v>
      </c>
      <c r="AG614" s="77"/>
      <c r="AH614" s="77"/>
      <c r="AI614" s="77"/>
      <c r="AJ614" s="77"/>
      <c r="AK614" s="77"/>
      <c r="AL614" s="77"/>
      <c r="AM614" s="77" t="s">
        <v>3973</v>
      </c>
      <c r="AN614" s="77" t="s">
        <v>96</v>
      </c>
      <c r="AO614" s="77" t="s">
        <v>9</v>
      </c>
      <c r="AP614" s="77" t="s">
        <v>97</v>
      </c>
      <c r="AQ614" s="77"/>
      <c r="AR614" s="79">
        <v>44092</v>
      </c>
      <c r="AS614" s="102" t="s">
        <v>141</v>
      </c>
      <c r="AT614" s="78" t="s">
        <v>820</v>
      </c>
      <c r="AU614" s="77" t="s">
        <v>430</v>
      </c>
      <c r="AV614" s="77">
        <v>1980</v>
      </c>
      <c r="AW614" s="77" t="s">
        <v>100</v>
      </c>
      <c r="AX614" s="77" t="s">
        <v>112</v>
      </c>
      <c r="AY614" s="77" t="s">
        <v>144</v>
      </c>
      <c r="AZ614" s="77" t="s">
        <v>3964</v>
      </c>
      <c r="BA614" s="77">
        <v>26</v>
      </c>
      <c r="BB614" s="77">
        <v>8</v>
      </c>
      <c r="BC614" s="77">
        <v>78.3</v>
      </c>
      <c r="BD614" s="77">
        <v>0.09</v>
      </c>
      <c r="BE614" s="77" t="s">
        <v>97</v>
      </c>
      <c r="BF614" s="77"/>
      <c r="BG614" s="77">
        <v>2930</v>
      </c>
      <c r="BH614" s="77"/>
      <c r="BI614" s="77"/>
      <c r="BJ614" s="77"/>
      <c r="BK614" s="77">
        <v>1</v>
      </c>
      <c r="BL614" s="75">
        <f t="shared" si="27"/>
        <v>2931</v>
      </c>
      <c r="BM614" s="103">
        <f t="shared" si="28"/>
        <v>161.20500000000001</v>
      </c>
      <c r="BN614" s="103">
        <f t="shared" si="29"/>
        <v>3092.2049999999999</v>
      </c>
      <c r="BO614" s="80">
        <v>3449.85</v>
      </c>
      <c r="BP614" s="77" t="s">
        <v>104</v>
      </c>
      <c r="BQ614" s="77"/>
      <c r="BR614" s="77"/>
      <c r="BS614" s="157">
        <v>2019</v>
      </c>
      <c r="BT614">
        <v>2020</v>
      </c>
      <c r="BU614">
        <v>2019</v>
      </c>
    </row>
    <row r="615" spans="1:73" ht="43.15" customHeight="1" x14ac:dyDescent="0.25">
      <c r="A615" s="241" t="s">
        <v>3845</v>
      </c>
      <c r="B615" s="241" t="s">
        <v>3918</v>
      </c>
      <c r="C615" s="163">
        <v>400</v>
      </c>
      <c r="D615" s="76">
        <v>43787</v>
      </c>
      <c r="E615" s="76">
        <v>43787</v>
      </c>
      <c r="F615" s="76" t="s">
        <v>9</v>
      </c>
      <c r="G615" s="76" t="s">
        <v>9</v>
      </c>
      <c r="H615" s="76">
        <v>43790</v>
      </c>
      <c r="I615" s="76">
        <v>43790</v>
      </c>
      <c r="J615" s="76">
        <v>43801</v>
      </c>
      <c r="K615" s="218"/>
      <c r="L615" s="76">
        <v>43844</v>
      </c>
      <c r="M615" s="76">
        <v>43812</v>
      </c>
      <c r="N615" s="76" t="s">
        <v>4044</v>
      </c>
      <c r="O615" s="76">
        <v>43844</v>
      </c>
      <c r="P615" s="76">
        <v>43844</v>
      </c>
      <c r="Q615" s="76">
        <v>43853</v>
      </c>
      <c r="R615" s="82"/>
      <c r="S615" s="76"/>
      <c r="T615" s="77"/>
      <c r="U615" s="77"/>
      <c r="V615" s="77"/>
      <c r="W615" s="77">
        <v>3</v>
      </c>
      <c r="X615" s="77">
        <v>34436</v>
      </c>
      <c r="Y615" s="75" t="str">
        <f ca="1">IF(I615="",IF(D615="","",IF(W615+X615&lt;15,"Données Nb pers ou RFR manquantes",IF(COUNTA(INDIRECT("TabRFR["&amp;YEAR(D615)&amp;"]"))&lt;&gt;COUNTA(TabRFR[Recherche RFR]),"Data RFR manquantes", IF(X615&lt;=INDEX(TabRFR[[2021]:[2025]],MATCH(BD!W615&amp;"-Très modestes",TabRFR[Recherche RFR],0),MATCH(TEXT(YEAR(BD!D615),"Standard"),TabRFR[[#Headers],[2021]:[2025]],0)),"Très Modeste",IF(X615&lt;=INDEX(TabRFR[[2021]:[2025]],MATCH(BD!W615&amp;"-modestes",TabRFR[Recherche RFR],0),MATCH(TEXT(YEAR(BD!D615),"Standard"),TabRFR[[#Headers],[2021]:[2025]],0)),"Modeste",IF(X615&lt;=INDEX(TabRFR[[2021]:[2025]],MATCH(BD!W615&amp;"-Intermédiaire",TabRFR[Recherche RFR],0),MATCH(TEXT(YEAR(BD!D615),"Standard"),TabRFR[[#Headers],[2021]:[2025]],0)),"Intermédiaire","Supérieur")))))),IF(D615="","",IF(W615+X615&lt;15,"Données Nb pers ou RFR manquantes",IF(COUNTA(INDIRECT("TabRFR["&amp;YEAR(I615)&amp;"]"))&lt;&gt;COUNTA(TabRFR[Recherche RFR]),"Data RFR manquantes", IF(X615&lt;=INDEX(TabRFR[[2021]:[2025]],MATCH(BD!W615&amp;"-Très modestes",TabRFR[Recherche RFR],0),MATCH(TEXT(YEAR(BD!I615),"Standard"),TabRFR[[#Headers],[2021]:[2025]],0)),"Très Modeste",IF(X615&lt;=INDEX(TabRFR[[2021]:[2025]],MATCH(BD!W615&amp;"-modestes",TabRFR[Recherche RFR],0),MATCH(TEXT(YEAR(BD!I615),"Standard"),TabRFR[[#Headers],[2021]:[2025]],0)),"Modeste",IF(X615&lt;=INDEX(TabRFR[[2021]:[2025]],MATCH(BD!W615&amp;"-Intermédiaire",TabRFR[Recherche RFR],0),MATCH(TEXT(YEAR(BD!I615),"Standard"),TabRFR[[#Headers],[2021]:[2025]],0)),"Intermédiaire","Supérieur")))))))</f>
        <v>Data RFR manquantes</v>
      </c>
      <c r="Z615" s="77"/>
      <c r="AA615" s="77" t="s">
        <v>3958</v>
      </c>
      <c r="AB615" s="77">
        <v>38490</v>
      </c>
      <c r="AC615" s="77" t="s">
        <v>1133</v>
      </c>
      <c r="AD615" s="78"/>
      <c r="AE615" s="102"/>
      <c r="AF615" s="77" t="s">
        <v>95</v>
      </c>
      <c r="AG615" s="77"/>
      <c r="AH615" s="77"/>
      <c r="AI615" s="77"/>
      <c r="AJ615" s="77"/>
      <c r="AK615" s="77"/>
      <c r="AL615" s="77"/>
      <c r="AM615" s="77" t="s">
        <v>3965</v>
      </c>
      <c r="AN615" s="77" t="s">
        <v>3966</v>
      </c>
      <c r="AO615" s="77" t="s">
        <v>9</v>
      </c>
      <c r="AP615" s="77" t="s">
        <v>97</v>
      </c>
      <c r="AQ615" s="77"/>
      <c r="AR615" s="79">
        <v>44068</v>
      </c>
      <c r="AS615" s="102" t="s">
        <v>1618</v>
      </c>
      <c r="AT615" s="78" t="s">
        <v>3533</v>
      </c>
      <c r="AU615" s="77" t="s">
        <v>3967</v>
      </c>
      <c r="AV615" s="77">
        <v>2000</v>
      </c>
      <c r="AW615" s="77" t="s">
        <v>100</v>
      </c>
      <c r="AX615" s="77" t="s">
        <v>2071</v>
      </c>
      <c r="AY615" s="77" t="s">
        <v>102</v>
      </c>
      <c r="AZ615" s="77" t="s">
        <v>3968</v>
      </c>
      <c r="BA615" s="77">
        <v>18</v>
      </c>
      <c r="BB615" s="77">
        <v>10</v>
      </c>
      <c r="BC615" s="77">
        <v>90.4</v>
      </c>
      <c r="BD615" s="77">
        <v>3.0000000000000001E-3</v>
      </c>
      <c r="BE615" s="77" t="s">
        <v>97</v>
      </c>
      <c r="BF615" s="77"/>
      <c r="BG615" s="77">
        <f>1052.48+2983.88</f>
        <v>4036.36</v>
      </c>
      <c r="BH615" s="77"/>
      <c r="BI615" s="77"/>
      <c r="BJ615" s="77"/>
      <c r="BK615" s="77">
        <v>500</v>
      </c>
      <c r="BL615" s="75">
        <f t="shared" si="27"/>
        <v>4536.3600000000006</v>
      </c>
      <c r="BM615" s="103">
        <f t="shared" si="28"/>
        <v>249.49980000000002</v>
      </c>
      <c r="BN615" s="103">
        <f t="shared" si="29"/>
        <v>4785.8598000000002</v>
      </c>
      <c r="BO615" s="80">
        <v>4788.1499999999996</v>
      </c>
      <c r="BP615" s="77" t="s">
        <v>104</v>
      </c>
      <c r="BQ615" s="77"/>
      <c r="BR615" s="77"/>
      <c r="BS615" s="157">
        <v>2019</v>
      </c>
      <c r="BU615">
        <v>2019</v>
      </c>
    </row>
    <row r="616" spans="1:73" ht="43.15" customHeight="1" x14ac:dyDescent="0.25">
      <c r="A616" s="31" t="s">
        <v>3845</v>
      </c>
      <c r="B616" s="31" t="s">
        <v>3919</v>
      </c>
      <c r="C616" s="163" t="s">
        <v>9</v>
      </c>
      <c r="D616" s="76">
        <v>43787</v>
      </c>
      <c r="E616" s="76">
        <v>43787</v>
      </c>
      <c r="F616" s="76">
        <v>43790</v>
      </c>
      <c r="G616" s="76"/>
      <c r="H616" s="76"/>
      <c r="I616" s="76"/>
      <c r="J616" s="76"/>
      <c r="K616" s="218"/>
      <c r="L616" s="76"/>
      <c r="M616" s="76"/>
      <c r="N616" s="76"/>
      <c r="O616" s="76"/>
      <c r="P616" s="76"/>
      <c r="Q616" s="76"/>
      <c r="R616" s="82"/>
      <c r="S616" s="76">
        <v>43790</v>
      </c>
      <c r="T616" s="77" t="s">
        <v>3979</v>
      </c>
      <c r="U616" s="77"/>
      <c r="V616" s="77"/>
      <c r="W616" s="77">
        <v>1</v>
      </c>
      <c r="X616" s="77">
        <v>14895</v>
      </c>
      <c r="Y616" s="75" t="str">
        <f ca="1">IF(I616="",IF(D616="","",IF(W616+X616&lt;15,"Données Nb pers ou RFR manquantes",IF(COUNTA(INDIRECT("TabRFR["&amp;YEAR(D616)&amp;"]"))&lt;&gt;COUNTA(TabRFR[Recherche RFR]),"Data RFR manquantes", IF(X616&lt;=INDEX(TabRFR[[2021]:[2025]],MATCH(BD!W616&amp;"-Très modestes",TabRFR[Recherche RFR],0),MATCH(TEXT(YEAR(BD!D616),"Standard"),TabRFR[[#Headers],[2021]:[2025]],0)),"Très Modeste",IF(X616&lt;=INDEX(TabRFR[[2021]:[2025]],MATCH(BD!W616&amp;"-modestes",TabRFR[Recherche RFR],0),MATCH(TEXT(YEAR(BD!D616),"Standard"),TabRFR[[#Headers],[2021]:[2025]],0)),"Modeste",IF(X616&lt;=INDEX(TabRFR[[2021]:[2025]],MATCH(BD!W616&amp;"-Intermédiaire",TabRFR[Recherche RFR],0),MATCH(TEXT(YEAR(BD!D616),"Standard"),TabRFR[[#Headers],[2021]:[2025]],0)),"Intermédiaire","Supérieur")))))),IF(D616="","",IF(W616+X616&lt;15,"Données Nb pers ou RFR manquantes",IF(COUNTA(INDIRECT("TabRFR["&amp;YEAR(I616)&amp;"]"))&lt;&gt;COUNTA(TabRFR[Recherche RFR]),"Data RFR manquantes", IF(X616&lt;=INDEX(TabRFR[[2021]:[2025]],MATCH(BD!W616&amp;"-Très modestes",TabRFR[Recherche RFR],0),MATCH(TEXT(YEAR(BD!I616),"Standard"),TabRFR[[#Headers],[2021]:[2025]],0)),"Très Modeste",IF(X616&lt;=INDEX(TabRFR[[2021]:[2025]],MATCH(BD!W616&amp;"-modestes",TabRFR[Recherche RFR],0),MATCH(TEXT(YEAR(BD!I616),"Standard"),TabRFR[[#Headers],[2021]:[2025]],0)),"Modeste",IF(X616&lt;=INDEX(TabRFR[[2021]:[2025]],MATCH(BD!W616&amp;"-Intermédiaire",TabRFR[Recherche RFR],0),MATCH(TEXT(YEAR(BD!I616),"Standard"),TabRFR[[#Headers],[2021]:[2025]],0)),"Intermédiaire","Supérieur")))))))</f>
        <v>Data RFR manquantes</v>
      </c>
      <c r="Z616" s="77"/>
      <c r="AA616" s="77" t="s">
        <v>3959</v>
      </c>
      <c r="AB616" s="77">
        <v>38470</v>
      </c>
      <c r="AC616" s="77" t="s">
        <v>4347</v>
      </c>
      <c r="AD616" s="78"/>
      <c r="AE616" s="102"/>
      <c r="AF616" s="77"/>
      <c r="AG616" s="77"/>
      <c r="AH616" s="77"/>
      <c r="AI616" s="77"/>
      <c r="AJ616" s="77"/>
      <c r="AK616" s="77"/>
      <c r="AL616" s="77"/>
      <c r="AM616" s="77"/>
      <c r="AN616" s="77"/>
      <c r="AO616" s="77"/>
      <c r="AP616" s="77"/>
      <c r="AQ616" s="77"/>
      <c r="AR616" s="79"/>
      <c r="AS616" s="102"/>
      <c r="AT616" s="78"/>
      <c r="AU616" s="77"/>
      <c r="AV616" s="77"/>
      <c r="AW616" s="77"/>
      <c r="AX616" s="77"/>
      <c r="AY616" s="77"/>
      <c r="AZ616" s="77"/>
      <c r="BA616" s="77"/>
      <c r="BB616" s="77"/>
      <c r="BC616" s="77"/>
      <c r="BD616" s="77"/>
      <c r="BE616" s="77"/>
      <c r="BF616" s="77"/>
      <c r="BG616" s="77"/>
      <c r="BH616" s="77"/>
      <c r="BI616" s="77"/>
      <c r="BJ616" s="77"/>
      <c r="BK616" s="77"/>
      <c r="BL616" s="75">
        <f t="shared" si="27"/>
        <v>0</v>
      </c>
      <c r="BM616" s="103">
        <f t="shared" si="28"/>
        <v>0</v>
      </c>
      <c r="BN616" s="103">
        <f t="shared" si="29"/>
        <v>0</v>
      </c>
      <c r="BO616" s="80"/>
      <c r="BP616" s="77"/>
      <c r="BQ616" s="77"/>
      <c r="BR616" s="77"/>
      <c r="BS616" s="157">
        <v>2019</v>
      </c>
      <c r="BU616" t="s">
        <v>4180</v>
      </c>
    </row>
    <row r="617" spans="1:73" ht="43.15" customHeight="1" x14ac:dyDescent="0.25">
      <c r="A617" s="241" t="s">
        <v>3845</v>
      </c>
      <c r="B617" s="241" t="s">
        <v>3920</v>
      </c>
      <c r="C617" s="163">
        <v>400</v>
      </c>
      <c r="D617" s="76">
        <v>43788</v>
      </c>
      <c r="E617" s="76">
        <v>43788</v>
      </c>
      <c r="F617" s="76" t="s">
        <v>9</v>
      </c>
      <c r="G617" s="76" t="s">
        <v>9</v>
      </c>
      <c r="H617" s="76">
        <v>43790</v>
      </c>
      <c r="I617" s="76">
        <v>43790</v>
      </c>
      <c r="J617" s="76">
        <v>43801</v>
      </c>
      <c r="K617" s="218"/>
      <c r="L617" s="76">
        <v>44027</v>
      </c>
      <c r="M617" s="76">
        <v>43819</v>
      </c>
      <c r="N617" s="76" t="s">
        <v>4044</v>
      </c>
      <c r="O617" s="76">
        <v>44033</v>
      </c>
      <c r="P617" s="76">
        <v>44033</v>
      </c>
      <c r="Q617" s="76">
        <v>44046</v>
      </c>
      <c r="R617" s="82"/>
      <c r="S617" s="76"/>
      <c r="T617" s="77"/>
      <c r="U617" s="77"/>
      <c r="V617" s="77"/>
      <c r="W617" s="77">
        <v>2</v>
      </c>
      <c r="X617" s="77">
        <v>35117</v>
      </c>
      <c r="Y617" s="75" t="str">
        <f ca="1">IF(I617="",IF(D617="","",IF(W617+X617&lt;15,"Données Nb pers ou RFR manquantes",IF(COUNTA(INDIRECT("TabRFR["&amp;YEAR(D617)&amp;"]"))&lt;&gt;COUNTA(TabRFR[Recherche RFR]),"Data RFR manquantes", IF(X617&lt;=INDEX(TabRFR[[2021]:[2025]],MATCH(BD!W617&amp;"-Très modestes",TabRFR[Recherche RFR],0),MATCH(TEXT(YEAR(BD!D617),"Standard"),TabRFR[[#Headers],[2021]:[2025]],0)),"Très Modeste",IF(X617&lt;=INDEX(TabRFR[[2021]:[2025]],MATCH(BD!W617&amp;"-modestes",TabRFR[Recherche RFR],0),MATCH(TEXT(YEAR(BD!D617),"Standard"),TabRFR[[#Headers],[2021]:[2025]],0)),"Modeste",IF(X617&lt;=INDEX(TabRFR[[2021]:[2025]],MATCH(BD!W617&amp;"-Intermédiaire",TabRFR[Recherche RFR],0),MATCH(TEXT(YEAR(BD!D617),"Standard"),TabRFR[[#Headers],[2021]:[2025]],0)),"Intermédiaire","Supérieur")))))),IF(D617="","",IF(W617+X617&lt;15,"Données Nb pers ou RFR manquantes",IF(COUNTA(INDIRECT("TabRFR["&amp;YEAR(I617)&amp;"]"))&lt;&gt;COUNTA(TabRFR[Recherche RFR]),"Data RFR manquantes", IF(X617&lt;=INDEX(TabRFR[[2021]:[2025]],MATCH(BD!W617&amp;"-Très modestes",TabRFR[Recherche RFR],0),MATCH(TEXT(YEAR(BD!I617),"Standard"),TabRFR[[#Headers],[2021]:[2025]],0)),"Très Modeste",IF(X617&lt;=INDEX(TabRFR[[2021]:[2025]],MATCH(BD!W617&amp;"-modestes",TabRFR[Recherche RFR],0),MATCH(TEXT(YEAR(BD!I617),"Standard"),TabRFR[[#Headers],[2021]:[2025]],0)),"Modeste",IF(X617&lt;=INDEX(TabRFR[[2021]:[2025]],MATCH(BD!W617&amp;"-Intermédiaire",TabRFR[Recherche RFR],0),MATCH(TEXT(YEAR(BD!I617),"Standard"),TabRFR[[#Headers],[2021]:[2025]],0)),"Intermédiaire","Supérieur")))))))</f>
        <v>Data RFR manquantes</v>
      </c>
      <c r="Z617" s="77"/>
      <c r="AA617" s="77" t="s">
        <v>3960</v>
      </c>
      <c r="AB617" s="77">
        <v>38140</v>
      </c>
      <c r="AC617" s="77" t="s">
        <v>363</v>
      </c>
      <c r="AD617" s="78"/>
      <c r="AE617" s="102"/>
      <c r="AF617" s="77" t="s">
        <v>95</v>
      </c>
      <c r="AG617" s="77"/>
      <c r="AH617" s="77"/>
      <c r="AI617" s="77"/>
      <c r="AJ617" s="77"/>
      <c r="AK617" s="77"/>
      <c r="AL617" s="77"/>
      <c r="AM617" s="77" t="s">
        <v>3969</v>
      </c>
      <c r="AN617" s="77" t="s">
        <v>96</v>
      </c>
      <c r="AO617" s="77" t="s">
        <v>9</v>
      </c>
      <c r="AP617" s="77" t="s">
        <v>97</v>
      </c>
      <c r="AQ617" s="77"/>
      <c r="AR617" s="79">
        <v>44068</v>
      </c>
      <c r="AS617" s="102" t="s">
        <v>3970</v>
      </c>
      <c r="AT617" s="78" t="s">
        <v>3971</v>
      </c>
      <c r="AU617" s="77" t="s">
        <v>3967</v>
      </c>
      <c r="AV617" s="77">
        <v>1980</v>
      </c>
      <c r="AW617" s="77" t="s">
        <v>100</v>
      </c>
      <c r="AX617" s="77" t="s">
        <v>2071</v>
      </c>
      <c r="AY617" s="77" t="s">
        <v>419</v>
      </c>
      <c r="AZ617" s="77" t="s">
        <v>3972</v>
      </c>
      <c r="BA617" s="77">
        <v>20</v>
      </c>
      <c r="BB617" s="77">
        <v>7.9</v>
      </c>
      <c r="BC617" s="77">
        <v>89</v>
      </c>
      <c r="BD617" s="77">
        <v>1.7999999999999999E-2</v>
      </c>
      <c r="BE617" s="77" t="s">
        <v>97</v>
      </c>
      <c r="BF617" s="77"/>
      <c r="BG617" s="77">
        <v>6767.85</v>
      </c>
      <c r="BH617" s="77"/>
      <c r="BI617" s="77"/>
      <c r="BJ617" s="77"/>
      <c r="BK617" s="77">
        <v>630</v>
      </c>
      <c r="BL617" s="75">
        <f t="shared" si="27"/>
        <v>7397.85</v>
      </c>
      <c r="BM617" s="103">
        <f t="shared" si="28"/>
        <v>406.88175000000001</v>
      </c>
      <c r="BN617" s="103">
        <f t="shared" si="29"/>
        <v>7804.7317500000008</v>
      </c>
      <c r="BO617" s="80"/>
      <c r="BP617" s="77" t="s">
        <v>97</v>
      </c>
      <c r="BQ617" s="77"/>
      <c r="BR617" s="77"/>
      <c r="BS617" s="157">
        <v>2019</v>
      </c>
      <c r="BU617">
        <v>2020</v>
      </c>
    </row>
    <row r="618" spans="1:73" ht="43.15" customHeight="1" x14ac:dyDescent="0.25">
      <c r="A618" s="241" t="s">
        <v>3845</v>
      </c>
      <c r="B618" s="241" t="s">
        <v>3921</v>
      </c>
      <c r="C618" s="163">
        <v>400</v>
      </c>
      <c r="D618" s="76">
        <v>43788</v>
      </c>
      <c r="E618" s="76">
        <v>43788</v>
      </c>
      <c r="F618" s="76">
        <v>43790</v>
      </c>
      <c r="G618" s="76" t="s">
        <v>3975</v>
      </c>
      <c r="H618" s="76">
        <v>43811</v>
      </c>
      <c r="I618" s="76">
        <v>43811</v>
      </c>
      <c r="J618" s="76">
        <v>43817</v>
      </c>
      <c r="K618" s="218"/>
      <c r="L618" s="76">
        <v>43886</v>
      </c>
      <c r="M618" s="76">
        <v>43820</v>
      </c>
      <c r="N618" s="76" t="s">
        <v>4044</v>
      </c>
      <c r="O618" s="76">
        <v>43894</v>
      </c>
      <c r="P618" s="76">
        <v>43894</v>
      </c>
      <c r="Q618" s="76">
        <v>43900</v>
      </c>
      <c r="R618" s="82"/>
      <c r="S618" s="76"/>
      <c r="T618" s="77"/>
      <c r="U618" s="77"/>
      <c r="V618" s="77"/>
      <c r="W618" s="77">
        <v>5</v>
      </c>
      <c r="X618" s="77">
        <v>65688</v>
      </c>
      <c r="Y618" s="75" t="str">
        <f ca="1">IF(I618="",IF(D618="","",IF(W618+X618&lt;15,"Données Nb pers ou RFR manquantes",IF(COUNTA(INDIRECT("TabRFR["&amp;YEAR(D618)&amp;"]"))&lt;&gt;COUNTA(TabRFR[Recherche RFR]),"Data RFR manquantes", IF(X618&lt;=INDEX(TabRFR[[2021]:[2025]],MATCH(BD!W618&amp;"-Très modestes",TabRFR[Recherche RFR],0),MATCH(TEXT(YEAR(BD!D618),"Standard"),TabRFR[[#Headers],[2021]:[2025]],0)),"Très Modeste",IF(X618&lt;=INDEX(TabRFR[[2021]:[2025]],MATCH(BD!W618&amp;"-modestes",TabRFR[Recherche RFR],0),MATCH(TEXT(YEAR(BD!D618),"Standard"),TabRFR[[#Headers],[2021]:[2025]],0)),"Modeste",IF(X618&lt;=INDEX(TabRFR[[2021]:[2025]],MATCH(BD!W618&amp;"-Intermédiaire",TabRFR[Recherche RFR],0),MATCH(TEXT(YEAR(BD!D618),"Standard"),TabRFR[[#Headers],[2021]:[2025]],0)),"Intermédiaire","Supérieur")))))),IF(D618="","",IF(W618+X618&lt;15,"Données Nb pers ou RFR manquantes",IF(COUNTA(INDIRECT("TabRFR["&amp;YEAR(I618)&amp;"]"))&lt;&gt;COUNTA(TabRFR[Recherche RFR]),"Data RFR manquantes", IF(X618&lt;=INDEX(TabRFR[[2021]:[2025]],MATCH(BD!W618&amp;"-Très modestes",TabRFR[Recherche RFR],0),MATCH(TEXT(YEAR(BD!I618),"Standard"),TabRFR[[#Headers],[2021]:[2025]],0)),"Très Modeste",IF(X618&lt;=INDEX(TabRFR[[2021]:[2025]],MATCH(BD!W618&amp;"-modestes",TabRFR[Recherche RFR],0),MATCH(TEXT(YEAR(BD!I618),"Standard"),TabRFR[[#Headers],[2021]:[2025]],0)),"Modeste",IF(X618&lt;=INDEX(TabRFR[[2021]:[2025]],MATCH(BD!W618&amp;"-Intermédiaire",TabRFR[Recherche RFR],0),MATCH(TEXT(YEAR(BD!I618),"Standard"),TabRFR[[#Headers],[2021]:[2025]],0)),"Intermédiaire","Supérieur")))))))</f>
        <v>Data RFR manquantes</v>
      </c>
      <c r="Z618" s="77"/>
      <c r="AA618" s="77" t="s">
        <v>3961</v>
      </c>
      <c r="AB618" s="77">
        <v>38340</v>
      </c>
      <c r="AC618" s="77" t="s">
        <v>108</v>
      </c>
      <c r="AD618" s="78"/>
      <c r="AE618" s="102"/>
      <c r="AF618" s="77" t="s">
        <v>95</v>
      </c>
      <c r="AG618" s="77"/>
      <c r="AH618" s="77"/>
      <c r="AI618" s="77"/>
      <c r="AJ618" s="77"/>
      <c r="AK618" s="77"/>
      <c r="AL618" s="77"/>
      <c r="AM618" s="77" t="s">
        <v>3973</v>
      </c>
      <c r="AN618" s="77" t="s">
        <v>96</v>
      </c>
      <c r="AO618" s="77" t="s">
        <v>3761</v>
      </c>
      <c r="AP618" s="77" t="s">
        <v>97</v>
      </c>
      <c r="AQ618" s="77"/>
      <c r="AR618" s="79">
        <v>44092</v>
      </c>
      <c r="AS618" s="102" t="s">
        <v>141</v>
      </c>
      <c r="AT618" s="78" t="s">
        <v>820</v>
      </c>
      <c r="AU618" s="77" t="s">
        <v>100</v>
      </c>
      <c r="AV618" s="77"/>
      <c r="AW618" s="77" t="s">
        <v>100</v>
      </c>
      <c r="AX618" s="77" t="s">
        <v>112</v>
      </c>
      <c r="AY618" s="77" t="s">
        <v>1249</v>
      </c>
      <c r="AZ618" s="77" t="s">
        <v>3974</v>
      </c>
      <c r="BA618" s="77">
        <v>11</v>
      </c>
      <c r="BB618" s="77">
        <v>6.5</v>
      </c>
      <c r="BC618" s="77">
        <v>80</v>
      </c>
      <c r="BD618" s="77">
        <v>0.08</v>
      </c>
      <c r="BE618" s="77" t="s">
        <v>97</v>
      </c>
      <c r="BF618" s="77"/>
      <c r="BG618" s="77">
        <v>3880.25</v>
      </c>
      <c r="BH618" s="77"/>
      <c r="BI618" s="77"/>
      <c r="BJ618" s="77"/>
      <c r="BK618" s="77">
        <v>300</v>
      </c>
      <c r="BL618" s="75">
        <f t="shared" si="27"/>
        <v>4180.25</v>
      </c>
      <c r="BM618" s="103">
        <f t="shared" si="28"/>
        <v>229.91374999999999</v>
      </c>
      <c r="BN618" s="103">
        <f t="shared" si="29"/>
        <v>4410.1637499999997</v>
      </c>
      <c r="BO618" s="80">
        <v>4673.91</v>
      </c>
      <c r="BP618" s="77" t="s">
        <v>97</v>
      </c>
      <c r="BQ618" s="77"/>
      <c r="BR618" s="77"/>
      <c r="BS618" s="157">
        <v>2019</v>
      </c>
      <c r="BT618">
        <v>2020</v>
      </c>
      <c r="BU618">
        <v>2019</v>
      </c>
    </row>
    <row r="619" spans="1:73" ht="43.15" customHeight="1" x14ac:dyDescent="0.25">
      <c r="A619" s="241" t="s">
        <v>3845</v>
      </c>
      <c r="B619" s="241" t="s">
        <v>3939</v>
      </c>
      <c r="C619" s="163">
        <v>400</v>
      </c>
      <c r="D619" s="76">
        <v>43789</v>
      </c>
      <c r="E619" s="76">
        <v>43790</v>
      </c>
      <c r="F619" s="76" t="s">
        <v>9</v>
      </c>
      <c r="G619" s="76" t="s">
        <v>9</v>
      </c>
      <c r="H619" s="76">
        <v>43790</v>
      </c>
      <c r="I619" s="76">
        <v>43790</v>
      </c>
      <c r="J619" s="76">
        <v>43801</v>
      </c>
      <c r="K619" s="218"/>
      <c r="L619" s="76">
        <v>43853</v>
      </c>
      <c r="M619" s="76">
        <v>43829</v>
      </c>
      <c r="N619" s="76"/>
      <c r="O619" s="76">
        <v>43854</v>
      </c>
      <c r="P619" s="76">
        <v>43854</v>
      </c>
      <c r="Q619" s="76">
        <v>43854</v>
      </c>
      <c r="R619" s="82"/>
      <c r="S619" s="76"/>
      <c r="T619" s="77"/>
      <c r="U619" s="77"/>
      <c r="V619" s="77"/>
      <c r="W619" s="77">
        <v>2</v>
      </c>
      <c r="X619" s="77">
        <v>95193</v>
      </c>
      <c r="Y619" s="75" t="str">
        <f ca="1">IF(I619="",IF(D619="","",IF(W619+X619&lt;15,"Données Nb pers ou RFR manquantes",IF(COUNTA(INDIRECT("TabRFR["&amp;YEAR(D619)&amp;"]"))&lt;&gt;COUNTA(TabRFR[Recherche RFR]),"Data RFR manquantes", IF(X619&lt;=INDEX(TabRFR[[2021]:[2025]],MATCH(BD!W619&amp;"-Très modestes",TabRFR[Recherche RFR],0),MATCH(TEXT(YEAR(BD!D619),"Standard"),TabRFR[[#Headers],[2021]:[2025]],0)),"Très Modeste",IF(X619&lt;=INDEX(TabRFR[[2021]:[2025]],MATCH(BD!W619&amp;"-modestes",TabRFR[Recherche RFR],0),MATCH(TEXT(YEAR(BD!D619),"Standard"),TabRFR[[#Headers],[2021]:[2025]],0)),"Modeste",IF(X619&lt;=INDEX(TabRFR[[2021]:[2025]],MATCH(BD!W619&amp;"-Intermédiaire",TabRFR[Recherche RFR],0),MATCH(TEXT(YEAR(BD!D619),"Standard"),TabRFR[[#Headers],[2021]:[2025]],0)),"Intermédiaire","Supérieur")))))),IF(D619="","",IF(W619+X619&lt;15,"Données Nb pers ou RFR manquantes",IF(COUNTA(INDIRECT("TabRFR["&amp;YEAR(I619)&amp;"]"))&lt;&gt;COUNTA(TabRFR[Recherche RFR]),"Data RFR manquantes", IF(X619&lt;=INDEX(TabRFR[[2021]:[2025]],MATCH(BD!W619&amp;"-Très modestes",TabRFR[Recherche RFR],0),MATCH(TEXT(YEAR(BD!I619),"Standard"),TabRFR[[#Headers],[2021]:[2025]],0)),"Très Modeste",IF(X619&lt;=INDEX(TabRFR[[2021]:[2025]],MATCH(BD!W619&amp;"-modestes",TabRFR[Recherche RFR],0),MATCH(TEXT(YEAR(BD!I619),"Standard"),TabRFR[[#Headers],[2021]:[2025]],0)),"Modeste",IF(X619&lt;=INDEX(TabRFR[[2021]:[2025]],MATCH(BD!W619&amp;"-Intermédiaire",TabRFR[Recherche RFR],0),MATCH(TEXT(YEAR(BD!I619),"Standard"),TabRFR[[#Headers],[2021]:[2025]],0)),"Intermédiaire","Supérieur")))))))</f>
        <v>Data RFR manquantes</v>
      </c>
      <c r="Z619" s="77"/>
      <c r="AA619" s="77" t="s">
        <v>3963</v>
      </c>
      <c r="AB619" s="77">
        <v>38140</v>
      </c>
      <c r="AC619" s="77" t="s">
        <v>321</v>
      </c>
      <c r="AD619" s="78"/>
      <c r="AE619" s="102"/>
      <c r="AF619" s="77" t="s">
        <v>95</v>
      </c>
      <c r="AG619" s="77"/>
      <c r="AH619" s="77"/>
      <c r="AI619" s="77"/>
      <c r="AJ619" s="77"/>
      <c r="AK619" s="77"/>
      <c r="AL619" s="77"/>
      <c r="AM619" s="77" t="s">
        <v>4368</v>
      </c>
      <c r="AN619" s="77" t="s">
        <v>917</v>
      </c>
      <c r="AO619" s="77" t="s">
        <v>3976</v>
      </c>
      <c r="AP619" s="77" t="s">
        <v>97</v>
      </c>
      <c r="AQ619" s="77"/>
      <c r="AR619" s="79">
        <v>44012</v>
      </c>
      <c r="AS619" s="102" t="s">
        <v>918</v>
      </c>
      <c r="AT619" s="78" t="s">
        <v>3849</v>
      </c>
      <c r="AU619" s="77" t="s">
        <v>99</v>
      </c>
      <c r="AV619" s="77" t="s">
        <v>173</v>
      </c>
      <c r="AW619" s="77" t="s">
        <v>100</v>
      </c>
      <c r="AX619" s="77" t="s">
        <v>2071</v>
      </c>
      <c r="AY619" s="77" t="s">
        <v>174</v>
      </c>
      <c r="AZ619" s="77" t="s">
        <v>3977</v>
      </c>
      <c r="BA619" s="77">
        <v>24</v>
      </c>
      <c r="BB619" s="77">
        <v>8</v>
      </c>
      <c r="BC619" s="77">
        <v>90.1</v>
      </c>
      <c r="BD619" s="77">
        <v>0.02</v>
      </c>
      <c r="BE619" s="77" t="s">
        <v>97</v>
      </c>
      <c r="BF619" s="77"/>
      <c r="BG619" s="77">
        <v>3412</v>
      </c>
      <c r="BH619" s="77"/>
      <c r="BI619" s="77"/>
      <c r="BJ619" s="77"/>
      <c r="BK619" s="77">
        <v>616</v>
      </c>
      <c r="BL619" s="75">
        <f t="shared" si="27"/>
        <v>4028</v>
      </c>
      <c r="BM619" s="103">
        <f t="shared" si="28"/>
        <v>221.54</v>
      </c>
      <c r="BN619" s="103">
        <f t="shared" si="29"/>
        <v>4249.54</v>
      </c>
      <c r="BO619" s="80">
        <v>4250</v>
      </c>
      <c r="BP619" s="77" t="s">
        <v>97</v>
      </c>
      <c r="BQ619" s="77"/>
      <c r="BR619" s="77"/>
      <c r="BS619" s="157">
        <v>2019</v>
      </c>
      <c r="BU619">
        <v>2019</v>
      </c>
    </row>
    <row r="620" spans="1:73" ht="43.15" customHeight="1" x14ac:dyDescent="0.25">
      <c r="A620" s="241" t="s">
        <v>3845</v>
      </c>
      <c r="B620" s="241" t="s">
        <v>3940</v>
      </c>
      <c r="C620" s="163">
        <v>400</v>
      </c>
      <c r="D620" s="76">
        <v>43790</v>
      </c>
      <c r="E620" s="76">
        <v>43791</v>
      </c>
      <c r="F620" s="76" t="s">
        <v>9</v>
      </c>
      <c r="G620" s="76" t="s">
        <v>9</v>
      </c>
      <c r="H620" s="76">
        <v>43797</v>
      </c>
      <c r="I620" s="76">
        <v>43797</v>
      </c>
      <c r="J620" s="76">
        <v>43804</v>
      </c>
      <c r="K620" s="218"/>
      <c r="L620" s="76">
        <v>43846</v>
      </c>
      <c r="M620" s="76">
        <v>43818</v>
      </c>
      <c r="N620" s="76"/>
      <c r="O620" s="76">
        <v>43852</v>
      </c>
      <c r="P620" s="76">
        <v>43852</v>
      </c>
      <c r="Q620" s="76">
        <v>43854</v>
      </c>
      <c r="R620" s="82"/>
      <c r="S620" s="76"/>
      <c r="T620" s="77"/>
      <c r="U620" s="77"/>
      <c r="V620" s="77"/>
      <c r="W620" s="77">
        <v>4</v>
      </c>
      <c r="X620" s="77">
        <v>70262</v>
      </c>
      <c r="Y620" s="75" t="str">
        <f ca="1">IF(I620="",IF(D620="","",IF(W620+X620&lt;15,"Données Nb pers ou RFR manquantes",IF(COUNTA(INDIRECT("TabRFR["&amp;YEAR(D620)&amp;"]"))&lt;&gt;COUNTA(TabRFR[Recherche RFR]),"Data RFR manquantes", IF(X620&lt;=INDEX(TabRFR[[2021]:[2025]],MATCH(BD!W620&amp;"-Très modestes",TabRFR[Recherche RFR],0),MATCH(TEXT(YEAR(BD!D620),"Standard"),TabRFR[[#Headers],[2021]:[2025]],0)),"Très Modeste",IF(X620&lt;=INDEX(TabRFR[[2021]:[2025]],MATCH(BD!W620&amp;"-modestes",TabRFR[Recherche RFR],0),MATCH(TEXT(YEAR(BD!D620),"Standard"),TabRFR[[#Headers],[2021]:[2025]],0)),"Modeste",IF(X620&lt;=INDEX(TabRFR[[2021]:[2025]],MATCH(BD!W620&amp;"-Intermédiaire",TabRFR[Recherche RFR],0),MATCH(TEXT(YEAR(BD!D620),"Standard"),TabRFR[[#Headers],[2021]:[2025]],0)),"Intermédiaire","Supérieur")))))),IF(D620="","",IF(W620+X620&lt;15,"Données Nb pers ou RFR manquantes",IF(COUNTA(INDIRECT("TabRFR["&amp;YEAR(I620)&amp;"]"))&lt;&gt;COUNTA(TabRFR[Recherche RFR]),"Data RFR manquantes", IF(X620&lt;=INDEX(TabRFR[[2021]:[2025]],MATCH(BD!W620&amp;"-Très modestes",TabRFR[Recherche RFR],0),MATCH(TEXT(YEAR(BD!I620),"Standard"),TabRFR[[#Headers],[2021]:[2025]],0)),"Très Modeste",IF(X620&lt;=INDEX(TabRFR[[2021]:[2025]],MATCH(BD!W620&amp;"-modestes",TabRFR[Recherche RFR],0),MATCH(TEXT(YEAR(BD!I620),"Standard"),TabRFR[[#Headers],[2021]:[2025]],0)),"Modeste",IF(X620&lt;=INDEX(TabRFR[[2021]:[2025]],MATCH(BD!W620&amp;"-Intermédiaire",TabRFR[Recherche RFR],0),MATCH(TEXT(YEAR(BD!I620),"Standard"),TabRFR[[#Headers],[2021]:[2025]],0)),"Intermédiaire","Supérieur")))))))</f>
        <v>Data RFR manquantes</v>
      </c>
      <c r="Z620" s="77"/>
      <c r="AA620" s="77" t="s">
        <v>3978</v>
      </c>
      <c r="AB620" s="77">
        <v>38500</v>
      </c>
      <c r="AC620" s="77" t="s">
        <v>96</v>
      </c>
      <c r="AD620" s="78"/>
      <c r="AE620" s="102"/>
      <c r="AF620" s="77" t="s">
        <v>95</v>
      </c>
      <c r="AG620" s="77"/>
      <c r="AH620" s="77"/>
      <c r="AI620" s="77"/>
      <c r="AJ620" s="77"/>
      <c r="AK620" s="77"/>
      <c r="AL620" s="77"/>
      <c r="AM620" s="77" t="s">
        <v>2246</v>
      </c>
      <c r="AN620" s="77" t="s">
        <v>96</v>
      </c>
      <c r="AO620" s="77" t="s">
        <v>9</v>
      </c>
      <c r="AP620" s="77" t="s">
        <v>97</v>
      </c>
      <c r="AQ620" s="77"/>
      <c r="AR620" s="79">
        <v>44138</v>
      </c>
      <c r="AS620" s="102" t="s">
        <v>770</v>
      </c>
      <c r="AT620" s="78" t="s">
        <v>658</v>
      </c>
      <c r="AU620" s="77" t="s">
        <v>100</v>
      </c>
      <c r="AV620" s="77">
        <v>1999</v>
      </c>
      <c r="AW620" s="77" t="s">
        <v>100</v>
      </c>
      <c r="AX620" s="77" t="s">
        <v>112</v>
      </c>
      <c r="AY620" s="77" t="s">
        <v>3990</v>
      </c>
      <c r="AZ620" s="77" t="s">
        <v>3798</v>
      </c>
      <c r="BA620" s="77">
        <v>22</v>
      </c>
      <c r="BB620" s="77">
        <v>7</v>
      </c>
      <c r="BC620" s="77">
        <v>80</v>
      </c>
      <c r="BD620" s="77">
        <v>0.08</v>
      </c>
      <c r="BE620" s="77" t="s">
        <v>97</v>
      </c>
      <c r="BF620" s="77"/>
      <c r="BG620" s="77">
        <v>3094.04</v>
      </c>
      <c r="BH620" s="77"/>
      <c r="BI620" s="77"/>
      <c r="BJ620" s="77"/>
      <c r="BK620" s="77">
        <v>420</v>
      </c>
      <c r="BL620" s="75">
        <f t="shared" si="27"/>
        <v>3514.04</v>
      </c>
      <c r="BM620" s="103">
        <f t="shared" si="28"/>
        <v>193.2722</v>
      </c>
      <c r="BN620" s="103">
        <f t="shared" si="29"/>
        <v>3707.3121999999998</v>
      </c>
      <c r="BO620" s="80">
        <v>3707.32</v>
      </c>
      <c r="BP620" s="77" t="s">
        <v>104</v>
      </c>
      <c r="BQ620" s="77"/>
      <c r="BR620" s="77"/>
      <c r="BS620" s="157">
        <v>2019</v>
      </c>
      <c r="BT620">
        <v>2020</v>
      </c>
      <c r="BU620">
        <v>2019</v>
      </c>
    </row>
    <row r="621" spans="1:73" ht="43.15" customHeight="1" x14ac:dyDescent="0.25">
      <c r="A621" s="241" t="s">
        <v>3845</v>
      </c>
      <c r="B621" s="241" t="s">
        <v>3941</v>
      </c>
      <c r="C621" s="163">
        <v>400</v>
      </c>
      <c r="D621" s="76">
        <v>43794</v>
      </c>
      <c r="E621" s="76">
        <v>43794</v>
      </c>
      <c r="F621" s="76" t="s">
        <v>9</v>
      </c>
      <c r="G621" s="76" t="s">
        <v>9</v>
      </c>
      <c r="H621" s="76">
        <v>43797</v>
      </c>
      <c r="I621" s="76">
        <v>43797</v>
      </c>
      <c r="J621" s="76">
        <v>43804</v>
      </c>
      <c r="K621" s="218"/>
      <c r="L621" s="76">
        <v>43937</v>
      </c>
      <c r="M621" s="76">
        <v>43825</v>
      </c>
      <c r="N621" s="76" t="s">
        <v>4181</v>
      </c>
      <c r="O621" s="76">
        <v>43986</v>
      </c>
      <c r="P621" s="76">
        <v>43986</v>
      </c>
      <c r="Q621" s="76">
        <v>43986</v>
      </c>
      <c r="R621" s="82"/>
      <c r="S621" s="76"/>
      <c r="T621" s="77"/>
      <c r="U621" s="77"/>
      <c r="V621" s="77"/>
      <c r="W621" s="77">
        <v>3</v>
      </c>
      <c r="X621" s="77">
        <v>67266</v>
      </c>
      <c r="Y621" s="75" t="str">
        <f ca="1">IF(I621="",IF(D621="","",IF(W621+X621&lt;15,"Données Nb pers ou RFR manquantes",IF(COUNTA(INDIRECT("TabRFR["&amp;YEAR(D621)&amp;"]"))&lt;&gt;COUNTA(TabRFR[Recherche RFR]),"Data RFR manquantes", IF(X621&lt;=INDEX(TabRFR[[2021]:[2025]],MATCH(BD!W621&amp;"-Très modestes",TabRFR[Recherche RFR],0),MATCH(TEXT(YEAR(BD!D621),"Standard"),TabRFR[[#Headers],[2021]:[2025]],0)),"Très Modeste",IF(X621&lt;=INDEX(TabRFR[[2021]:[2025]],MATCH(BD!W621&amp;"-modestes",TabRFR[Recherche RFR],0),MATCH(TEXT(YEAR(BD!D621),"Standard"),TabRFR[[#Headers],[2021]:[2025]],0)),"Modeste",IF(X621&lt;=INDEX(TabRFR[[2021]:[2025]],MATCH(BD!W621&amp;"-Intermédiaire",TabRFR[Recherche RFR],0),MATCH(TEXT(YEAR(BD!D621),"Standard"),TabRFR[[#Headers],[2021]:[2025]],0)),"Intermédiaire","Supérieur")))))),IF(D621="","",IF(W621+X621&lt;15,"Données Nb pers ou RFR manquantes",IF(COUNTA(INDIRECT("TabRFR["&amp;YEAR(I621)&amp;"]"))&lt;&gt;COUNTA(TabRFR[Recherche RFR]),"Data RFR manquantes", IF(X621&lt;=INDEX(TabRFR[[2021]:[2025]],MATCH(BD!W621&amp;"-Très modestes",TabRFR[Recherche RFR],0),MATCH(TEXT(YEAR(BD!I621),"Standard"),TabRFR[[#Headers],[2021]:[2025]],0)),"Très Modeste",IF(X621&lt;=INDEX(TabRFR[[2021]:[2025]],MATCH(BD!W621&amp;"-modestes",TabRFR[Recherche RFR],0),MATCH(TEXT(YEAR(BD!I621),"Standard"),TabRFR[[#Headers],[2021]:[2025]],0)),"Modeste",IF(X621&lt;=INDEX(TabRFR[[2021]:[2025]],MATCH(BD!W621&amp;"-Intermédiaire",TabRFR[Recherche RFR],0),MATCH(TEXT(YEAR(BD!I621),"Standard"),TabRFR[[#Headers],[2021]:[2025]],0)),"Intermédiaire","Supérieur")))))))</f>
        <v>Data RFR manquantes</v>
      </c>
      <c r="Z621" s="77"/>
      <c r="AA621" s="77" t="s">
        <v>3981</v>
      </c>
      <c r="AB621" s="77">
        <v>38730</v>
      </c>
      <c r="AC621" s="77" t="s">
        <v>4304</v>
      </c>
      <c r="AD621" s="78"/>
      <c r="AE621" s="102"/>
      <c r="AF621" s="77" t="s">
        <v>95</v>
      </c>
      <c r="AG621" s="77"/>
      <c r="AH621" s="77"/>
      <c r="AI621" s="77"/>
      <c r="AJ621" s="77"/>
      <c r="AK621" s="77"/>
      <c r="AL621" s="77"/>
      <c r="AM621" s="77" t="s">
        <v>4236</v>
      </c>
      <c r="AN621" s="77" t="s">
        <v>4091</v>
      </c>
      <c r="AO621" s="77" t="s">
        <v>784</v>
      </c>
      <c r="AP621" s="77" t="s">
        <v>97</v>
      </c>
      <c r="AQ621" s="77"/>
      <c r="AR621" s="79">
        <v>44152</v>
      </c>
      <c r="AS621" s="102" t="s">
        <v>285</v>
      </c>
      <c r="AT621" s="78" t="s">
        <v>608</v>
      </c>
      <c r="AU621" s="77" t="s">
        <v>100</v>
      </c>
      <c r="AV621" s="77" t="s">
        <v>173</v>
      </c>
      <c r="AW621" s="77" t="s">
        <v>100</v>
      </c>
      <c r="AX621" s="77" t="s">
        <v>2071</v>
      </c>
      <c r="AY621" s="77" t="s">
        <v>1017</v>
      </c>
      <c r="AZ621" s="77" t="s">
        <v>3991</v>
      </c>
      <c r="BA621" s="77">
        <v>11</v>
      </c>
      <c r="BB621" s="77">
        <v>12</v>
      </c>
      <c r="BC621" s="77">
        <v>89</v>
      </c>
      <c r="BD621" s="77">
        <v>8.9999999999999993E-3</v>
      </c>
      <c r="BE621" s="77" t="s">
        <v>97</v>
      </c>
      <c r="BF621" s="77"/>
      <c r="BG621" s="77">
        <v>5516</v>
      </c>
      <c r="BH621" s="77"/>
      <c r="BI621" s="77"/>
      <c r="BJ621" s="77"/>
      <c r="BK621" s="77">
        <v>2565</v>
      </c>
      <c r="BL621" s="75">
        <f t="shared" si="27"/>
        <v>8081</v>
      </c>
      <c r="BM621" s="103">
        <f t="shared" si="28"/>
        <v>444.45499999999998</v>
      </c>
      <c r="BN621" s="103">
        <f t="shared" si="29"/>
        <v>8525.4549999999999</v>
      </c>
      <c r="BO621" s="80"/>
      <c r="BP621" s="77" t="s">
        <v>104</v>
      </c>
      <c r="BQ621" s="77"/>
      <c r="BR621" s="77"/>
      <c r="BS621" s="157">
        <v>2019</v>
      </c>
      <c r="BU621">
        <v>2020</v>
      </c>
    </row>
    <row r="622" spans="1:73" ht="43.15" customHeight="1" x14ac:dyDescent="0.25">
      <c r="A622" s="31" t="s">
        <v>3845</v>
      </c>
      <c r="B622" s="31" t="s">
        <v>3942</v>
      </c>
      <c r="C622" s="163" t="s">
        <v>9</v>
      </c>
      <c r="D622" s="76">
        <v>43795</v>
      </c>
      <c r="E622" s="76">
        <v>43795</v>
      </c>
      <c r="F622" s="76"/>
      <c r="G622" s="76"/>
      <c r="H622" s="76"/>
      <c r="I622" s="76"/>
      <c r="J622" s="76"/>
      <c r="K622" s="218"/>
      <c r="L622" s="76"/>
      <c r="M622" s="76"/>
      <c r="N622" s="76"/>
      <c r="O622" s="76"/>
      <c r="P622" s="76"/>
      <c r="Q622" s="76"/>
      <c r="R622" s="82"/>
      <c r="S622" s="76">
        <v>43797</v>
      </c>
      <c r="T622" s="77" t="s">
        <v>3992</v>
      </c>
      <c r="U622" s="77"/>
      <c r="V622" s="77"/>
      <c r="W622" s="77">
        <v>4</v>
      </c>
      <c r="X622" s="77">
        <v>79337</v>
      </c>
      <c r="Y622" s="75" t="str">
        <f ca="1">IF(I622="",IF(D622="","",IF(W622+X622&lt;15,"Données Nb pers ou RFR manquantes",IF(COUNTA(INDIRECT("TabRFR["&amp;YEAR(D622)&amp;"]"))&lt;&gt;COUNTA(TabRFR[Recherche RFR]),"Data RFR manquantes", IF(X622&lt;=INDEX(TabRFR[[2021]:[2025]],MATCH(BD!W622&amp;"-Très modestes",TabRFR[Recherche RFR],0),MATCH(TEXT(YEAR(BD!D622),"Standard"),TabRFR[[#Headers],[2021]:[2025]],0)),"Très Modeste",IF(X622&lt;=INDEX(TabRFR[[2021]:[2025]],MATCH(BD!W622&amp;"-modestes",TabRFR[Recherche RFR],0),MATCH(TEXT(YEAR(BD!D622),"Standard"),TabRFR[[#Headers],[2021]:[2025]],0)),"Modeste",IF(X622&lt;=INDEX(TabRFR[[2021]:[2025]],MATCH(BD!W622&amp;"-Intermédiaire",TabRFR[Recherche RFR],0),MATCH(TEXT(YEAR(BD!D622),"Standard"),TabRFR[[#Headers],[2021]:[2025]],0)),"Intermédiaire","Supérieur")))))),IF(D622="","",IF(W622+X622&lt;15,"Données Nb pers ou RFR manquantes",IF(COUNTA(INDIRECT("TabRFR["&amp;YEAR(I622)&amp;"]"))&lt;&gt;COUNTA(TabRFR[Recherche RFR]),"Data RFR manquantes", IF(X622&lt;=INDEX(TabRFR[[2021]:[2025]],MATCH(BD!W622&amp;"-Très modestes",TabRFR[Recherche RFR],0),MATCH(TEXT(YEAR(BD!I622),"Standard"),TabRFR[[#Headers],[2021]:[2025]],0)),"Très Modeste",IF(X622&lt;=INDEX(TabRFR[[2021]:[2025]],MATCH(BD!W622&amp;"-modestes",TabRFR[Recherche RFR],0),MATCH(TEXT(YEAR(BD!I622),"Standard"),TabRFR[[#Headers],[2021]:[2025]],0)),"Modeste",IF(X622&lt;=INDEX(TabRFR[[2021]:[2025]],MATCH(BD!W622&amp;"-Intermédiaire",TabRFR[Recherche RFR],0),MATCH(TEXT(YEAR(BD!I622),"Standard"),TabRFR[[#Headers],[2021]:[2025]],0)),"Intermédiaire","Supérieur")))))))</f>
        <v>Data RFR manquantes</v>
      </c>
      <c r="Z622" s="77"/>
      <c r="AA622" s="77" t="s">
        <v>3983</v>
      </c>
      <c r="AB622" s="77">
        <v>38430</v>
      </c>
      <c r="AC622" s="77" t="s">
        <v>3202</v>
      </c>
      <c r="AD622" s="78"/>
      <c r="AE622" s="102"/>
      <c r="AF622" s="77" t="s">
        <v>95</v>
      </c>
      <c r="AG622" s="77"/>
      <c r="AH622" s="77"/>
      <c r="AI622" s="77"/>
      <c r="AJ622" s="77"/>
      <c r="AK622" s="77"/>
      <c r="AL622" s="77"/>
      <c r="AM622" s="77" t="s">
        <v>9</v>
      </c>
      <c r="AN622" s="77" t="s">
        <v>9</v>
      </c>
      <c r="AO622" s="77" t="s">
        <v>9</v>
      </c>
      <c r="AP622" s="77" t="s">
        <v>9</v>
      </c>
      <c r="AQ622" s="77"/>
      <c r="AR622" s="79" t="s">
        <v>9</v>
      </c>
      <c r="AS622" s="102" t="s">
        <v>9</v>
      </c>
      <c r="AT622" s="78" t="s">
        <v>9</v>
      </c>
      <c r="AU622" s="77" t="s">
        <v>9</v>
      </c>
      <c r="AV622" s="77" t="s">
        <v>9</v>
      </c>
      <c r="AW622" s="77" t="s">
        <v>9</v>
      </c>
      <c r="AX622" s="77" t="s">
        <v>9</v>
      </c>
      <c r="AY622" s="77" t="s">
        <v>9</v>
      </c>
      <c r="AZ622" s="77" t="s">
        <v>9</v>
      </c>
      <c r="BA622" s="77" t="s">
        <v>9</v>
      </c>
      <c r="BB622" s="77" t="s">
        <v>9</v>
      </c>
      <c r="BC622" s="77" t="s">
        <v>9</v>
      </c>
      <c r="BD622" s="77" t="s">
        <v>9</v>
      </c>
      <c r="BE622" s="77" t="s">
        <v>9</v>
      </c>
      <c r="BF622" s="77"/>
      <c r="BG622" s="77" t="s">
        <v>9</v>
      </c>
      <c r="BH622" s="77"/>
      <c r="BI622" s="77"/>
      <c r="BJ622" s="77"/>
      <c r="BK622" s="77" t="s">
        <v>9</v>
      </c>
      <c r="BL622" s="77" t="s">
        <v>9</v>
      </c>
      <c r="BM622" s="77" t="s">
        <v>9</v>
      </c>
      <c r="BN622" s="77" t="s">
        <v>9</v>
      </c>
      <c r="BO622" s="80"/>
      <c r="BP622" s="77" t="s">
        <v>9</v>
      </c>
      <c r="BQ622" s="77"/>
      <c r="BR622" s="77"/>
      <c r="BS622" s="157">
        <v>2019</v>
      </c>
      <c r="BU622" t="s">
        <v>4180</v>
      </c>
    </row>
    <row r="623" spans="1:73" ht="43.15" customHeight="1" x14ac:dyDescent="0.25">
      <c r="A623" s="241" t="s">
        <v>3845</v>
      </c>
      <c r="B623" s="241" t="s">
        <v>3943</v>
      </c>
      <c r="C623" s="163">
        <v>800</v>
      </c>
      <c r="D623" s="76">
        <v>43795</v>
      </c>
      <c r="E623" s="76">
        <v>43795</v>
      </c>
      <c r="F623" s="76" t="s">
        <v>9</v>
      </c>
      <c r="G623" s="76" t="s">
        <v>9</v>
      </c>
      <c r="H623" s="76">
        <v>43797</v>
      </c>
      <c r="I623" s="76">
        <v>43797</v>
      </c>
      <c r="J623" s="76">
        <v>43804</v>
      </c>
      <c r="K623" s="218"/>
      <c r="L623" s="76">
        <v>43844</v>
      </c>
      <c r="M623" s="76">
        <v>44195</v>
      </c>
      <c r="N623" s="76"/>
      <c r="O623" s="76">
        <v>43844</v>
      </c>
      <c r="P623" s="76">
        <v>43844</v>
      </c>
      <c r="Q623" s="76">
        <v>43853</v>
      </c>
      <c r="R623" s="82"/>
      <c r="S623" s="76"/>
      <c r="T623" s="77"/>
      <c r="U623" s="77"/>
      <c r="V623" s="77"/>
      <c r="W623" s="77">
        <v>4</v>
      </c>
      <c r="X623" s="77">
        <v>37415</v>
      </c>
      <c r="Y623" s="75" t="str">
        <f ca="1">IF(I623="",IF(D623="","",IF(W623+X623&lt;15,"Données Nb pers ou RFR manquantes",IF(COUNTA(INDIRECT("TabRFR["&amp;YEAR(D623)&amp;"]"))&lt;&gt;COUNTA(TabRFR[Recherche RFR]),"Data RFR manquantes", IF(X623&lt;=INDEX(TabRFR[[2021]:[2025]],MATCH(BD!W623&amp;"-Très modestes",TabRFR[Recherche RFR],0),MATCH(TEXT(YEAR(BD!D623),"Standard"),TabRFR[[#Headers],[2021]:[2025]],0)),"Très Modeste",IF(X623&lt;=INDEX(TabRFR[[2021]:[2025]],MATCH(BD!W623&amp;"-modestes",TabRFR[Recherche RFR],0),MATCH(TEXT(YEAR(BD!D623),"Standard"),TabRFR[[#Headers],[2021]:[2025]],0)),"Modeste",IF(X623&lt;=INDEX(TabRFR[[2021]:[2025]],MATCH(BD!W623&amp;"-Intermédiaire",TabRFR[Recherche RFR],0),MATCH(TEXT(YEAR(BD!D623),"Standard"),TabRFR[[#Headers],[2021]:[2025]],0)),"Intermédiaire","Supérieur")))))),IF(D623="","",IF(W623+X623&lt;15,"Données Nb pers ou RFR manquantes",IF(COUNTA(INDIRECT("TabRFR["&amp;YEAR(I623)&amp;"]"))&lt;&gt;COUNTA(TabRFR[Recherche RFR]),"Data RFR manquantes", IF(X623&lt;=INDEX(TabRFR[[2021]:[2025]],MATCH(BD!W623&amp;"-Très modestes",TabRFR[Recherche RFR],0),MATCH(TEXT(YEAR(BD!I623),"Standard"),TabRFR[[#Headers],[2021]:[2025]],0)),"Très Modeste",IF(X623&lt;=INDEX(TabRFR[[2021]:[2025]],MATCH(BD!W623&amp;"-modestes",TabRFR[Recherche RFR],0),MATCH(TEXT(YEAR(BD!I623),"Standard"),TabRFR[[#Headers],[2021]:[2025]],0)),"Modeste",IF(X623&lt;=INDEX(TabRFR[[2021]:[2025]],MATCH(BD!W623&amp;"-Intermédiaire",TabRFR[Recherche RFR],0),MATCH(TEXT(YEAR(BD!I623),"Standard"),TabRFR[[#Headers],[2021]:[2025]],0)),"Intermédiaire","Supérieur")))))))</f>
        <v>Data RFR manquantes</v>
      </c>
      <c r="Z623" s="77"/>
      <c r="AA623" s="77" t="s">
        <v>3984</v>
      </c>
      <c r="AB623" s="77">
        <v>38620</v>
      </c>
      <c r="AC623" s="77" t="s">
        <v>783</v>
      </c>
      <c r="AD623" s="78"/>
      <c r="AE623" s="102"/>
      <c r="AF623" s="77" t="s">
        <v>95</v>
      </c>
      <c r="AG623" s="77"/>
      <c r="AH623" s="77"/>
      <c r="AI623" s="77"/>
      <c r="AJ623" s="77"/>
      <c r="AK623" s="77"/>
      <c r="AL623" s="77"/>
      <c r="AM623" s="77" t="s">
        <v>4236</v>
      </c>
      <c r="AN623" s="77" t="s">
        <v>4091</v>
      </c>
      <c r="AO623" s="77" t="s">
        <v>784</v>
      </c>
      <c r="AP623" s="77" t="s">
        <v>97</v>
      </c>
      <c r="AQ623" s="77"/>
      <c r="AR623" s="79">
        <v>44152</v>
      </c>
      <c r="AS623" s="102" t="s">
        <v>285</v>
      </c>
      <c r="AT623" s="78" t="s">
        <v>3985</v>
      </c>
      <c r="AU623" s="77" t="s">
        <v>100</v>
      </c>
      <c r="AV623" s="77">
        <v>1998</v>
      </c>
      <c r="AW623" s="77" t="s">
        <v>100</v>
      </c>
      <c r="AX623" s="77" t="s">
        <v>2071</v>
      </c>
      <c r="AY623" s="77" t="s">
        <v>1017</v>
      </c>
      <c r="AZ623" s="77" t="s">
        <v>3654</v>
      </c>
      <c r="BA623" s="77">
        <v>11</v>
      </c>
      <c r="BB623" s="77">
        <v>12</v>
      </c>
      <c r="BC623" s="77">
        <v>88.5</v>
      </c>
      <c r="BD623" s="77">
        <v>7.0000000000000001E-3</v>
      </c>
      <c r="BE623" s="77" t="s">
        <v>97</v>
      </c>
      <c r="BF623" s="77"/>
      <c r="BG623" s="77">
        <v>4334</v>
      </c>
      <c r="BH623" s="77"/>
      <c r="BI623" s="77"/>
      <c r="BJ623" s="77"/>
      <c r="BK623" s="77">
        <v>590</v>
      </c>
      <c r="BL623" s="75">
        <f t="shared" si="27"/>
        <v>4924</v>
      </c>
      <c r="BM623" s="103">
        <f t="shared" si="28"/>
        <v>270.82</v>
      </c>
      <c r="BN623" s="103">
        <f t="shared" si="29"/>
        <v>5194.82</v>
      </c>
      <c r="BO623" s="80">
        <v>5194.82</v>
      </c>
      <c r="BP623" s="77" t="s">
        <v>104</v>
      </c>
      <c r="BQ623" s="77"/>
      <c r="BR623" s="77"/>
      <c r="BS623" s="157">
        <v>2019</v>
      </c>
      <c r="BU623">
        <v>2019</v>
      </c>
    </row>
    <row r="624" spans="1:73" ht="43.15" customHeight="1" x14ac:dyDescent="0.25">
      <c r="A624" s="241" t="s">
        <v>3845</v>
      </c>
      <c r="B624" s="241" t="s">
        <v>3944</v>
      </c>
      <c r="C624" s="163">
        <v>400</v>
      </c>
      <c r="D624" s="76">
        <v>43795</v>
      </c>
      <c r="E624" s="76">
        <v>43795</v>
      </c>
      <c r="F624" s="76" t="s">
        <v>9</v>
      </c>
      <c r="G624" s="76" t="s">
        <v>9</v>
      </c>
      <c r="H624" s="76">
        <v>43797</v>
      </c>
      <c r="I624" s="76">
        <v>43797</v>
      </c>
      <c r="J624" s="76">
        <v>43804</v>
      </c>
      <c r="K624" s="218"/>
      <c r="L624" s="76">
        <v>44013</v>
      </c>
      <c r="M624" s="76">
        <v>43817</v>
      </c>
      <c r="N624" s="76" t="s">
        <v>4044</v>
      </c>
      <c r="O624" s="76">
        <v>44033</v>
      </c>
      <c r="P624" s="76">
        <v>44033</v>
      </c>
      <c r="Q624" s="76">
        <v>44046</v>
      </c>
      <c r="R624" s="82"/>
      <c r="S624" s="76"/>
      <c r="T624" s="77"/>
      <c r="U624" s="77"/>
      <c r="V624" s="77"/>
      <c r="W624" s="77">
        <v>2</v>
      </c>
      <c r="X624" s="77">
        <v>43787</v>
      </c>
      <c r="Y624" s="75" t="str">
        <f ca="1">IF(I624="",IF(D624="","",IF(W624+X624&lt;15,"Données Nb pers ou RFR manquantes",IF(COUNTA(INDIRECT("TabRFR["&amp;YEAR(D624)&amp;"]"))&lt;&gt;COUNTA(TabRFR[Recherche RFR]),"Data RFR manquantes", IF(X624&lt;=INDEX(TabRFR[[2021]:[2025]],MATCH(BD!W624&amp;"-Très modestes",TabRFR[Recherche RFR],0),MATCH(TEXT(YEAR(BD!D624),"Standard"),TabRFR[[#Headers],[2021]:[2025]],0)),"Très Modeste",IF(X624&lt;=INDEX(TabRFR[[2021]:[2025]],MATCH(BD!W624&amp;"-modestes",TabRFR[Recherche RFR],0),MATCH(TEXT(YEAR(BD!D624),"Standard"),TabRFR[[#Headers],[2021]:[2025]],0)),"Modeste",IF(X624&lt;=INDEX(TabRFR[[2021]:[2025]],MATCH(BD!W624&amp;"-Intermédiaire",TabRFR[Recherche RFR],0),MATCH(TEXT(YEAR(BD!D624),"Standard"),TabRFR[[#Headers],[2021]:[2025]],0)),"Intermédiaire","Supérieur")))))),IF(D624="","",IF(W624+X624&lt;15,"Données Nb pers ou RFR manquantes",IF(COUNTA(INDIRECT("TabRFR["&amp;YEAR(I624)&amp;"]"))&lt;&gt;COUNTA(TabRFR[Recherche RFR]),"Data RFR manquantes", IF(X624&lt;=INDEX(TabRFR[[2021]:[2025]],MATCH(BD!W624&amp;"-Très modestes",TabRFR[Recherche RFR],0),MATCH(TEXT(YEAR(BD!I624),"Standard"),TabRFR[[#Headers],[2021]:[2025]],0)),"Très Modeste",IF(X624&lt;=INDEX(TabRFR[[2021]:[2025]],MATCH(BD!W624&amp;"-modestes",TabRFR[Recherche RFR],0),MATCH(TEXT(YEAR(BD!I624),"Standard"),TabRFR[[#Headers],[2021]:[2025]],0)),"Modeste",IF(X624&lt;=INDEX(TabRFR[[2021]:[2025]],MATCH(BD!W624&amp;"-Intermédiaire",TabRFR[Recherche RFR],0),MATCH(TEXT(YEAR(BD!I624),"Standard"),TabRFR[[#Headers],[2021]:[2025]],0)),"Intermédiaire","Supérieur")))))))</f>
        <v>Data RFR manquantes</v>
      </c>
      <c r="Z624" s="77"/>
      <c r="AA624" s="77" t="s">
        <v>3986</v>
      </c>
      <c r="AB624" s="77">
        <v>38430</v>
      </c>
      <c r="AC624" s="77" t="s">
        <v>217</v>
      </c>
      <c r="AD624" s="78"/>
      <c r="AE624" s="102"/>
      <c r="AF624" s="77" t="s">
        <v>95</v>
      </c>
      <c r="AG624" s="77"/>
      <c r="AH624" s="77"/>
      <c r="AI624" s="77"/>
      <c r="AJ624" s="77"/>
      <c r="AK624" s="77"/>
      <c r="AL624" s="77"/>
      <c r="AM624" s="77" t="s">
        <v>1621</v>
      </c>
      <c r="AN624" s="77" t="s">
        <v>3966</v>
      </c>
      <c r="AO624" s="77" t="s">
        <v>3993</v>
      </c>
      <c r="AP624" s="77" t="s">
        <v>97</v>
      </c>
      <c r="AQ624" s="77"/>
      <c r="AR624" s="79">
        <v>44068</v>
      </c>
      <c r="AS624" s="102" t="s">
        <v>1618</v>
      </c>
      <c r="AT624" s="78" t="s">
        <v>3533</v>
      </c>
      <c r="AU624" s="77" t="s">
        <v>3967</v>
      </c>
      <c r="AV624" s="77">
        <v>1984</v>
      </c>
      <c r="AW624" s="77" t="s">
        <v>100</v>
      </c>
      <c r="AX624" s="77" t="s">
        <v>2071</v>
      </c>
      <c r="AY624" s="77" t="s">
        <v>102</v>
      </c>
      <c r="AZ624" s="77" t="s">
        <v>3994</v>
      </c>
      <c r="BA624" s="77">
        <v>14</v>
      </c>
      <c r="BB624" s="77">
        <v>11.9</v>
      </c>
      <c r="BC624" s="77">
        <v>90.8</v>
      </c>
      <c r="BD624" s="77">
        <v>7.0000000000000001E-3</v>
      </c>
      <c r="BE624" s="77" t="s">
        <v>97</v>
      </c>
      <c r="BF624" s="77"/>
      <c r="BG624" s="77">
        <v>5513.05</v>
      </c>
      <c r="BH624" s="77"/>
      <c r="BI624" s="77"/>
      <c r="BJ624" s="77"/>
      <c r="BK624" s="77">
        <v>500</v>
      </c>
      <c r="BL624" s="75">
        <f t="shared" si="27"/>
        <v>6013.05</v>
      </c>
      <c r="BM624" s="103">
        <f t="shared" si="28"/>
        <v>330.71775000000002</v>
      </c>
      <c r="BN624" s="103">
        <f t="shared" si="29"/>
        <v>6343.76775</v>
      </c>
      <c r="BO624" s="80"/>
      <c r="BP624" s="77" t="s">
        <v>97</v>
      </c>
      <c r="BQ624" s="77"/>
      <c r="BR624" s="77"/>
      <c r="BS624" s="157">
        <v>2019</v>
      </c>
      <c r="BU624">
        <v>2019</v>
      </c>
    </row>
    <row r="625" spans="1:73" ht="43.15" customHeight="1" x14ac:dyDescent="0.25">
      <c r="A625" s="241" t="s">
        <v>3845</v>
      </c>
      <c r="B625" s="241" t="s">
        <v>3945</v>
      </c>
      <c r="C625" s="163">
        <v>400</v>
      </c>
      <c r="D625" s="76">
        <v>43795</v>
      </c>
      <c r="E625" s="76">
        <v>43795</v>
      </c>
      <c r="F625" s="76" t="s">
        <v>9</v>
      </c>
      <c r="G625" s="76" t="s">
        <v>9</v>
      </c>
      <c r="H625" s="76">
        <v>43797</v>
      </c>
      <c r="I625" s="76">
        <v>43797</v>
      </c>
      <c r="J625" s="76">
        <v>43804</v>
      </c>
      <c r="K625" s="218"/>
      <c r="L625" s="76">
        <v>44148</v>
      </c>
      <c r="M625" s="76">
        <v>44132</v>
      </c>
      <c r="N625" s="76" t="s">
        <v>4044</v>
      </c>
      <c r="O625" s="76">
        <v>44158</v>
      </c>
      <c r="P625" s="76">
        <v>44158</v>
      </c>
      <c r="Q625" s="76">
        <v>44166</v>
      </c>
      <c r="R625" s="82"/>
      <c r="S625" s="76"/>
      <c r="T625" s="77"/>
      <c r="U625" s="77"/>
      <c r="V625" s="77"/>
      <c r="W625" s="77">
        <v>1</v>
      </c>
      <c r="X625" s="77">
        <v>39561</v>
      </c>
      <c r="Y625" s="75" t="str">
        <f ca="1">IF(I625="",IF(D625="","",IF(W625+X625&lt;15,"Données Nb pers ou RFR manquantes",IF(COUNTA(INDIRECT("TabRFR["&amp;YEAR(D625)&amp;"]"))&lt;&gt;COUNTA(TabRFR[Recherche RFR]),"Data RFR manquantes", IF(X625&lt;=INDEX(TabRFR[[2021]:[2025]],MATCH(BD!W625&amp;"-Très modestes",TabRFR[Recherche RFR],0),MATCH(TEXT(YEAR(BD!D625),"Standard"),TabRFR[[#Headers],[2021]:[2025]],0)),"Très Modeste",IF(X625&lt;=INDEX(TabRFR[[2021]:[2025]],MATCH(BD!W625&amp;"-modestes",TabRFR[Recherche RFR],0),MATCH(TEXT(YEAR(BD!D625),"Standard"),TabRFR[[#Headers],[2021]:[2025]],0)),"Modeste",IF(X625&lt;=INDEX(TabRFR[[2021]:[2025]],MATCH(BD!W625&amp;"-Intermédiaire",TabRFR[Recherche RFR],0),MATCH(TEXT(YEAR(BD!D625),"Standard"),TabRFR[[#Headers],[2021]:[2025]],0)),"Intermédiaire","Supérieur")))))),IF(D625="","",IF(W625+X625&lt;15,"Données Nb pers ou RFR manquantes",IF(COUNTA(INDIRECT("TabRFR["&amp;YEAR(I625)&amp;"]"))&lt;&gt;COUNTA(TabRFR[Recherche RFR]),"Data RFR manquantes", IF(X625&lt;=INDEX(TabRFR[[2021]:[2025]],MATCH(BD!W625&amp;"-Très modestes",TabRFR[Recherche RFR],0),MATCH(TEXT(YEAR(BD!I625),"Standard"),TabRFR[[#Headers],[2021]:[2025]],0)),"Très Modeste",IF(X625&lt;=INDEX(TabRFR[[2021]:[2025]],MATCH(BD!W625&amp;"-modestes",TabRFR[Recherche RFR],0),MATCH(TEXT(YEAR(BD!I625),"Standard"),TabRFR[[#Headers],[2021]:[2025]],0)),"Modeste",IF(X625&lt;=INDEX(TabRFR[[2021]:[2025]],MATCH(BD!W625&amp;"-Intermédiaire",TabRFR[Recherche RFR],0),MATCH(TEXT(YEAR(BD!I625),"Standard"),TabRFR[[#Headers],[2021]:[2025]],0)),"Intermédiaire","Supérieur")))))))</f>
        <v>Data RFR manquantes</v>
      </c>
      <c r="Z625" s="77"/>
      <c r="AA625" s="77" t="s">
        <v>3987</v>
      </c>
      <c r="AB625" s="77">
        <v>38140</v>
      </c>
      <c r="AC625" s="77" t="s">
        <v>363</v>
      </c>
      <c r="AD625" s="78"/>
      <c r="AE625" s="102"/>
      <c r="AF625" s="77" t="s">
        <v>95</v>
      </c>
      <c r="AG625" s="77"/>
      <c r="AH625" s="77"/>
      <c r="AI625" s="77"/>
      <c r="AJ625" s="77"/>
      <c r="AK625" s="77"/>
      <c r="AL625" s="77"/>
      <c r="AM625" s="77" t="s">
        <v>3973</v>
      </c>
      <c r="AN625" s="77" t="s">
        <v>96</v>
      </c>
      <c r="AO625" s="77" t="s">
        <v>3761</v>
      </c>
      <c r="AP625" s="77" t="s">
        <v>97</v>
      </c>
      <c r="AQ625" s="77"/>
      <c r="AR625" s="79">
        <v>44092</v>
      </c>
      <c r="AS625" s="102" t="s">
        <v>141</v>
      </c>
      <c r="AT625" s="78" t="s">
        <v>3988</v>
      </c>
      <c r="AU625" s="77" t="s">
        <v>3967</v>
      </c>
      <c r="AV625" s="77">
        <v>1986</v>
      </c>
      <c r="AW625" s="77" t="s">
        <v>100</v>
      </c>
      <c r="AX625" s="77" t="s">
        <v>2071</v>
      </c>
      <c r="AY625" s="77" t="s">
        <v>1249</v>
      </c>
      <c r="AZ625" s="77" t="s">
        <v>3995</v>
      </c>
      <c r="BA625" s="77">
        <v>37</v>
      </c>
      <c r="BB625" s="77">
        <v>6</v>
      </c>
      <c r="BC625" s="77">
        <v>80</v>
      </c>
      <c r="BD625" s="77">
        <v>0.04</v>
      </c>
      <c r="BE625" s="77" t="s">
        <v>97</v>
      </c>
      <c r="BF625" s="77"/>
      <c r="BG625" s="77">
        <v>4837</v>
      </c>
      <c r="BH625" s="77"/>
      <c r="BI625" s="77"/>
      <c r="BJ625" s="77"/>
      <c r="BK625" s="77">
        <v>800</v>
      </c>
      <c r="BL625" s="75">
        <f t="shared" si="27"/>
        <v>5637</v>
      </c>
      <c r="BM625" s="103">
        <f t="shared" si="28"/>
        <v>310.03500000000003</v>
      </c>
      <c r="BN625" s="103">
        <f t="shared" si="29"/>
        <v>5947.0349999999999</v>
      </c>
      <c r="BO625" s="80"/>
      <c r="BP625" s="77" t="s">
        <v>104</v>
      </c>
      <c r="BQ625" s="77"/>
      <c r="BR625" s="77"/>
      <c r="BS625" s="157">
        <v>2019</v>
      </c>
      <c r="BU625">
        <v>2020</v>
      </c>
    </row>
    <row r="626" spans="1:73" ht="43.15" customHeight="1" x14ac:dyDescent="0.25">
      <c r="A626" s="241" t="s">
        <v>3845</v>
      </c>
      <c r="B626" s="241" t="s">
        <v>3946</v>
      </c>
      <c r="C626" s="163">
        <v>400</v>
      </c>
      <c r="D626" s="76">
        <v>43797</v>
      </c>
      <c r="E626" s="76">
        <v>43797</v>
      </c>
      <c r="F626" s="76" t="s">
        <v>9</v>
      </c>
      <c r="G626" s="76" t="s">
        <v>9</v>
      </c>
      <c r="H626" s="76">
        <v>43797</v>
      </c>
      <c r="I626" s="76">
        <v>43797</v>
      </c>
      <c r="J626" s="76">
        <v>43804</v>
      </c>
      <c r="K626" s="218"/>
      <c r="L626" s="76">
        <v>43826</v>
      </c>
      <c r="M626" s="76">
        <v>43812</v>
      </c>
      <c r="N626" s="76" t="s">
        <v>4115</v>
      </c>
      <c r="O626" s="76">
        <v>43853</v>
      </c>
      <c r="P626" s="76">
        <v>43853</v>
      </c>
      <c r="Q626" s="76">
        <v>43854</v>
      </c>
      <c r="R626" s="82"/>
      <c r="S626" s="76"/>
      <c r="T626" s="77"/>
      <c r="U626" s="77"/>
      <c r="V626" s="77"/>
      <c r="W626" s="77">
        <v>4</v>
      </c>
      <c r="X626" s="77">
        <v>49288</v>
      </c>
      <c r="Y626" s="75" t="str">
        <f ca="1">IF(I626="",IF(D626="","",IF(W626+X626&lt;15,"Données Nb pers ou RFR manquantes",IF(COUNTA(INDIRECT("TabRFR["&amp;YEAR(D626)&amp;"]"))&lt;&gt;COUNTA(TabRFR[Recherche RFR]),"Data RFR manquantes", IF(X626&lt;=INDEX(TabRFR[[2021]:[2025]],MATCH(BD!W626&amp;"-Très modestes",TabRFR[Recherche RFR],0),MATCH(TEXT(YEAR(BD!D626),"Standard"),TabRFR[[#Headers],[2021]:[2025]],0)),"Très Modeste",IF(X626&lt;=INDEX(TabRFR[[2021]:[2025]],MATCH(BD!W626&amp;"-modestes",TabRFR[Recherche RFR],0),MATCH(TEXT(YEAR(BD!D626),"Standard"),TabRFR[[#Headers],[2021]:[2025]],0)),"Modeste",IF(X626&lt;=INDEX(TabRFR[[2021]:[2025]],MATCH(BD!W626&amp;"-Intermédiaire",TabRFR[Recherche RFR],0),MATCH(TEXT(YEAR(BD!D626),"Standard"),TabRFR[[#Headers],[2021]:[2025]],0)),"Intermédiaire","Supérieur")))))),IF(D626="","",IF(W626+X626&lt;15,"Données Nb pers ou RFR manquantes",IF(COUNTA(INDIRECT("TabRFR["&amp;YEAR(I626)&amp;"]"))&lt;&gt;COUNTA(TabRFR[Recherche RFR]),"Data RFR manquantes", IF(X626&lt;=INDEX(TabRFR[[2021]:[2025]],MATCH(BD!W626&amp;"-Très modestes",TabRFR[Recherche RFR],0),MATCH(TEXT(YEAR(BD!I626),"Standard"),TabRFR[[#Headers],[2021]:[2025]],0)),"Très Modeste",IF(X626&lt;=INDEX(TabRFR[[2021]:[2025]],MATCH(BD!W626&amp;"-modestes",TabRFR[Recherche RFR],0),MATCH(TEXT(YEAR(BD!I626),"Standard"),TabRFR[[#Headers],[2021]:[2025]],0)),"Modeste",IF(X626&lt;=INDEX(TabRFR[[2021]:[2025]],MATCH(BD!W626&amp;"-Intermédiaire",TabRFR[Recherche RFR],0),MATCH(TEXT(YEAR(BD!I626),"Standard"),TabRFR[[#Headers],[2021]:[2025]],0)),"Intermédiaire","Supérieur")))))))</f>
        <v>Data RFR manquantes</v>
      </c>
      <c r="Z626" s="77"/>
      <c r="AA626" s="77" t="s">
        <v>3989</v>
      </c>
      <c r="AB626" s="77">
        <v>38140</v>
      </c>
      <c r="AC626" s="77" t="s">
        <v>321</v>
      </c>
      <c r="AD626" s="78"/>
      <c r="AE626" s="102"/>
      <c r="AF626" s="77" t="s">
        <v>95</v>
      </c>
      <c r="AG626" s="77"/>
      <c r="AH626" s="77"/>
      <c r="AI626" s="77"/>
      <c r="AJ626" s="77"/>
      <c r="AK626" s="77"/>
      <c r="AL626" s="77"/>
      <c r="AM626" s="77" t="s">
        <v>4167</v>
      </c>
      <c r="AN626" s="77" t="s">
        <v>3996</v>
      </c>
      <c r="AO626" s="77" t="s">
        <v>3997</v>
      </c>
      <c r="AP626" s="77" t="s">
        <v>97</v>
      </c>
      <c r="AQ626" s="77"/>
      <c r="AR626" s="79">
        <v>43882</v>
      </c>
      <c r="AS626" s="102" t="s">
        <v>536</v>
      </c>
      <c r="AT626" s="78" t="s">
        <v>3998</v>
      </c>
      <c r="AU626" s="77" t="s">
        <v>3967</v>
      </c>
      <c r="AV626" s="77" t="s">
        <v>173</v>
      </c>
      <c r="AW626" s="77" t="s">
        <v>100</v>
      </c>
      <c r="AX626" s="77" t="s">
        <v>2071</v>
      </c>
      <c r="AY626" s="77" t="s">
        <v>734</v>
      </c>
      <c r="AZ626" s="77" t="s">
        <v>3999</v>
      </c>
      <c r="BA626" s="77">
        <v>25</v>
      </c>
      <c r="BB626" s="77">
        <v>8.3000000000000007</v>
      </c>
      <c r="BC626" s="77">
        <v>88.4</v>
      </c>
      <c r="BD626" s="77">
        <v>2.4E-2</v>
      </c>
      <c r="BE626" s="77" t="s">
        <v>97</v>
      </c>
      <c r="BF626" s="77"/>
      <c r="BG626" s="77">
        <v>2008</v>
      </c>
      <c r="BH626" s="77"/>
      <c r="BI626" s="77"/>
      <c r="BJ626" s="77"/>
      <c r="BK626" s="77">
        <v>600</v>
      </c>
      <c r="BL626" s="75">
        <f t="shared" si="27"/>
        <v>2608</v>
      </c>
      <c r="BM626" s="103">
        <f t="shared" si="28"/>
        <v>143.44</v>
      </c>
      <c r="BN626" s="103">
        <f t="shared" si="29"/>
        <v>2751.44</v>
      </c>
      <c r="BO626" s="80">
        <v>2751.44</v>
      </c>
      <c r="BP626" s="77" t="s">
        <v>104</v>
      </c>
      <c r="BQ626" s="77"/>
      <c r="BR626" s="77"/>
      <c r="BS626" s="157">
        <v>2019</v>
      </c>
      <c r="BU626">
        <v>2019</v>
      </c>
    </row>
    <row r="627" spans="1:73" ht="43.15" customHeight="1" x14ac:dyDescent="0.25">
      <c r="A627" s="241" t="s">
        <v>3845</v>
      </c>
      <c r="B627" s="241" t="s">
        <v>3947</v>
      </c>
      <c r="C627" s="163">
        <v>800</v>
      </c>
      <c r="D627" s="76">
        <v>43797</v>
      </c>
      <c r="E627" s="76">
        <v>43797</v>
      </c>
      <c r="F627" s="76">
        <v>43808</v>
      </c>
      <c r="G627" s="76" t="s">
        <v>4022</v>
      </c>
      <c r="H627" s="76">
        <v>43874</v>
      </c>
      <c r="I627" s="76">
        <v>43874</v>
      </c>
      <c r="J627" s="76">
        <v>43882</v>
      </c>
      <c r="K627" s="218"/>
      <c r="L627" s="76">
        <v>43945</v>
      </c>
      <c r="M627" s="76">
        <v>43905</v>
      </c>
      <c r="N627" s="76" t="s">
        <v>330</v>
      </c>
      <c r="O627" s="76">
        <v>43962</v>
      </c>
      <c r="P627" s="76">
        <v>43962</v>
      </c>
      <c r="Q627" s="76">
        <v>43965</v>
      </c>
      <c r="R627" s="82"/>
      <c r="S627" s="76"/>
      <c r="T627" s="77"/>
      <c r="U627" s="77"/>
      <c r="V627" s="77"/>
      <c r="W627" s="77">
        <v>1</v>
      </c>
      <c r="X627" s="77">
        <v>15607</v>
      </c>
      <c r="Y627" s="75" t="str">
        <f ca="1">IF(I627="",IF(D627="","",IF(W627+X627&lt;15,"Données Nb pers ou RFR manquantes",IF(COUNTA(INDIRECT("TabRFR["&amp;YEAR(D627)&amp;"]"))&lt;&gt;COUNTA(TabRFR[Recherche RFR]),"Data RFR manquantes", IF(X627&lt;=INDEX(TabRFR[[2021]:[2025]],MATCH(BD!W627&amp;"-Très modestes",TabRFR[Recherche RFR],0),MATCH(TEXT(YEAR(BD!D627),"Standard"),TabRFR[[#Headers],[2021]:[2025]],0)),"Très Modeste",IF(X627&lt;=INDEX(TabRFR[[2021]:[2025]],MATCH(BD!W627&amp;"-modestes",TabRFR[Recherche RFR],0),MATCH(TEXT(YEAR(BD!D627),"Standard"),TabRFR[[#Headers],[2021]:[2025]],0)),"Modeste",IF(X627&lt;=INDEX(TabRFR[[2021]:[2025]],MATCH(BD!W627&amp;"-Intermédiaire",TabRFR[Recherche RFR],0),MATCH(TEXT(YEAR(BD!D627),"Standard"),TabRFR[[#Headers],[2021]:[2025]],0)),"Intermédiaire","Supérieur")))))),IF(D627="","",IF(W627+X627&lt;15,"Données Nb pers ou RFR manquantes",IF(COUNTA(INDIRECT("TabRFR["&amp;YEAR(I627)&amp;"]"))&lt;&gt;COUNTA(TabRFR[Recherche RFR]),"Data RFR manquantes", IF(X627&lt;=INDEX(TabRFR[[2021]:[2025]],MATCH(BD!W627&amp;"-Très modestes",TabRFR[Recherche RFR],0),MATCH(TEXT(YEAR(BD!I627),"Standard"),TabRFR[[#Headers],[2021]:[2025]],0)),"Très Modeste",IF(X627&lt;=INDEX(TabRFR[[2021]:[2025]],MATCH(BD!W627&amp;"-modestes",TabRFR[Recherche RFR],0),MATCH(TEXT(YEAR(BD!I627),"Standard"),TabRFR[[#Headers],[2021]:[2025]],0)),"Modeste",IF(X627&lt;=INDEX(TabRFR[[2021]:[2025]],MATCH(BD!W627&amp;"-Intermédiaire",TabRFR[Recherche RFR],0),MATCH(TEXT(YEAR(BD!I627),"Standard"),TabRFR[[#Headers],[2021]:[2025]],0)),"Intermédiaire","Supérieur")))))))</f>
        <v>Data RFR manquantes</v>
      </c>
      <c r="Z627" s="77"/>
      <c r="AA627" s="77" t="s">
        <v>4002</v>
      </c>
      <c r="AB627" s="77">
        <v>38500</v>
      </c>
      <c r="AC627" s="77" t="s">
        <v>96</v>
      </c>
      <c r="AD627" s="78"/>
      <c r="AE627" s="102"/>
      <c r="AF627" s="77" t="s">
        <v>95</v>
      </c>
      <c r="AG627" s="77"/>
      <c r="AH627" s="77"/>
      <c r="AI627" s="77"/>
      <c r="AJ627" s="77"/>
      <c r="AK627" s="77"/>
      <c r="AL627" s="77"/>
      <c r="AM627" s="77" t="s">
        <v>4356</v>
      </c>
      <c r="AN627" s="77" t="s">
        <v>96</v>
      </c>
      <c r="AO627" s="77" t="s">
        <v>4025</v>
      </c>
      <c r="AP627" s="77" t="s">
        <v>97</v>
      </c>
      <c r="AQ627" s="77"/>
      <c r="AR627" s="79">
        <v>44138</v>
      </c>
      <c r="AS627" s="102" t="s">
        <v>120</v>
      </c>
      <c r="AT627" s="78" t="s">
        <v>658</v>
      </c>
      <c r="AU627" s="77" t="s">
        <v>3967</v>
      </c>
      <c r="AV627" s="77">
        <v>1995</v>
      </c>
      <c r="AW627" s="77" t="s">
        <v>100</v>
      </c>
      <c r="AX627" s="77" t="s">
        <v>112</v>
      </c>
      <c r="AY627" s="77" t="s">
        <v>4124</v>
      </c>
      <c r="AZ627" s="77" t="s">
        <v>4125</v>
      </c>
      <c r="BA627" s="77">
        <v>30</v>
      </c>
      <c r="BB627" s="77">
        <v>8.6</v>
      </c>
      <c r="BC627" s="77">
        <v>79.8</v>
      </c>
      <c r="BD627" s="77">
        <v>0.05</v>
      </c>
      <c r="BE627" s="77" t="s">
        <v>97</v>
      </c>
      <c r="BF627" s="77"/>
      <c r="BG627" s="77">
        <f>3458+120+90+42+47+147+210+89+101+78+15</f>
        <v>4397</v>
      </c>
      <c r="BH627" s="77"/>
      <c r="BI627" s="77"/>
      <c r="BJ627" s="77"/>
      <c r="BK627" s="77">
        <f>420+30</f>
        <v>450</v>
      </c>
      <c r="BL627" s="75">
        <f t="shared" si="27"/>
        <v>4847</v>
      </c>
      <c r="BM627" s="103">
        <f t="shared" si="28"/>
        <v>266.58499999999998</v>
      </c>
      <c r="BN627" s="103">
        <f t="shared" si="29"/>
        <v>5113.585</v>
      </c>
      <c r="BO627" s="80">
        <v>5000</v>
      </c>
      <c r="BP627" s="77" t="s">
        <v>104</v>
      </c>
      <c r="BQ627" s="77"/>
      <c r="BR627" s="77"/>
      <c r="BS627" s="157">
        <v>2020</v>
      </c>
      <c r="BT627">
        <v>2020</v>
      </c>
      <c r="BU627">
        <v>2020</v>
      </c>
    </row>
    <row r="628" spans="1:73" ht="43.15" customHeight="1" x14ac:dyDescent="0.25">
      <c r="A628" s="241" t="s">
        <v>3845</v>
      </c>
      <c r="B628" s="241" t="s">
        <v>3948</v>
      </c>
      <c r="C628" s="163">
        <v>400</v>
      </c>
      <c r="D628" s="76">
        <v>43797</v>
      </c>
      <c r="E628" s="76">
        <v>43797</v>
      </c>
      <c r="F628" s="76" t="s">
        <v>9</v>
      </c>
      <c r="G628" s="76" t="s">
        <v>9</v>
      </c>
      <c r="H628" s="76">
        <v>43808</v>
      </c>
      <c r="I628" s="76">
        <v>43808</v>
      </c>
      <c r="J628" s="76">
        <v>43816</v>
      </c>
      <c r="K628" s="218"/>
      <c r="L628" s="76">
        <v>43895</v>
      </c>
      <c r="M628" s="76">
        <v>43858</v>
      </c>
      <c r="N628" s="76"/>
      <c r="O628" s="76">
        <v>43908</v>
      </c>
      <c r="P628" s="76">
        <v>43908</v>
      </c>
      <c r="Q628" s="76">
        <v>43914</v>
      </c>
      <c r="R628" s="82"/>
      <c r="S628" s="76"/>
      <c r="T628" s="77"/>
      <c r="U628" s="77"/>
      <c r="V628" s="77"/>
      <c r="W628" s="77">
        <v>2</v>
      </c>
      <c r="X628" s="77">
        <v>62187</v>
      </c>
      <c r="Y628" s="75" t="str">
        <f ca="1">IF(I628="",IF(D628="","",IF(W628+X628&lt;15,"Données Nb pers ou RFR manquantes",IF(COUNTA(INDIRECT("TabRFR["&amp;YEAR(D628)&amp;"]"))&lt;&gt;COUNTA(TabRFR[Recherche RFR]),"Data RFR manquantes", IF(X628&lt;=INDEX(TabRFR[[2021]:[2025]],MATCH(BD!W628&amp;"-Très modestes",TabRFR[Recherche RFR],0),MATCH(TEXT(YEAR(BD!D628),"Standard"),TabRFR[[#Headers],[2021]:[2025]],0)),"Très Modeste",IF(X628&lt;=INDEX(TabRFR[[2021]:[2025]],MATCH(BD!W628&amp;"-modestes",TabRFR[Recherche RFR],0),MATCH(TEXT(YEAR(BD!D628),"Standard"),TabRFR[[#Headers],[2021]:[2025]],0)),"Modeste",IF(X628&lt;=INDEX(TabRFR[[2021]:[2025]],MATCH(BD!W628&amp;"-Intermédiaire",TabRFR[Recherche RFR],0),MATCH(TEXT(YEAR(BD!D628),"Standard"),TabRFR[[#Headers],[2021]:[2025]],0)),"Intermédiaire","Supérieur")))))),IF(D628="","",IF(W628+X628&lt;15,"Données Nb pers ou RFR manquantes",IF(COUNTA(INDIRECT("TabRFR["&amp;YEAR(I628)&amp;"]"))&lt;&gt;COUNTA(TabRFR[Recherche RFR]),"Data RFR manquantes", IF(X628&lt;=INDEX(TabRFR[[2021]:[2025]],MATCH(BD!W628&amp;"-Très modestes",TabRFR[Recherche RFR],0),MATCH(TEXT(YEAR(BD!I628),"Standard"),TabRFR[[#Headers],[2021]:[2025]],0)),"Très Modeste",IF(X628&lt;=INDEX(TabRFR[[2021]:[2025]],MATCH(BD!W628&amp;"-modestes",TabRFR[Recherche RFR],0),MATCH(TEXT(YEAR(BD!I628),"Standard"),TabRFR[[#Headers],[2021]:[2025]],0)),"Modeste",IF(X628&lt;=INDEX(TabRFR[[2021]:[2025]],MATCH(BD!W628&amp;"-Intermédiaire",TabRFR[Recherche RFR],0),MATCH(TEXT(YEAR(BD!I628),"Standard"),TabRFR[[#Headers],[2021]:[2025]],0)),"Intermédiaire","Supérieur")))))))</f>
        <v>Data RFR manquantes</v>
      </c>
      <c r="Z628" s="77"/>
      <c r="AA628" s="77" t="s">
        <v>4003</v>
      </c>
      <c r="AB628" s="77">
        <v>38500</v>
      </c>
      <c r="AC628" s="77" t="s">
        <v>118</v>
      </c>
      <c r="AD628" s="78"/>
      <c r="AE628" s="102"/>
      <c r="AF628" s="77" t="s">
        <v>95</v>
      </c>
      <c r="AG628" s="77"/>
      <c r="AH628" s="77"/>
      <c r="AI628" s="77"/>
      <c r="AJ628" s="77"/>
      <c r="AK628" s="77"/>
      <c r="AL628" s="77"/>
      <c r="AM628" s="77" t="s">
        <v>3973</v>
      </c>
      <c r="AN628" s="77" t="s">
        <v>96</v>
      </c>
      <c r="AO628" s="77" t="s">
        <v>3761</v>
      </c>
      <c r="AP628" s="77" t="s">
        <v>97</v>
      </c>
      <c r="AQ628" s="77"/>
      <c r="AR628" s="79">
        <v>44092</v>
      </c>
      <c r="AS628" s="102" t="s">
        <v>141</v>
      </c>
      <c r="AT628" s="78" t="s">
        <v>820</v>
      </c>
      <c r="AU628" s="77" t="s">
        <v>1708</v>
      </c>
      <c r="AV628" s="77">
        <v>1967</v>
      </c>
      <c r="AW628" s="77" t="s">
        <v>100</v>
      </c>
      <c r="AX628" s="77" t="s">
        <v>112</v>
      </c>
      <c r="AY628" s="77" t="s">
        <v>4023</v>
      </c>
      <c r="AZ628" s="77" t="s">
        <v>4024</v>
      </c>
      <c r="BA628" s="77">
        <v>12</v>
      </c>
      <c r="BB628" s="77">
        <v>5</v>
      </c>
      <c r="BC628" s="77">
        <v>81</v>
      </c>
      <c r="BD628" s="77">
        <v>0.1</v>
      </c>
      <c r="BE628" s="77" t="s">
        <v>97</v>
      </c>
      <c r="BF628" s="77"/>
      <c r="BG628" s="77">
        <v>2760.9</v>
      </c>
      <c r="BH628" s="77"/>
      <c r="BI628" s="77"/>
      <c r="BJ628" s="77"/>
      <c r="BK628" s="77">
        <v>841</v>
      </c>
      <c r="BL628" s="75">
        <f t="shared" si="27"/>
        <v>3601.9</v>
      </c>
      <c r="BM628" s="103">
        <f t="shared" si="28"/>
        <v>198.1045</v>
      </c>
      <c r="BN628" s="103">
        <f t="shared" si="29"/>
        <v>3800.0045</v>
      </c>
      <c r="BO628" s="80">
        <v>3978.3</v>
      </c>
      <c r="BP628" s="77" t="s">
        <v>97</v>
      </c>
      <c r="BQ628" s="77"/>
      <c r="BR628" s="77"/>
      <c r="BS628" s="157">
        <v>2019</v>
      </c>
      <c r="BT628">
        <v>2020</v>
      </c>
      <c r="BU628">
        <v>2019</v>
      </c>
    </row>
    <row r="629" spans="1:73" ht="43.15" customHeight="1" x14ac:dyDescent="0.25">
      <c r="A629" s="241" t="s">
        <v>3845</v>
      </c>
      <c r="B629" s="241" t="s">
        <v>3949</v>
      </c>
      <c r="C629" s="163">
        <v>800</v>
      </c>
      <c r="D629" s="76">
        <v>43797</v>
      </c>
      <c r="E629" s="76">
        <v>43797</v>
      </c>
      <c r="F629" s="76" t="s">
        <v>9</v>
      </c>
      <c r="G629" s="76" t="s">
        <v>9</v>
      </c>
      <c r="H629" s="76">
        <v>43808</v>
      </c>
      <c r="I629" s="76">
        <v>43808</v>
      </c>
      <c r="J629" s="76">
        <v>43816</v>
      </c>
      <c r="K629" s="218"/>
      <c r="L629" s="76">
        <v>43984</v>
      </c>
      <c r="M629" s="76">
        <v>43819</v>
      </c>
      <c r="N629" s="76" t="s">
        <v>9</v>
      </c>
      <c r="O629" s="76">
        <v>44007</v>
      </c>
      <c r="P629" s="76">
        <v>44007</v>
      </c>
      <c r="Q629" s="76">
        <v>44011</v>
      </c>
      <c r="R629" s="82"/>
      <c r="S629" s="76"/>
      <c r="T629" s="77"/>
      <c r="U629" s="77"/>
      <c r="V629" s="77"/>
      <c r="W629" s="77">
        <v>4</v>
      </c>
      <c r="X629" s="77">
        <v>33580</v>
      </c>
      <c r="Y629" s="75" t="str">
        <f ca="1">IF(I629="",IF(D629="","",IF(W629+X629&lt;15,"Données Nb pers ou RFR manquantes",IF(COUNTA(INDIRECT("TabRFR["&amp;YEAR(D629)&amp;"]"))&lt;&gt;COUNTA(TabRFR[Recherche RFR]),"Data RFR manquantes", IF(X629&lt;=INDEX(TabRFR[[2021]:[2025]],MATCH(BD!W629&amp;"-Très modestes",TabRFR[Recherche RFR],0),MATCH(TEXT(YEAR(BD!D629),"Standard"),TabRFR[[#Headers],[2021]:[2025]],0)),"Très Modeste",IF(X629&lt;=INDEX(TabRFR[[2021]:[2025]],MATCH(BD!W629&amp;"-modestes",TabRFR[Recherche RFR],0),MATCH(TEXT(YEAR(BD!D629),"Standard"),TabRFR[[#Headers],[2021]:[2025]],0)),"Modeste",IF(X629&lt;=INDEX(TabRFR[[2021]:[2025]],MATCH(BD!W629&amp;"-Intermédiaire",TabRFR[Recherche RFR],0),MATCH(TEXT(YEAR(BD!D629),"Standard"),TabRFR[[#Headers],[2021]:[2025]],0)),"Intermédiaire","Supérieur")))))),IF(D629="","",IF(W629+X629&lt;15,"Données Nb pers ou RFR manquantes",IF(COUNTA(INDIRECT("TabRFR["&amp;YEAR(I629)&amp;"]"))&lt;&gt;COUNTA(TabRFR[Recherche RFR]),"Data RFR manquantes", IF(X629&lt;=INDEX(TabRFR[[2021]:[2025]],MATCH(BD!W629&amp;"-Très modestes",TabRFR[Recherche RFR],0),MATCH(TEXT(YEAR(BD!I629),"Standard"),TabRFR[[#Headers],[2021]:[2025]],0)),"Très Modeste",IF(X629&lt;=INDEX(TabRFR[[2021]:[2025]],MATCH(BD!W629&amp;"-modestes",TabRFR[Recherche RFR],0),MATCH(TEXT(YEAR(BD!I629),"Standard"),TabRFR[[#Headers],[2021]:[2025]],0)),"Modeste",IF(X629&lt;=INDEX(TabRFR[[2021]:[2025]],MATCH(BD!W629&amp;"-Intermédiaire",TabRFR[Recherche RFR],0),MATCH(TEXT(YEAR(BD!I629),"Standard"),TabRFR[[#Headers],[2021]:[2025]],0)),"Intermédiaire","Supérieur")))))))</f>
        <v>Data RFR manquantes</v>
      </c>
      <c r="Z629" s="77"/>
      <c r="AA629" s="77" t="s">
        <v>4004</v>
      </c>
      <c r="AB629" s="77">
        <v>38500</v>
      </c>
      <c r="AC629" s="77" t="s">
        <v>96</v>
      </c>
      <c r="AD629" s="78"/>
      <c r="AE629" s="102"/>
      <c r="AF629" s="77" t="s">
        <v>95</v>
      </c>
      <c r="AG629" s="77"/>
      <c r="AH629" s="77"/>
      <c r="AI629" s="77"/>
      <c r="AJ629" s="77"/>
      <c r="AK629" s="77"/>
      <c r="AL629" s="77"/>
      <c r="AM629" s="77" t="s">
        <v>4356</v>
      </c>
      <c r="AN629" s="77" t="s">
        <v>96</v>
      </c>
      <c r="AO629" s="77" t="s">
        <v>4025</v>
      </c>
      <c r="AP629" s="77" t="s">
        <v>97</v>
      </c>
      <c r="AQ629" s="77"/>
      <c r="AR629" s="79">
        <v>44138</v>
      </c>
      <c r="AS629" s="102" t="s">
        <v>120</v>
      </c>
      <c r="AT629" s="78" t="s">
        <v>658</v>
      </c>
      <c r="AU629" s="77" t="s">
        <v>1708</v>
      </c>
      <c r="AV629" s="77">
        <v>1990</v>
      </c>
      <c r="AW629" s="77" t="s">
        <v>100</v>
      </c>
      <c r="AX629" s="77" t="s">
        <v>2071</v>
      </c>
      <c r="AY629" s="77" t="s">
        <v>102</v>
      </c>
      <c r="AZ629" s="77" t="s">
        <v>4026</v>
      </c>
      <c r="BA629" s="77">
        <v>17</v>
      </c>
      <c r="BB629" s="77">
        <v>8.1</v>
      </c>
      <c r="BC629" s="77">
        <v>90.9</v>
      </c>
      <c r="BD629" s="77">
        <v>2E-3</v>
      </c>
      <c r="BE629" s="77" t="s">
        <v>97</v>
      </c>
      <c r="BF629" s="77"/>
      <c r="BG629" s="77">
        <v>2867</v>
      </c>
      <c r="BH629" s="77"/>
      <c r="BI629" s="77"/>
      <c r="BJ629" s="77"/>
      <c r="BK629" s="77">
        <v>420</v>
      </c>
      <c r="BL629" s="75">
        <f t="shared" si="27"/>
        <v>3287</v>
      </c>
      <c r="BM629" s="103">
        <f t="shared" si="28"/>
        <v>180.785</v>
      </c>
      <c r="BN629" s="103">
        <f t="shared" si="29"/>
        <v>3467.7849999999999</v>
      </c>
      <c r="BO629" s="80"/>
      <c r="BP629" s="77" t="s">
        <v>97</v>
      </c>
      <c r="BQ629" s="77"/>
      <c r="BR629" s="77"/>
      <c r="BS629" s="157">
        <v>2019</v>
      </c>
      <c r="BU629">
        <v>2020</v>
      </c>
    </row>
    <row r="630" spans="1:73" ht="43.15" customHeight="1" x14ac:dyDescent="0.25">
      <c r="A630" s="241" t="s">
        <v>3845</v>
      </c>
      <c r="B630" s="241" t="s">
        <v>3950</v>
      </c>
      <c r="C630" s="163">
        <v>400</v>
      </c>
      <c r="D630" s="76">
        <v>43802</v>
      </c>
      <c r="E630" s="76">
        <v>43802</v>
      </c>
      <c r="F630" s="76">
        <v>43811</v>
      </c>
      <c r="G630" s="76" t="s">
        <v>4146</v>
      </c>
      <c r="H630" s="76">
        <v>43889</v>
      </c>
      <c r="I630" s="76">
        <v>43889</v>
      </c>
      <c r="J630" s="76">
        <v>43889</v>
      </c>
      <c r="K630" s="218"/>
      <c r="L630" s="76">
        <v>44035</v>
      </c>
      <c r="M630" s="76">
        <v>43993</v>
      </c>
      <c r="N630" s="76" t="s">
        <v>9</v>
      </c>
      <c r="O630" s="76">
        <v>44043</v>
      </c>
      <c r="P630" s="76">
        <v>44043</v>
      </c>
      <c r="Q630" s="76">
        <v>44046</v>
      </c>
      <c r="R630" s="82"/>
      <c r="S630" s="76"/>
      <c r="T630" s="77"/>
      <c r="U630" s="77"/>
      <c r="V630" s="77"/>
      <c r="W630" s="77">
        <v>2</v>
      </c>
      <c r="X630" s="77">
        <v>34897</v>
      </c>
      <c r="Y630" s="75" t="str">
        <f ca="1">IF(I630="",IF(D630="","",IF(W630+X630&lt;15,"Données Nb pers ou RFR manquantes",IF(COUNTA(INDIRECT("TabRFR["&amp;YEAR(D630)&amp;"]"))&lt;&gt;COUNTA(TabRFR[Recherche RFR]),"Data RFR manquantes", IF(X630&lt;=INDEX(TabRFR[[2021]:[2025]],MATCH(BD!W630&amp;"-Très modestes",TabRFR[Recherche RFR],0),MATCH(TEXT(YEAR(BD!D630),"Standard"),TabRFR[[#Headers],[2021]:[2025]],0)),"Très Modeste",IF(X630&lt;=INDEX(TabRFR[[2021]:[2025]],MATCH(BD!W630&amp;"-modestes",TabRFR[Recherche RFR],0),MATCH(TEXT(YEAR(BD!D630),"Standard"),TabRFR[[#Headers],[2021]:[2025]],0)),"Modeste",IF(X630&lt;=INDEX(TabRFR[[2021]:[2025]],MATCH(BD!W630&amp;"-Intermédiaire",TabRFR[Recherche RFR],0),MATCH(TEXT(YEAR(BD!D630),"Standard"),TabRFR[[#Headers],[2021]:[2025]],0)),"Intermédiaire","Supérieur")))))),IF(D630="","",IF(W630+X630&lt;15,"Données Nb pers ou RFR manquantes",IF(COUNTA(INDIRECT("TabRFR["&amp;YEAR(I630)&amp;"]"))&lt;&gt;COUNTA(TabRFR[Recherche RFR]),"Data RFR manquantes", IF(X630&lt;=INDEX(TabRFR[[2021]:[2025]],MATCH(BD!W630&amp;"-Très modestes",TabRFR[Recherche RFR],0),MATCH(TEXT(YEAR(BD!I630),"Standard"),TabRFR[[#Headers],[2021]:[2025]],0)),"Très Modeste",IF(X630&lt;=INDEX(TabRFR[[2021]:[2025]],MATCH(BD!W630&amp;"-modestes",TabRFR[Recherche RFR],0),MATCH(TEXT(YEAR(BD!I630),"Standard"),TabRFR[[#Headers],[2021]:[2025]],0)),"Modeste",IF(X630&lt;=INDEX(TabRFR[[2021]:[2025]],MATCH(BD!W630&amp;"-Intermédiaire",TabRFR[Recherche RFR],0),MATCH(TEXT(YEAR(BD!I630),"Standard"),TabRFR[[#Headers],[2021]:[2025]],0)),"Intermédiaire","Supérieur")))))))</f>
        <v>Data RFR manquantes</v>
      </c>
      <c r="Z630" s="77"/>
      <c r="AA630" s="77" t="s">
        <v>4006</v>
      </c>
      <c r="AB630" s="77">
        <v>38500</v>
      </c>
      <c r="AC630" s="77" t="s">
        <v>118</v>
      </c>
      <c r="AD630" s="78"/>
      <c r="AE630" s="102"/>
      <c r="AF630" s="77" t="s">
        <v>95</v>
      </c>
      <c r="AG630" s="77"/>
      <c r="AH630" s="77"/>
      <c r="AI630" s="77"/>
      <c r="AJ630" s="77"/>
      <c r="AK630" s="77"/>
      <c r="AL630" s="77"/>
      <c r="AM630" s="77" t="s">
        <v>4356</v>
      </c>
      <c r="AN630" s="77" t="s">
        <v>96</v>
      </c>
      <c r="AO630" s="77" t="s">
        <v>4025</v>
      </c>
      <c r="AP630" s="77" t="s">
        <v>97</v>
      </c>
      <c r="AQ630" s="77"/>
      <c r="AR630" s="79">
        <v>44138</v>
      </c>
      <c r="AS630" s="102" t="s">
        <v>120</v>
      </c>
      <c r="AT630" s="78" t="s">
        <v>658</v>
      </c>
      <c r="AU630" s="77" t="s">
        <v>3967</v>
      </c>
      <c r="AV630" s="77">
        <v>1995</v>
      </c>
      <c r="AW630" s="77" t="s">
        <v>100</v>
      </c>
      <c r="AX630" s="77" t="s">
        <v>112</v>
      </c>
      <c r="AY630" s="77" t="s">
        <v>190</v>
      </c>
      <c r="AZ630" s="77" t="s">
        <v>4030</v>
      </c>
      <c r="BA630" s="77">
        <v>30</v>
      </c>
      <c r="BB630" s="77">
        <v>6.5</v>
      </c>
      <c r="BC630" s="77">
        <v>80.2</v>
      </c>
      <c r="BD630" s="77">
        <v>0.03</v>
      </c>
      <c r="BE630" s="77" t="s">
        <v>97</v>
      </c>
      <c r="BF630" s="77"/>
      <c r="BG630" s="77">
        <v>1933.65</v>
      </c>
      <c r="BH630" s="77"/>
      <c r="BI630" s="77"/>
      <c r="BJ630" s="77"/>
      <c r="BK630" s="77">
        <v>450</v>
      </c>
      <c r="BL630" s="75">
        <f t="shared" si="27"/>
        <v>2383.65</v>
      </c>
      <c r="BM630" s="103">
        <f t="shared" si="28"/>
        <v>131.10075000000001</v>
      </c>
      <c r="BN630" s="103">
        <f t="shared" si="29"/>
        <v>2514.7507500000002</v>
      </c>
      <c r="BO630" s="80"/>
      <c r="BP630" s="77" t="s">
        <v>97</v>
      </c>
      <c r="BQ630" s="77"/>
      <c r="BR630" s="77"/>
      <c r="BS630" s="157">
        <v>2020</v>
      </c>
      <c r="BT630">
        <v>2020</v>
      </c>
      <c r="BU630">
        <v>2020</v>
      </c>
    </row>
    <row r="631" spans="1:73" ht="43.15" customHeight="1" x14ac:dyDescent="0.25">
      <c r="A631" s="241" t="s">
        <v>3845</v>
      </c>
      <c r="B631" s="241" t="s">
        <v>3951</v>
      </c>
      <c r="C631" s="163">
        <v>800</v>
      </c>
      <c r="D631" s="76">
        <v>43803</v>
      </c>
      <c r="E631" s="76">
        <v>43804</v>
      </c>
      <c r="F631" s="76" t="s">
        <v>9</v>
      </c>
      <c r="G631" s="76" t="s">
        <v>9</v>
      </c>
      <c r="H631" s="76">
        <v>43811</v>
      </c>
      <c r="I631" s="76">
        <v>43811</v>
      </c>
      <c r="J631" s="76">
        <v>43817</v>
      </c>
      <c r="K631" s="218"/>
      <c r="L631" s="76">
        <v>43887</v>
      </c>
      <c r="M631" s="76">
        <v>43832</v>
      </c>
      <c r="N631" s="76" t="s">
        <v>4044</v>
      </c>
      <c r="O631" s="76">
        <v>43894</v>
      </c>
      <c r="P631" s="76">
        <v>43894</v>
      </c>
      <c r="Q631" s="76">
        <v>43900</v>
      </c>
      <c r="R631" s="82"/>
      <c r="S631" s="76"/>
      <c r="T631" s="77"/>
      <c r="U631" s="77"/>
      <c r="V631" s="77"/>
      <c r="W631" s="77">
        <v>2</v>
      </c>
      <c r="X631" s="77">
        <v>20870</v>
      </c>
      <c r="Y631" s="75" t="str">
        <f ca="1">IF(I631="",IF(D631="","",IF(W631+X631&lt;15,"Données Nb pers ou RFR manquantes",IF(COUNTA(INDIRECT("TabRFR["&amp;YEAR(D631)&amp;"]"))&lt;&gt;COUNTA(TabRFR[Recherche RFR]),"Data RFR manquantes", IF(X631&lt;=INDEX(TabRFR[[2021]:[2025]],MATCH(BD!W631&amp;"-Très modestes",TabRFR[Recherche RFR],0),MATCH(TEXT(YEAR(BD!D631),"Standard"),TabRFR[[#Headers],[2021]:[2025]],0)),"Très Modeste",IF(X631&lt;=INDEX(TabRFR[[2021]:[2025]],MATCH(BD!W631&amp;"-modestes",TabRFR[Recherche RFR],0),MATCH(TEXT(YEAR(BD!D631),"Standard"),TabRFR[[#Headers],[2021]:[2025]],0)),"Modeste",IF(X631&lt;=INDEX(TabRFR[[2021]:[2025]],MATCH(BD!W631&amp;"-Intermédiaire",TabRFR[Recherche RFR],0),MATCH(TEXT(YEAR(BD!D631),"Standard"),TabRFR[[#Headers],[2021]:[2025]],0)),"Intermédiaire","Supérieur")))))),IF(D631="","",IF(W631+X631&lt;15,"Données Nb pers ou RFR manquantes",IF(COUNTA(INDIRECT("TabRFR["&amp;YEAR(I631)&amp;"]"))&lt;&gt;COUNTA(TabRFR[Recherche RFR]),"Data RFR manquantes", IF(X631&lt;=INDEX(TabRFR[[2021]:[2025]],MATCH(BD!W631&amp;"-Très modestes",TabRFR[Recherche RFR],0),MATCH(TEXT(YEAR(BD!I631),"Standard"),TabRFR[[#Headers],[2021]:[2025]],0)),"Très Modeste",IF(X631&lt;=INDEX(TabRFR[[2021]:[2025]],MATCH(BD!W631&amp;"-modestes",TabRFR[Recherche RFR],0),MATCH(TEXT(YEAR(BD!I631),"Standard"),TabRFR[[#Headers],[2021]:[2025]],0)),"Modeste",IF(X631&lt;=INDEX(TabRFR[[2021]:[2025]],MATCH(BD!W631&amp;"-Intermédiaire",TabRFR[Recherche RFR],0),MATCH(TEXT(YEAR(BD!I631),"Standard"),TabRFR[[#Headers],[2021]:[2025]],0)),"Intermédiaire","Supérieur")))))))</f>
        <v>Data RFR manquantes</v>
      </c>
      <c r="Z631" s="77"/>
      <c r="AA631" s="77" t="s">
        <v>4017</v>
      </c>
      <c r="AB631" s="77">
        <v>38500</v>
      </c>
      <c r="AC631" s="77" t="s">
        <v>96</v>
      </c>
      <c r="AD631" s="78"/>
      <c r="AE631" s="102"/>
      <c r="AF631" s="77" t="s">
        <v>95</v>
      </c>
      <c r="AG631" s="77"/>
      <c r="AH631" s="77"/>
      <c r="AI631" s="77"/>
      <c r="AJ631" s="77"/>
      <c r="AK631" s="77"/>
      <c r="AL631" s="77"/>
      <c r="AM631" s="77" t="s">
        <v>4031</v>
      </c>
      <c r="AN631" s="77" t="s">
        <v>4109</v>
      </c>
      <c r="AO631" s="77" t="s">
        <v>4032</v>
      </c>
      <c r="AP631" s="77" t="s">
        <v>97</v>
      </c>
      <c r="AQ631" s="77"/>
      <c r="AR631" s="79">
        <v>43903</v>
      </c>
      <c r="AS631" s="102" t="s">
        <v>156</v>
      </c>
      <c r="AT631" s="78" t="s">
        <v>9</v>
      </c>
      <c r="AU631" s="77" t="s">
        <v>1708</v>
      </c>
      <c r="AV631" s="77">
        <v>1982</v>
      </c>
      <c r="AW631" s="77" t="s">
        <v>100</v>
      </c>
      <c r="AX631" s="77" t="s">
        <v>112</v>
      </c>
      <c r="AY631" s="77" t="s">
        <v>258</v>
      </c>
      <c r="AZ631" s="77" t="s">
        <v>4033</v>
      </c>
      <c r="BA631" s="77">
        <v>28</v>
      </c>
      <c r="BB631" s="77">
        <v>6</v>
      </c>
      <c r="BC631" s="77">
        <v>81.3</v>
      </c>
      <c r="BD631" s="77">
        <v>0.1</v>
      </c>
      <c r="BE631" s="77" t="s">
        <v>97</v>
      </c>
      <c r="BF631" s="77"/>
      <c r="BG631" s="77">
        <v>1833.27</v>
      </c>
      <c r="BH631" s="77"/>
      <c r="BI631" s="77"/>
      <c r="BJ631" s="77"/>
      <c r="BK631" s="77">
        <v>686.59</v>
      </c>
      <c r="BL631" s="75">
        <f t="shared" si="27"/>
        <v>2519.86</v>
      </c>
      <c r="BM631" s="103">
        <f t="shared" si="28"/>
        <v>138.59229999999999</v>
      </c>
      <c r="BN631" s="103">
        <f t="shared" si="29"/>
        <v>2658.4522999999999</v>
      </c>
      <c r="BO631" s="80">
        <v>2617.3200000000002</v>
      </c>
      <c r="BP631" s="77" t="s">
        <v>97</v>
      </c>
      <c r="BQ631" s="77"/>
      <c r="BR631" s="77"/>
      <c r="BS631" s="157">
        <v>2019</v>
      </c>
      <c r="BT631">
        <v>2020</v>
      </c>
      <c r="BU631">
        <v>2019</v>
      </c>
    </row>
    <row r="632" spans="1:73" ht="43.15" customHeight="1" x14ac:dyDescent="0.25">
      <c r="A632" s="31" t="s">
        <v>3845</v>
      </c>
      <c r="B632" s="31" t="s">
        <v>3952</v>
      </c>
      <c r="C632" s="163" t="s">
        <v>9</v>
      </c>
      <c r="D632" s="76">
        <v>43803</v>
      </c>
      <c r="E632" s="76">
        <v>43804</v>
      </c>
      <c r="F632" s="76">
        <v>43811</v>
      </c>
      <c r="G632" s="76" t="s">
        <v>4290</v>
      </c>
      <c r="H632" s="76"/>
      <c r="I632" s="76"/>
      <c r="J632" s="76"/>
      <c r="K632" s="218"/>
      <c r="L632" s="76"/>
      <c r="M632" s="76"/>
      <c r="N632" s="76"/>
      <c r="O632" s="76"/>
      <c r="P632" s="76"/>
      <c r="Q632" s="76"/>
      <c r="R632" s="82"/>
      <c r="S632" s="76">
        <v>44012</v>
      </c>
      <c r="T632" s="77" t="s">
        <v>4311</v>
      </c>
      <c r="U632" s="77"/>
      <c r="V632" s="77"/>
      <c r="W632" s="77">
        <v>3</v>
      </c>
      <c r="X632" s="77">
        <v>62329</v>
      </c>
      <c r="Y632" s="75" t="str">
        <f ca="1">IF(I632="",IF(D632="","",IF(W632+X632&lt;15,"Données Nb pers ou RFR manquantes",IF(COUNTA(INDIRECT("TabRFR["&amp;YEAR(D632)&amp;"]"))&lt;&gt;COUNTA(TabRFR[Recherche RFR]),"Data RFR manquantes", IF(X632&lt;=INDEX(TabRFR[[2021]:[2025]],MATCH(BD!W632&amp;"-Très modestes",TabRFR[Recherche RFR],0),MATCH(TEXT(YEAR(BD!D632),"Standard"),TabRFR[[#Headers],[2021]:[2025]],0)),"Très Modeste",IF(X632&lt;=INDEX(TabRFR[[2021]:[2025]],MATCH(BD!W632&amp;"-modestes",TabRFR[Recherche RFR],0),MATCH(TEXT(YEAR(BD!D632),"Standard"),TabRFR[[#Headers],[2021]:[2025]],0)),"Modeste",IF(X632&lt;=INDEX(TabRFR[[2021]:[2025]],MATCH(BD!W632&amp;"-Intermédiaire",TabRFR[Recherche RFR],0),MATCH(TEXT(YEAR(BD!D632),"Standard"),TabRFR[[#Headers],[2021]:[2025]],0)),"Intermédiaire","Supérieur")))))),IF(D632="","",IF(W632+X632&lt;15,"Données Nb pers ou RFR manquantes",IF(COUNTA(INDIRECT("TabRFR["&amp;YEAR(I632)&amp;"]"))&lt;&gt;COUNTA(TabRFR[Recherche RFR]),"Data RFR manquantes", IF(X632&lt;=INDEX(TabRFR[[2021]:[2025]],MATCH(BD!W632&amp;"-Très modestes",TabRFR[Recherche RFR],0),MATCH(TEXT(YEAR(BD!I632),"Standard"),TabRFR[[#Headers],[2021]:[2025]],0)),"Très Modeste",IF(X632&lt;=INDEX(TabRFR[[2021]:[2025]],MATCH(BD!W632&amp;"-modestes",TabRFR[Recherche RFR],0),MATCH(TEXT(YEAR(BD!I632),"Standard"),TabRFR[[#Headers],[2021]:[2025]],0)),"Modeste",IF(X632&lt;=INDEX(TabRFR[[2021]:[2025]],MATCH(BD!W632&amp;"-Intermédiaire",TabRFR[Recherche RFR],0),MATCH(TEXT(YEAR(BD!I632),"Standard"),TabRFR[[#Headers],[2021]:[2025]],0)),"Intermédiaire","Supérieur")))))))</f>
        <v>Data RFR manquantes</v>
      </c>
      <c r="Z632" s="77"/>
      <c r="AA632" s="77" t="s">
        <v>4018</v>
      </c>
      <c r="AB632" s="77">
        <v>38430</v>
      </c>
      <c r="AC632" s="77" t="s">
        <v>217</v>
      </c>
      <c r="AD632" s="78"/>
      <c r="AE632" s="102"/>
      <c r="AF632" s="77" t="s">
        <v>95</v>
      </c>
      <c r="AG632" s="77"/>
      <c r="AH632" s="77"/>
      <c r="AI632" s="77"/>
      <c r="AJ632" s="77"/>
      <c r="AK632" s="77"/>
      <c r="AL632" s="77"/>
      <c r="AM632" s="77" t="s">
        <v>1621</v>
      </c>
      <c r="AN632" s="77" t="s">
        <v>3966</v>
      </c>
      <c r="AO632" s="77" t="s">
        <v>3993</v>
      </c>
      <c r="AP632" s="77" t="s">
        <v>97</v>
      </c>
      <c r="AQ632" s="77"/>
      <c r="AR632" s="79">
        <v>44068</v>
      </c>
      <c r="AS632" s="102" t="s">
        <v>1618</v>
      </c>
      <c r="AT632" s="78" t="s">
        <v>3533</v>
      </c>
      <c r="AU632" s="77" t="s">
        <v>100</v>
      </c>
      <c r="AV632" s="77"/>
      <c r="AW632" s="77" t="s">
        <v>100</v>
      </c>
      <c r="AX632" s="77" t="s">
        <v>2071</v>
      </c>
      <c r="AY632" s="77" t="s">
        <v>102</v>
      </c>
      <c r="AZ632" s="77" t="s">
        <v>4178</v>
      </c>
      <c r="BA632" s="77">
        <v>17</v>
      </c>
      <c r="BB632" s="77">
        <v>10.1</v>
      </c>
      <c r="BC632" s="77">
        <v>90</v>
      </c>
      <c r="BD632" s="77">
        <v>0.02</v>
      </c>
      <c r="BE632" s="77" t="s">
        <v>97</v>
      </c>
      <c r="BF632" s="77"/>
      <c r="BG632" s="77">
        <v>3580.6</v>
      </c>
      <c r="BH632" s="77"/>
      <c r="BI632" s="77"/>
      <c r="BJ632" s="77"/>
      <c r="BK632" s="77">
        <v>300</v>
      </c>
      <c r="BL632" s="75">
        <f t="shared" si="27"/>
        <v>3880.6</v>
      </c>
      <c r="BM632" s="103">
        <f t="shared" si="28"/>
        <v>213.43299999999999</v>
      </c>
      <c r="BN632" s="103">
        <f t="shared" si="29"/>
        <v>4094.0329999999999</v>
      </c>
      <c r="BO632" s="80"/>
      <c r="BP632" s="77" t="s">
        <v>104</v>
      </c>
      <c r="BQ632" s="77"/>
      <c r="BR632" s="77"/>
      <c r="BS632" s="157">
        <v>2020</v>
      </c>
      <c r="BU632" t="s">
        <v>4180</v>
      </c>
    </row>
    <row r="633" spans="1:73" ht="43.15" customHeight="1" x14ac:dyDescent="0.25">
      <c r="A633" s="241" t="s">
        <v>3845</v>
      </c>
      <c r="B633" s="241" t="s">
        <v>3953</v>
      </c>
      <c r="C633" s="163">
        <v>400</v>
      </c>
      <c r="D633" s="76">
        <v>43808</v>
      </c>
      <c r="E633" s="76">
        <v>43808</v>
      </c>
      <c r="F633" s="76">
        <v>43811</v>
      </c>
      <c r="G633" s="76" t="s">
        <v>3235</v>
      </c>
      <c r="H633" s="76">
        <v>43861</v>
      </c>
      <c r="I633" s="76">
        <v>43861</v>
      </c>
      <c r="J633" s="76">
        <v>43861</v>
      </c>
      <c r="K633" s="218"/>
      <c r="L633" s="76">
        <v>43873</v>
      </c>
      <c r="M633" s="76">
        <v>43869</v>
      </c>
      <c r="N633" s="76" t="s">
        <v>9</v>
      </c>
      <c r="O633" s="76">
        <v>43874</v>
      </c>
      <c r="P633" s="76">
        <v>43874</v>
      </c>
      <c r="Q633" s="76">
        <v>43875</v>
      </c>
      <c r="R633" s="82"/>
      <c r="S633" s="76"/>
      <c r="T633" s="77"/>
      <c r="U633" s="77"/>
      <c r="V633" s="77"/>
      <c r="W633" s="77">
        <v>2</v>
      </c>
      <c r="X633" s="77">
        <v>85326</v>
      </c>
      <c r="Y633" s="75" t="str">
        <f ca="1">IF(I633="",IF(D633="","",IF(W633+X633&lt;15,"Données Nb pers ou RFR manquantes",IF(COUNTA(INDIRECT("TabRFR["&amp;YEAR(D633)&amp;"]"))&lt;&gt;COUNTA(TabRFR[Recherche RFR]),"Data RFR manquantes", IF(X633&lt;=INDEX(TabRFR[[2021]:[2025]],MATCH(BD!W633&amp;"-Très modestes",TabRFR[Recherche RFR],0),MATCH(TEXT(YEAR(BD!D633),"Standard"),TabRFR[[#Headers],[2021]:[2025]],0)),"Très Modeste",IF(X633&lt;=INDEX(TabRFR[[2021]:[2025]],MATCH(BD!W633&amp;"-modestes",TabRFR[Recherche RFR],0),MATCH(TEXT(YEAR(BD!D633),"Standard"),TabRFR[[#Headers],[2021]:[2025]],0)),"Modeste",IF(X633&lt;=INDEX(TabRFR[[2021]:[2025]],MATCH(BD!W633&amp;"-Intermédiaire",TabRFR[Recherche RFR],0),MATCH(TEXT(YEAR(BD!D633),"Standard"),TabRFR[[#Headers],[2021]:[2025]],0)),"Intermédiaire","Supérieur")))))),IF(D633="","",IF(W633+X633&lt;15,"Données Nb pers ou RFR manquantes",IF(COUNTA(INDIRECT("TabRFR["&amp;YEAR(I633)&amp;"]"))&lt;&gt;COUNTA(TabRFR[Recherche RFR]),"Data RFR manquantes", IF(X633&lt;=INDEX(TabRFR[[2021]:[2025]],MATCH(BD!W633&amp;"-Très modestes",TabRFR[Recherche RFR],0),MATCH(TEXT(YEAR(BD!I633),"Standard"),TabRFR[[#Headers],[2021]:[2025]],0)),"Très Modeste",IF(X633&lt;=INDEX(TabRFR[[2021]:[2025]],MATCH(BD!W633&amp;"-modestes",TabRFR[Recherche RFR],0),MATCH(TEXT(YEAR(BD!I633),"Standard"),TabRFR[[#Headers],[2021]:[2025]],0)),"Modeste",IF(X633&lt;=INDEX(TabRFR[[2021]:[2025]],MATCH(BD!W633&amp;"-Intermédiaire",TabRFR[Recherche RFR],0),MATCH(TEXT(YEAR(BD!I633),"Standard"),TabRFR[[#Headers],[2021]:[2025]],0)),"Intermédiaire","Supérieur")))))))</f>
        <v>Data RFR manquantes</v>
      </c>
      <c r="Z633" s="77"/>
      <c r="AA633" s="77" t="s">
        <v>4020</v>
      </c>
      <c r="AB633" s="77">
        <v>38430</v>
      </c>
      <c r="AC633" s="77" t="s">
        <v>3202</v>
      </c>
      <c r="AD633" s="78"/>
      <c r="AE633" s="102"/>
      <c r="AF633" s="77" t="s">
        <v>95</v>
      </c>
      <c r="AG633" s="77"/>
      <c r="AH633" s="77"/>
      <c r="AI633" s="77"/>
      <c r="AJ633" s="77"/>
      <c r="AK633" s="77"/>
      <c r="AL633" s="77"/>
      <c r="AM633" s="77" t="s">
        <v>4356</v>
      </c>
      <c r="AN633" s="77" t="s">
        <v>96</v>
      </c>
      <c r="AO633" s="77" t="s">
        <v>4025</v>
      </c>
      <c r="AP633" s="77" t="s">
        <v>97</v>
      </c>
      <c r="AQ633" s="77"/>
      <c r="AR633" s="79">
        <v>44138</v>
      </c>
      <c r="AS633" s="102" t="s">
        <v>120</v>
      </c>
      <c r="AT633" s="78" t="s">
        <v>658</v>
      </c>
      <c r="AU633" s="77" t="s">
        <v>100</v>
      </c>
      <c r="AV633" s="77">
        <v>2000</v>
      </c>
      <c r="AW633" s="77" t="s">
        <v>100</v>
      </c>
      <c r="AX633" s="77" t="s">
        <v>2071</v>
      </c>
      <c r="AY633" s="77" t="s">
        <v>102</v>
      </c>
      <c r="AZ633" s="77" t="s">
        <v>4034</v>
      </c>
      <c r="BA633" s="77">
        <v>18</v>
      </c>
      <c r="BB633" s="77">
        <v>10</v>
      </c>
      <c r="BC633" s="77">
        <v>90.4</v>
      </c>
      <c r="BD633" s="77">
        <v>3.0000000000000001E-3</v>
      </c>
      <c r="BE633" s="77" t="s">
        <v>97</v>
      </c>
      <c r="BF633" s="77"/>
      <c r="BG633" s="77">
        <v>4302</v>
      </c>
      <c r="BH633" s="77"/>
      <c r="BI633" s="77"/>
      <c r="BJ633" s="77"/>
      <c r="BK633" s="77">
        <v>450</v>
      </c>
      <c r="BL633" s="75">
        <f t="shared" si="27"/>
        <v>4752</v>
      </c>
      <c r="BM633" s="103">
        <f t="shared" si="28"/>
        <v>261.36</v>
      </c>
      <c r="BN633" s="103">
        <f t="shared" si="29"/>
        <v>5013.3599999999997</v>
      </c>
      <c r="BO633" s="80">
        <v>5586.25</v>
      </c>
      <c r="BP633" s="77" t="s">
        <v>97</v>
      </c>
      <c r="BQ633" s="77"/>
      <c r="BR633" s="77"/>
      <c r="BS633" s="157">
        <v>2019</v>
      </c>
      <c r="BU633">
        <v>2020</v>
      </c>
    </row>
    <row r="634" spans="1:73" ht="43.15" customHeight="1" x14ac:dyDescent="0.25">
      <c r="A634" s="241" t="s">
        <v>3845</v>
      </c>
      <c r="B634" s="241" t="s">
        <v>4008</v>
      </c>
      <c r="C634" s="163">
        <v>400</v>
      </c>
      <c r="D634" s="76">
        <v>43808</v>
      </c>
      <c r="E634" s="76">
        <v>43808</v>
      </c>
      <c r="F634" s="76" t="s">
        <v>9</v>
      </c>
      <c r="G634" s="76" t="s">
        <v>9</v>
      </c>
      <c r="H634" s="76">
        <v>43811</v>
      </c>
      <c r="I634" s="76">
        <v>43811</v>
      </c>
      <c r="J634" s="76">
        <v>43817</v>
      </c>
      <c r="K634" s="218"/>
      <c r="L634" s="76">
        <v>44090</v>
      </c>
      <c r="M634" s="76">
        <v>44082</v>
      </c>
      <c r="N634" s="76" t="s">
        <v>4044</v>
      </c>
      <c r="O634" s="76">
        <v>44096</v>
      </c>
      <c r="P634" s="76">
        <v>44096</v>
      </c>
      <c r="Q634" s="76">
        <v>44096</v>
      </c>
      <c r="R634" s="82"/>
      <c r="S634" s="76"/>
      <c r="T634" s="77"/>
      <c r="U634" s="77"/>
      <c r="V634" s="77"/>
      <c r="W634" s="77">
        <v>2</v>
      </c>
      <c r="X634" s="77">
        <v>71362</v>
      </c>
      <c r="Y634" s="75" t="str">
        <f ca="1">IF(I634="",IF(D634="","",IF(W634+X634&lt;15,"Données Nb pers ou RFR manquantes",IF(COUNTA(INDIRECT("TabRFR["&amp;YEAR(D634)&amp;"]"))&lt;&gt;COUNTA(TabRFR[Recherche RFR]),"Data RFR manquantes", IF(X634&lt;=INDEX(TabRFR[[2021]:[2025]],MATCH(BD!W634&amp;"-Très modestes",TabRFR[Recherche RFR],0),MATCH(TEXT(YEAR(BD!D634),"Standard"),TabRFR[[#Headers],[2021]:[2025]],0)),"Très Modeste",IF(X634&lt;=INDEX(TabRFR[[2021]:[2025]],MATCH(BD!W634&amp;"-modestes",TabRFR[Recherche RFR],0),MATCH(TEXT(YEAR(BD!D634),"Standard"),TabRFR[[#Headers],[2021]:[2025]],0)),"Modeste",IF(X634&lt;=INDEX(TabRFR[[2021]:[2025]],MATCH(BD!W634&amp;"-Intermédiaire",TabRFR[Recherche RFR],0),MATCH(TEXT(YEAR(BD!D634),"Standard"),TabRFR[[#Headers],[2021]:[2025]],0)),"Intermédiaire","Supérieur")))))),IF(D634="","",IF(W634+X634&lt;15,"Données Nb pers ou RFR manquantes",IF(COUNTA(INDIRECT("TabRFR["&amp;YEAR(I634)&amp;"]"))&lt;&gt;COUNTA(TabRFR[Recherche RFR]),"Data RFR manquantes", IF(X634&lt;=INDEX(TabRFR[[2021]:[2025]],MATCH(BD!W634&amp;"-Très modestes",TabRFR[Recherche RFR],0),MATCH(TEXT(YEAR(BD!I634),"Standard"),TabRFR[[#Headers],[2021]:[2025]],0)),"Très Modeste",IF(X634&lt;=INDEX(TabRFR[[2021]:[2025]],MATCH(BD!W634&amp;"-modestes",TabRFR[Recherche RFR],0),MATCH(TEXT(YEAR(BD!I634),"Standard"),TabRFR[[#Headers],[2021]:[2025]],0)),"Modeste",IF(X634&lt;=INDEX(TabRFR[[2021]:[2025]],MATCH(BD!W634&amp;"-Intermédiaire",TabRFR[Recherche RFR],0),MATCH(TEXT(YEAR(BD!I634),"Standard"),TabRFR[[#Headers],[2021]:[2025]],0)),"Intermédiaire","Supérieur")))))))</f>
        <v>Data RFR manquantes</v>
      </c>
      <c r="Z634" s="77"/>
      <c r="AA634" s="77" t="s">
        <v>4021</v>
      </c>
      <c r="AB634" s="77">
        <v>38340</v>
      </c>
      <c r="AC634" s="77" t="s">
        <v>108</v>
      </c>
      <c r="AD634" s="78"/>
      <c r="AE634" s="102"/>
      <c r="AF634" s="77" t="s">
        <v>95</v>
      </c>
      <c r="AG634" s="77"/>
      <c r="AH634" s="77"/>
      <c r="AI634" s="77"/>
      <c r="AJ634" s="77"/>
      <c r="AK634" s="77"/>
      <c r="AL634" s="77"/>
      <c r="AM634" s="77" t="s">
        <v>4035</v>
      </c>
      <c r="AN634" s="77" t="s">
        <v>108</v>
      </c>
      <c r="AO634" s="77" t="s">
        <v>4036</v>
      </c>
      <c r="AP634" s="77" t="s">
        <v>97</v>
      </c>
      <c r="AQ634" s="77"/>
      <c r="AR634" s="79">
        <v>44010</v>
      </c>
      <c r="AS634" s="102" t="s">
        <v>110</v>
      </c>
      <c r="AT634" s="78" t="s">
        <v>616</v>
      </c>
      <c r="AU634" s="77" t="s">
        <v>1708</v>
      </c>
      <c r="AV634" s="77">
        <v>1981</v>
      </c>
      <c r="AW634" s="77" t="s">
        <v>100</v>
      </c>
      <c r="AX634" s="77" t="s">
        <v>112</v>
      </c>
      <c r="AY634" s="77" t="s">
        <v>113</v>
      </c>
      <c r="AZ634" s="77" t="s">
        <v>3846</v>
      </c>
      <c r="BA634" s="77">
        <v>32</v>
      </c>
      <c r="BB634" s="77">
        <v>7</v>
      </c>
      <c r="BC634" s="77">
        <v>77.8</v>
      </c>
      <c r="BD634" s="77">
        <v>0.08</v>
      </c>
      <c r="BE634" s="77" t="s">
        <v>97</v>
      </c>
      <c r="BF634" s="77"/>
      <c r="BG634" s="77">
        <v>1991.67</v>
      </c>
      <c r="BH634" s="77"/>
      <c r="BI634" s="77"/>
      <c r="BJ634" s="77"/>
      <c r="BK634" s="77">
        <v>650</v>
      </c>
      <c r="BL634" s="75">
        <f t="shared" si="27"/>
        <v>2641.67</v>
      </c>
      <c r="BM634" s="103">
        <f t="shared" si="28"/>
        <v>145.29185000000001</v>
      </c>
      <c r="BN634" s="103">
        <f t="shared" si="29"/>
        <v>2786.9618500000001</v>
      </c>
      <c r="BO634" s="80"/>
      <c r="BP634" s="77" t="s">
        <v>104</v>
      </c>
      <c r="BQ634" s="77"/>
      <c r="BR634" s="77"/>
      <c r="BS634" s="157">
        <v>2019</v>
      </c>
      <c r="BT634">
        <v>2020</v>
      </c>
      <c r="BU634">
        <v>2020</v>
      </c>
    </row>
    <row r="635" spans="1:73" ht="43.15" customHeight="1" x14ac:dyDescent="0.25">
      <c r="A635" s="241" t="s">
        <v>3845</v>
      </c>
      <c r="B635" s="241" t="s">
        <v>4009</v>
      </c>
      <c r="C635" s="163">
        <v>400</v>
      </c>
      <c r="D635" s="76">
        <v>43809</v>
      </c>
      <c r="E635" s="76">
        <v>43809</v>
      </c>
      <c r="F635" s="76">
        <v>43811</v>
      </c>
      <c r="G635" s="76" t="s">
        <v>2158</v>
      </c>
      <c r="H635" s="76">
        <v>43819</v>
      </c>
      <c r="I635" s="76">
        <v>43819</v>
      </c>
      <c r="J635" s="76">
        <v>43857</v>
      </c>
      <c r="K635" s="218"/>
      <c r="L635" s="76">
        <v>43888</v>
      </c>
      <c r="M635" s="76">
        <v>43855</v>
      </c>
      <c r="N635" s="76" t="s">
        <v>4044</v>
      </c>
      <c r="O635" s="76">
        <v>43894</v>
      </c>
      <c r="P635" s="76">
        <v>43894</v>
      </c>
      <c r="Q635" s="76">
        <v>43900</v>
      </c>
      <c r="R635" s="82"/>
      <c r="S635" s="76"/>
      <c r="T635" s="77"/>
      <c r="U635" s="77"/>
      <c r="V635" s="77"/>
      <c r="W635" s="77">
        <v>2</v>
      </c>
      <c r="X635" s="77">
        <v>48533</v>
      </c>
      <c r="Y635" s="75" t="str">
        <f ca="1">IF(I635="",IF(D635="","",IF(W635+X635&lt;15,"Données Nb pers ou RFR manquantes",IF(COUNTA(INDIRECT("TabRFR["&amp;YEAR(D635)&amp;"]"))&lt;&gt;COUNTA(TabRFR[Recherche RFR]),"Data RFR manquantes", IF(X635&lt;=INDEX(TabRFR[[2021]:[2025]],MATCH(BD!W635&amp;"-Très modestes",TabRFR[Recherche RFR],0),MATCH(TEXT(YEAR(BD!D635),"Standard"),TabRFR[[#Headers],[2021]:[2025]],0)),"Très Modeste",IF(X635&lt;=INDEX(TabRFR[[2021]:[2025]],MATCH(BD!W635&amp;"-modestes",TabRFR[Recherche RFR],0),MATCH(TEXT(YEAR(BD!D635),"Standard"),TabRFR[[#Headers],[2021]:[2025]],0)),"Modeste",IF(X635&lt;=INDEX(TabRFR[[2021]:[2025]],MATCH(BD!W635&amp;"-Intermédiaire",TabRFR[Recherche RFR],0),MATCH(TEXT(YEAR(BD!D635),"Standard"),TabRFR[[#Headers],[2021]:[2025]],0)),"Intermédiaire","Supérieur")))))),IF(D635="","",IF(W635+X635&lt;15,"Données Nb pers ou RFR manquantes",IF(COUNTA(INDIRECT("TabRFR["&amp;YEAR(I635)&amp;"]"))&lt;&gt;COUNTA(TabRFR[Recherche RFR]),"Data RFR manquantes", IF(X635&lt;=INDEX(TabRFR[[2021]:[2025]],MATCH(BD!W635&amp;"-Très modestes",TabRFR[Recherche RFR],0),MATCH(TEXT(YEAR(BD!I635),"Standard"),TabRFR[[#Headers],[2021]:[2025]],0)),"Très Modeste",IF(X635&lt;=INDEX(TabRFR[[2021]:[2025]],MATCH(BD!W635&amp;"-modestes",TabRFR[Recherche RFR],0),MATCH(TEXT(YEAR(BD!I635),"Standard"),TabRFR[[#Headers],[2021]:[2025]],0)),"Modeste",IF(X635&lt;=INDEX(TabRFR[[2021]:[2025]],MATCH(BD!W635&amp;"-Intermédiaire",TabRFR[Recherche RFR],0),MATCH(TEXT(YEAR(BD!I635),"Standard"),TabRFR[[#Headers],[2021]:[2025]],0)),"Intermédiaire","Supérieur")))))))</f>
        <v>Data RFR manquantes</v>
      </c>
      <c r="Z635" s="77"/>
      <c r="AA635" s="77" t="s">
        <v>4027</v>
      </c>
      <c r="AB635" s="77">
        <v>38850</v>
      </c>
      <c r="AC635" s="77" t="s">
        <v>148</v>
      </c>
      <c r="AD635" s="78"/>
      <c r="AE635" s="102"/>
      <c r="AF635" s="77" t="s">
        <v>95</v>
      </c>
      <c r="AG635" s="77"/>
      <c r="AH635" s="77"/>
      <c r="AI635" s="77"/>
      <c r="AJ635" s="77"/>
      <c r="AK635" s="77"/>
      <c r="AL635" s="77"/>
      <c r="AM635" s="77" t="s">
        <v>2246</v>
      </c>
      <c r="AN635" s="77" t="s">
        <v>96</v>
      </c>
      <c r="AO635" s="77" t="s">
        <v>4025</v>
      </c>
      <c r="AP635" s="77" t="s">
        <v>97</v>
      </c>
      <c r="AQ635" s="77"/>
      <c r="AR635" s="79">
        <v>44138</v>
      </c>
      <c r="AS635" s="102" t="s">
        <v>120</v>
      </c>
      <c r="AT635" s="78" t="s">
        <v>658</v>
      </c>
      <c r="AU635" s="77" t="s">
        <v>3967</v>
      </c>
      <c r="AV635" s="77">
        <v>1996</v>
      </c>
      <c r="AW635" s="77" t="s">
        <v>100</v>
      </c>
      <c r="AX635" s="77" t="s">
        <v>112</v>
      </c>
      <c r="AY635" s="77" t="s">
        <v>4037</v>
      </c>
      <c r="AZ635" s="77" t="s">
        <v>4038</v>
      </c>
      <c r="BA635" s="77">
        <v>30</v>
      </c>
      <c r="BB635" s="77">
        <v>6.6</v>
      </c>
      <c r="BC635" s="77">
        <v>79</v>
      </c>
      <c r="BD635" s="77">
        <v>0.12</v>
      </c>
      <c r="BE635" s="77" t="s">
        <v>97</v>
      </c>
      <c r="BF635" s="77"/>
      <c r="BG635" s="77">
        <v>3936.1</v>
      </c>
      <c r="BH635" s="77"/>
      <c r="BI635" s="77"/>
      <c r="BJ635" s="77"/>
      <c r="BK635" s="77">
        <v>2121.5500000000002</v>
      </c>
      <c r="BL635" s="75">
        <f t="shared" si="27"/>
        <v>6057.65</v>
      </c>
      <c r="BM635" s="103">
        <f t="shared" si="28"/>
        <v>333.17075</v>
      </c>
      <c r="BN635" s="103">
        <f t="shared" si="29"/>
        <v>6390.8207499999999</v>
      </c>
      <c r="BO635" s="80">
        <v>6042.83</v>
      </c>
      <c r="BP635" s="77" t="s">
        <v>97</v>
      </c>
      <c r="BQ635" s="77"/>
      <c r="BR635" s="77"/>
      <c r="BS635" s="157">
        <v>2020</v>
      </c>
      <c r="BT635">
        <v>2020</v>
      </c>
      <c r="BU635">
        <v>2020</v>
      </c>
    </row>
    <row r="636" spans="1:73" ht="43.15" customHeight="1" x14ac:dyDescent="0.25">
      <c r="A636" s="241" t="s">
        <v>3845</v>
      </c>
      <c r="B636" s="241" t="s">
        <v>4010</v>
      </c>
      <c r="C636" s="163">
        <v>800</v>
      </c>
      <c r="D636" s="76">
        <v>43748</v>
      </c>
      <c r="E636" s="76">
        <v>43748</v>
      </c>
      <c r="F636" s="76" t="s">
        <v>9</v>
      </c>
      <c r="G636" s="76" t="s">
        <v>9</v>
      </c>
      <c r="H636" s="76">
        <v>43811</v>
      </c>
      <c r="I636" s="76">
        <v>43811</v>
      </c>
      <c r="J636" s="76">
        <v>43817</v>
      </c>
      <c r="K636" s="218"/>
      <c r="L636" s="76">
        <v>43966</v>
      </c>
      <c r="M636" s="76">
        <v>43845</v>
      </c>
      <c r="N636" s="76" t="s">
        <v>9</v>
      </c>
      <c r="O636" s="76">
        <v>43986</v>
      </c>
      <c r="P636" s="76">
        <v>43986</v>
      </c>
      <c r="Q636" s="76">
        <v>43986</v>
      </c>
      <c r="R636" s="82"/>
      <c r="S636" s="76"/>
      <c r="T636" s="77"/>
      <c r="U636" s="77"/>
      <c r="V636" s="77"/>
      <c r="W636" s="77">
        <v>1</v>
      </c>
      <c r="X636" s="77">
        <v>16480</v>
      </c>
      <c r="Y636" s="75" t="str">
        <f ca="1">IF(I636="",IF(D636="","",IF(W636+X636&lt;15,"Données Nb pers ou RFR manquantes",IF(COUNTA(INDIRECT("TabRFR["&amp;YEAR(D636)&amp;"]"))&lt;&gt;COUNTA(TabRFR[Recherche RFR]),"Data RFR manquantes", IF(X636&lt;=INDEX(TabRFR[[2021]:[2025]],MATCH(BD!W636&amp;"-Très modestes",TabRFR[Recherche RFR],0),MATCH(TEXT(YEAR(BD!D636),"Standard"),TabRFR[[#Headers],[2021]:[2025]],0)),"Très Modeste",IF(X636&lt;=INDEX(TabRFR[[2021]:[2025]],MATCH(BD!W636&amp;"-modestes",TabRFR[Recherche RFR],0),MATCH(TEXT(YEAR(BD!D636),"Standard"),TabRFR[[#Headers],[2021]:[2025]],0)),"Modeste",IF(X636&lt;=INDEX(TabRFR[[2021]:[2025]],MATCH(BD!W636&amp;"-Intermédiaire",TabRFR[Recherche RFR],0),MATCH(TEXT(YEAR(BD!D636),"Standard"),TabRFR[[#Headers],[2021]:[2025]],0)),"Intermédiaire","Supérieur")))))),IF(D636="","",IF(W636+X636&lt;15,"Données Nb pers ou RFR manquantes",IF(COUNTA(INDIRECT("TabRFR["&amp;YEAR(I636)&amp;"]"))&lt;&gt;COUNTA(TabRFR[Recherche RFR]),"Data RFR manquantes", IF(X636&lt;=INDEX(TabRFR[[2021]:[2025]],MATCH(BD!W636&amp;"-Très modestes",TabRFR[Recherche RFR],0),MATCH(TEXT(YEAR(BD!I636),"Standard"),TabRFR[[#Headers],[2021]:[2025]],0)),"Très Modeste",IF(X636&lt;=INDEX(TabRFR[[2021]:[2025]],MATCH(BD!W636&amp;"-modestes",TabRFR[Recherche RFR],0),MATCH(TEXT(YEAR(BD!I636),"Standard"),TabRFR[[#Headers],[2021]:[2025]],0)),"Modeste",IF(X636&lt;=INDEX(TabRFR[[2021]:[2025]],MATCH(BD!W636&amp;"-Intermédiaire",TabRFR[Recherche RFR],0),MATCH(TEXT(YEAR(BD!I636),"Standard"),TabRFR[[#Headers],[2021]:[2025]],0)),"Intermédiaire","Supérieur")))))))</f>
        <v>Data RFR manquantes</v>
      </c>
      <c r="Z636" s="77"/>
      <c r="AA636" s="77" t="s">
        <v>4028</v>
      </c>
      <c r="AB636" s="77">
        <v>38960</v>
      </c>
      <c r="AC636" s="77" t="s">
        <v>2403</v>
      </c>
      <c r="AD636" s="78"/>
      <c r="AE636" s="102"/>
      <c r="AF636" s="77" t="s">
        <v>95</v>
      </c>
      <c r="AG636" s="77"/>
      <c r="AH636" s="77"/>
      <c r="AI636" s="77"/>
      <c r="AJ636" s="77"/>
      <c r="AK636" s="77"/>
      <c r="AL636" s="77"/>
      <c r="AM636" s="77" t="s">
        <v>4031</v>
      </c>
      <c r="AN636" s="77" t="s">
        <v>4109</v>
      </c>
      <c r="AO636" s="77" t="s">
        <v>4032</v>
      </c>
      <c r="AP636" s="77" t="s">
        <v>97</v>
      </c>
      <c r="AQ636" s="77"/>
      <c r="AR636" s="79">
        <v>43903</v>
      </c>
      <c r="AS636" s="102" t="s">
        <v>156</v>
      </c>
      <c r="AT636" s="78" t="s">
        <v>9</v>
      </c>
      <c r="AU636" s="77" t="s">
        <v>100</v>
      </c>
      <c r="AV636" s="77">
        <v>2000</v>
      </c>
      <c r="AW636" s="77" t="s">
        <v>100</v>
      </c>
      <c r="AX636" s="77" t="s">
        <v>112</v>
      </c>
      <c r="AY636" s="77" t="s">
        <v>3612</v>
      </c>
      <c r="AZ636" s="77" t="s">
        <v>4039</v>
      </c>
      <c r="BA636" s="77">
        <v>36</v>
      </c>
      <c r="BB636" s="77">
        <v>7</v>
      </c>
      <c r="BC636" s="77">
        <v>80.599999999999994</v>
      </c>
      <c r="BD636" s="77">
        <v>0.09</v>
      </c>
      <c r="BE636" s="77" t="s">
        <v>97</v>
      </c>
      <c r="BF636" s="77"/>
      <c r="BG636" s="77">
        <v>2226.67</v>
      </c>
      <c r="BH636" s="77"/>
      <c r="BI636" s="77"/>
      <c r="BJ636" s="77"/>
      <c r="BK636" s="77">
        <v>835.11</v>
      </c>
      <c r="BL636" s="75">
        <f t="shared" si="27"/>
        <v>3061.78</v>
      </c>
      <c r="BM636" s="103">
        <f t="shared" si="28"/>
        <v>168.39790000000002</v>
      </c>
      <c r="BN636" s="103">
        <f t="shared" si="29"/>
        <v>3230.1779000000001</v>
      </c>
      <c r="BO636" s="80">
        <v>3680.51</v>
      </c>
      <c r="BP636" s="77" t="s">
        <v>97</v>
      </c>
      <c r="BQ636" s="77"/>
      <c r="BR636" s="77"/>
      <c r="BS636" s="157">
        <v>2019</v>
      </c>
      <c r="BT636">
        <v>2020</v>
      </c>
      <c r="BU636">
        <v>2020</v>
      </c>
    </row>
    <row r="637" spans="1:73" ht="43.15" customHeight="1" x14ac:dyDescent="0.25">
      <c r="A637" s="241" t="s">
        <v>3845</v>
      </c>
      <c r="B637" s="241" t="s">
        <v>4011</v>
      </c>
      <c r="C637" s="163">
        <v>400</v>
      </c>
      <c r="D637" s="76">
        <v>43810</v>
      </c>
      <c r="E637" s="76">
        <v>43811</v>
      </c>
      <c r="F637" s="76" t="s">
        <v>9</v>
      </c>
      <c r="G637" s="76" t="s">
        <v>9</v>
      </c>
      <c r="H637" s="76">
        <v>43811</v>
      </c>
      <c r="I637" s="76">
        <v>43811</v>
      </c>
      <c r="J637" s="76">
        <v>43817</v>
      </c>
      <c r="K637" s="218"/>
      <c r="L637" s="76">
        <v>44022</v>
      </c>
      <c r="M637" s="76">
        <v>44014</v>
      </c>
      <c r="N637" s="76" t="s">
        <v>4044</v>
      </c>
      <c r="O637" s="76">
        <v>44033</v>
      </c>
      <c r="P637" s="76">
        <v>44033</v>
      </c>
      <c r="Q637" s="76">
        <v>44035</v>
      </c>
      <c r="R637" s="82"/>
      <c r="S637" s="76"/>
      <c r="T637" s="77"/>
      <c r="U637" s="77"/>
      <c r="V637" s="77"/>
      <c r="W637" s="77">
        <v>1</v>
      </c>
      <c r="X637" s="77">
        <v>46891</v>
      </c>
      <c r="Y637" s="75" t="str">
        <f ca="1">IF(I637="",IF(D637="","",IF(W637+X637&lt;15,"Données Nb pers ou RFR manquantes",IF(COUNTA(INDIRECT("TabRFR["&amp;YEAR(D637)&amp;"]"))&lt;&gt;COUNTA(TabRFR[Recherche RFR]),"Data RFR manquantes", IF(X637&lt;=INDEX(TabRFR[[2021]:[2025]],MATCH(BD!W637&amp;"-Très modestes",TabRFR[Recherche RFR],0),MATCH(TEXT(YEAR(BD!D637),"Standard"),TabRFR[[#Headers],[2021]:[2025]],0)),"Très Modeste",IF(X637&lt;=INDEX(TabRFR[[2021]:[2025]],MATCH(BD!W637&amp;"-modestes",TabRFR[Recherche RFR],0),MATCH(TEXT(YEAR(BD!D637),"Standard"),TabRFR[[#Headers],[2021]:[2025]],0)),"Modeste",IF(X637&lt;=INDEX(TabRFR[[2021]:[2025]],MATCH(BD!W637&amp;"-Intermédiaire",TabRFR[Recherche RFR],0),MATCH(TEXT(YEAR(BD!D637),"Standard"),TabRFR[[#Headers],[2021]:[2025]],0)),"Intermédiaire","Supérieur")))))),IF(D637="","",IF(W637+X637&lt;15,"Données Nb pers ou RFR manquantes",IF(COUNTA(INDIRECT("TabRFR["&amp;YEAR(I637)&amp;"]"))&lt;&gt;COUNTA(TabRFR[Recherche RFR]),"Data RFR manquantes", IF(X637&lt;=INDEX(TabRFR[[2021]:[2025]],MATCH(BD!W637&amp;"-Très modestes",TabRFR[Recherche RFR],0),MATCH(TEXT(YEAR(BD!I637),"Standard"),TabRFR[[#Headers],[2021]:[2025]],0)),"Très Modeste",IF(X637&lt;=INDEX(TabRFR[[2021]:[2025]],MATCH(BD!W637&amp;"-modestes",TabRFR[Recherche RFR],0),MATCH(TEXT(YEAR(BD!I637),"Standard"),TabRFR[[#Headers],[2021]:[2025]],0)),"Modeste",IF(X637&lt;=INDEX(TabRFR[[2021]:[2025]],MATCH(BD!W637&amp;"-Intermédiaire",TabRFR[Recherche RFR],0),MATCH(TEXT(YEAR(BD!I637),"Standard"),TabRFR[[#Headers],[2021]:[2025]],0)),"Intermédiaire","Supérieur")))))))</f>
        <v>Data RFR manquantes</v>
      </c>
      <c r="Z637" s="77"/>
      <c r="AA637" s="77" t="s">
        <v>4029</v>
      </c>
      <c r="AB637" s="77">
        <v>38340</v>
      </c>
      <c r="AC637" s="77" t="s">
        <v>108</v>
      </c>
      <c r="AD637" s="78"/>
      <c r="AE637" s="102"/>
      <c r="AF637" s="77" t="s">
        <v>95</v>
      </c>
      <c r="AG637" s="77"/>
      <c r="AH637" s="77"/>
      <c r="AI637" s="77"/>
      <c r="AJ637" s="77"/>
      <c r="AK637" s="77"/>
      <c r="AL637" s="77"/>
      <c r="AM637" s="77" t="s">
        <v>4035</v>
      </c>
      <c r="AN637" s="77" t="s">
        <v>108</v>
      </c>
      <c r="AO637" s="77" t="s">
        <v>4036</v>
      </c>
      <c r="AP637" s="77" t="s">
        <v>97</v>
      </c>
      <c r="AQ637" s="77"/>
      <c r="AR637" s="79">
        <v>44010</v>
      </c>
      <c r="AS637" s="102" t="s">
        <v>110</v>
      </c>
      <c r="AT637" s="78" t="s">
        <v>616</v>
      </c>
      <c r="AU637" s="77" t="s">
        <v>3967</v>
      </c>
      <c r="AV637" s="77" t="s">
        <v>4040</v>
      </c>
      <c r="AW637" s="77" t="s">
        <v>100</v>
      </c>
      <c r="AX637" s="77" t="s">
        <v>112</v>
      </c>
      <c r="AY637" s="77" t="s">
        <v>113</v>
      </c>
      <c r="AZ637" s="77" t="s">
        <v>4041</v>
      </c>
      <c r="BA637" s="77">
        <v>22</v>
      </c>
      <c r="BB637" s="77">
        <v>6</v>
      </c>
      <c r="BC637" s="77">
        <v>81.900000000000006</v>
      </c>
      <c r="BD637" s="77">
        <v>7.3999999999999996E-2</v>
      </c>
      <c r="BE637" s="77" t="s">
        <v>97</v>
      </c>
      <c r="BF637" s="77"/>
      <c r="BG637" s="77">
        <v>1825</v>
      </c>
      <c r="BH637" s="77"/>
      <c r="BI637" s="77"/>
      <c r="BJ637" s="77"/>
      <c r="BK637" s="77">
        <v>700</v>
      </c>
      <c r="BL637" s="75">
        <f t="shared" si="27"/>
        <v>2525</v>
      </c>
      <c r="BM637" s="103">
        <f t="shared" si="28"/>
        <v>138.875</v>
      </c>
      <c r="BN637" s="103">
        <f t="shared" si="29"/>
        <v>2663.875</v>
      </c>
      <c r="BO637" s="80"/>
      <c r="BP637" s="77" t="s">
        <v>97</v>
      </c>
      <c r="BQ637" s="77"/>
      <c r="BR637" s="77"/>
      <c r="BS637" s="157">
        <v>2019</v>
      </c>
      <c r="BT637">
        <v>2020</v>
      </c>
      <c r="BU637">
        <v>2019</v>
      </c>
    </row>
    <row r="638" spans="1:73" ht="43.15" customHeight="1" x14ac:dyDescent="0.25">
      <c r="A638" s="241" t="s">
        <v>3845</v>
      </c>
      <c r="B638" s="241" t="s">
        <v>4012</v>
      </c>
      <c r="C638" s="163">
        <v>400</v>
      </c>
      <c r="D638" s="76">
        <v>43812</v>
      </c>
      <c r="E638" s="76">
        <v>43812</v>
      </c>
      <c r="F638" s="76">
        <v>43812</v>
      </c>
      <c r="G638" s="76" t="s">
        <v>193</v>
      </c>
      <c r="H638" s="76">
        <v>43881</v>
      </c>
      <c r="I638" s="76">
        <v>43881</v>
      </c>
      <c r="J638" s="76">
        <v>43882</v>
      </c>
      <c r="K638" s="218"/>
      <c r="L638" s="76">
        <v>44045</v>
      </c>
      <c r="M638" s="76">
        <v>43885</v>
      </c>
      <c r="N638" s="76" t="s">
        <v>4331</v>
      </c>
      <c r="O638" s="76">
        <v>44063</v>
      </c>
      <c r="P638" s="76">
        <v>44063</v>
      </c>
      <c r="Q638" s="76">
        <v>44074</v>
      </c>
      <c r="R638" s="82"/>
      <c r="S638" s="76"/>
      <c r="T638" s="77"/>
      <c r="U638" s="77"/>
      <c r="V638" s="77"/>
      <c r="W638" s="77">
        <v>1</v>
      </c>
      <c r="X638" s="77">
        <v>30360</v>
      </c>
      <c r="Y638" s="75" t="str">
        <f ca="1">IF(I638="",IF(D638="","",IF(W638+X638&lt;15,"Données Nb pers ou RFR manquantes",IF(COUNTA(INDIRECT("TabRFR["&amp;YEAR(D638)&amp;"]"))&lt;&gt;COUNTA(TabRFR[Recherche RFR]),"Data RFR manquantes", IF(X638&lt;=INDEX(TabRFR[[2021]:[2025]],MATCH(BD!W638&amp;"-Très modestes",TabRFR[Recherche RFR],0),MATCH(TEXT(YEAR(BD!D638),"Standard"),TabRFR[[#Headers],[2021]:[2025]],0)),"Très Modeste",IF(X638&lt;=INDEX(TabRFR[[2021]:[2025]],MATCH(BD!W638&amp;"-modestes",TabRFR[Recherche RFR],0),MATCH(TEXT(YEAR(BD!D638),"Standard"),TabRFR[[#Headers],[2021]:[2025]],0)),"Modeste",IF(X638&lt;=INDEX(TabRFR[[2021]:[2025]],MATCH(BD!W638&amp;"-Intermédiaire",TabRFR[Recherche RFR],0),MATCH(TEXT(YEAR(BD!D638),"Standard"),TabRFR[[#Headers],[2021]:[2025]],0)),"Intermédiaire","Supérieur")))))),IF(D638="","",IF(W638+X638&lt;15,"Données Nb pers ou RFR manquantes",IF(COUNTA(INDIRECT("TabRFR["&amp;YEAR(I638)&amp;"]"))&lt;&gt;COUNTA(TabRFR[Recherche RFR]),"Data RFR manquantes", IF(X638&lt;=INDEX(TabRFR[[2021]:[2025]],MATCH(BD!W638&amp;"-Très modestes",TabRFR[Recherche RFR],0),MATCH(TEXT(YEAR(BD!I638),"Standard"),TabRFR[[#Headers],[2021]:[2025]],0)),"Très Modeste",IF(X638&lt;=INDEX(TabRFR[[2021]:[2025]],MATCH(BD!W638&amp;"-modestes",TabRFR[Recherche RFR],0),MATCH(TEXT(YEAR(BD!I638),"Standard"),TabRFR[[#Headers],[2021]:[2025]],0)),"Modeste",IF(X638&lt;=INDEX(TabRFR[[2021]:[2025]],MATCH(BD!W638&amp;"-Intermédiaire",TabRFR[Recherche RFR],0),MATCH(TEXT(YEAR(BD!I638),"Standard"),TabRFR[[#Headers],[2021]:[2025]],0)),"Intermédiaire","Supérieur")))))))</f>
        <v>Data RFR manquantes</v>
      </c>
      <c r="Z638" s="77"/>
      <c r="AA638" s="77" t="s">
        <v>4043</v>
      </c>
      <c r="AB638" s="77">
        <v>38500</v>
      </c>
      <c r="AC638" s="77" t="s">
        <v>96</v>
      </c>
      <c r="AD638" s="78"/>
      <c r="AE638" s="102"/>
      <c r="AF638" s="77" t="s">
        <v>95</v>
      </c>
      <c r="AG638" s="77"/>
      <c r="AH638" s="77"/>
      <c r="AI638" s="77"/>
      <c r="AJ638" s="77"/>
      <c r="AK638" s="77"/>
      <c r="AL638" s="77"/>
      <c r="AM638" s="77" t="s">
        <v>4356</v>
      </c>
      <c r="AN638" s="77" t="s">
        <v>96</v>
      </c>
      <c r="AO638" s="77" t="s">
        <v>4025</v>
      </c>
      <c r="AP638" s="77" t="s">
        <v>97</v>
      </c>
      <c r="AQ638" s="77"/>
      <c r="AR638" s="79">
        <v>44138</v>
      </c>
      <c r="AS638" s="102" t="s">
        <v>120</v>
      </c>
      <c r="AT638" s="78" t="s">
        <v>658</v>
      </c>
      <c r="AU638" s="77" t="s">
        <v>100</v>
      </c>
      <c r="AV638" s="77">
        <v>2000</v>
      </c>
      <c r="AW638" s="77" t="s">
        <v>100</v>
      </c>
      <c r="AX638" s="77" t="s">
        <v>2071</v>
      </c>
      <c r="AY638" s="77" t="s">
        <v>4333</v>
      </c>
      <c r="AZ638" s="77" t="s">
        <v>4332</v>
      </c>
      <c r="BA638" s="77">
        <v>25</v>
      </c>
      <c r="BB638" s="77">
        <v>8.3000000000000007</v>
      </c>
      <c r="BC638" s="77">
        <v>88</v>
      </c>
      <c r="BD638" s="77">
        <v>0.01</v>
      </c>
      <c r="BE638" s="77" t="s">
        <v>97</v>
      </c>
      <c r="BF638" s="77"/>
      <c r="BG638" s="77">
        <v>2085</v>
      </c>
      <c r="BH638" s="77"/>
      <c r="BI638" s="77"/>
      <c r="BJ638" s="77"/>
      <c r="BK638" s="77">
        <v>350</v>
      </c>
      <c r="BL638" s="75">
        <f t="shared" si="27"/>
        <v>2435</v>
      </c>
      <c r="BM638" s="103">
        <f t="shared" si="28"/>
        <v>133.92500000000001</v>
      </c>
      <c r="BN638" s="103">
        <f t="shared" si="29"/>
        <v>2568.9250000000002</v>
      </c>
      <c r="BO638" s="80"/>
      <c r="BP638" s="77" t="s">
        <v>104</v>
      </c>
      <c r="BQ638" s="77"/>
      <c r="BR638" s="77"/>
      <c r="BS638" s="157">
        <v>2020</v>
      </c>
      <c r="BU638">
        <v>2020</v>
      </c>
    </row>
    <row r="639" spans="1:73" ht="43.15" customHeight="1" x14ac:dyDescent="0.25">
      <c r="A639" s="241" t="s">
        <v>3845</v>
      </c>
      <c r="B639" s="241" t="s">
        <v>4013</v>
      </c>
      <c r="C639" s="163">
        <v>800</v>
      </c>
      <c r="D639" s="76">
        <v>43817</v>
      </c>
      <c r="E639" s="76">
        <v>43818</v>
      </c>
      <c r="F639" s="76" t="s">
        <v>9</v>
      </c>
      <c r="G639" s="76" t="s">
        <v>9</v>
      </c>
      <c r="H639" s="76">
        <v>43819</v>
      </c>
      <c r="I639" s="76">
        <v>43819</v>
      </c>
      <c r="J639" s="76">
        <v>43857</v>
      </c>
      <c r="K639" s="218"/>
      <c r="L639" s="76">
        <v>43878</v>
      </c>
      <c r="M639" s="76">
        <v>43864</v>
      </c>
      <c r="N639" s="76" t="s">
        <v>4148</v>
      </c>
      <c r="O639" s="76">
        <v>43894</v>
      </c>
      <c r="P639" s="76">
        <v>43894</v>
      </c>
      <c r="Q639" s="76">
        <v>43900</v>
      </c>
      <c r="R639" s="82"/>
      <c r="S639" s="76"/>
      <c r="T639" s="77"/>
      <c r="U639" s="77"/>
      <c r="V639" s="77"/>
      <c r="W639" s="77">
        <v>2</v>
      </c>
      <c r="X639" s="77">
        <v>17299</v>
      </c>
      <c r="Y639" s="75" t="str">
        <f ca="1">IF(I639="",IF(D639="","",IF(W639+X639&lt;15,"Données Nb pers ou RFR manquantes",IF(COUNTA(INDIRECT("TabRFR["&amp;YEAR(D639)&amp;"]"))&lt;&gt;COUNTA(TabRFR[Recherche RFR]),"Data RFR manquantes", IF(X639&lt;=INDEX(TabRFR[[2021]:[2025]],MATCH(BD!W639&amp;"-Très modestes",TabRFR[Recherche RFR],0),MATCH(TEXT(YEAR(BD!D639),"Standard"),TabRFR[[#Headers],[2021]:[2025]],0)),"Très Modeste",IF(X639&lt;=INDEX(TabRFR[[2021]:[2025]],MATCH(BD!W639&amp;"-modestes",TabRFR[Recherche RFR],0),MATCH(TEXT(YEAR(BD!D639),"Standard"),TabRFR[[#Headers],[2021]:[2025]],0)),"Modeste",IF(X639&lt;=INDEX(TabRFR[[2021]:[2025]],MATCH(BD!W639&amp;"-Intermédiaire",TabRFR[Recherche RFR],0),MATCH(TEXT(YEAR(BD!D639),"Standard"),TabRFR[[#Headers],[2021]:[2025]],0)),"Intermédiaire","Supérieur")))))),IF(D639="","",IF(W639+X639&lt;15,"Données Nb pers ou RFR manquantes",IF(COUNTA(INDIRECT("TabRFR["&amp;YEAR(I639)&amp;"]"))&lt;&gt;COUNTA(TabRFR[Recherche RFR]),"Data RFR manquantes", IF(X639&lt;=INDEX(TabRFR[[2021]:[2025]],MATCH(BD!W639&amp;"-Très modestes",TabRFR[Recherche RFR],0),MATCH(TEXT(YEAR(BD!I639),"Standard"),TabRFR[[#Headers],[2021]:[2025]],0)),"Très Modeste",IF(X639&lt;=INDEX(TabRFR[[2021]:[2025]],MATCH(BD!W639&amp;"-modestes",TabRFR[Recherche RFR],0),MATCH(TEXT(YEAR(BD!I639),"Standard"),TabRFR[[#Headers],[2021]:[2025]],0)),"Modeste",IF(X639&lt;=INDEX(TabRFR[[2021]:[2025]],MATCH(BD!W639&amp;"-Intermédiaire",TabRFR[Recherche RFR],0),MATCH(TEXT(YEAR(BD!I639),"Standard"),TabRFR[[#Headers],[2021]:[2025]],0)),"Intermédiaire","Supérieur")))))))</f>
        <v>Data RFR manquantes</v>
      </c>
      <c r="Z639" s="77"/>
      <c r="AA639" s="77" t="s">
        <v>4045</v>
      </c>
      <c r="AB639" s="77">
        <v>38850</v>
      </c>
      <c r="AC639" s="77" t="s">
        <v>4304</v>
      </c>
      <c r="AD639" s="78"/>
      <c r="AE639" s="102"/>
      <c r="AF639" s="77" t="s">
        <v>95</v>
      </c>
      <c r="AG639" s="77"/>
      <c r="AH639" s="77"/>
      <c r="AI639" s="77"/>
      <c r="AJ639" s="77"/>
      <c r="AK639" s="77"/>
      <c r="AL639" s="77"/>
      <c r="AM639" s="77" t="s">
        <v>4236</v>
      </c>
      <c r="AN639" s="77" t="s">
        <v>4091</v>
      </c>
      <c r="AO639" s="77" t="s">
        <v>4062</v>
      </c>
      <c r="AP639" s="77" t="s">
        <v>97</v>
      </c>
      <c r="AQ639" s="77"/>
      <c r="AR639" s="79">
        <v>44152</v>
      </c>
      <c r="AS639" s="102" t="s">
        <v>285</v>
      </c>
      <c r="AT639" s="78" t="s">
        <v>608</v>
      </c>
      <c r="AU639" s="77" t="s">
        <v>100</v>
      </c>
      <c r="AV639" s="77" t="s">
        <v>2586</v>
      </c>
      <c r="AW639" s="77" t="s">
        <v>100</v>
      </c>
      <c r="AX639" s="77" t="s">
        <v>2071</v>
      </c>
      <c r="AY639" s="77" t="s">
        <v>1017</v>
      </c>
      <c r="AZ639" s="77" t="s">
        <v>4063</v>
      </c>
      <c r="BA639" s="77">
        <v>8</v>
      </c>
      <c r="BB639" s="77">
        <v>9</v>
      </c>
      <c r="BC639" s="77">
        <v>90.5</v>
      </c>
      <c r="BD639" s="77">
        <v>3.0400000000000002E-3</v>
      </c>
      <c r="BE639" s="77" t="s">
        <v>97</v>
      </c>
      <c r="BF639" s="77"/>
      <c r="BG639" s="77">
        <v>4354</v>
      </c>
      <c r="BH639" s="77"/>
      <c r="BI639" s="77"/>
      <c r="BJ639" s="77"/>
      <c r="BK639" s="77">
        <v>590</v>
      </c>
      <c r="BL639" s="75">
        <f t="shared" si="27"/>
        <v>4944</v>
      </c>
      <c r="BM639" s="103">
        <f t="shared" si="28"/>
        <v>271.92</v>
      </c>
      <c r="BN639" s="103">
        <f t="shared" si="29"/>
        <v>5215.92</v>
      </c>
      <c r="BO639" s="80">
        <v>5215.92</v>
      </c>
      <c r="BP639" s="77" t="s">
        <v>97</v>
      </c>
      <c r="BQ639" s="77"/>
      <c r="BR639" s="77"/>
      <c r="BS639" s="157">
        <v>2020</v>
      </c>
      <c r="BU639">
        <v>2020</v>
      </c>
    </row>
    <row r="640" spans="1:73" ht="43.15" customHeight="1" x14ac:dyDescent="0.25">
      <c r="A640" s="31" t="s">
        <v>3845</v>
      </c>
      <c r="B640" s="31" t="s">
        <v>4014</v>
      </c>
      <c r="C640" s="163" t="s">
        <v>9</v>
      </c>
      <c r="D640" s="76">
        <v>43817</v>
      </c>
      <c r="E640" s="76">
        <v>43818</v>
      </c>
      <c r="F640" s="76">
        <v>43819</v>
      </c>
      <c r="G640" s="76" t="s">
        <v>4068</v>
      </c>
      <c r="H640" s="76"/>
      <c r="I640" s="76"/>
      <c r="J640" s="76"/>
      <c r="K640" s="218"/>
      <c r="L640" s="76"/>
      <c r="M640" s="76"/>
      <c r="N640" s="76"/>
      <c r="O640" s="76"/>
      <c r="P640" s="76"/>
      <c r="Q640" s="76"/>
      <c r="R640" s="82"/>
      <c r="S640" s="76">
        <v>43833</v>
      </c>
      <c r="T640" s="77" t="s">
        <v>4088</v>
      </c>
      <c r="U640" s="77"/>
      <c r="V640" s="77"/>
      <c r="W640" s="77">
        <v>4</v>
      </c>
      <c r="X640" s="77">
        <v>51190</v>
      </c>
      <c r="Y640" s="75" t="str">
        <f ca="1">IF(I640="",IF(D640="","",IF(W640+X640&lt;15,"Données Nb pers ou RFR manquantes",IF(COUNTA(INDIRECT("TabRFR["&amp;YEAR(D640)&amp;"]"))&lt;&gt;COUNTA(TabRFR[Recherche RFR]),"Data RFR manquantes", IF(X640&lt;=INDEX(TabRFR[[2021]:[2025]],MATCH(BD!W640&amp;"-Très modestes",TabRFR[Recherche RFR],0),MATCH(TEXT(YEAR(BD!D640),"Standard"),TabRFR[[#Headers],[2021]:[2025]],0)),"Très Modeste",IF(X640&lt;=INDEX(TabRFR[[2021]:[2025]],MATCH(BD!W640&amp;"-modestes",TabRFR[Recherche RFR],0),MATCH(TEXT(YEAR(BD!D640),"Standard"),TabRFR[[#Headers],[2021]:[2025]],0)),"Modeste",IF(X640&lt;=INDEX(TabRFR[[2021]:[2025]],MATCH(BD!W640&amp;"-Intermédiaire",TabRFR[Recherche RFR],0),MATCH(TEXT(YEAR(BD!D640),"Standard"),TabRFR[[#Headers],[2021]:[2025]],0)),"Intermédiaire","Supérieur")))))),IF(D640="","",IF(W640+X640&lt;15,"Données Nb pers ou RFR manquantes",IF(COUNTA(INDIRECT("TabRFR["&amp;YEAR(I640)&amp;"]"))&lt;&gt;COUNTA(TabRFR[Recherche RFR]),"Data RFR manquantes", IF(X640&lt;=INDEX(TabRFR[[2021]:[2025]],MATCH(BD!W640&amp;"-Très modestes",TabRFR[Recherche RFR],0),MATCH(TEXT(YEAR(BD!I640),"Standard"),TabRFR[[#Headers],[2021]:[2025]],0)),"Très Modeste",IF(X640&lt;=INDEX(TabRFR[[2021]:[2025]],MATCH(BD!W640&amp;"-modestes",TabRFR[Recherche RFR],0),MATCH(TEXT(YEAR(BD!I640),"Standard"),TabRFR[[#Headers],[2021]:[2025]],0)),"Modeste",IF(X640&lt;=INDEX(TabRFR[[2021]:[2025]],MATCH(BD!W640&amp;"-Intermédiaire",TabRFR[Recherche RFR],0),MATCH(TEXT(YEAR(BD!I640),"Standard"),TabRFR[[#Headers],[2021]:[2025]],0)),"Intermédiaire","Supérieur")))))))</f>
        <v>Data RFR manquantes</v>
      </c>
      <c r="Z640" s="77"/>
      <c r="AA640" s="77" t="s">
        <v>4046</v>
      </c>
      <c r="AB640" s="77">
        <v>38134</v>
      </c>
      <c r="AC640" s="77" t="s">
        <v>4344</v>
      </c>
      <c r="AD640" s="78"/>
      <c r="AE640" s="102"/>
      <c r="AF640" s="77" t="s">
        <v>95</v>
      </c>
      <c r="AG640" s="77"/>
      <c r="AH640" s="77"/>
      <c r="AI640" s="77"/>
      <c r="AJ640" s="77"/>
      <c r="AK640" s="77"/>
      <c r="AL640" s="77"/>
      <c r="AM640" s="77" t="s">
        <v>1282</v>
      </c>
      <c r="AN640" s="77" t="s">
        <v>4064</v>
      </c>
      <c r="AO640" s="77" t="s">
        <v>4065</v>
      </c>
      <c r="AP640" s="77" t="s">
        <v>97</v>
      </c>
      <c r="AQ640" s="77"/>
      <c r="AR640" s="79">
        <v>43748</v>
      </c>
      <c r="AS640" s="102" t="s">
        <v>1280</v>
      </c>
      <c r="AT640" s="78" t="s">
        <v>4066</v>
      </c>
      <c r="AU640" s="77" t="s">
        <v>1708</v>
      </c>
      <c r="AV640" s="77">
        <v>1969</v>
      </c>
      <c r="AW640" s="77" t="s">
        <v>143</v>
      </c>
      <c r="AX640" s="77" t="s">
        <v>112</v>
      </c>
      <c r="AY640" s="77" t="s">
        <v>4067</v>
      </c>
      <c r="AZ640" s="77" t="s">
        <v>4069</v>
      </c>
      <c r="BA640" s="77"/>
      <c r="BB640" s="77"/>
      <c r="BC640" s="77"/>
      <c r="BD640" s="77"/>
      <c r="BE640" s="77"/>
      <c r="BF640" s="77"/>
      <c r="BG640" s="77"/>
      <c r="BH640" s="77"/>
      <c r="BI640" s="77"/>
      <c r="BJ640" s="77"/>
      <c r="BK640" s="77"/>
      <c r="BL640" s="75">
        <f t="shared" si="27"/>
        <v>0</v>
      </c>
      <c r="BM640" s="103">
        <f t="shared" si="28"/>
        <v>0</v>
      </c>
      <c r="BN640" s="103">
        <f t="shared" si="29"/>
        <v>0</v>
      </c>
      <c r="BO640" s="80"/>
      <c r="BP640" s="77"/>
      <c r="BQ640" s="77"/>
      <c r="BR640" s="77"/>
      <c r="BS640" s="157">
        <v>2019</v>
      </c>
      <c r="BU640" t="s">
        <v>4180</v>
      </c>
    </row>
    <row r="641" spans="1:73" ht="43.15" customHeight="1" x14ac:dyDescent="0.25">
      <c r="A641" s="241" t="s">
        <v>3845</v>
      </c>
      <c r="B641" s="241" t="s">
        <v>4015</v>
      </c>
      <c r="C641" s="163">
        <v>400</v>
      </c>
      <c r="D641" s="76">
        <v>43818</v>
      </c>
      <c r="E641" s="76">
        <v>43818</v>
      </c>
      <c r="F641" s="76">
        <v>43819</v>
      </c>
      <c r="G641" s="76" t="s">
        <v>4070</v>
      </c>
      <c r="H641" s="76">
        <v>43821</v>
      </c>
      <c r="I641" s="76">
        <v>43833</v>
      </c>
      <c r="J641" s="76">
        <v>43857</v>
      </c>
      <c r="K641" s="218"/>
      <c r="L641" s="76">
        <v>44127</v>
      </c>
      <c r="M641" s="76">
        <v>44069</v>
      </c>
      <c r="N641" s="76" t="s">
        <v>4044</v>
      </c>
      <c r="O641" s="76">
        <v>44131</v>
      </c>
      <c r="P641" s="76">
        <v>44131</v>
      </c>
      <c r="Q641" s="76">
        <v>44133</v>
      </c>
      <c r="R641" s="82"/>
      <c r="S641" s="76"/>
      <c r="T641" s="77"/>
      <c r="U641" s="77"/>
      <c r="V641" s="77"/>
      <c r="W641" s="77">
        <v>5</v>
      </c>
      <c r="X641" s="77">
        <v>70784</v>
      </c>
      <c r="Y641" s="75" t="str">
        <f ca="1">IF(I641="",IF(D641="","",IF(W641+X641&lt;15,"Données Nb pers ou RFR manquantes",IF(COUNTA(INDIRECT("TabRFR["&amp;YEAR(D641)&amp;"]"))&lt;&gt;COUNTA(TabRFR[Recherche RFR]),"Data RFR manquantes", IF(X641&lt;=INDEX(TabRFR[[2021]:[2025]],MATCH(BD!W641&amp;"-Très modestes",TabRFR[Recherche RFR],0),MATCH(TEXT(YEAR(BD!D641),"Standard"),TabRFR[[#Headers],[2021]:[2025]],0)),"Très Modeste",IF(X641&lt;=INDEX(TabRFR[[2021]:[2025]],MATCH(BD!W641&amp;"-modestes",TabRFR[Recherche RFR],0),MATCH(TEXT(YEAR(BD!D641),"Standard"),TabRFR[[#Headers],[2021]:[2025]],0)),"Modeste",IF(X641&lt;=INDEX(TabRFR[[2021]:[2025]],MATCH(BD!W641&amp;"-Intermédiaire",TabRFR[Recherche RFR],0),MATCH(TEXT(YEAR(BD!D641),"Standard"),TabRFR[[#Headers],[2021]:[2025]],0)),"Intermédiaire","Supérieur")))))),IF(D641="","",IF(W641+X641&lt;15,"Données Nb pers ou RFR manquantes",IF(COUNTA(INDIRECT("TabRFR["&amp;YEAR(I641)&amp;"]"))&lt;&gt;COUNTA(TabRFR[Recherche RFR]),"Data RFR manquantes", IF(X641&lt;=INDEX(TabRFR[[2021]:[2025]],MATCH(BD!W641&amp;"-Très modestes",TabRFR[Recherche RFR],0),MATCH(TEXT(YEAR(BD!I641),"Standard"),TabRFR[[#Headers],[2021]:[2025]],0)),"Très Modeste",IF(X641&lt;=INDEX(TabRFR[[2021]:[2025]],MATCH(BD!W641&amp;"-modestes",TabRFR[Recherche RFR],0),MATCH(TEXT(YEAR(BD!I641),"Standard"),TabRFR[[#Headers],[2021]:[2025]],0)),"Modeste",IF(X641&lt;=INDEX(TabRFR[[2021]:[2025]],MATCH(BD!W641&amp;"-Intermédiaire",TabRFR[Recherche RFR],0),MATCH(TEXT(YEAR(BD!I641),"Standard"),TabRFR[[#Headers],[2021]:[2025]],0)),"Intermédiaire","Supérieur")))))))</f>
        <v>Data RFR manquantes</v>
      </c>
      <c r="Z641" s="77"/>
      <c r="AA641" s="77" t="s">
        <v>4058</v>
      </c>
      <c r="AB641" s="77">
        <v>38340</v>
      </c>
      <c r="AC641" s="77" t="s">
        <v>108</v>
      </c>
      <c r="AD641" s="78"/>
      <c r="AE641" s="102"/>
      <c r="AF641" s="77" t="s">
        <v>95</v>
      </c>
      <c r="AG641" s="77"/>
      <c r="AH641" s="77"/>
      <c r="AI641" s="77"/>
      <c r="AJ641" s="77"/>
      <c r="AK641" s="77"/>
      <c r="AL641" s="77"/>
      <c r="AM641" s="77" t="s">
        <v>4035</v>
      </c>
      <c r="AN641" s="77" t="s">
        <v>108</v>
      </c>
      <c r="AO641" s="77" t="s">
        <v>4036</v>
      </c>
      <c r="AP641" s="77" t="s">
        <v>97</v>
      </c>
      <c r="AQ641" s="77"/>
      <c r="AR641" s="79">
        <v>44010</v>
      </c>
      <c r="AS641" s="102" t="s">
        <v>110</v>
      </c>
      <c r="AT641" s="78" t="s">
        <v>616</v>
      </c>
      <c r="AU641" s="77" t="s">
        <v>1708</v>
      </c>
      <c r="AV641" s="77">
        <v>1975</v>
      </c>
      <c r="AW641" s="77" t="s">
        <v>100</v>
      </c>
      <c r="AX641" s="77" t="s">
        <v>112</v>
      </c>
      <c r="AY641" s="77" t="s">
        <v>113</v>
      </c>
      <c r="AZ641" s="77" t="s">
        <v>3846</v>
      </c>
      <c r="BA641" s="77">
        <v>32</v>
      </c>
      <c r="BB641" s="77">
        <v>7</v>
      </c>
      <c r="BC641" s="77">
        <v>77.8</v>
      </c>
      <c r="BD641" s="77">
        <v>0.08</v>
      </c>
      <c r="BE641" s="77" t="s">
        <v>97</v>
      </c>
      <c r="BF641" s="77"/>
      <c r="BG641" s="77">
        <v>2745.93</v>
      </c>
      <c r="BH641" s="77"/>
      <c r="BI641" s="77"/>
      <c r="BJ641" s="77"/>
      <c r="BK641" s="77">
        <v>958</v>
      </c>
      <c r="BL641" s="75">
        <f t="shared" si="27"/>
        <v>3703.93</v>
      </c>
      <c r="BM641" s="103">
        <f t="shared" si="28"/>
        <v>203.71615</v>
      </c>
      <c r="BN641" s="103">
        <f t="shared" si="29"/>
        <v>3907.64615</v>
      </c>
      <c r="BO641" s="80"/>
      <c r="BP641" s="77" t="s">
        <v>97</v>
      </c>
      <c r="BQ641" s="77"/>
      <c r="BR641" s="77"/>
      <c r="BS641" s="157">
        <v>2019</v>
      </c>
      <c r="BT641">
        <v>2020</v>
      </c>
      <c r="BU641">
        <v>2020</v>
      </c>
    </row>
    <row r="642" spans="1:73" ht="43.15" customHeight="1" x14ac:dyDescent="0.25">
      <c r="A642" s="241" t="s">
        <v>3845</v>
      </c>
      <c r="B642" s="241" t="s">
        <v>4016</v>
      </c>
      <c r="C642" s="163">
        <v>400</v>
      </c>
      <c r="D642" s="76">
        <v>43823</v>
      </c>
      <c r="E642" s="76">
        <v>43823</v>
      </c>
      <c r="F642" s="76" t="s">
        <v>9</v>
      </c>
      <c r="G642" s="76" t="s">
        <v>9</v>
      </c>
      <c r="H642" s="76">
        <v>43833</v>
      </c>
      <c r="I642" s="76">
        <v>43833</v>
      </c>
      <c r="J642" s="76">
        <v>43857</v>
      </c>
      <c r="K642" s="218"/>
      <c r="L642" s="76">
        <v>43903</v>
      </c>
      <c r="M642" s="76">
        <v>43827</v>
      </c>
      <c r="N642" s="76"/>
      <c r="O642" s="76">
        <v>43908</v>
      </c>
      <c r="P642" s="76">
        <v>43908</v>
      </c>
      <c r="Q642" s="76">
        <v>43914</v>
      </c>
      <c r="R642" s="82"/>
      <c r="S642" s="76"/>
      <c r="T642" s="77"/>
      <c r="U642" s="77"/>
      <c r="V642" s="77"/>
      <c r="W642" s="77">
        <v>4</v>
      </c>
      <c r="X642" s="77">
        <v>55267</v>
      </c>
      <c r="Y642" s="75" t="str">
        <f ca="1">IF(I642="",IF(D642="","",IF(W642+X642&lt;15,"Données Nb pers ou RFR manquantes",IF(COUNTA(INDIRECT("TabRFR["&amp;YEAR(D642)&amp;"]"))&lt;&gt;COUNTA(TabRFR[Recherche RFR]),"Data RFR manquantes", IF(X642&lt;=INDEX(TabRFR[[2021]:[2025]],MATCH(BD!W642&amp;"-Très modestes",TabRFR[Recherche RFR],0),MATCH(TEXT(YEAR(BD!D642),"Standard"),TabRFR[[#Headers],[2021]:[2025]],0)),"Très Modeste",IF(X642&lt;=INDEX(TabRFR[[2021]:[2025]],MATCH(BD!W642&amp;"-modestes",TabRFR[Recherche RFR],0),MATCH(TEXT(YEAR(BD!D642),"Standard"),TabRFR[[#Headers],[2021]:[2025]],0)),"Modeste",IF(X642&lt;=INDEX(TabRFR[[2021]:[2025]],MATCH(BD!W642&amp;"-Intermédiaire",TabRFR[Recherche RFR],0),MATCH(TEXT(YEAR(BD!D642),"Standard"),TabRFR[[#Headers],[2021]:[2025]],0)),"Intermédiaire","Supérieur")))))),IF(D642="","",IF(W642+X642&lt;15,"Données Nb pers ou RFR manquantes",IF(COUNTA(INDIRECT("TabRFR["&amp;YEAR(I642)&amp;"]"))&lt;&gt;COUNTA(TabRFR[Recherche RFR]),"Data RFR manquantes", IF(X642&lt;=INDEX(TabRFR[[2021]:[2025]],MATCH(BD!W642&amp;"-Très modestes",TabRFR[Recherche RFR],0),MATCH(TEXT(YEAR(BD!I642),"Standard"),TabRFR[[#Headers],[2021]:[2025]],0)),"Très Modeste",IF(X642&lt;=INDEX(TabRFR[[2021]:[2025]],MATCH(BD!W642&amp;"-modestes",TabRFR[Recherche RFR],0),MATCH(TEXT(YEAR(BD!I642),"Standard"),TabRFR[[#Headers],[2021]:[2025]],0)),"Modeste",IF(X642&lt;=INDEX(TabRFR[[2021]:[2025]],MATCH(BD!W642&amp;"-Intermédiaire",TabRFR[Recherche RFR],0),MATCH(TEXT(YEAR(BD!I642),"Standard"),TabRFR[[#Headers],[2021]:[2025]],0)),"Intermédiaire","Supérieur")))))))</f>
        <v>Data RFR manquantes</v>
      </c>
      <c r="Z642" s="77"/>
      <c r="AA642" s="77" t="s">
        <v>4071</v>
      </c>
      <c r="AB642" s="77">
        <v>38960</v>
      </c>
      <c r="AC642" s="77" t="s">
        <v>2403</v>
      </c>
      <c r="AD642" s="78"/>
      <c r="AE642" s="102"/>
      <c r="AF642" s="77" t="s">
        <v>95</v>
      </c>
      <c r="AG642" s="77"/>
      <c r="AH642" s="77"/>
      <c r="AI642" s="77"/>
      <c r="AJ642" s="77"/>
      <c r="AK642" s="77"/>
      <c r="AL642" s="77"/>
      <c r="AM642" s="77" t="s">
        <v>4368</v>
      </c>
      <c r="AN642" s="77" t="s">
        <v>917</v>
      </c>
      <c r="AO642" s="77" t="s">
        <v>3976</v>
      </c>
      <c r="AP642" s="77" t="s">
        <v>97</v>
      </c>
      <c r="AQ642" s="77"/>
      <c r="AR642" s="79">
        <v>44012</v>
      </c>
      <c r="AS642" s="102" t="s">
        <v>918</v>
      </c>
      <c r="AT642" s="78" t="s">
        <v>3849</v>
      </c>
      <c r="AU642" s="77" t="s">
        <v>100</v>
      </c>
      <c r="AV642" s="77" t="s">
        <v>231</v>
      </c>
      <c r="AW642" s="77" t="s">
        <v>100</v>
      </c>
      <c r="AX642" s="77" t="s">
        <v>2071</v>
      </c>
      <c r="AY642" s="77" t="s">
        <v>174</v>
      </c>
      <c r="AZ642" s="77" t="s">
        <v>4072</v>
      </c>
      <c r="BA642" s="77">
        <v>24</v>
      </c>
      <c r="BB642" s="77">
        <v>10</v>
      </c>
      <c r="BC642" s="77">
        <v>90.4</v>
      </c>
      <c r="BD642" s="77">
        <v>1.4999999999999999E-2</v>
      </c>
      <c r="BE642" s="77" t="s">
        <v>97</v>
      </c>
      <c r="BF642" s="77"/>
      <c r="BG642" s="77">
        <v>4833</v>
      </c>
      <c r="BH642" s="77"/>
      <c r="BI642" s="77"/>
      <c r="BJ642" s="77"/>
      <c r="BK642" s="77">
        <v>1</v>
      </c>
      <c r="BL642" s="75">
        <f t="shared" si="27"/>
        <v>4834</v>
      </c>
      <c r="BM642" s="103">
        <f t="shared" si="28"/>
        <v>265.87</v>
      </c>
      <c r="BN642" s="103">
        <f t="shared" si="29"/>
        <v>5099.87</v>
      </c>
      <c r="BO642" s="80">
        <v>5100</v>
      </c>
      <c r="BP642" s="77" t="s">
        <v>97</v>
      </c>
      <c r="BQ642" s="77"/>
      <c r="BR642" s="77"/>
      <c r="BS642" s="157">
        <v>2019</v>
      </c>
      <c r="BU642">
        <v>2020</v>
      </c>
    </row>
    <row r="643" spans="1:73" ht="43.15" customHeight="1" x14ac:dyDescent="0.25">
      <c r="A643" s="241" t="s">
        <v>3845</v>
      </c>
      <c r="B643" s="241" t="s">
        <v>4047</v>
      </c>
      <c r="C643" s="163">
        <v>400</v>
      </c>
      <c r="D643" s="76">
        <v>43832</v>
      </c>
      <c r="E643" s="76">
        <v>43832</v>
      </c>
      <c r="F643" s="76">
        <v>43833</v>
      </c>
      <c r="G643" s="76">
        <v>43833</v>
      </c>
      <c r="H643" s="76">
        <v>43833</v>
      </c>
      <c r="I643" s="76">
        <v>43839</v>
      </c>
      <c r="J643" s="76">
        <v>43857</v>
      </c>
      <c r="K643" s="218"/>
      <c r="L643" s="76">
        <v>44091</v>
      </c>
      <c r="M643" s="76">
        <v>44041</v>
      </c>
      <c r="N643" s="76" t="s">
        <v>4044</v>
      </c>
      <c r="O643" s="76">
        <v>44096</v>
      </c>
      <c r="P643" s="76">
        <v>44096</v>
      </c>
      <c r="Q643" s="76">
        <v>44096</v>
      </c>
      <c r="R643" s="82"/>
      <c r="S643" s="76"/>
      <c r="T643" s="77"/>
      <c r="U643" s="77"/>
      <c r="V643" s="77"/>
      <c r="W643" s="77">
        <v>2</v>
      </c>
      <c r="X643" s="77">
        <v>61268</v>
      </c>
      <c r="Y643" s="75" t="str">
        <f ca="1">IF(I643="",IF(D643="","",IF(W643+X643&lt;15,"Données Nb pers ou RFR manquantes",IF(COUNTA(INDIRECT("TabRFR["&amp;YEAR(D643)&amp;"]"))&lt;&gt;COUNTA(TabRFR[Recherche RFR]),"Data RFR manquantes", IF(X643&lt;=INDEX(TabRFR[[2021]:[2025]],MATCH(BD!W643&amp;"-Très modestes",TabRFR[Recherche RFR],0),MATCH(TEXT(YEAR(BD!D643),"Standard"),TabRFR[[#Headers],[2021]:[2025]],0)),"Très Modeste",IF(X643&lt;=INDEX(TabRFR[[2021]:[2025]],MATCH(BD!W643&amp;"-modestes",TabRFR[Recherche RFR],0),MATCH(TEXT(YEAR(BD!D643),"Standard"),TabRFR[[#Headers],[2021]:[2025]],0)),"Modeste",IF(X643&lt;=INDEX(TabRFR[[2021]:[2025]],MATCH(BD!W643&amp;"-Intermédiaire",TabRFR[Recherche RFR],0),MATCH(TEXT(YEAR(BD!D643),"Standard"),TabRFR[[#Headers],[2021]:[2025]],0)),"Intermédiaire","Supérieur")))))),IF(D643="","",IF(W643+X643&lt;15,"Données Nb pers ou RFR manquantes",IF(COUNTA(INDIRECT("TabRFR["&amp;YEAR(I643)&amp;"]"))&lt;&gt;COUNTA(TabRFR[Recherche RFR]),"Data RFR manquantes", IF(X643&lt;=INDEX(TabRFR[[2021]:[2025]],MATCH(BD!W643&amp;"-Très modestes",TabRFR[Recherche RFR],0),MATCH(TEXT(YEAR(BD!I643),"Standard"),TabRFR[[#Headers],[2021]:[2025]],0)),"Très Modeste",IF(X643&lt;=INDEX(TabRFR[[2021]:[2025]],MATCH(BD!W643&amp;"-modestes",TabRFR[Recherche RFR],0),MATCH(TEXT(YEAR(BD!I643),"Standard"),TabRFR[[#Headers],[2021]:[2025]],0)),"Modeste",IF(X643&lt;=INDEX(TabRFR[[2021]:[2025]],MATCH(BD!W643&amp;"-Intermédiaire",TabRFR[Recherche RFR],0),MATCH(TEXT(YEAR(BD!I643),"Standard"),TabRFR[[#Headers],[2021]:[2025]],0)),"Intermédiaire","Supérieur")))))))</f>
        <v>Data RFR manquantes</v>
      </c>
      <c r="Z643" s="77"/>
      <c r="AA643" s="77" t="s">
        <v>4073</v>
      </c>
      <c r="AB643" s="77">
        <v>38500</v>
      </c>
      <c r="AC643" s="77" t="s">
        <v>94</v>
      </c>
      <c r="AD643" s="78"/>
      <c r="AE643" s="102"/>
      <c r="AF643" s="77" t="s">
        <v>95</v>
      </c>
      <c r="AG643" s="77"/>
      <c r="AH643" s="77"/>
      <c r="AI643" s="77"/>
      <c r="AJ643" s="77"/>
      <c r="AK643" s="77"/>
      <c r="AL643" s="77"/>
      <c r="AM643" s="77" t="s">
        <v>218</v>
      </c>
      <c r="AN643" s="77" t="s">
        <v>217</v>
      </c>
      <c r="AO643" s="77" t="s">
        <v>4078</v>
      </c>
      <c r="AP643" s="77" t="s">
        <v>97</v>
      </c>
      <c r="AQ643" s="77"/>
      <c r="AR643" s="79">
        <v>44130</v>
      </c>
      <c r="AS643" s="102" t="s">
        <v>220</v>
      </c>
      <c r="AT643" s="78" t="s">
        <v>620</v>
      </c>
      <c r="AU643" s="77" t="s">
        <v>1708</v>
      </c>
      <c r="AV643" s="77">
        <v>1973</v>
      </c>
      <c r="AW643" s="77" t="s">
        <v>143</v>
      </c>
      <c r="AX643" s="77" t="s">
        <v>112</v>
      </c>
      <c r="AY643" s="77" t="s">
        <v>878</v>
      </c>
      <c r="AZ643" s="77" t="s">
        <v>3384</v>
      </c>
      <c r="BA643" s="77">
        <v>34</v>
      </c>
      <c r="BB643" s="77">
        <v>13</v>
      </c>
      <c r="BC643" s="77">
        <v>81.2</v>
      </c>
      <c r="BD643" s="77">
        <v>0.04</v>
      </c>
      <c r="BE643" s="77" t="s">
        <v>97</v>
      </c>
      <c r="BF643" s="77"/>
      <c r="BG643" s="77">
        <v>3150</v>
      </c>
      <c r="BH643" s="77"/>
      <c r="BI643" s="77"/>
      <c r="BJ643" s="77"/>
      <c r="BK643" s="77">
        <v>5245</v>
      </c>
      <c r="BL643" s="75">
        <f t="shared" si="27"/>
        <v>8395</v>
      </c>
      <c r="BM643" s="103">
        <f t="shared" si="28"/>
        <v>461.72500000000002</v>
      </c>
      <c r="BN643" s="103">
        <f t="shared" si="29"/>
        <v>8856.7250000000004</v>
      </c>
      <c r="BO643" s="80"/>
      <c r="BP643" s="77" t="s">
        <v>97</v>
      </c>
      <c r="BQ643" s="77"/>
      <c r="BR643" s="77"/>
      <c r="BS643" s="157">
        <v>2020</v>
      </c>
      <c r="BT643">
        <v>2020</v>
      </c>
      <c r="BU643">
        <v>2020</v>
      </c>
    </row>
    <row r="644" spans="1:73" ht="43.15" customHeight="1" x14ac:dyDescent="0.25">
      <c r="A644" s="241" t="s">
        <v>3845</v>
      </c>
      <c r="B644" s="241" t="s">
        <v>4048</v>
      </c>
      <c r="C644" s="163">
        <v>400</v>
      </c>
      <c r="D644" s="76">
        <v>43832</v>
      </c>
      <c r="E644" s="76">
        <v>43832</v>
      </c>
      <c r="F644" s="76">
        <v>43833</v>
      </c>
      <c r="G644" s="76">
        <v>43839</v>
      </c>
      <c r="H644" s="76">
        <v>43839</v>
      </c>
      <c r="I644" s="76">
        <v>43839</v>
      </c>
      <c r="J644" s="76">
        <v>43857</v>
      </c>
      <c r="K644" s="218"/>
      <c r="L644" s="76">
        <v>43966</v>
      </c>
      <c r="M644" s="76">
        <v>43893</v>
      </c>
      <c r="N644" s="76" t="s">
        <v>4249</v>
      </c>
      <c r="O644" s="76">
        <v>44007</v>
      </c>
      <c r="P644" s="76">
        <v>44007</v>
      </c>
      <c r="Q644" s="76">
        <v>44011</v>
      </c>
      <c r="R644" s="82"/>
      <c r="S644" s="76"/>
      <c r="T644" s="77"/>
      <c r="U644" s="77"/>
      <c r="V644" s="77"/>
      <c r="W644" s="77">
        <v>4</v>
      </c>
      <c r="X644" s="77">
        <v>42741</v>
      </c>
      <c r="Y644" s="75" t="str">
        <f ca="1">IF(I644="",IF(D644="","",IF(W644+X644&lt;15,"Données Nb pers ou RFR manquantes",IF(COUNTA(INDIRECT("TabRFR["&amp;YEAR(D644)&amp;"]"))&lt;&gt;COUNTA(TabRFR[Recherche RFR]),"Data RFR manquantes", IF(X644&lt;=INDEX(TabRFR[[2021]:[2025]],MATCH(BD!W644&amp;"-Très modestes",TabRFR[Recherche RFR],0),MATCH(TEXT(YEAR(BD!D644),"Standard"),TabRFR[[#Headers],[2021]:[2025]],0)),"Très Modeste",IF(X644&lt;=INDEX(TabRFR[[2021]:[2025]],MATCH(BD!W644&amp;"-modestes",TabRFR[Recherche RFR],0),MATCH(TEXT(YEAR(BD!D644),"Standard"),TabRFR[[#Headers],[2021]:[2025]],0)),"Modeste",IF(X644&lt;=INDEX(TabRFR[[2021]:[2025]],MATCH(BD!W644&amp;"-Intermédiaire",TabRFR[Recherche RFR],0),MATCH(TEXT(YEAR(BD!D644),"Standard"),TabRFR[[#Headers],[2021]:[2025]],0)),"Intermédiaire","Supérieur")))))),IF(D644="","",IF(W644+X644&lt;15,"Données Nb pers ou RFR manquantes",IF(COUNTA(INDIRECT("TabRFR["&amp;YEAR(I644)&amp;"]"))&lt;&gt;COUNTA(TabRFR[Recherche RFR]),"Data RFR manquantes", IF(X644&lt;=INDEX(TabRFR[[2021]:[2025]],MATCH(BD!W644&amp;"-Très modestes",TabRFR[Recherche RFR],0),MATCH(TEXT(YEAR(BD!I644),"Standard"),TabRFR[[#Headers],[2021]:[2025]],0)),"Très Modeste",IF(X644&lt;=INDEX(TabRFR[[2021]:[2025]],MATCH(BD!W644&amp;"-modestes",TabRFR[Recherche RFR],0),MATCH(TEXT(YEAR(BD!I644),"Standard"),TabRFR[[#Headers],[2021]:[2025]],0)),"Modeste",IF(X644&lt;=INDEX(TabRFR[[2021]:[2025]],MATCH(BD!W644&amp;"-Intermédiaire",TabRFR[Recherche RFR],0),MATCH(TEXT(YEAR(BD!I644),"Standard"),TabRFR[[#Headers],[2021]:[2025]],0)),"Intermédiaire","Supérieur")))))))</f>
        <v>Data RFR manquantes</v>
      </c>
      <c r="Z644" s="77"/>
      <c r="AA644" s="77" t="s">
        <v>4074</v>
      </c>
      <c r="AB644" s="77">
        <v>38340</v>
      </c>
      <c r="AC644" s="77" t="s">
        <v>108</v>
      </c>
      <c r="AD644" s="78"/>
      <c r="AE644" s="102"/>
      <c r="AF644" s="77" t="s">
        <v>95</v>
      </c>
      <c r="AG644" s="77"/>
      <c r="AH644" s="77"/>
      <c r="AI644" s="77"/>
      <c r="AJ644" s="77"/>
      <c r="AK644" s="77"/>
      <c r="AL644" s="77"/>
      <c r="AM644" s="77" t="s">
        <v>4359</v>
      </c>
      <c r="AN644" s="77" t="s">
        <v>829</v>
      </c>
      <c r="AO644" s="77" t="s">
        <v>3720</v>
      </c>
      <c r="AP644" s="77" t="s">
        <v>97</v>
      </c>
      <c r="AQ644" s="77"/>
      <c r="AR644" s="79">
        <v>44118</v>
      </c>
      <c r="AS644" s="102" t="s">
        <v>491</v>
      </c>
      <c r="AT644" s="78" t="s">
        <v>3208</v>
      </c>
      <c r="AU644" s="77" t="s">
        <v>3967</v>
      </c>
      <c r="AV644" s="77" t="s">
        <v>231</v>
      </c>
      <c r="AW644" s="77" t="s">
        <v>100</v>
      </c>
      <c r="AX644" s="77" t="s">
        <v>112</v>
      </c>
      <c r="AY644" s="77" t="s">
        <v>492</v>
      </c>
      <c r="AZ644" s="77" t="s">
        <v>4079</v>
      </c>
      <c r="BA644" s="77">
        <v>20</v>
      </c>
      <c r="BB644" s="77">
        <v>5</v>
      </c>
      <c r="BC644" s="77">
        <v>81</v>
      </c>
      <c r="BD644" s="77">
        <v>7.0000000000000007E-2</v>
      </c>
      <c r="BE644" s="77" t="s">
        <v>97</v>
      </c>
      <c r="BF644" s="77"/>
      <c r="BG644" s="77">
        <v>5239.8999999999996</v>
      </c>
      <c r="BH644" s="77"/>
      <c r="BI644" s="77"/>
      <c r="BJ644" s="77"/>
      <c r="BK644" s="77">
        <v>936</v>
      </c>
      <c r="BL644" s="75">
        <f t="shared" si="27"/>
        <v>6175.9</v>
      </c>
      <c r="BM644" s="103">
        <f t="shared" si="28"/>
        <v>339.67449999999997</v>
      </c>
      <c r="BN644" s="103">
        <f t="shared" si="29"/>
        <v>6515.5744999999997</v>
      </c>
      <c r="BO644" s="80">
        <v>6515.57</v>
      </c>
      <c r="BP644" s="77" t="s">
        <v>97</v>
      </c>
      <c r="BQ644" s="77"/>
      <c r="BR644" s="77"/>
      <c r="BS644" s="157">
        <v>2020</v>
      </c>
      <c r="BT644">
        <v>2020</v>
      </c>
      <c r="BU644">
        <v>2020</v>
      </c>
    </row>
    <row r="645" spans="1:73" ht="43.15" customHeight="1" x14ac:dyDescent="0.25">
      <c r="A645" s="241" t="s">
        <v>3845</v>
      </c>
      <c r="B645" s="241" t="s">
        <v>4049</v>
      </c>
      <c r="C645" s="163">
        <v>800</v>
      </c>
      <c r="D645" s="76">
        <v>43832</v>
      </c>
      <c r="E645" s="76">
        <v>43832</v>
      </c>
      <c r="F645" s="76">
        <v>43833</v>
      </c>
      <c r="G645" s="76">
        <v>43838</v>
      </c>
      <c r="H645" s="76">
        <v>43839</v>
      </c>
      <c r="I645" s="76">
        <v>43839</v>
      </c>
      <c r="J645" s="76">
        <v>43857</v>
      </c>
      <c r="K645" s="218"/>
      <c r="L645" s="76">
        <v>43994</v>
      </c>
      <c r="M645" s="76">
        <v>43837</v>
      </c>
      <c r="N645" s="76" t="s">
        <v>4292</v>
      </c>
      <c r="O645" s="76" t="s">
        <v>4327</v>
      </c>
      <c r="P645" s="76">
        <v>44096</v>
      </c>
      <c r="Q645" s="76">
        <v>44096</v>
      </c>
      <c r="R645" s="82"/>
      <c r="S645" s="76"/>
      <c r="T645" s="77"/>
      <c r="U645" s="77"/>
      <c r="V645" s="77"/>
      <c r="W645" s="77">
        <v>6</v>
      </c>
      <c r="X645" s="77">
        <v>35312</v>
      </c>
      <c r="Y645" s="75" t="str">
        <f ca="1">IF(I645="",IF(D645="","",IF(W645+X645&lt;15,"Données Nb pers ou RFR manquantes",IF(COUNTA(INDIRECT("TabRFR["&amp;YEAR(D645)&amp;"]"))&lt;&gt;COUNTA(TabRFR[Recherche RFR]),"Data RFR manquantes", IF(X645&lt;=INDEX(TabRFR[[2021]:[2025]],MATCH(BD!W645&amp;"-Très modestes",TabRFR[Recherche RFR],0),MATCH(TEXT(YEAR(BD!D645),"Standard"),TabRFR[[#Headers],[2021]:[2025]],0)),"Très Modeste",IF(X645&lt;=INDEX(TabRFR[[2021]:[2025]],MATCH(BD!W645&amp;"-modestes",TabRFR[Recherche RFR],0),MATCH(TEXT(YEAR(BD!D645),"Standard"),TabRFR[[#Headers],[2021]:[2025]],0)),"Modeste",IF(X645&lt;=INDEX(TabRFR[[2021]:[2025]],MATCH(BD!W645&amp;"-Intermédiaire",TabRFR[Recherche RFR],0),MATCH(TEXT(YEAR(BD!D645),"Standard"),TabRFR[[#Headers],[2021]:[2025]],0)),"Intermédiaire","Supérieur")))))),IF(D645="","",IF(W645+X645&lt;15,"Données Nb pers ou RFR manquantes",IF(COUNTA(INDIRECT("TabRFR["&amp;YEAR(I645)&amp;"]"))&lt;&gt;COUNTA(TabRFR[Recherche RFR]),"Data RFR manquantes", IF(X645&lt;=INDEX(TabRFR[[2021]:[2025]],MATCH(BD!W645&amp;"-Très modestes",TabRFR[Recherche RFR],0),MATCH(TEXT(YEAR(BD!I645),"Standard"),TabRFR[[#Headers],[2021]:[2025]],0)),"Très Modeste",IF(X645&lt;=INDEX(TabRFR[[2021]:[2025]],MATCH(BD!W645&amp;"-modestes",TabRFR[Recherche RFR],0),MATCH(TEXT(YEAR(BD!I645),"Standard"),TabRFR[[#Headers],[2021]:[2025]],0)),"Modeste",IF(X645&lt;=INDEX(TabRFR[[2021]:[2025]],MATCH(BD!W645&amp;"-Intermédiaire",TabRFR[Recherche RFR],0),MATCH(TEXT(YEAR(BD!I645),"Standard"),TabRFR[[#Headers],[2021]:[2025]],0)),"Intermédiaire","Supérieur")))))))</f>
        <v>Data RFR manquantes</v>
      </c>
      <c r="Z645" s="77"/>
      <c r="AA645" s="77" t="s">
        <v>4075</v>
      </c>
      <c r="AB645" s="77">
        <v>38960</v>
      </c>
      <c r="AC645" s="77" t="s">
        <v>2403</v>
      </c>
      <c r="AD645" s="78"/>
      <c r="AE645" s="102"/>
      <c r="AF645" s="77" t="s">
        <v>95</v>
      </c>
      <c r="AG645" s="77"/>
      <c r="AH645" s="77"/>
      <c r="AI645" s="77"/>
      <c r="AJ645" s="77"/>
      <c r="AK645" s="77"/>
      <c r="AL645" s="77"/>
      <c r="AM645" s="77" t="s">
        <v>4080</v>
      </c>
      <c r="AN645" s="77" t="s">
        <v>1687</v>
      </c>
      <c r="AO645" s="77" t="s">
        <v>4081</v>
      </c>
      <c r="AP645" s="77" t="s">
        <v>97</v>
      </c>
      <c r="AQ645" s="77"/>
      <c r="AR645" s="79">
        <v>44059</v>
      </c>
      <c r="AS645" s="102" t="s">
        <v>4082</v>
      </c>
      <c r="AT645" s="78" t="s">
        <v>4083</v>
      </c>
      <c r="AU645" s="77" t="s">
        <v>3967</v>
      </c>
      <c r="AV645" s="77" t="s">
        <v>231</v>
      </c>
      <c r="AW645" s="77" t="s">
        <v>100</v>
      </c>
      <c r="AX645" s="77" t="s">
        <v>2071</v>
      </c>
      <c r="AY645" s="77" t="s">
        <v>4084</v>
      </c>
      <c r="AZ645" s="77" t="s">
        <v>4085</v>
      </c>
      <c r="BA645" s="77">
        <v>11</v>
      </c>
      <c r="BB645" s="77">
        <v>12</v>
      </c>
      <c r="BC645" s="77">
        <v>93</v>
      </c>
      <c r="BD645" s="77">
        <v>0.01</v>
      </c>
      <c r="BE645" s="77" t="s">
        <v>97</v>
      </c>
      <c r="BF645" s="77"/>
      <c r="BG645" s="77">
        <v>3802</v>
      </c>
      <c r="BH645" s="77"/>
      <c r="BI645" s="77"/>
      <c r="BJ645" s="77"/>
      <c r="BK645" s="77">
        <v>1</v>
      </c>
      <c r="BL645" s="75">
        <f t="shared" si="27"/>
        <v>3803</v>
      </c>
      <c r="BM645" s="103">
        <f t="shared" si="28"/>
        <v>209.16499999999999</v>
      </c>
      <c r="BN645" s="103">
        <f t="shared" si="29"/>
        <v>4012.165</v>
      </c>
      <c r="BO645" s="80"/>
      <c r="BP645" s="77" t="s">
        <v>97</v>
      </c>
      <c r="BQ645" s="77"/>
      <c r="BR645" s="77"/>
      <c r="BS645" s="157">
        <v>2020</v>
      </c>
      <c r="BU645">
        <v>2020</v>
      </c>
    </row>
    <row r="646" spans="1:73" ht="43.15" customHeight="1" x14ac:dyDescent="0.25">
      <c r="A646" s="31" t="s">
        <v>3845</v>
      </c>
      <c r="B646" s="31" t="s">
        <v>4050</v>
      </c>
      <c r="C646" s="163" t="s">
        <v>9</v>
      </c>
      <c r="D646" s="76">
        <v>43832</v>
      </c>
      <c r="E646" s="76">
        <v>43832</v>
      </c>
      <c r="F646" s="76"/>
      <c r="G646" s="76"/>
      <c r="H646" s="76"/>
      <c r="I646" s="76"/>
      <c r="J646" s="76"/>
      <c r="K646" s="218"/>
      <c r="L646" s="76"/>
      <c r="M646" s="76"/>
      <c r="N646" s="76"/>
      <c r="O646" s="76"/>
      <c r="P646" s="76"/>
      <c r="Q646" s="76"/>
      <c r="R646" s="82"/>
      <c r="S646" s="76">
        <v>43833</v>
      </c>
      <c r="T646" s="77" t="s">
        <v>4086</v>
      </c>
      <c r="U646" s="77"/>
      <c r="V646" s="77"/>
      <c r="W646" s="77">
        <v>3</v>
      </c>
      <c r="X646" s="77">
        <v>38573</v>
      </c>
      <c r="Y646" s="75" t="str">
        <f ca="1">IF(I646="",IF(D646="","",IF(W646+X646&lt;15,"Données Nb pers ou RFR manquantes",IF(COUNTA(INDIRECT("TabRFR["&amp;YEAR(D646)&amp;"]"))&lt;&gt;COUNTA(TabRFR[Recherche RFR]),"Data RFR manquantes", IF(X646&lt;=INDEX(TabRFR[[2021]:[2025]],MATCH(BD!W646&amp;"-Très modestes",TabRFR[Recherche RFR],0),MATCH(TEXT(YEAR(BD!D646),"Standard"),TabRFR[[#Headers],[2021]:[2025]],0)),"Très Modeste",IF(X646&lt;=INDEX(TabRFR[[2021]:[2025]],MATCH(BD!W646&amp;"-modestes",TabRFR[Recherche RFR],0),MATCH(TEXT(YEAR(BD!D646),"Standard"),TabRFR[[#Headers],[2021]:[2025]],0)),"Modeste",IF(X646&lt;=INDEX(TabRFR[[2021]:[2025]],MATCH(BD!W646&amp;"-Intermédiaire",TabRFR[Recherche RFR],0),MATCH(TEXT(YEAR(BD!D646),"Standard"),TabRFR[[#Headers],[2021]:[2025]],0)),"Intermédiaire","Supérieur")))))),IF(D646="","",IF(W646+X646&lt;15,"Données Nb pers ou RFR manquantes",IF(COUNTA(INDIRECT("TabRFR["&amp;YEAR(I646)&amp;"]"))&lt;&gt;COUNTA(TabRFR[Recherche RFR]),"Data RFR manquantes", IF(X646&lt;=INDEX(TabRFR[[2021]:[2025]],MATCH(BD!W646&amp;"-Très modestes",TabRFR[Recherche RFR],0),MATCH(TEXT(YEAR(BD!I646),"Standard"),TabRFR[[#Headers],[2021]:[2025]],0)),"Très Modeste",IF(X646&lt;=INDEX(TabRFR[[2021]:[2025]],MATCH(BD!W646&amp;"-modestes",TabRFR[Recherche RFR],0),MATCH(TEXT(YEAR(BD!I646),"Standard"),TabRFR[[#Headers],[2021]:[2025]],0)),"Modeste",IF(X646&lt;=INDEX(TabRFR[[2021]:[2025]],MATCH(BD!W646&amp;"-Intermédiaire",TabRFR[Recherche RFR],0),MATCH(TEXT(YEAR(BD!I646),"Standard"),TabRFR[[#Headers],[2021]:[2025]],0)),"Intermédiaire","Supérieur")))))))</f>
        <v>Data RFR manquantes</v>
      </c>
      <c r="Z646" s="77"/>
      <c r="AA646" s="77" t="s">
        <v>4076</v>
      </c>
      <c r="AB646" s="77">
        <v>38500</v>
      </c>
      <c r="AC646" s="77" t="s">
        <v>2572</v>
      </c>
      <c r="AD646" s="78"/>
      <c r="AE646" s="102"/>
      <c r="AF646" s="77" t="s">
        <v>95</v>
      </c>
      <c r="AG646" s="77"/>
      <c r="AH646" s="77"/>
      <c r="AI646" s="77"/>
      <c r="AJ646" s="77"/>
      <c r="AK646" s="77"/>
      <c r="AL646" s="77"/>
      <c r="AM646" s="77" t="s">
        <v>4356</v>
      </c>
      <c r="AN646" s="77" t="s">
        <v>96</v>
      </c>
      <c r="AO646" s="77" t="s">
        <v>4025</v>
      </c>
      <c r="AP646" s="77" t="s">
        <v>97</v>
      </c>
      <c r="AQ646" s="77"/>
      <c r="AR646" s="79">
        <v>44138</v>
      </c>
      <c r="AS646" s="102" t="s">
        <v>120</v>
      </c>
      <c r="AT646" s="78" t="s">
        <v>658</v>
      </c>
      <c r="AU646" s="77" t="s">
        <v>3967</v>
      </c>
      <c r="AV646" s="77">
        <v>2001</v>
      </c>
      <c r="AW646" s="77" t="s">
        <v>9</v>
      </c>
      <c r="AX646" s="77" t="s">
        <v>9</v>
      </c>
      <c r="AY646" s="77" t="s">
        <v>9</v>
      </c>
      <c r="AZ646" s="77" t="s">
        <v>9</v>
      </c>
      <c r="BA646" s="77" t="s">
        <v>9</v>
      </c>
      <c r="BB646" s="77" t="s">
        <v>9</v>
      </c>
      <c r="BC646" s="77" t="s">
        <v>9</v>
      </c>
      <c r="BD646" s="77" t="s">
        <v>9</v>
      </c>
      <c r="BE646" s="77" t="s">
        <v>9</v>
      </c>
      <c r="BF646" s="77"/>
      <c r="BG646" s="77" t="s">
        <v>9</v>
      </c>
      <c r="BH646" s="77"/>
      <c r="BI646" s="77"/>
      <c r="BJ646" s="77"/>
      <c r="BK646" s="77" t="s">
        <v>9</v>
      </c>
      <c r="BL646" s="75" t="e">
        <f t="shared" ref="BL646:BL662" si="30">BG646+BK646</f>
        <v>#VALUE!</v>
      </c>
      <c r="BM646" s="103" t="e">
        <f t="shared" ref="BM646:BM695" si="31">BL646*0.055</f>
        <v>#VALUE!</v>
      </c>
      <c r="BN646" s="103" t="e">
        <f t="shared" ref="BN646:BN695" si="32">BL646+BM646</f>
        <v>#VALUE!</v>
      </c>
      <c r="BO646" s="80"/>
      <c r="BP646" s="77" t="s">
        <v>9</v>
      </c>
      <c r="BQ646" s="77"/>
      <c r="BR646" s="77"/>
      <c r="BS646" s="157">
        <v>2020</v>
      </c>
      <c r="BU646" t="s">
        <v>4180</v>
      </c>
    </row>
    <row r="647" spans="1:73" ht="43.15" customHeight="1" x14ac:dyDescent="0.25">
      <c r="A647" s="241" t="s">
        <v>3845</v>
      </c>
      <c r="B647" s="241" t="s">
        <v>4051</v>
      </c>
      <c r="C647" s="163">
        <v>400</v>
      </c>
      <c r="D647" s="76">
        <v>43832</v>
      </c>
      <c r="E647" s="76">
        <v>43832</v>
      </c>
      <c r="F647" s="76">
        <v>43833</v>
      </c>
      <c r="G647" s="76" t="s">
        <v>4147</v>
      </c>
      <c r="H647" s="76">
        <v>43889</v>
      </c>
      <c r="I647" s="76">
        <v>43889</v>
      </c>
      <c r="J647" s="76">
        <v>43889</v>
      </c>
      <c r="K647" s="218"/>
      <c r="L647" s="76">
        <v>43974</v>
      </c>
      <c r="M647" s="76">
        <v>43973</v>
      </c>
      <c r="N647" s="76" t="s">
        <v>9</v>
      </c>
      <c r="O647" s="76">
        <v>43986</v>
      </c>
      <c r="P647" s="76">
        <v>43986</v>
      </c>
      <c r="Q647" s="76">
        <v>43986</v>
      </c>
      <c r="R647" s="82"/>
      <c r="S647" s="76"/>
      <c r="T647" s="77"/>
      <c r="U647" s="77"/>
      <c r="V647" s="77"/>
      <c r="W647" s="77">
        <v>6</v>
      </c>
      <c r="X647" s="77">
        <v>60106</v>
      </c>
      <c r="Y647" s="75" t="str">
        <f ca="1">IF(I647="",IF(D647="","",IF(W647+X647&lt;15,"Données Nb pers ou RFR manquantes",IF(COUNTA(INDIRECT("TabRFR["&amp;YEAR(D647)&amp;"]"))&lt;&gt;COUNTA(TabRFR[Recherche RFR]),"Data RFR manquantes", IF(X647&lt;=INDEX(TabRFR[[2021]:[2025]],MATCH(BD!W647&amp;"-Très modestes",TabRFR[Recherche RFR],0),MATCH(TEXT(YEAR(BD!D647),"Standard"),TabRFR[[#Headers],[2021]:[2025]],0)),"Très Modeste",IF(X647&lt;=INDEX(TabRFR[[2021]:[2025]],MATCH(BD!W647&amp;"-modestes",TabRFR[Recherche RFR],0),MATCH(TEXT(YEAR(BD!D647),"Standard"),TabRFR[[#Headers],[2021]:[2025]],0)),"Modeste",IF(X647&lt;=INDEX(TabRFR[[2021]:[2025]],MATCH(BD!W647&amp;"-Intermédiaire",TabRFR[Recherche RFR],0),MATCH(TEXT(YEAR(BD!D647),"Standard"),TabRFR[[#Headers],[2021]:[2025]],0)),"Intermédiaire","Supérieur")))))),IF(D647="","",IF(W647+X647&lt;15,"Données Nb pers ou RFR manquantes",IF(COUNTA(INDIRECT("TabRFR["&amp;YEAR(I647)&amp;"]"))&lt;&gt;COUNTA(TabRFR[Recherche RFR]),"Data RFR manquantes", IF(X647&lt;=INDEX(TabRFR[[2021]:[2025]],MATCH(BD!W647&amp;"-Très modestes",TabRFR[Recherche RFR],0),MATCH(TEXT(YEAR(BD!I647),"Standard"),TabRFR[[#Headers],[2021]:[2025]],0)),"Très Modeste",IF(X647&lt;=INDEX(TabRFR[[2021]:[2025]],MATCH(BD!W647&amp;"-modestes",TabRFR[Recherche RFR],0),MATCH(TEXT(YEAR(BD!I647),"Standard"),TabRFR[[#Headers],[2021]:[2025]],0)),"Modeste",IF(X647&lt;=INDEX(TabRFR[[2021]:[2025]],MATCH(BD!W647&amp;"-Intermédiaire",TabRFR[Recherche RFR],0),MATCH(TEXT(YEAR(BD!I647),"Standard"),TabRFR[[#Headers],[2021]:[2025]],0)),"Intermédiaire","Supérieur")))))))</f>
        <v>Data RFR manquantes</v>
      </c>
      <c r="Z647" s="77"/>
      <c r="AA647" s="77" t="s">
        <v>4077</v>
      </c>
      <c r="AB647" s="77">
        <v>38430</v>
      </c>
      <c r="AC647" s="77" t="s">
        <v>217</v>
      </c>
      <c r="AD647" s="78"/>
      <c r="AE647" s="102"/>
      <c r="AF647" s="77" t="s">
        <v>95</v>
      </c>
      <c r="AG647" s="77"/>
      <c r="AH647" s="77"/>
      <c r="AI647" s="77"/>
      <c r="AJ647" s="77"/>
      <c r="AK647" s="77"/>
      <c r="AL647" s="77"/>
      <c r="AM647" s="77" t="s">
        <v>218</v>
      </c>
      <c r="AN647" s="77" t="s">
        <v>217</v>
      </c>
      <c r="AO647" s="77" t="s">
        <v>4078</v>
      </c>
      <c r="AP647" s="77" t="s">
        <v>97</v>
      </c>
      <c r="AQ647" s="77"/>
      <c r="AR647" s="79">
        <v>44130</v>
      </c>
      <c r="AS647" s="102" t="s">
        <v>220</v>
      </c>
      <c r="AT647" s="78" t="s">
        <v>620</v>
      </c>
      <c r="AU647" s="77" t="s">
        <v>3967</v>
      </c>
      <c r="AV647" s="77" t="s">
        <v>173</v>
      </c>
      <c r="AW647" s="77" t="s">
        <v>143</v>
      </c>
      <c r="AX647" s="77" t="s">
        <v>112</v>
      </c>
      <c r="AY647" s="77" t="s">
        <v>3990</v>
      </c>
      <c r="AZ647" s="77" t="s">
        <v>4087</v>
      </c>
      <c r="BA647" s="77">
        <v>23</v>
      </c>
      <c r="BB647" s="77">
        <v>10</v>
      </c>
      <c r="BC647" s="77">
        <v>78</v>
      </c>
      <c r="BD647" s="77">
        <v>7.0000000000000007E-2</v>
      </c>
      <c r="BE647" s="77" t="s">
        <v>97</v>
      </c>
      <c r="BF647" s="77"/>
      <c r="BG647" s="77">
        <v>3771.44</v>
      </c>
      <c r="BH647" s="77"/>
      <c r="BI647" s="77"/>
      <c r="BJ647" s="77"/>
      <c r="BK647" s="77">
        <v>1150</v>
      </c>
      <c r="BL647" s="75">
        <f t="shared" si="30"/>
        <v>4921.4400000000005</v>
      </c>
      <c r="BM647" s="103">
        <f t="shared" si="31"/>
        <v>270.67920000000004</v>
      </c>
      <c r="BN647" s="103">
        <f t="shared" si="32"/>
        <v>5192.119200000001</v>
      </c>
      <c r="BO647" s="80">
        <v>4875.62</v>
      </c>
      <c r="BP647" s="77" t="s">
        <v>97</v>
      </c>
      <c r="BQ647" s="77"/>
      <c r="BR647" s="77"/>
      <c r="BS647" s="157">
        <v>2020</v>
      </c>
      <c r="BT647">
        <v>2020</v>
      </c>
      <c r="BU647">
        <v>2020</v>
      </c>
    </row>
    <row r="648" spans="1:73" ht="43.15" customHeight="1" x14ac:dyDescent="0.25">
      <c r="A648" s="31" t="s">
        <v>3845</v>
      </c>
      <c r="B648" s="31" t="s">
        <v>4318</v>
      </c>
      <c r="C648" s="163" t="s">
        <v>9</v>
      </c>
      <c r="D648" s="76">
        <v>43837</v>
      </c>
      <c r="E648" s="76">
        <v>43837</v>
      </c>
      <c r="F648" s="76">
        <v>43839</v>
      </c>
      <c r="G648" s="76" t="s">
        <v>4291</v>
      </c>
      <c r="H648" s="76"/>
      <c r="I648" s="76"/>
      <c r="J648" s="76"/>
      <c r="K648" s="218"/>
      <c r="L648" s="76"/>
      <c r="M648" s="76"/>
      <c r="N648" s="76"/>
      <c r="O648" s="76"/>
      <c r="P648" s="76"/>
      <c r="Q648" s="76"/>
      <c r="R648" s="82"/>
      <c r="S648" s="76" t="s">
        <v>4319</v>
      </c>
      <c r="T648" s="77" t="s">
        <v>4320</v>
      </c>
      <c r="U648" s="77"/>
      <c r="V648" s="77"/>
      <c r="W648" s="77">
        <v>2</v>
      </c>
      <c r="X648" s="77">
        <v>40801</v>
      </c>
      <c r="Y648" s="75" t="str">
        <f ca="1">IF(I648="",IF(D648="","",IF(W648+X648&lt;15,"Données Nb pers ou RFR manquantes",IF(COUNTA(INDIRECT("TabRFR["&amp;YEAR(D648)&amp;"]"))&lt;&gt;COUNTA(TabRFR[Recherche RFR]),"Data RFR manquantes", IF(X648&lt;=INDEX(TabRFR[[2021]:[2025]],MATCH(BD!W648&amp;"-Très modestes",TabRFR[Recherche RFR],0),MATCH(TEXT(YEAR(BD!D648),"Standard"),TabRFR[[#Headers],[2021]:[2025]],0)),"Très Modeste",IF(X648&lt;=INDEX(TabRFR[[2021]:[2025]],MATCH(BD!W648&amp;"-modestes",TabRFR[Recherche RFR],0),MATCH(TEXT(YEAR(BD!D648),"Standard"),TabRFR[[#Headers],[2021]:[2025]],0)),"Modeste",IF(X648&lt;=INDEX(TabRFR[[2021]:[2025]],MATCH(BD!W648&amp;"-Intermédiaire",TabRFR[Recherche RFR],0),MATCH(TEXT(YEAR(BD!D648),"Standard"),TabRFR[[#Headers],[2021]:[2025]],0)),"Intermédiaire","Supérieur")))))),IF(D648="","",IF(W648+X648&lt;15,"Données Nb pers ou RFR manquantes",IF(COUNTA(INDIRECT("TabRFR["&amp;YEAR(I648)&amp;"]"))&lt;&gt;COUNTA(TabRFR[Recherche RFR]),"Data RFR manquantes", IF(X648&lt;=INDEX(TabRFR[[2021]:[2025]],MATCH(BD!W648&amp;"-Très modestes",TabRFR[Recherche RFR],0),MATCH(TEXT(YEAR(BD!I648),"Standard"),TabRFR[[#Headers],[2021]:[2025]],0)),"Très Modeste",IF(X648&lt;=INDEX(TabRFR[[2021]:[2025]],MATCH(BD!W648&amp;"-modestes",TabRFR[Recherche RFR],0),MATCH(TEXT(YEAR(BD!I648),"Standard"),TabRFR[[#Headers],[2021]:[2025]],0)),"Modeste",IF(X648&lt;=INDEX(TabRFR[[2021]:[2025]],MATCH(BD!W648&amp;"-Intermédiaire",TabRFR[Recherche RFR],0),MATCH(TEXT(YEAR(BD!I648),"Standard"),TabRFR[[#Headers],[2021]:[2025]],0)),"Intermédiaire","Supérieur")))))))</f>
        <v>Data RFR manquantes</v>
      </c>
      <c r="Z648" s="77"/>
      <c r="AA648" s="77" t="s">
        <v>4090</v>
      </c>
      <c r="AB648" s="77">
        <v>38620</v>
      </c>
      <c r="AC648" s="77" t="s">
        <v>1386</v>
      </c>
      <c r="AD648" s="78"/>
      <c r="AE648" s="102"/>
      <c r="AF648" s="77" t="s">
        <v>95</v>
      </c>
      <c r="AG648" s="77"/>
      <c r="AH648" s="77"/>
      <c r="AI648" s="77"/>
      <c r="AJ648" s="77"/>
      <c r="AK648" s="77"/>
      <c r="AL648" s="77"/>
      <c r="AM648" s="77" t="s">
        <v>4236</v>
      </c>
      <c r="AN648" s="77" t="s">
        <v>4091</v>
      </c>
      <c r="AO648" s="77" t="s">
        <v>4062</v>
      </c>
      <c r="AP648" s="77" t="s">
        <v>97</v>
      </c>
      <c r="AQ648" s="77"/>
      <c r="AR648" s="79">
        <v>44152</v>
      </c>
      <c r="AS648" s="102" t="s">
        <v>164</v>
      </c>
      <c r="AT648" s="78" t="s">
        <v>608</v>
      </c>
      <c r="AU648" s="77" t="s">
        <v>1708</v>
      </c>
      <c r="AV648" s="77">
        <v>2001</v>
      </c>
      <c r="AW648" s="77" t="s">
        <v>100</v>
      </c>
      <c r="AX648" s="77" t="s">
        <v>2071</v>
      </c>
      <c r="AY648" s="77" t="s">
        <v>1017</v>
      </c>
      <c r="AZ648" s="77" t="s">
        <v>4092</v>
      </c>
      <c r="BA648" s="77">
        <v>11</v>
      </c>
      <c r="BB648" s="77">
        <v>12</v>
      </c>
      <c r="BC648" s="77">
        <v>88.5</v>
      </c>
      <c r="BD648" s="77">
        <v>0.01</v>
      </c>
      <c r="BE648" s="77" t="s">
        <v>97</v>
      </c>
      <c r="BF648" s="77"/>
      <c r="BG648" s="77">
        <v>6334.64</v>
      </c>
      <c r="BH648" s="77"/>
      <c r="BI648" s="77"/>
      <c r="BJ648" s="77"/>
      <c r="BK648" s="77">
        <v>590</v>
      </c>
      <c r="BL648" s="75">
        <f t="shared" si="30"/>
        <v>6924.64</v>
      </c>
      <c r="BM648" s="103">
        <f t="shared" si="31"/>
        <v>380.85520000000002</v>
      </c>
      <c r="BN648" s="103">
        <f t="shared" si="32"/>
        <v>7305.4952000000003</v>
      </c>
      <c r="BO648" s="80"/>
      <c r="BP648" s="77" t="s">
        <v>97</v>
      </c>
      <c r="BQ648" s="77"/>
      <c r="BR648" s="77"/>
      <c r="BS648" s="157">
        <v>2020</v>
      </c>
      <c r="BU648" t="s">
        <v>4180</v>
      </c>
    </row>
    <row r="649" spans="1:73" ht="43.15" customHeight="1" x14ac:dyDescent="0.25">
      <c r="A649" s="241" t="s">
        <v>3845</v>
      </c>
      <c r="B649" s="241" t="s">
        <v>4052</v>
      </c>
      <c r="C649" s="163">
        <v>400</v>
      </c>
      <c r="D649" s="76">
        <v>43843</v>
      </c>
      <c r="E649" s="76">
        <v>43843</v>
      </c>
      <c r="F649" s="76" t="s">
        <v>9</v>
      </c>
      <c r="G649" s="76" t="s">
        <v>9</v>
      </c>
      <c r="H649" s="76">
        <v>43847</v>
      </c>
      <c r="I649" s="76">
        <v>43847</v>
      </c>
      <c r="J649" s="76">
        <v>43857</v>
      </c>
      <c r="K649" s="218"/>
      <c r="L649" s="76">
        <v>43914</v>
      </c>
      <c r="M649" s="76">
        <v>43871</v>
      </c>
      <c r="N649" s="76" t="s">
        <v>9</v>
      </c>
      <c r="O649" s="76">
        <v>43957</v>
      </c>
      <c r="P649" s="76">
        <v>43962</v>
      </c>
      <c r="Q649" s="76">
        <v>43965</v>
      </c>
      <c r="R649" s="82"/>
      <c r="S649" s="76"/>
      <c r="T649" s="77"/>
      <c r="U649" s="77"/>
      <c r="V649" s="77"/>
      <c r="W649" s="77">
        <v>2</v>
      </c>
      <c r="X649" s="77">
        <v>29184</v>
      </c>
      <c r="Y649" s="75" t="str">
        <f ca="1">IF(I649="",IF(D649="","",IF(W649+X649&lt;15,"Données Nb pers ou RFR manquantes",IF(COUNTA(INDIRECT("TabRFR["&amp;YEAR(D649)&amp;"]"))&lt;&gt;COUNTA(TabRFR[Recherche RFR]),"Data RFR manquantes", IF(X649&lt;=INDEX(TabRFR[[2021]:[2025]],MATCH(BD!W649&amp;"-Très modestes",TabRFR[Recherche RFR],0),MATCH(TEXT(YEAR(BD!D649),"Standard"),TabRFR[[#Headers],[2021]:[2025]],0)),"Très Modeste",IF(X649&lt;=INDEX(TabRFR[[2021]:[2025]],MATCH(BD!W649&amp;"-modestes",TabRFR[Recherche RFR],0),MATCH(TEXT(YEAR(BD!D649),"Standard"),TabRFR[[#Headers],[2021]:[2025]],0)),"Modeste",IF(X649&lt;=INDEX(TabRFR[[2021]:[2025]],MATCH(BD!W649&amp;"-Intermédiaire",TabRFR[Recherche RFR],0),MATCH(TEXT(YEAR(BD!D649),"Standard"),TabRFR[[#Headers],[2021]:[2025]],0)),"Intermédiaire","Supérieur")))))),IF(D649="","",IF(W649+X649&lt;15,"Données Nb pers ou RFR manquantes",IF(COUNTA(INDIRECT("TabRFR["&amp;YEAR(I649)&amp;"]"))&lt;&gt;COUNTA(TabRFR[Recherche RFR]),"Data RFR manquantes", IF(X649&lt;=INDEX(TabRFR[[2021]:[2025]],MATCH(BD!W649&amp;"-Très modestes",TabRFR[Recherche RFR],0),MATCH(TEXT(YEAR(BD!I649),"Standard"),TabRFR[[#Headers],[2021]:[2025]],0)),"Très Modeste",IF(X649&lt;=INDEX(TabRFR[[2021]:[2025]],MATCH(BD!W649&amp;"-modestes",TabRFR[Recherche RFR],0),MATCH(TEXT(YEAR(BD!I649),"Standard"),TabRFR[[#Headers],[2021]:[2025]],0)),"Modeste",IF(X649&lt;=INDEX(TabRFR[[2021]:[2025]],MATCH(BD!W649&amp;"-Intermédiaire",TabRFR[Recherche RFR],0),MATCH(TEXT(YEAR(BD!I649),"Standard"),TabRFR[[#Headers],[2021]:[2025]],0)),"Intermédiaire","Supérieur")))))))</f>
        <v>Data RFR manquantes</v>
      </c>
      <c r="Z649" s="77"/>
      <c r="AA649" s="77" t="s">
        <v>4095</v>
      </c>
      <c r="AB649" s="77">
        <v>38500</v>
      </c>
      <c r="AC649" s="77" t="s">
        <v>2873</v>
      </c>
      <c r="AD649" s="78"/>
      <c r="AE649" s="102"/>
      <c r="AF649" s="77" t="s">
        <v>95</v>
      </c>
      <c r="AG649" s="77"/>
      <c r="AH649" s="77"/>
      <c r="AI649" s="77"/>
      <c r="AJ649" s="77"/>
      <c r="AK649" s="77"/>
      <c r="AL649" s="77"/>
      <c r="AM649" s="77" t="s">
        <v>4031</v>
      </c>
      <c r="AN649" s="77" t="s">
        <v>4109</v>
      </c>
      <c r="AO649" s="77" t="s">
        <v>4032</v>
      </c>
      <c r="AP649" s="77" t="s">
        <v>97</v>
      </c>
      <c r="AQ649" s="77"/>
      <c r="AR649" s="79">
        <v>43903</v>
      </c>
      <c r="AS649" s="102" t="s">
        <v>156</v>
      </c>
      <c r="AT649" s="78" t="s">
        <v>722</v>
      </c>
      <c r="AU649" s="77" t="s">
        <v>1708</v>
      </c>
      <c r="AV649" s="77">
        <v>1987</v>
      </c>
      <c r="AW649" s="77" t="s">
        <v>100</v>
      </c>
      <c r="AX649" s="77" t="s">
        <v>112</v>
      </c>
      <c r="AY649" s="77" t="s">
        <v>3612</v>
      </c>
      <c r="AZ649" s="77" t="s">
        <v>4110</v>
      </c>
      <c r="BA649" s="77">
        <v>33</v>
      </c>
      <c r="BB649" s="77">
        <v>5</v>
      </c>
      <c r="BC649" s="77">
        <v>80.099999999999994</v>
      </c>
      <c r="BD649" s="77">
        <v>0.09</v>
      </c>
      <c r="BE649" s="77" t="s">
        <v>97</v>
      </c>
      <c r="BF649" s="77"/>
      <c r="BG649" s="77">
        <v>2148.0700000000002</v>
      </c>
      <c r="BH649" s="77"/>
      <c r="BI649" s="77"/>
      <c r="BJ649" s="77"/>
      <c r="BK649" s="77">
        <v>854.42</v>
      </c>
      <c r="BL649" s="75">
        <f t="shared" si="30"/>
        <v>3002.4900000000002</v>
      </c>
      <c r="BM649" s="103">
        <f t="shared" si="31"/>
        <v>165.13695000000001</v>
      </c>
      <c r="BN649" s="103">
        <f t="shared" si="32"/>
        <v>3167.6269500000003</v>
      </c>
      <c r="BO649" s="80">
        <v>3000.02</v>
      </c>
      <c r="BP649" s="77" t="s">
        <v>97</v>
      </c>
      <c r="BQ649" s="77"/>
      <c r="BR649" s="77"/>
      <c r="BS649" s="157">
        <v>2020</v>
      </c>
      <c r="BT649">
        <v>2020</v>
      </c>
      <c r="BU649">
        <v>2020</v>
      </c>
    </row>
    <row r="650" spans="1:73" ht="43.15" customHeight="1" x14ac:dyDescent="0.25">
      <c r="A650" s="31" t="s">
        <v>3845</v>
      </c>
      <c r="B650" s="31" t="s">
        <v>4317</v>
      </c>
      <c r="C650" s="163" t="s">
        <v>9</v>
      </c>
      <c r="D650" s="76">
        <v>43844</v>
      </c>
      <c r="E650" s="76">
        <v>43844</v>
      </c>
      <c r="F650" s="76">
        <v>43847</v>
      </c>
      <c r="G650" s="76" t="s">
        <v>4138</v>
      </c>
      <c r="H650" s="76"/>
      <c r="I650" s="76"/>
      <c r="J650" s="76"/>
      <c r="K650" s="218"/>
      <c r="L650" s="76"/>
      <c r="M650" s="76"/>
      <c r="N650" s="76"/>
      <c r="O650" s="76"/>
      <c r="P650" s="76"/>
      <c r="Q650" s="76"/>
      <c r="R650" s="82"/>
      <c r="S650" s="76" t="s">
        <v>4319</v>
      </c>
      <c r="T650" s="77" t="s">
        <v>4321</v>
      </c>
      <c r="U650" s="77"/>
      <c r="V650" s="77"/>
      <c r="W650" s="77">
        <v>1</v>
      </c>
      <c r="X650" s="77">
        <v>19533</v>
      </c>
      <c r="Y650" s="75" t="str">
        <f ca="1">IF(I650="",IF(D650="","",IF(W650+X650&lt;15,"Données Nb pers ou RFR manquantes",IF(COUNTA(INDIRECT("TabRFR["&amp;YEAR(D650)&amp;"]"))&lt;&gt;COUNTA(TabRFR[Recherche RFR]),"Data RFR manquantes", IF(X650&lt;=INDEX(TabRFR[[2021]:[2025]],MATCH(BD!W650&amp;"-Très modestes",TabRFR[Recherche RFR],0),MATCH(TEXT(YEAR(BD!D650),"Standard"),TabRFR[[#Headers],[2021]:[2025]],0)),"Très Modeste",IF(X650&lt;=INDEX(TabRFR[[2021]:[2025]],MATCH(BD!W650&amp;"-modestes",TabRFR[Recherche RFR],0),MATCH(TEXT(YEAR(BD!D650),"Standard"),TabRFR[[#Headers],[2021]:[2025]],0)),"Modeste",IF(X650&lt;=INDEX(TabRFR[[2021]:[2025]],MATCH(BD!W650&amp;"-Intermédiaire",TabRFR[Recherche RFR],0),MATCH(TEXT(YEAR(BD!D650),"Standard"),TabRFR[[#Headers],[2021]:[2025]],0)),"Intermédiaire","Supérieur")))))),IF(D650="","",IF(W650+X650&lt;15,"Données Nb pers ou RFR manquantes",IF(COUNTA(INDIRECT("TabRFR["&amp;YEAR(I650)&amp;"]"))&lt;&gt;COUNTA(TabRFR[Recherche RFR]),"Data RFR manquantes", IF(X650&lt;=INDEX(TabRFR[[2021]:[2025]],MATCH(BD!W650&amp;"-Très modestes",TabRFR[Recherche RFR],0),MATCH(TEXT(YEAR(BD!I650),"Standard"),TabRFR[[#Headers],[2021]:[2025]],0)),"Très Modeste",IF(X650&lt;=INDEX(TabRFR[[2021]:[2025]],MATCH(BD!W650&amp;"-modestes",TabRFR[Recherche RFR],0),MATCH(TEXT(YEAR(BD!I650),"Standard"),TabRFR[[#Headers],[2021]:[2025]],0)),"Modeste",IF(X650&lt;=INDEX(TabRFR[[2021]:[2025]],MATCH(BD!W650&amp;"-Intermédiaire",TabRFR[Recherche RFR],0),MATCH(TEXT(YEAR(BD!I650),"Standard"),TabRFR[[#Headers],[2021]:[2025]],0)),"Intermédiaire","Supérieur")))))))</f>
        <v>Data RFR manquantes</v>
      </c>
      <c r="Z650" s="77"/>
      <c r="AA650" s="77" t="s">
        <v>4096</v>
      </c>
      <c r="AB650" s="77">
        <v>38500</v>
      </c>
      <c r="AC650" s="77" t="s">
        <v>96</v>
      </c>
      <c r="AD650" s="78"/>
      <c r="AE650" s="102"/>
      <c r="AF650" s="77" t="s">
        <v>95</v>
      </c>
      <c r="AG650" s="77"/>
      <c r="AH650" s="77"/>
      <c r="AI650" s="77"/>
      <c r="AJ650" s="77"/>
      <c r="AK650" s="77"/>
      <c r="AL650" s="77"/>
      <c r="AM650" s="77" t="s">
        <v>4356</v>
      </c>
      <c r="AN650" s="77" t="s">
        <v>96</v>
      </c>
      <c r="AO650" s="77" t="s">
        <v>4025</v>
      </c>
      <c r="AP650" s="77" t="s">
        <v>97</v>
      </c>
      <c r="AQ650" s="77"/>
      <c r="AR650" s="79">
        <v>44138</v>
      </c>
      <c r="AS650" s="102" t="s">
        <v>120</v>
      </c>
      <c r="AT650" s="78" t="s">
        <v>658</v>
      </c>
      <c r="AU650" s="77" t="s">
        <v>100</v>
      </c>
      <c r="AV650" s="77">
        <v>1999</v>
      </c>
      <c r="AW650" s="77" t="s">
        <v>100</v>
      </c>
      <c r="AX650" s="77" t="s">
        <v>2071</v>
      </c>
      <c r="AY650" s="77" t="s">
        <v>102</v>
      </c>
      <c r="AZ650" s="77" t="s">
        <v>4111</v>
      </c>
      <c r="BA650" s="77">
        <v>17</v>
      </c>
      <c r="BB650" s="77">
        <v>8.1</v>
      </c>
      <c r="BC650" s="77">
        <v>90.9</v>
      </c>
      <c r="BD650" s="77">
        <v>2E-3</v>
      </c>
      <c r="BE650" s="77" t="s">
        <v>97</v>
      </c>
      <c r="BF650" s="77"/>
      <c r="BG650" s="77">
        <v>3591.47</v>
      </c>
      <c r="BH650" s="77"/>
      <c r="BI650" s="77"/>
      <c r="BJ650" s="77"/>
      <c r="BK650" s="77">
        <v>420</v>
      </c>
      <c r="BL650" s="75">
        <f t="shared" si="30"/>
        <v>4011.47</v>
      </c>
      <c r="BM650" s="103">
        <f t="shared" si="31"/>
        <v>220.63084999999998</v>
      </c>
      <c r="BN650" s="103">
        <f t="shared" si="32"/>
        <v>4232.1008499999998</v>
      </c>
      <c r="BO650" s="80"/>
      <c r="BP650" s="77" t="s">
        <v>104</v>
      </c>
      <c r="BQ650" s="77"/>
      <c r="BR650" s="77"/>
      <c r="BS650" s="157">
        <v>2020</v>
      </c>
      <c r="BU650" t="s">
        <v>4180</v>
      </c>
    </row>
    <row r="651" spans="1:73" ht="43.15" customHeight="1" x14ac:dyDescent="0.25">
      <c r="A651" s="31" t="s">
        <v>3845</v>
      </c>
      <c r="B651" s="31" t="s">
        <v>4053</v>
      </c>
      <c r="C651" s="163">
        <v>400</v>
      </c>
      <c r="D651" s="76">
        <v>43846</v>
      </c>
      <c r="E651" s="76">
        <v>43846</v>
      </c>
      <c r="F651" s="76" t="s">
        <v>9</v>
      </c>
      <c r="G651" s="76" t="s">
        <v>9</v>
      </c>
      <c r="H651" s="76">
        <v>43847</v>
      </c>
      <c r="I651" s="76">
        <v>43847</v>
      </c>
      <c r="J651" s="76">
        <v>43857</v>
      </c>
      <c r="K651" s="218"/>
      <c r="L651" s="76">
        <v>43875</v>
      </c>
      <c r="M651" s="76">
        <v>43738</v>
      </c>
      <c r="N651" s="76" t="s">
        <v>4127</v>
      </c>
      <c r="O651" s="76" t="s">
        <v>9</v>
      </c>
      <c r="P651" s="76" t="s">
        <v>9</v>
      </c>
      <c r="Q651" s="76" t="s">
        <v>9</v>
      </c>
      <c r="R651" s="82"/>
      <c r="S651" s="76">
        <v>44123</v>
      </c>
      <c r="T651" s="77" t="s">
        <v>4341</v>
      </c>
      <c r="U651" s="77"/>
      <c r="V651" s="77"/>
      <c r="W651" s="77">
        <v>4</v>
      </c>
      <c r="X651" s="77">
        <v>49953</v>
      </c>
      <c r="Y651" s="75" t="str">
        <f ca="1">IF(I651="",IF(D651="","",IF(W651+X651&lt;15,"Données Nb pers ou RFR manquantes",IF(COUNTA(INDIRECT("TabRFR["&amp;YEAR(D651)&amp;"]"))&lt;&gt;COUNTA(TabRFR[Recherche RFR]),"Data RFR manquantes", IF(X651&lt;=INDEX(TabRFR[[2021]:[2025]],MATCH(BD!W651&amp;"-Très modestes",TabRFR[Recherche RFR],0),MATCH(TEXT(YEAR(BD!D651),"Standard"),TabRFR[[#Headers],[2021]:[2025]],0)),"Très Modeste",IF(X651&lt;=INDEX(TabRFR[[2021]:[2025]],MATCH(BD!W651&amp;"-modestes",TabRFR[Recherche RFR],0),MATCH(TEXT(YEAR(BD!D651),"Standard"),TabRFR[[#Headers],[2021]:[2025]],0)),"Modeste",IF(X651&lt;=INDEX(TabRFR[[2021]:[2025]],MATCH(BD!W651&amp;"-Intermédiaire",TabRFR[Recherche RFR],0),MATCH(TEXT(YEAR(BD!D651),"Standard"),TabRFR[[#Headers],[2021]:[2025]],0)),"Intermédiaire","Supérieur")))))),IF(D651="","",IF(W651+X651&lt;15,"Données Nb pers ou RFR manquantes",IF(COUNTA(INDIRECT("TabRFR["&amp;YEAR(I651)&amp;"]"))&lt;&gt;COUNTA(TabRFR[Recherche RFR]),"Data RFR manquantes", IF(X651&lt;=INDEX(TabRFR[[2021]:[2025]],MATCH(BD!W651&amp;"-Très modestes",TabRFR[Recherche RFR],0),MATCH(TEXT(YEAR(BD!I651),"Standard"),TabRFR[[#Headers],[2021]:[2025]],0)),"Très Modeste",IF(X651&lt;=INDEX(TabRFR[[2021]:[2025]],MATCH(BD!W651&amp;"-modestes",TabRFR[Recherche RFR],0),MATCH(TEXT(YEAR(BD!I651),"Standard"),TabRFR[[#Headers],[2021]:[2025]],0)),"Modeste",IF(X651&lt;=INDEX(TabRFR[[2021]:[2025]],MATCH(BD!W651&amp;"-Intermédiaire",TabRFR[Recherche RFR],0),MATCH(TEXT(YEAR(BD!I651),"Standard"),TabRFR[[#Headers],[2021]:[2025]],0)),"Intermédiaire","Supérieur")))))))</f>
        <v>Data RFR manquantes</v>
      </c>
      <c r="Z651" s="77"/>
      <c r="AA651" s="77" t="s">
        <v>4098</v>
      </c>
      <c r="AB651" s="77">
        <v>38500</v>
      </c>
      <c r="AC651" s="77" t="s">
        <v>2873</v>
      </c>
      <c r="AD651" s="78"/>
      <c r="AE651" s="102"/>
      <c r="AF651" s="77" t="s">
        <v>95</v>
      </c>
      <c r="AG651" s="77"/>
      <c r="AH651" s="77"/>
      <c r="AI651" s="77"/>
      <c r="AJ651" s="77"/>
      <c r="AK651" s="77"/>
      <c r="AL651" s="77"/>
      <c r="AM651" s="77" t="s">
        <v>1886</v>
      </c>
      <c r="AN651" s="77" t="s">
        <v>195</v>
      </c>
      <c r="AO651" s="77" t="s">
        <v>4112</v>
      </c>
      <c r="AP651" s="77" t="s">
        <v>97</v>
      </c>
      <c r="AQ651" s="77"/>
      <c r="AR651" s="79">
        <v>44040</v>
      </c>
      <c r="AS651" s="102" t="s">
        <v>516</v>
      </c>
      <c r="AT651" s="78" t="s">
        <v>4113</v>
      </c>
      <c r="AU651" s="77" t="s">
        <v>100</v>
      </c>
      <c r="AV651" s="77" t="s">
        <v>173</v>
      </c>
      <c r="AW651" s="77" t="s">
        <v>100</v>
      </c>
      <c r="AX651" s="77" t="s">
        <v>2071</v>
      </c>
      <c r="AY651" s="77" t="s">
        <v>1017</v>
      </c>
      <c r="AZ651" s="77" t="s">
        <v>198</v>
      </c>
      <c r="BA651" s="77">
        <v>14</v>
      </c>
      <c r="BB651" s="77">
        <v>6.1</v>
      </c>
      <c r="BC651" s="77">
        <v>94.3</v>
      </c>
      <c r="BD651" s="77">
        <v>3.0400000000000002E-3</v>
      </c>
      <c r="BE651" s="77" t="s">
        <v>97</v>
      </c>
      <c r="BF651" s="77"/>
      <c r="BG651" s="77">
        <v>2691</v>
      </c>
      <c r="BH651" s="77"/>
      <c r="BI651" s="77"/>
      <c r="BJ651" s="77"/>
      <c r="BK651" s="77">
        <v>500</v>
      </c>
      <c r="BL651" s="75">
        <f t="shared" si="30"/>
        <v>3191</v>
      </c>
      <c r="BM651" s="103">
        <f t="shared" si="31"/>
        <v>175.505</v>
      </c>
      <c r="BN651" s="103">
        <f t="shared" si="32"/>
        <v>3366.5050000000001</v>
      </c>
      <c r="BO651" s="80">
        <v>3999.5</v>
      </c>
      <c r="BP651" s="77" t="s">
        <v>104</v>
      </c>
      <c r="BQ651" s="77"/>
      <c r="BR651" s="77"/>
      <c r="BS651" s="157">
        <v>2020</v>
      </c>
      <c r="BU651" t="s">
        <v>4180</v>
      </c>
    </row>
    <row r="652" spans="1:73" ht="43.15" customHeight="1" x14ac:dyDescent="0.25">
      <c r="A652" s="241" t="s">
        <v>3845</v>
      </c>
      <c r="B652" s="241" t="s">
        <v>4054</v>
      </c>
      <c r="C652" s="163">
        <v>400</v>
      </c>
      <c r="D652" s="76">
        <v>43871</v>
      </c>
      <c r="E652" s="76">
        <v>43871</v>
      </c>
      <c r="F652" s="76" t="s">
        <v>9</v>
      </c>
      <c r="G652" s="76" t="s">
        <v>9</v>
      </c>
      <c r="H652" s="76">
        <v>43874</v>
      </c>
      <c r="I652" s="76">
        <v>43874</v>
      </c>
      <c r="J652" s="76">
        <v>43882</v>
      </c>
      <c r="K652" s="218"/>
      <c r="L652" s="76">
        <v>44175</v>
      </c>
      <c r="M652" s="76">
        <v>43890</v>
      </c>
      <c r="N652" s="76" t="s">
        <v>4343</v>
      </c>
      <c r="O652" s="76">
        <v>44176</v>
      </c>
      <c r="P652" s="76">
        <v>44176</v>
      </c>
      <c r="Q652" s="76">
        <v>44182</v>
      </c>
      <c r="R652" s="82"/>
      <c r="S652" s="76"/>
      <c r="T652" s="77"/>
      <c r="U652" s="77"/>
      <c r="V652" s="77"/>
      <c r="W652" s="77">
        <v>1</v>
      </c>
      <c r="X652" s="77">
        <v>22128</v>
      </c>
      <c r="Y652" s="75" t="str">
        <f ca="1">IF(I652="",IF(D652="","",IF(W652+X652&lt;15,"Données Nb pers ou RFR manquantes",IF(COUNTA(INDIRECT("TabRFR["&amp;YEAR(D652)&amp;"]"))&lt;&gt;COUNTA(TabRFR[Recherche RFR]),"Data RFR manquantes", IF(X652&lt;=INDEX(TabRFR[[2021]:[2025]],MATCH(BD!W652&amp;"-Très modestes",TabRFR[Recherche RFR],0),MATCH(TEXT(YEAR(BD!D652),"Standard"),TabRFR[[#Headers],[2021]:[2025]],0)),"Très Modeste",IF(X652&lt;=INDEX(TabRFR[[2021]:[2025]],MATCH(BD!W652&amp;"-modestes",TabRFR[Recherche RFR],0),MATCH(TEXT(YEAR(BD!D652),"Standard"),TabRFR[[#Headers],[2021]:[2025]],0)),"Modeste",IF(X652&lt;=INDEX(TabRFR[[2021]:[2025]],MATCH(BD!W652&amp;"-Intermédiaire",TabRFR[Recherche RFR],0),MATCH(TEXT(YEAR(BD!D652),"Standard"),TabRFR[[#Headers],[2021]:[2025]],0)),"Intermédiaire","Supérieur")))))),IF(D652="","",IF(W652+X652&lt;15,"Données Nb pers ou RFR manquantes",IF(COUNTA(INDIRECT("TabRFR["&amp;YEAR(I652)&amp;"]"))&lt;&gt;COUNTA(TabRFR[Recherche RFR]),"Data RFR manquantes", IF(X652&lt;=INDEX(TabRFR[[2021]:[2025]],MATCH(BD!W652&amp;"-Très modestes",TabRFR[Recherche RFR],0),MATCH(TEXT(YEAR(BD!I652),"Standard"),TabRFR[[#Headers],[2021]:[2025]],0)),"Très Modeste",IF(X652&lt;=INDEX(TabRFR[[2021]:[2025]],MATCH(BD!W652&amp;"-modestes",TabRFR[Recherche RFR],0),MATCH(TEXT(YEAR(BD!I652),"Standard"),TabRFR[[#Headers],[2021]:[2025]],0)),"Modeste",IF(X652&lt;=INDEX(TabRFR[[2021]:[2025]],MATCH(BD!W652&amp;"-Intermédiaire",TabRFR[Recherche RFR],0),MATCH(TEXT(YEAR(BD!I652),"Standard"),TabRFR[[#Headers],[2021]:[2025]],0)),"Intermédiaire","Supérieur")))))))</f>
        <v>Data RFR manquantes</v>
      </c>
      <c r="Z652" s="77"/>
      <c r="AA652" s="77" t="s">
        <v>3986</v>
      </c>
      <c r="AB652" s="77">
        <v>38430</v>
      </c>
      <c r="AC652" s="77" t="s">
        <v>217</v>
      </c>
      <c r="AD652" s="78"/>
      <c r="AE652" s="102"/>
      <c r="AF652" s="77" t="s">
        <v>95</v>
      </c>
      <c r="AG652" s="77"/>
      <c r="AH652" s="77"/>
      <c r="AI652" s="77"/>
      <c r="AJ652" s="77"/>
      <c r="AK652" s="77"/>
      <c r="AL652" s="77"/>
      <c r="AM652" s="77" t="s">
        <v>4359</v>
      </c>
      <c r="AN652" s="77" t="s">
        <v>829</v>
      </c>
      <c r="AO652" s="77" t="s">
        <v>3720</v>
      </c>
      <c r="AP652" s="77" t="s">
        <v>97</v>
      </c>
      <c r="AQ652" s="77"/>
      <c r="AR652" s="79">
        <v>44118</v>
      </c>
      <c r="AS652" s="102" t="s">
        <v>491</v>
      </c>
      <c r="AT652" s="78" t="s">
        <v>3208</v>
      </c>
      <c r="AU652" s="78" t="s">
        <v>1708</v>
      </c>
      <c r="AV652" s="77">
        <v>2001</v>
      </c>
      <c r="AW652" s="77" t="s">
        <v>100</v>
      </c>
      <c r="AX652" s="77" t="s">
        <v>112</v>
      </c>
      <c r="AY652" s="77" t="s">
        <v>492</v>
      </c>
      <c r="AZ652" s="77" t="s">
        <v>4121</v>
      </c>
      <c r="BA652" s="77">
        <v>20</v>
      </c>
      <c r="BB652" s="77">
        <v>5</v>
      </c>
      <c r="BC652" s="77">
        <v>80</v>
      </c>
      <c r="BD652" s="77">
        <v>0.08</v>
      </c>
      <c r="BE652" s="77" t="s">
        <v>97</v>
      </c>
      <c r="BF652" s="77"/>
      <c r="BG652" s="77">
        <v>3367.81</v>
      </c>
      <c r="BH652" s="77"/>
      <c r="BI652" s="77"/>
      <c r="BJ652" s="77"/>
      <c r="BK652" s="77">
        <v>618</v>
      </c>
      <c r="BL652" s="75">
        <f t="shared" si="30"/>
        <v>3985.81</v>
      </c>
      <c r="BM652" s="103">
        <f t="shared" si="31"/>
        <v>219.21955</v>
      </c>
      <c r="BN652" s="103">
        <f t="shared" si="32"/>
        <v>4205.0295500000002</v>
      </c>
      <c r="BO652" s="80"/>
      <c r="BP652" s="77" t="s">
        <v>97</v>
      </c>
      <c r="BQ652" s="77"/>
      <c r="BR652" s="77"/>
      <c r="BS652" s="157">
        <v>2020</v>
      </c>
      <c r="BT652">
        <v>2020</v>
      </c>
      <c r="BU652">
        <v>2020</v>
      </c>
    </row>
    <row r="653" spans="1:73" ht="43.15" customHeight="1" x14ac:dyDescent="0.25">
      <c r="A653" s="31" t="s">
        <v>3845</v>
      </c>
      <c r="B653" s="31" t="s">
        <v>4316</v>
      </c>
      <c r="C653" s="163" t="s">
        <v>9</v>
      </c>
      <c r="D653" s="76">
        <v>43873</v>
      </c>
      <c r="E653" s="76">
        <v>43874</v>
      </c>
      <c r="F653" s="76">
        <v>43874</v>
      </c>
      <c r="G653" s="76" t="s">
        <v>4123</v>
      </c>
      <c r="H653" s="76"/>
      <c r="I653" s="76"/>
      <c r="J653" s="76"/>
      <c r="K653" s="218"/>
      <c r="L653" s="76"/>
      <c r="M653" s="76"/>
      <c r="N653" s="76"/>
      <c r="O653" s="76"/>
      <c r="P653" s="76"/>
      <c r="Q653" s="76"/>
      <c r="R653" s="82"/>
      <c r="S653" s="76" t="s">
        <v>4319</v>
      </c>
      <c r="T653" s="77" t="s">
        <v>4324</v>
      </c>
      <c r="U653" s="77"/>
      <c r="V653" s="77"/>
      <c r="W653" s="77">
        <v>2</v>
      </c>
      <c r="X653" s="77">
        <v>42444</v>
      </c>
      <c r="Y653" s="75" t="str">
        <f ca="1">IF(I653="",IF(D653="","",IF(W653+X653&lt;15,"Données Nb pers ou RFR manquantes",IF(COUNTA(INDIRECT("TabRFR["&amp;YEAR(D653)&amp;"]"))&lt;&gt;COUNTA(TabRFR[Recherche RFR]),"Data RFR manquantes", IF(X653&lt;=INDEX(TabRFR[[2021]:[2025]],MATCH(BD!W653&amp;"-Très modestes",TabRFR[Recherche RFR],0),MATCH(TEXT(YEAR(BD!D653),"Standard"),TabRFR[[#Headers],[2021]:[2025]],0)),"Très Modeste",IF(X653&lt;=INDEX(TabRFR[[2021]:[2025]],MATCH(BD!W653&amp;"-modestes",TabRFR[Recherche RFR],0),MATCH(TEXT(YEAR(BD!D653),"Standard"),TabRFR[[#Headers],[2021]:[2025]],0)),"Modeste",IF(X653&lt;=INDEX(TabRFR[[2021]:[2025]],MATCH(BD!W653&amp;"-Intermédiaire",TabRFR[Recherche RFR],0),MATCH(TEXT(YEAR(BD!D653),"Standard"),TabRFR[[#Headers],[2021]:[2025]],0)),"Intermédiaire","Supérieur")))))),IF(D653="","",IF(W653+X653&lt;15,"Données Nb pers ou RFR manquantes",IF(COUNTA(INDIRECT("TabRFR["&amp;YEAR(I653)&amp;"]"))&lt;&gt;COUNTA(TabRFR[Recherche RFR]),"Data RFR manquantes", IF(X653&lt;=INDEX(TabRFR[[2021]:[2025]],MATCH(BD!W653&amp;"-Très modestes",TabRFR[Recherche RFR],0),MATCH(TEXT(YEAR(BD!I653),"Standard"),TabRFR[[#Headers],[2021]:[2025]],0)),"Très Modeste",IF(X653&lt;=INDEX(TabRFR[[2021]:[2025]],MATCH(BD!W653&amp;"-modestes",TabRFR[Recherche RFR],0),MATCH(TEXT(YEAR(BD!I653),"Standard"),TabRFR[[#Headers],[2021]:[2025]],0)),"Modeste",IF(X653&lt;=INDEX(TabRFR[[2021]:[2025]],MATCH(BD!W653&amp;"-Intermédiaire",TabRFR[Recherche RFR],0),MATCH(TEXT(YEAR(BD!I653),"Standard"),TabRFR[[#Headers],[2021]:[2025]],0)),"Intermédiaire","Supérieur")))))))</f>
        <v>Data RFR manquantes</v>
      </c>
      <c r="Z653" s="77"/>
      <c r="AA653" s="77" t="s">
        <v>4120</v>
      </c>
      <c r="AB653" s="77">
        <v>38210</v>
      </c>
      <c r="AC653" s="77" t="s">
        <v>445</v>
      </c>
      <c r="AD653" s="78"/>
      <c r="AE653" s="102"/>
      <c r="AF653" s="77"/>
      <c r="AG653" s="77"/>
      <c r="AH653" s="77"/>
      <c r="AI653" s="77"/>
      <c r="AJ653" s="77"/>
      <c r="AK653" s="77"/>
      <c r="AL653" s="77"/>
      <c r="AM653" s="77" t="s">
        <v>4233</v>
      </c>
      <c r="AN653" s="77" t="s">
        <v>829</v>
      </c>
      <c r="AO653" s="77" t="s">
        <v>4122</v>
      </c>
      <c r="AP653" s="77" t="s">
        <v>97</v>
      </c>
      <c r="AQ653" s="77"/>
      <c r="AR653" s="79">
        <v>44052</v>
      </c>
      <c r="AS653" s="102" t="s">
        <v>211</v>
      </c>
      <c r="AT653" s="78">
        <v>438029038</v>
      </c>
      <c r="AU653" s="77" t="s">
        <v>3967</v>
      </c>
      <c r="AV653" s="77">
        <v>1987</v>
      </c>
      <c r="AW653" s="77" t="s">
        <v>100</v>
      </c>
      <c r="AX653" s="77" t="s">
        <v>2071</v>
      </c>
      <c r="AY653" s="77" t="s">
        <v>2922</v>
      </c>
      <c r="AZ653" s="77"/>
      <c r="BA653" s="77"/>
      <c r="BB653" s="77"/>
      <c r="BC653" s="77"/>
      <c r="BD653" s="77"/>
      <c r="BE653" s="77"/>
      <c r="BF653" s="77"/>
      <c r="BG653" s="77"/>
      <c r="BH653" s="77"/>
      <c r="BI653" s="77"/>
      <c r="BJ653" s="77"/>
      <c r="BK653" s="77"/>
      <c r="BL653" s="75">
        <f t="shared" si="30"/>
        <v>0</v>
      </c>
      <c r="BM653" s="103">
        <f t="shared" si="31"/>
        <v>0</v>
      </c>
      <c r="BN653" s="103">
        <f t="shared" si="32"/>
        <v>0</v>
      </c>
      <c r="BO653" s="80"/>
      <c r="BP653" s="77"/>
      <c r="BQ653" s="77"/>
      <c r="BR653" s="77"/>
      <c r="BS653" s="157"/>
      <c r="BU653" t="s">
        <v>4180</v>
      </c>
    </row>
    <row r="654" spans="1:73" ht="43.15" customHeight="1" x14ac:dyDescent="0.25">
      <c r="A654" s="241" t="s">
        <v>3845</v>
      </c>
      <c r="B654" s="241" t="s">
        <v>4055</v>
      </c>
      <c r="C654" s="163">
        <v>400</v>
      </c>
      <c r="D654" s="76">
        <v>43878</v>
      </c>
      <c r="E654" s="76">
        <v>43878</v>
      </c>
      <c r="F654" s="76" t="s">
        <v>9</v>
      </c>
      <c r="G654" s="76" t="s">
        <v>9</v>
      </c>
      <c r="H654" s="76">
        <v>43881</v>
      </c>
      <c r="I654" s="76">
        <v>43881</v>
      </c>
      <c r="J654" s="76">
        <v>43882</v>
      </c>
      <c r="K654" s="218"/>
      <c r="L654" s="76">
        <v>44123</v>
      </c>
      <c r="M654" s="76">
        <v>44096</v>
      </c>
      <c r="N654" s="76" t="s">
        <v>4044</v>
      </c>
      <c r="O654" s="76">
        <v>44126</v>
      </c>
      <c r="P654" s="76">
        <v>44126</v>
      </c>
      <c r="Q654" s="76">
        <v>44139</v>
      </c>
      <c r="R654" s="82"/>
      <c r="S654" s="76"/>
      <c r="T654" s="77"/>
      <c r="U654" s="77"/>
      <c r="V654" s="77"/>
      <c r="W654" s="77">
        <v>3</v>
      </c>
      <c r="X654" s="77">
        <v>56146</v>
      </c>
      <c r="Y654" s="75" t="str">
        <f ca="1">IF(I654="",IF(D654="","",IF(W654+X654&lt;15,"Données Nb pers ou RFR manquantes",IF(COUNTA(INDIRECT("TabRFR["&amp;YEAR(D654)&amp;"]"))&lt;&gt;COUNTA(TabRFR[Recherche RFR]),"Data RFR manquantes", IF(X654&lt;=INDEX(TabRFR[[2021]:[2025]],MATCH(BD!W654&amp;"-Très modestes",TabRFR[Recherche RFR],0),MATCH(TEXT(YEAR(BD!D654),"Standard"),TabRFR[[#Headers],[2021]:[2025]],0)),"Très Modeste",IF(X654&lt;=INDEX(TabRFR[[2021]:[2025]],MATCH(BD!W654&amp;"-modestes",TabRFR[Recherche RFR],0),MATCH(TEXT(YEAR(BD!D654),"Standard"),TabRFR[[#Headers],[2021]:[2025]],0)),"Modeste",IF(X654&lt;=INDEX(TabRFR[[2021]:[2025]],MATCH(BD!W654&amp;"-Intermédiaire",TabRFR[Recherche RFR],0),MATCH(TEXT(YEAR(BD!D654),"Standard"),TabRFR[[#Headers],[2021]:[2025]],0)),"Intermédiaire","Supérieur")))))),IF(D654="","",IF(W654+X654&lt;15,"Données Nb pers ou RFR manquantes",IF(COUNTA(INDIRECT("TabRFR["&amp;YEAR(I654)&amp;"]"))&lt;&gt;COUNTA(TabRFR[Recherche RFR]),"Data RFR manquantes", IF(X654&lt;=INDEX(TabRFR[[2021]:[2025]],MATCH(BD!W654&amp;"-Très modestes",TabRFR[Recherche RFR],0),MATCH(TEXT(YEAR(BD!I654),"Standard"),TabRFR[[#Headers],[2021]:[2025]],0)),"Très Modeste",IF(X654&lt;=INDEX(TabRFR[[2021]:[2025]],MATCH(BD!W654&amp;"-modestes",TabRFR[Recherche RFR],0),MATCH(TEXT(YEAR(BD!I654),"Standard"),TabRFR[[#Headers],[2021]:[2025]],0)),"Modeste",IF(X654&lt;=INDEX(TabRFR[[2021]:[2025]],MATCH(BD!W654&amp;"-Intermédiaire",TabRFR[Recherche RFR],0),MATCH(TEXT(YEAR(BD!I654),"Standard"),TabRFR[[#Headers],[2021]:[2025]],0)),"Intermédiaire","Supérieur")))))))</f>
        <v>Data RFR manquantes</v>
      </c>
      <c r="Z654" s="77"/>
      <c r="AA654" s="77" t="s">
        <v>4126</v>
      </c>
      <c r="AB654" s="77">
        <v>38340</v>
      </c>
      <c r="AC654" s="77" t="s">
        <v>3796</v>
      </c>
      <c r="AD654" s="78"/>
      <c r="AE654" s="102"/>
      <c r="AF654" s="77" t="s">
        <v>95</v>
      </c>
      <c r="AG654" s="77"/>
      <c r="AH654" s="77"/>
      <c r="AI654" s="77"/>
      <c r="AJ654" s="77"/>
      <c r="AK654" s="77"/>
      <c r="AL654" s="77"/>
      <c r="AM654" s="77" t="s">
        <v>4130</v>
      </c>
      <c r="AN654" s="77" t="s">
        <v>4349</v>
      </c>
      <c r="AO654" s="77" t="s">
        <v>4131</v>
      </c>
      <c r="AP654" s="77" t="s">
        <v>97</v>
      </c>
      <c r="AQ654" s="77"/>
      <c r="AR654" s="79">
        <v>43911</v>
      </c>
      <c r="AS654" s="102" t="s">
        <v>337</v>
      </c>
      <c r="AT654" s="78">
        <v>438021901</v>
      </c>
      <c r="AU654" s="77" t="s">
        <v>3967</v>
      </c>
      <c r="AV654" s="77">
        <v>1990</v>
      </c>
      <c r="AW654" s="77" t="s">
        <v>100</v>
      </c>
      <c r="AX654" s="77" t="s">
        <v>112</v>
      </c>
      <c r="AY654" s="77" t="s">
        <v>338</v>
      </c>
      <c r="AZ654" s="77" t="s">
        <v>4132</v>
      </c>
      <c r="BA654" s="77">
        <v>22</v>
      </c>
      <c r="BB654" s="77">
        <v>8</v>
      </c>
      <c r="BC654" s="77">
        <v>82</v>
      </c>
      <c r="BD654" s="77">
        <v>0.09</v>
      </c>
      <c r="BE654" s="77" t="s">
        <v>97</v>
      </c>
      <c r="BF654" s="77"/>
      <c r="BG654" s="77">
        <v>6453</v>
      </c>
      <c r="BH654" s="77"/>
      <c r="BI654" s="77"/>
      <c r="BJ654" s="77"/>
      <c r="BK654" s="77">
        <v>1492</v>
      </c>
      <c r="BL654" s="75">
        <f t="shared" si="30"/>
        <v>7945</v>
      </c>
      <c r="BM654" s="103">
        <f t="shared" si="31"/>
        <v>436.97500000000002</v>
      </c>
      <c r="BN654" s="103">
        <f t="shared" si="32"/>
        <v>8381.9750000000004</v>
      </c>
      <c r="BO654" s="80"/>
      <c r="BP654" s="77" t="s">
        <v>104</v>
      </c>
      <c r="BQ654" s="77"/>
      <c r="BR654" s="77"/>
      <c r="BS654" s="157">
        <v>2020</v>
      </c>
      <c r="BT654">
        <v>2020</v>
      </c>
      <c r="BU654">
        <v>2020</v>
      </c>
    </row>
    <row r="655" spans="1:73" ht="43.15" customHeight="1" x14ac:dyDescent="0.25">
      <c r="A655" s="241" t="s">
        <v>3845</v>
      </c>
      <c r="B655" s="241" t="s">
        <v>4056</v>
      </c>
      <c r="C655" s="163">
        <v>400</v>
      </c>
      <c r="D655" s="76">
        <v>43879</v>
      </c>
      <c r="E655" s="76">
        <v>43881</v>
      </c>
      <c r="F655" s="76" t="s">
        <v>9</v>
      </c>
      <c r="G655" s="76" t="s">
        <v>9</v>
      </c>
      <c r="H655" s="76">
        <v>43881</v>
      </c>
      <c r="I655" s="76">
        <v>43881</v>
      </c>
      <c r="J655" s="76">
        <v>43882</v>
      </c>
      <c r="K655" s="218"/>
      <c r="L655" s="76">
        <v>44018</v>
      </c>
      <c r="M655" s="76">
        <v>44008</v>
      </c>
      <c r="N655" s="76" t="s">
        <v>4044</v>
      </c>
      <c r="O655" s="76" t="s">
        <v>4328</v>
      </c>
      <c r="P655" s="76">
        <v>44035</v>
      </c>
      <c r="Q655" s="76">
        <v>44035</v>
      </c>
      <c r="R655" s="82"/>
      <c r="S655" s="76"/>
      <c r="T655" s="77"/>
      <c r="U655" s="77"/>
      <c r="V655" s="77"/>
      <c r="W655" s="77">
        <v>2</v>
      </c>
      <c r="X655" s="77">
        <v>65262</v>
      </c>
      <c r="Y655" s="75" t="str">
        <f ca="1">IF(I655="",IF(D655="","",IF(W655+X655&lt;15,"Données Nb pers ou RFR manquantes",IF(COUNTA(INDIRECT("TabRFR["&amp;YEAR(D655)&amp;"]"))&lt;&gt;COUNTA(TabRFR[Recherche RFR]),"Data RFR manquantes", IF(X655&lt;=INDEX(TabRFR[[2021]:[2025]],MATCH(BD!W655&amp;"-Très modestes",TabRFR[Recherche RFR],0),MATCH(TEXT(YEAR(BD!D655),"Standard"),TabRFR[[#Headers],[2021]:[2025]],0)),"Très Modeste",IF(X655&lt;=INDEX(TabRFR[[2021]:[2025]],MATCH(BD!W655&amp;"-modestes",TabRFR[Recherche RFR],0),MATCH(TEXT(YEAR(BD!D655),"Standard"),TabRFR[[#Headers],[2021]:[2025]],0)),"Modeste",IF(X655&lt;=INDEX(TabRFR[[2021]:[2025]],MATCH(BD!W655&amp;"-Intermédiaire",TabRFR[Recherche RFR],0),MATCH(TEXT(YEAR(BD!D655),"Standard"),TabRFR[[#Headers],[2021]:[2025]],0)),"Intermédiaire","Supérieur")))))),IF(D655="","",IF(W655+X655&lt;15,"Données Nb pers ou RFR manquantes",IF(COUNTA(INDIRECT("TabRFR["&amp;YEAR(I655)&amp;"]"))&lt;&gt;COUNTA(TabRFR[Recherche RFR]),"Data RFR manquantes", IF(X655&lt;=INDEX(TabRFR[[2021]:[2025]],MATCH(BD!W655&amp;"-Très modestes",TabRFR[Recherche RFR],0),MATCH(TEXT(YEAR(BD!I655),"Standard"),TabRFR[[#Headers],[2021]:[2025]],0)),"Très Modeste",IF(X655&lt;=INDEX(TabRFR[[2021]:[2025]],MATCH(BD!W655&amp;"-modestes",TabRFR[Recherche RFR],0),MATCH(TEXT(YEAR(BD!I655),"Standard"),TabRFR[[#Headers],[2021]:[2025]],0)),"Modeste",IF(X655&lt;=INDEX(TabRFR[[2021]:[2025]],MATCH(BD!W655&amp;"-Intermédiaire",TabRFR[Recherche RFR],0),MATCH(TEXT(YEAR(BD!I655),"Standard"),TabRFR[[#Headers],[2021]:[2025]],0)),"Intermédiaire","Supérieur")))))))</f>
        <v>Data RFR manquantes</v>
      </c>
      <c r="Z655" s="77"/>
      <c r="AA655" s="77" t="s">
        <v>4128</v>
      </c>
      <c r="AB655" s="77">
        <v>38340</v>
      </c>
      <c r="AC655" s="77" t="s">
        <v>3129</v>
      </c>
      <c r="AD655" s="78"/>
      <c r="AE655" s="102"/>
      <c r="AF655" s="77" t="s">
        <v>95</v>
      </c>
      <c r="AG655" s="77"/>
      <c r="AH655" s="77"/>
      <c r="AI655" s="77"/>
      <c r="AJ655" s="77"/>
      <c r="AK655" s="77"/>
      <c r="AL655" s="77"/>
      <c r="AM655" s="77" t="s">
        <v>4035</v>
      </c>
      <c r="AN655" s="77" t="s">
        <v>108</v>
      </c>
      <c r="AO655" s="77" t="s">
        <v>4036</v>
      </c>
      <c r="AP655" s="77" t="s">
        <v>97</v>
      </c>
      <c r="AQ655" s="77"/>
      <c r="AR655" s="79">
        <v>44010</v>
      </c>
      <c r="AS655" s="102" t="s">
        <v>110</v>
      </c>
      <c r="AT655" s="78" t="s">
        <v>616</v>
      </c>
      <c r="AU655" s="77" t="s">
        <v>3967</v>
      </c>
      <c r="AV655" s="77">
        <v>1992</v>
      </c>
      <c r="AW655" s="77" t="s">
        <v>111</v>
      </c>
      <c r="AX655" s="77" t="s">
        <v>112</v>
      </c>
      <c r="AY655" s="77" t="s">
        <v>113</v>
      </c>
      <c r="AZ655" s="77" t="s">
        <v>4133</v>
      </c>
      <c r="BA655" s="77">
        <v>40</v>
      </c>
      <c r="BB655" s="77">
        <v>18</v>
      </c>
      <c r="BC655" s="77">
        <v>79</v>
      </c>
      <c r="BD655" s="77">
        <v>7.0000000000000007E-2</v>
      </c>
      <c r="BE655" s="77" t="s">
        <v>97</v>
      </c>
      <c r="BF655" s="77"/>
      <c r="BG655" s="77">
        <v>2658.33</v>
      </c>
      <c r="BH655" s="77"/>
      <c r="BI655" s="77"/>
      <c r="BJ655" s="77"/>
      <c r="BK655" s="77">
        <v>1600</v>
      </c>
      <c r="BL655" s="75">
        <f t="shared" si="30"/>
        <v>4258.33</v>
      </c>
      <c r="BM655" s="103">
        <f t="shared" si="31"/>
        <v>234.20814999999999</v>
      </c>
      <c r="BN655" s="103">
        <f t="shared" si="32"/>
        <v>4492.5381500000003</v>
      </c>
      <c r="BO655" s="80"/>
      <c r="BP655" s="77" t="s">
        <v>104</v>
      </c>
      <c r="BQ655" s="77"/>
      <c r="BR655" s="77"/>
      <c r="BS655" s="157">
        <v>2020</v>
      </c>
      <c r="BT655">
        <v>2020</v>
      </c>
      <c r="BU655">
        <v>2020</v>
      </c>
    </row>
    <row r="656" spans="1:73" ht="43.15" customHeight="1" x14ac:dyDescent="0.25">
      <c r="A656" s="241" t="s">
        <v>3845</v>
      </c>
      <c r="B656" s="241" t="s">
        <v>4057</v>
      </c>
      <c r="C656" s="163">
        <v>400</v>
      </c>
      <c r="D656" s="76">
        <v>43881</v>
      </c>
      <c r="E656" s="76">
        <v>43881</v>
      </c>
      <c r="F656" s="76">
        <v>43881</v>
      </c>
      <c r="G656" s="76" t="s">
        <v>4139</v>
      </c>
      <c r="H656" s="76">
        <v>43885</v>
      </c>
      <c r="I656" s="76">
        <v>43888</v>
      </c>
      <c r="J656" s="76">
        <v>43889</v>
      </c>
      <c r="K656" s="218"/>
      <c r="L656" s="76">
        <v>43957</v>
      </c>
      <c r="M656" s="76">
        <v>43976</v>
      </c>
      <c r="N656" s="76" t="s">
        <v>4213</v>
      </c>
      <c r="O656" s="76">
        <v>43986</v>
      </c>
      <c r="P656" s="76">
        <v>43986</v>
      </c>
      <c r="Q656" s="76">
        <v>43986</v>
      </c>
      <c r="R656" s="82"/>
      <c r="S656" s="76"/>
      <c r="T656" s="77"/>
      <c r="U656" s="77"/>
      <c r="V656" s="77"/>
      <c r="W656" s="77">
        <v>5</v>
      </c>
      <c r="X656" s="77">
        <v>58583</v>
      </c>
      <c r="Y656" s="75" t="str">
        <f ca="1">IF(I656="",IF(D656="","",IF(W656+X656&lt;15,"Données Nb pers ou RFR manquantes",IF(COUNTA(INDIRECT("TabRFR["&amp;YEAR(D656)&amp;"]"))&lt;&gt;COUNTA(TabRFR[Recherche RFR]),"Data RFR manquantes", IF(X656&lt;=INDEX(TabRFR[[2021]:[2025]],MATCH(BD!W656&amp;"-Très modestes",TabRFR[Recherche RFR],0),MATCH(TEXT(YEAR(BD!D656),"Standard"),TabRFR[[#Headers],[2021]:[2025]],0)),"Très Modeste",IF(X656&lt;=INDEX(TabRFR[[2021]:[2025]],MATCH(BD!W656&amp;"-modestes",TabRFR[Recherche RFR],0),MATCH(TEXT(YEAR(BD!D656),"Standard"),TabRFR[[#Headers],[2021]:[2025]],0)),"Modeste",IF(X656&lt;=INDEX(TabRFR[[2021]:[2025]],MATCH(BD!W656&amp;"-Intermédiaire",TabRFR[Recherche RFR],0),MATCH(TEXT(YEAR(BD!D656),"Standard"),TabRFR[[#Headers],[2021]:[2025]],0)),"Intermédiaire","Supérieur")))))),IF(D656="","",IF(W656+X656&lt;15,"Données Nb pers ou RFR manquantes",IF(COUNTA(INDIRECT("TabRFR["&amp;YEAR(I656)&amp;"]"))&lt;&gt;COUNTA(TabRFR[Recherche RFR]),"Data RFR manquantes", IF(X656&lt;=INDEX(TabRFR[[2021]:[2025]],MATCH(BD!W656&amp;"-Très modestes",TabRFR[Recherche RFR],0),MATCH(TEXT(YEAR(BD!I656),"Standard"),TabRFR[[#Headers],[2021]:[2025]],0)),"Très Modeste",IF(X656&lt;=INDEX(TabRFR[[2021]:[2025]],MATCH(BD!W656&amp;"-modestes",TabRFR[Recherche RFR],0),MATCH(TEXT(YEAR(BD!I656),"Standard"),TabRFR[[#Headers],[2021]:[2025]],0)),"Modeste",IF(X656&lt;=INDEX(TabRFR[[2021]:[2025]],MATCH(BD!W656&amp;"-Intermédiaire",TabRFR[Recherche RFR],0),MATCH(TEXT(YEAR(BD!I656),"Standard"),TabRFR[[#Headers],[2021]:[2025]],0)),"Intermédiaire","Supérieur")))))))</f>
        <v>Data RFR manquantes</v>
      </c>
      <c r="Z656" s="77"/>
      <c r="AA656" s="77" t="s">
        <v>4129</v>
      </c>
      <c r="AB656" s="77">
        <v>38430</v>
      </c>
      <c r="AC656" s="77" t="s">
        <v>217</v>
      </c>
      <c r="AD656" s="78"/>
      <c r="AE656" s="102"/>
      <c r="AF656" s="77" t="s">
        <v>95</v>
      </c>
      <c r="AG656" s="77"/>
      <c r="AH656" s="77"/>
      <c r="AI656" s="77"/>
      <c r="AJ656" s="77"/>
      <c r="AK656" s="77"/>
      <c r="AL656" s="77"/>
      <c r="AM656" s="77" t="s">
        <v>4214</v>
      </c>
      <c r="AN656" s="77" t="s">
        <v>217</v>
      </c>
      <c r="AO656" s="77" t="s">
        <v>9</v>
      </c>
      <c r="AP656" s="77" t="s">
        <v>97</v>
      </c>
      <c r="AQ656" s="77" t="s">
        <v>4134</v>
      </c>
      <c r="AR656" s="79">
        <v>44159</v>
      </c>
      <c r="AS656" s="102" t="s">
        <v>4135</v>
      </c>
      <c r="AT656" s="78">
        <v>476042368</v>
      </c>
      <c r="AU656" s="77" t="s">
        <v>3967</v>
      </c>
      <c r="AV656" s="77">
        <v>1982</v>
      </c>
      <c r="AW656" s="77" t="s">
        <v>100</v>
      </c>
      <c r="AX656" s="77" t="s">
        <v>112</v>
      </c>
      <c r="AY656" s="77" t="s">
        <v>4136</v>
      </c>
      <c r="AZ656" s="77" t="s">
        <v>4137</v>
      </c>
      <c r="BA656" s="77">
        <v>30</v>
      </c>
      <c r="BB656" s="77">
        <v>7.5</v>
      </c>
      <c r="BC656" s="77">
        <v>80.7</v>
      </c>
      <c r="BD656" s="77">
        <v>0.1</v>
      </c>
      <c r="BE656" s="77" t="s">
        <v>97</v>
      </c>
      <c r="BF656" s="77"/>
      <c r="BG656" s="77">
        <v>790.37</v>
      </c>
      <c r="BH656" s="77"/>
      <c r="BI656" s="77"/>
      <c r="BJ656" s="77"/>
      <c r="BK656" s="77">
        <v>940</v>
      </c>
      <c r="BL656" s="75">
        <f t="shared" si="30"/>
        <v>1730.37</v>
      </c>
      <c r="BM656" s="103">
        <f t="shared" si="31"/>
        <v>95.170349999999999</v>
      </c>
      <c r="BN656" s="103">
        <f t="shared" si="32"/>
        <v>1825.54035</v>
      </c>
      <c r="BO656" s="80">
        <v>2311.88</v>
      </c>
      <c r="BP656" s="77" t="s">
        <v>104</v>
      </c>
      <c r="BQ656" s="77"/>
      <c r="BR656" s="77"/>
      <c r="BS656" s="157">
        <v>2020</v>
      </c>
      <c r="BT656">
        <v>2020</v>
      </c>
      <c r="BU656">
        <v>2020</v>
      </c>
    </row>
    <row r="657" spans="1:73" ht="43.15" customHeight="1" x14ac:dyDescent="0.25">
      <c r="A657" s="241" t="s">
        <v>3845</v>
      </c>
      <c r="B657" s="241" t="s">
        <v>4099</v>
      </c>
      <c r="C657" s="163">
        <v>800</v>
      </c>
      <c r="D657" s="76">
        <v>43888</v>
      </c>
      <c r="E657" s="76">
        <v>43888</v>
      </c>
      <c r="F657" s="76">
        <v>43888</v>
      </c>
      <c r="G657" s="76" t="s">
        <v>4149</v>
      </c>
      <c r="H657" s="76">
        <v>43895</v>
      </c>
      <c r="I657" s="76">
        <v>43895</v>
      </c>
      <c r="J657" s="76">
        <v>43903</v>
      </c>
      <c r="K657" s="218"/>
      <c r="L657" s="76">
        <v>43941</v>
      </c>
      <c r="M657" s="76">
        <v>43917</v>
      </c>
      <c r="N657" s="76" t="s">
        <v>9</v>
      </c>
      <c r="O657" s="76">
        <v>43962</v>
      </c>
      <c r="P657" s="76">
        <v>43962</v>
      </c>
      <c r="Q657" s="76">
        <v>43965</v>
      </c>
      <c r="R657" s="82"/>
      <c r="S657" s="76"/>
      <c r="T657" s="77"/>
      <c r="U657" s="77"/>
      <c r="V657" s="77"/>
      <c r="W657" s="77">
        <v>3</v>
      </c>
      <c r="X657" s="77">
        <v>23567</v>
      </c>
      <c r="Y657" s="75" t="str">
        <f ca="1">IF(I657="",IF(D657="","",IF(W657+X657&lt;15,"Données Nb pers ou RFR manquantes",IF(COUNTA(INDIRECT("TabRFR["&amp;YEAR(D657)&amp;"]"))&lt;&gt;COUNTA(TabRFR[Recherche RFR]),"Data RFR manquantes", IF(X657&lt;=INDEX(TabRFR[[2021]:[2025]],MATCH(BD!W657&amp;"-Très modestes",TabRFR[Recherche RFR],0),MATCH(TEXT(YEAR(BD!D657),"Standard"),TabRFR[[#Headers],[2021]:[2025]],0)),"Très Modeste",IF(X657&lt;=INDEX(TabRFR[[2021]:[2025]],MATCH(BD!W657&amp;"-modestes",TabRFR[Recherche RFR],0),MATCH(TEXT(YEAR(BD!D657),"Standard"),TabRFR[[#Headers],[2021]:[2025]],0)),"Modeste",IF(X657&lt;=INDEX(TabRFR[[2021]:[2025]],MATCH(BD!W657&amp;"-Intermédiaire",TabRFR[Recherche RFR],0),MATCH(TEXT(YEAR(BD!D657),"Standard"),TabRFR[[#Headers],[2021]:[2025]],0)),"Intermédiaire","Supérieur")))))),IF(D657="","",IF(W657+X657&lt;15,"Données Nb pers ou RFR manquantes",IF(COUNTA(INDIRECT("TabRFR["&amp;YEAR(I657)&amp;"]"))&lt;&gt;COUNTA(TabRFR[Recherche RFR]),"Data RFR manquantes", IF(X657&lt;=INDEX(TabRFR[[2021]:[2025]],MATCH(BD!W657&amp;"-Très modestes",TabRFR[Recherche RFR],0),MATCH(TEXT(YEAR(BD!I657),"Standard"),TabRFR[[#Headers],[2021]:[2025]],0)),"Très Modeste",IF(X657&lt;=INDEX(TabRFR[[2021]:[2025]],MATCH(BD!W657&amp;"-modestes",TabRFR[Recherche RFR],0),MATCH(TEXT(YEAR(BD!I657),"Standard"),TabRFR[[#Headers],[2021]:[2025]],0)),"Modeste",IF(X657&lt;=INDEX(TabRFR[[2021]:[2025]],MATCH(BD!W657&amp;"-Intermédiaire",TabRFR[Recherche RFR],0),MATCH(TEXT(YEAR(BD!I657),"Standard"),TabRFR[[#Headers],[2021]:[2025]],0)),"Intermédiaire","Supérieur")))))))</f>
        <v>Data RFR manquantes</v>
      </c>
      <c r="Z657" s="77"/>
      <c r="AA657" s="77" t="s">
        <v>4145</v>
      </c>
      <c r="AB657" s="77">
        <v>38210</v>
      </c>
      <c r="AC657" s="77" t="s">
        <v>445</v>
      </c>
      <c r="AD657" s="78"/>
      <c r="AE657" s="102"/>
      <c r="AF657" s="77" t="s">
        <v>95</v>
      </c>
      <c r="AG657" s="77"/>
      <c r="AH657" s="77"/>
      <c r="AI657" s="77"/>
      <c r="AJ657" s="77"/>
      <c r="AK657" s="77"/>
      <c r="AL657" s="77"/>
      <c r="AM657" s="77" t="s">
        <v>218</v>
      </c>
      <c r="AN657" s="77" t="s">
        <v>217</v>
      </c>
      <c r="AO657" s="77" t="s">
        <v>4078</v>
      </c>
      <c r="AP657" s="77" t="s">
        <v>97</v>
      </c>
      <c r="AQ657" s="77"/>
      <c r="AR657" s="79">
        <v>44130</v>
      </c>
      <c r="AS657" s="102" t="s">
        <v>220</v>
      </c>
      <c r="AT657" s="78" t="s">
        <v>620</v>
      </c>
      <c r="AU657" s="77" t="s">
        <v>1708</v>
      </c>
      <c r="AV657" s="77">
        <v>2001</v>
      </c>
      <c r="AW657" s="77" t="s">
        <v>111</v>
      </c>
      <c r="AX657" s="77" t="s">
        <v>112</v>
      </c>
      <c r="AY657" s="77" t="s">
        <v>3990</v>
      </c>
      <c r="AZ657" s="77" t="s">
        <v>4087</v>
      </c>
      <c r="BA657" s="77">
        <v>23</v>
      </c>
      <c r="BB657" s="77">
        <v>10</v>
      </c>
      <c r="BC657" s="77">
        <v>78</v>
      </c>
      <c r="BD657" s="77">
        <v>7.0000000000000007E-2</v>
      </c>
      <c r="BE657" s="77" t="s">
        <v>97</v>
      </c>
      <c r="BF657" s="77"/>
      <c r="BG657" s="77">
        <v>6610.03</v>
      </c>
      <c r="BH657" s="77"/>
      <c r="BI657" s="77"/>
      <c r="BJ657" s="77"/>
      <c r="BK657" s="77">
        <v>2475.48</v>
      </c>
      <c r="BL657" s="75">
        <f t="shared" si="30"/>
        <v>9085.51</v>
      </c>
      <c r="BM657" s="103">
        <f t="shared" si="31"/>
        <v>499.70305000000002</v>
      </c>
      <c r="BN657" s="103">
        <f t="shared" si="32"/>
        <v>9585.2130500000003</v>
      </c>
      <c r="BO657" s="80">
        <v>9689.66</v>
      </c>
      <c r="BP657" s="77" t="s">
        <v>97</v>
      </c>
      <c r="BQ657" s="77"/>
      <c r="BR657" s="77"/>
      <c r="BS657" s="157">
        <v>2020</v>
      </c>
      <c r="BT657">
        <v>2020</v>
      </c>
      <c r="BU657">
        <v>2020</v>
      </c>
    </row>
    <row r="658" spans="1:73" ht="43.15" customHeight="1" x14ac:dyDescent="0.25">
      <c r="A658" s="241" t="s">
        <v>3845</v>
      </c>
      <c r="B658" s="241" t="s">
        <v>4100</v>
      </c>
      <c r="C658" s="163">
        <v>400</v>
      </c>
      <c r="D658" s="76">
        <v>43895</v>
      </c>
      <c r="E658" s="76">
        <v>43895</v>
      </c>
      <c r="F658" s="76" t="s">
        <v>9</v>
      </c>
      <c r="G658" s="76" t="s">
        <v>9</v>
      </c>
      <c r="H658" s="76">
        <v>43895</v>
      </c>
      <c r="I658" s="76">
        <v>43895</v>
      </c>
      <c r="J658" s="76">
        <v>43903</v>
      </c>
      <c r="K658" s="218"/>
      <c r="L658" s="76">
        <v>44021</v>
      </c>
      <c r="M658" s="76">
        <v>43997</v>
      </c>
      <c r="N658" s="76" t="s">
        <v>4044</v>
      </c>
      <c r="O658" s="76">
        <v>44033</v>
      </c>
      <c r="P658" s="76">
        <v>44033</v>
      </c>
      <c r="Q658" s="76">
        <v>44035</v>
      </c>
      <c r="R658" s="82"/>
      <c r="S658" s="76"/>
      <c r="T658" s="77"/>
      <c r="U658" s="77"/>
      <c r="V658" s="77"/>
      <c r="W658" s="77">
        <v>1</v>
      </c>
      <c r="X658" s="77">
        <v>44196</v>
      </c>
      <c r="Y658" s="75" t="str">
        <f ca="1">IF(I658="",IF(D658="","",IF(W658+X658&lt;15,"Données Nb pers ou RFR manquantes",IF(COUNTA(INDIRECT("TabRFR["&amp;YEAR(D658)&amp;"]"))&lt;&gt;COUNTA(TabRFR[Recherche RFR]),"Data RFR manquantes", IF(X658&lt;=INDEX(TabRFR[[2021]:[2025]],MATCH(BD!W658&amp;"-Très modestes",TabRFR[Recherche RFR],0),MATCH(TEXT(YEAR(BD!D658),"Standard"),TabRFR[[#Headers],[2021]:[2025]],0)),"Très Modeste",IF(X658&lt;=INDEX(TabRFR[[2021]:[2025]],MATCH(BD!W658&amp;"-modestes",TabRFR[Recherche RFR],0),MATCH(TEXT(YEAR(BD!D658),"Standard"),TabRFR[[#Headers],[2021]:[2025]],0)),"Modeste",IF(X658&lt;=INDEX(TabRFR[[2021]:[2025]],MATCH(BD!W658&amp;"-Intermédiaire",TabRFR[Recherche RFR],0),MATCH(TEXT(YEAR(BD!D658),"Standard"),TabRFR[[#Headers],[2021]:[2025]],0)),"Intermédiaire","Supérieur")))))),IF(D658="","",IF(W658+X658&lt;15,"Données Nb pers ou RFR manquantes",IF(COUNTA(INDIRECT("TabRFR["&amp;YEAR(I658)&amp;"]"))&lt;&gt;COUNTA(TabRFR[Recherche RFR]),"Data RFR manquantes", IF(X658&lt;=INDEX(TabRFR[[2021]:[2025]],MATCH(BD!W658&amp;"-Très modestes",TabRFR[Recherche RFR],0),MATCH(TEXT(YEAR(BD!I658),"Standard"),TabRFR[[#Headers],[2021]:[2025]],0)),"Très Modeste",IF(X658&lt;=INDEX(TabRFR[[2021]:[2025]],MATCH(BD!W658&amp;"-modestes",TabRFR[Recherche RFR],0),MATCH(TEXT(YEAR(BD!I658),"Standard"),TabRFR[[#Headers],[2021]:[2025]],0)),"Modeste",IF(X658&lt;=INDEX(TabRFR[[2021]:[2025]],MATCH(BD!W658&amp;"-Intermédiaire",TabRFR[Recherche RFR],0),MATCH(TEXT(YEAR(BD!I658),"Standard"),TabRFR[[#Headers],[2021]:[2025]],0)),"Intermédiaire","Supérieur")))))))</f>
        <v>Data RFR manquantes</v>
      </c>
      <c r="Z658" s="77"/>
      <c r="AA658" s="77" t="s">
        <v>4150</v>
      </c>
      <c r="AB658" s="77">
        <v>38850</v>
      </c>
      <c r="AC658" s="77" t="s">
        <v>148</v>
      </c>
      <c r="AD658" s="78"/>
      <c r="AE658" s="102"/>
      <c r="AF658" s="77" t="s">
        <v>95</v>
      </c>
      <c r="AG658" s="77"/>
      <c r="AH658" s="77"/>
      <c r="AI658" s="77"/>
      <c r="AJ658" s="77"/>
      <c r="AK658" s="77"/>
      <c r="AL658" s="77"/>
      <c r="AM658" s="77" t="s">
        <v>4348</v>
      </c>
      <c r="AN658" s="77" t="s">
        <v>96</v>
      </c>
      <c r="AO658" s="77" t="s">
        <v>4151</v>
      </c>
      <c r="AP658" s="77" t="s">
        <v>97</v>
      </c>
      <c r="AQ658" s="77"/>
      <c r="AR658" s="79">
        <v>44064</v>
      </c>
      <c r="AS658" s="102" t="s">
        <v>98</v>
      </c>
      <c r="AT658" s="78">
        <v>476323235</v>
      </c>
      <c r="AU658" s="77" t="s">
        <v>3967</v>
      </c>
      <c r="AV658" s="77">
        <v>1985</v>
      </c>
      <c r="AW658" s="77" t="s">
        <v>111</v>
      </c>
      <c r="AX658" s="77" t="s">
        <v>112</v>
      </c>
      <c r="AY658" s="77" t="s">
        <v>251</v>
      </c>
      <c r="AZ658" s="77" t="s">
        <v>1453</v>
      </c>
      <c r="BA658" s="77">
        <v>4</v>
      </c>
      <c r="BB658" s="77">
        <v>7</v>
      </c>
      <c r="BC658" s="77">
        <v>78</v>
      </c>
      <c r="BD658" s="77">
        <v>0.06</v>
      </c>
      <c r="BE658" s="77" t="s">
        <v>97</v>
      </c>
      <c r="BF658" s="77"/>
      <c r="BG658" s="77">
        <v>3475.5</v>
      </c>
      <c r="BH658" s="77"/>
      <c r="BI658" s="77"/>
      <c r="BJ658" s="77"/>
      <c r="BK658" s="77">
        <v>763.83</v>
      </c>
      <c r="BL658" s="75">
        <f t="shared" si="30"/>
        <v>4239.33</v>
      </c>
      <c r="BM658" s="103">
        <f t="shared" si="31"/>
        <v>233.16315</v>
      </c>
      <c r="BN658" s="103">
        <f t="shared" si="32"/>
        <v>4472.4931500000002</v>
      </c>
      <c r="BO658" s="80"/>
      <c r="BP658" s="77" t="s">
        <v>104</v>
      </c>
      <c r="BQ658" s="77"/>
      <c r="BR658" s="77"/>
      <c r="BS658" s="157">
        <v>2020</v>
      </c>
      <c r="BT658">
        <v>2020</v>
      </c>
      <c r="BU658">
        <v>2020</v>
      </c>
    </row>
    <row r="659" spans="1:73" ht="43.15" customHeight="1" x14ac:dyDescent="0.25">
      <c r="A659" s="241" t="s">
        <v>3845</v>
      </c>
      <c r="B659" s="241" t="s">
        <v>4101</v>
      </c>
      <c r="C659" s="163">
        <v>400</v>
      </c>
      <c r="D659" s="76">
        <v>43899</v>
      </c>
      <c r="E659" s="76">
        <v>43899</v>
      </c>
      <c r="F659" s="76">
        <v>43902</v>
      </c>
      <c r="G659" s="76" t="s">
        <v>4169</v>
      </c>
      <c r="H659" s="76">
        <v>43927</v>
      </c>
      <c r="I659" s="76">
        <v>43935</v>
      </c>
      <c r="J659" s="76">
        <v>43941</v>
      </c>
      <c r="K659" s="218"/>
      <c r="L659" s="76">
        <v>44061</v>
      </c>
      <c r="M659" s="76">
        <v>43989</v>
      </c>
      <c r="N659" s="76" t="s">
        <v>4044</v>
      </c>
      <c r="O659" s="76">
        <v>44063</v>
      </c>
      <c r="P659" s="76">
        <v>44063</v>
      </c>
      <c r="Q659" s="76">
        <v>44074</v>
      </c>
      <c r="R659" s="82"/>
      <c r="S659" s="76"/>
      <c r="T659" s="77"/>
      <c r="U659" s="77"/>
      <c r="V659" s="77"/>
      <c r="W659" s="77">
        <v>4</v>
      </c>
      <c r="X659" s="77">
        <v>56029</v>
      </c>
      <c r="Y659" s="75" t="str">
        <f ca="1">IF(I659="",IF(D659="","",IF(W659+X659&lt;15,"Données Nb pers ou RFR manquantes",IF(COUNTA(INDIRECT("TabRFR["&amp;YEAR(D659)&amp;"]"))&lt;&gt;COUNTA(TabRFR[Recherche RFR]),"Data RFR manquantes", IF(X659&lt;=INDEX(TabRFR[[2021]:[2025]],MATCH(BD!W659&amp;"-Très modestes",TabRFR[Recherche RFR],0),MATCH(TEXT(YEAR(BD!D659),"Standard"),TabRFR[[#Headers],[2021]:[2025]],0)),"Très Modeste",IF(X659&lt;=INDEX(TabRFR[[2021]:[2025]],MATCH(BD!W659&amp;"-modestes",TabRFR[Recherche RFR],0),MATCH(TEXT(YEAR(BD!D659),"Standard"),TabRFR[[#Headers],[2021]:[2025]],0)),"Modeste",IF(X659&lt;=INDEX(TabRFR[[2021]:[2025]],MATCH(BD!W659&amp;"-Intermédiaire",TabRFR[Recherche RFR],0),MATCH(TEXT(YEAR(BD!D659),"Standard"),TabRFR[[#Headers],[2021]:[2025]],0)),"Intermédiaire","Supérieur")))))),IF(D659="","",IF(W659+X659&lt;15,"Données Nb pers ou RFR manquantes",IF(COUNTA(INDIRECT("TabRFR["&amp;YEAR(I659)&amp;"]"))&lt;&gt;COUNTA(TabRFR[Recherche RFR]),"Data RFR manquantes", IF(X659&lt;=INDEX(TabRFR[[2021]:[2025]],MATCH(BD!W659&amp;"-Très modestes",TabRFR[Recherche RFR],0),MATCH(TEXT(YEAR(BD!I659),"Standard"),TabRFR[[#Headers],[2021]:[2025]],0)),"Très Modeste",IF(X659&lt;=INDEX(TabRFR[[2021]:[2025]],MATCH(BD!W659&amp;"-modestes",TabRFR[Recherche RFR],0),MATCH(TEXT(YEAR(BD!I659),"Standard"),TabRFR[[#Headers],[2021]:[2025]],0)),"Modeste",IF(X659&lt;=INDEX(TabRFR[[2021]:[2025]],MATCH(BD!W659&amp;"-Intermédiaire",TabRFR[Recherche RFR],0),MATCH(TEXT(YEAR(BD!I659),"Standard"),TabRFR[[#Headers],[2021]:[2025]],0)),"Intermédiaire","Supérieur")))))))</f>
        <v>Data RFR manquantes</v>
      </c>
      <c r="Z659" s="77"/>
      <c r="AA659" s="77" t="s">
        <v>4152</v>
      </c>
      <c r="AB659" s="77">
        <v>38140</v>
      </c>
      <c r="AC659" s="77" t="s">
        <v>363</v>
      </c>
      <c r="AD659" s="78"/>
      <c r="AE659" s="102"/>
      <c r="AF659" s="77" t="s">
        <v>95</v>
      </c>
      <c r="AG659" s="77"/>
      <c r="AH659" s="77"/>
      <c r="AI659" s="77"/>
      <c r="AJ659" s="77"/>
      <c r="AK659" s="77"/>
      <c r="AL659" s="77"/>
      <c r="AM659" s="77" t="s">
        <v>4154</v>
      </c>
      <c r="AN659" s="77" t="s">
        <v>4155</v>
      </c>
      <c r="AO659" s="77" t="s">
        <v>4156</v>
      </c>
      <c r="AP659" s="77" t="s">
        <v>97</v>
      </c>
      <c r="AQ659" s="77"/>
      <c r="AR659" s="79">
        <v>44067</v>
      </c>
      <c r="AS659" s="102" t="s">
        <v>4157</v>
      </c>
      <c r="AT659" s="78">
        <v>658477203</v>
      </c>
      <c r="AU659" s="77" t="s">
        <v>1708</v>
      </c>
      <c r="AV659" s="77" t="s">
        <v>173</v>
      </c>
      <c r="AW659" s="77" t="s">
        <v>100</v>
      </c>
      <c r="AX659" s="77" t="s">
        <v>112</v>
      </c>
      <c r="AY659" s="77" t="s">
        <v>4158</v>
      </c>
      <c r="AZ659" s="77" t="s">
        <v>4159</v>
      </c>
      <c r="BA659" s="77">
        <v>14</v>
      </c>
      <c r="BB659" s="77">
        <v>7</v>
      </c>
      <c r="BC659" s="77">
        <v>82</v>
      </c>
      <c r="BD659" s="77">
        <v>7.1999999999999995E-2</v>
      </c>
      <c r="BE659" s="77" t="s">
        <v>374</v>
      </c>
      <c r="BF659" s="77"/>
      <c r="BG659" s="77">
        <v>2498</v>
      </c>
      <c r="BH659" s="77"/>
      <c r="BI659" s="77"/>
      <c r="BJ659" s="77"/>
      <c r="BK659" s="77">
        <v>380</v>
      </c>
      <c r="BL659" s="75">
        <f t="shared" si="30"/>
        <v>2878</v>
      </c>
      <c r="BM659" s="103">
        <f t="shared" si="31"/>
        <v>158.29</v>
      </c>
      <c r="BN659" s="103">
        <f t="shared" si="32"/>
        <v>3036.29</v>
      </c>
      <c r="BO659" s="80"/>
      <c r="BP659" s="77" t="s">
        <v>97</v>
      </c>
      <c r="BQ659" s="77"/>
      <c r="BR659" s="77"/>
      <c r="BS659" s="157">
        <v>2020</v>
      </c>
      <c r="BT659">
        <v>2020</v>
      </c>
      <c r="BU659">
        <v>2020</v>
      </c>
    </row>
    <row r="660" spans="1:73" ht="43.15" customHeight="1" x14ac:dyDescent="0.25">
      <c r="A660" s="241" t="s">
        <v>3845</v>
      </c>
      <c r="B660" s="241" t="s">
        <v>4102</v>
      </c>
      <c r="C660" s="163">
        <v>400</v>
      </c>
      <c r="D660" s="76">
        <v>43899</v>
      </c>
      <c r="E660" s="76">
        <v>43899</v>
      </c>
      <c r="F660" s="76">
        <v>43902</v>
      </c>
      <c r="G660" s="76" t="s">
        <v>4173</v>
      </c>
      <c r="H660" s="76">
        <v>43944</v>
      </c>
      <c r="I660" s="76">
        <v>43962</v>
      </c>
      <c r="J660" s="76">
        <v>43965</v>
      </c>
      <c r="K660" s="218"/>
      <c r="L660" s="76" t="s">
        <v>4342</v>
      </c>
      <c r="M660" s="76">
        <v>44074</v>
      </c>
      <c r="N660" s="76" t="s">
        <v>4044</v>
      </c>
      <c r="O660" s="76">
        <v>44169</v>
      </c>
      <c r="P660" s="76">
        <v>44169</v>
      </c>
      <c r="Q660" s="76">
        <v>44174</v>
      </c>
      <c r="R660" s="82"/>
      <c r="S660" s="76"/>
      <c r="T660" s="77"/>
      <c r="U660" s="77"/>
      <c r="V660" s="77"/>
      <c r="W660" s="77">
        <v>2</v>
      </c>
      <c r="X660" s="77">
        <v>56659</v>
      </c>
      <c r="Y660" s="75" t="str">
        <f ca="1">IF(I660="",IF(D660="","",IF(W660+X660&lt;15,"Données Nb pers ou RFR manquantes",IF(COUNTA(INDIRECT("TabRFR["&amp;YEAR(D660)&amp;"]"))&lt;&gt;COUNTA(TabRFR[Recherche RFR]),"Data RFR manquantes", IF(X660&lt;=INDEX(TabRFR[[2021]:[2025]],MATCH(BD!W660&amp;"-Très modestes",TabRFR[Recherche RFR],0),MATCH(TEXT(YEAR(BD!D660),"Standard"),TabRFR[[#Headers],[2021]:[2025]],0)),"Très Modeste",IF(X660&lt;=INDEX(TabRFR[[2021]:[2025]],MATCH(BD!W660&amp;"-modestes",TabRFR[Recherche RFR],0),MATCH(TEXT(YEAR(BD!D660),"Standard"),TabRFR[[#Headers],[2021]:[2025]],0)),"Modeste",IF(X660&lt;=INDEX(TabRFR[[2021]:[2025]],MATCH(BD!W660&amp;"-Intermédiaire",TabRFR[Recherche RFR],0),MATCH(TEXT(YEAR(BD!D660),"Standard"),TabRFR[[#Headers],[2021]:[2025]],0)),"Intermédiaire","Supérieur")))))),IF(D660="","",IF(W660+X660&lt;15,"Données Nb pers ou RFR manquantes",IF(COUNTA(INDIRECT("TabRFR["&amp;YEAR(I660)&amp;"]"))&lt;&gt;COUNTA(TabRFR[Recherche RFR]),"Data RFR manquantes", IF(X660&lt;=INDEX(TabRFR[[2021]:[2025]],MATCH(BD!W660&amp;"-Très modestes",TabRFR[Recherche RFR],0),MATCH(TEXT(YEAR(BD!I660),"Standard"),TabRFR[[#Headers],[2021]:[2025]],0)),"Très Modeste",IF(X660&lt;=INDEX(TabRFR[[2021]:[2025]],MATCH(BD!W660&amp;"-modestes",TabRFR[Recherche RFR],0),MATCH(TEXT(YEAR(BD!I660),"Standard"),TabRFR[[#Headers],[2021]:[2025]],0)),"Modeste",IF(X660&lt;=INDEX(TabRFR[[2021]:[2025]],MATCH(BD!W660&amp;"-Intermédiaire",TabRFR[Recherche RFR],0),MATCH(TEXT(YEAR(BD!I660),"Standard"),TabRFR[[#Headers],[2021]:[2025]],0)),"Intermédiaire","Supérieur")))))))</f>
        <v>Data RFR manquantes</v>
      </c>
      <c r="Z660" s="77"/>
      <c r="AA660" s="77" t="s">
        <v>4153</v>
      </c>
      <c r="AB660" s="77">
        <v>38500</v>
      </c>
      <c r="AC660" s="77" t="s">
        <v>118</v>
      </c>
      <c r="AD660" s="78"/>
      <c r="AE660" s="102"/>
      <c r="AF660" s="77" t="s">
        <v>95</v>
      </c>
      <c r="AG660" s="77"/>
      <c r="AH660" s="77"/>
      <c r="AI660" s="77"/>
      <c r="AJ660" s="77"/>
      <c r="AK660" s="77"/>
      <c r="AL660" s="77"/>
      <c r="AM660" s="77" t="s">
        <v>4160</v>
      </c>
      <c r="AN660" s="77" t="s">
        <v>572</v>
      </c>
      <c r="AO660" s="77" t="s">
        <v>4161</v>
      </c>
      <c r="AP660" s="77" t="s">
        <v>97</v>
      </c>
      <c r="AQ660" s="77"/>
      <c r="AR660" s="79">
        <v>44067</v>
      </c>
      <c r="AS660" s="102" t="s">
        <v>573</v>
      </c>
      <c r="AT660" s="78">
        <v>437039915</v>
      </c>
      <c r="AU660" s="77" t="s">
        <v>3967</v>
      </c>
      <c r="AV660" s="77">
        <v>1999</v>
      </c>
      <c r="AW660" s="77" t="s">
        <v>100</v>
      </c>
      <c r="AX660" s="77" t="s">
        <v>2071</v>
      </c>
      <c r="AY660" s="77" t="s">
        <v>4162</v>
      </c>
      <c r="AZ660" s="77" t="s">
        <v>4163</v>
      </c>
      <c r="BA660" s="77">
        <v>28</v>
      </c>
      <c r="BB660" s="77">
        <v>12</v>
      </c>
      <c r="BC660" s="77">
        <v>91</v>
      </c>
      <c r="BD660" s="77">
        <v>6.0000000000000001E-3</v>
      </c>
      <c r="BE660" s="77" t="s">
        <v>374</v>
      </c>
      <c r="BF660" s="77"/>
      <c r="BG660" s="77">
        <v>5974</v>
      </c>
      <c r="BH660" s="77"/>
      <c r="BI660" s="77"/>
      <c r="BJ660" s="77"/>
      <c r="BK660" s="77">
        <v>2040</v>
      </c>
      <c r="BL660" s="75">
        <f t="shared" si="30"/>
        <v>8014</v>
      </c>
      <c r="BM660" s="103">
        <f t="shared" si="31"/>
        <v>440.77</v>
      </c>
      <c r="BN660" s="103">
        <f t="shared" si="32"/>
        <v>8454.77</v>
      </c>
      <c r="BO660" s="80"/>
      <c r="BP660" s="77" t="s">
        <v>97</v>
      </c>
      <c r="BQ660" s="77"/>
      <c r="BR660" s="77"/>
      <c r="BS660" s="157">
        <v>2020</v>
      </c>
      <c r="BU660">
        <v>2020</v>
      </c>
    </row>
    <row r="661" spans="1:73" ht="43.15" customHeight="1" x14ac:dyDescent="0.25">
      <c r="A661" s="241" t="s">
        <v>3845</v>
      </c>
      <c r="B661" s="241" t="s">
        <v>4103</v>
      </c>
      <c r="C661" s="163">
        <v>400</v>
      </c>
      <c r="D661" s="76">
        <v>43900</v>
      </c>
      <c r="E661" s="76">
        <v>43900</v>
      </c>
      <c r="F661" s="76">
        <v>43902</v>
      </c>
      <c r="G661" s="76" t="s">
        <v>4172</v>
      </c>
      <c r="H661" s="76">
        <v>43962</v>
      </c>
      <c r="I661" s="76">
        <v>43962</v>
      </c>
      <c r="J661" s="76">
        <v>43965</v>
      </c>
      <c r="K661" s="218"/>
      <c r="L661" s="76">
        <v>44095</v>
      </c>
      <c r="M661" s="76">
        <v>44088</v>
      </c>
      <c r="N661" s="76" t="s">
        <v>4044</v>
      </c>
      <c r="O661" s="76">
        <v>44096</v>
      </c>
      <c r="P661" s="76">
        <v>44096</v>
      </c>
      <c r="Q661" s="76">
        <v>44140</v>
      </c>
      <c r="R661" s="82"/>
      <c r="S661" s="76"/>
      <c r="T661" s="77"/>
      <c r="U661" s="77"/>
      <c r="V661" s="77"/>
      <c r="W661" s="77">
        <v>2</v>
      </c>
      <c r="X661" s="77">
        <v>109478</v>
      </c>
      <c r="Y661" s="75" t="str">
        <f ca="1">IF(I661="",IF(D661="","",IF(W661+X661&lt;15,"Données Nb pers ou RFR manquantes",IF(COUNTA(INDIRECT("TabRFR["&amp;YEAR(D661)&amp;"]"))&lt;&gt;COUNTA(TabRFR[Recherche RFR]),"Data RFR manquantes", IF(X661&lt;=INDEX(TabRFR[[2021]:[2025]],MATCH(BD!W661&amp;"-Très modestes",TabRFR[Recherche RFR],0),MATCH(TEXT(YEAR(BD!D661),"Standard"),TabRFR[[#Headers],[2021]:[2025]],0)),"Très Modeste",IF(X661&lt;=INDEX(TabRFR[[2021]:[2025]],MATCH(BD!W661&amp;"-modestes",TabRFR[Recherche RFR],0),MATCH(TEXT(YEAR(BD!D661),"Standard"),TabRFR[[#Headers],[2021]:[2025]],0)),"Modeste",IF(X661&lt;=INDEX(TabRFR[[2021]:[2025]],MATCH(BD!W661&amp;"-Intermédiaire",TabRFR[Recherche RFR],0),MATCH(TEXT(YEAR(BD!D661),"Standard"),TabRFR[[#Headers],[2021]:[2025]],0)),"Intermédiaire","Supérieur")))))),IF(D661="","",IF(W661+X661&lt;15,"Données Nb pers ou RFR manquantes",IF(COUNTA(INDIRECT("TabRFR["&amp;YEAR(I661)&amp;"]"))&lt;&gt;COUNTA(TabRFR[Recherche RFR]),"Data RFR manquantes", IF(X661&lt;=INDEX(TabRFR[[2021]:[2025]],MATCH(BD!W661&amp;"-Très modestes",TabRFR[Recherche RFR],0),MATCH(TEXT(YEAR(BD!I661),"Standard"),TabRFR[[#Headers],[2021]:[2025]],0)),"Très Modeste",IF(X661&lt;=INDEX(TabRFR[[2021]:[2025]],MATCH(BD!W661&amp;"-modestes",TabRFR[Recherche RFR],0),MATCH(TEXT(YEAR(BD!I661),"Standard"),TabRFR[[#Headers],[2021]:[2025]],0)),"Modeste",IF(X661&lt;=INDEX(TabRFR[[2021]:[2025]],MATCH(BD!W661&amp;"-Intermédiaire",TabRFR[Recherche RFR],0),MATCH(TEXT(YEAR(BD!I661),"Standard"),TabRFR[[#Headers],[2021]:[2025]],0)),"Intermédiaire","Supérieur")))))))</f>
        <v>Data RFR manquantes</v>
      </c>
      <c r="Z661" s="77"/>
      <c r="AA661" s="77" t="s">
        <v>4120</v>
      </c>
      <c r="AB661" s="77">
        <v>38140</v>
      </c>
      <c r="AC661" s="77" t="s">
        <v>363</v>
      </c>
      <c r="AD661" s="78"/>
      <c r="AE661" s="102"/>
      <c r="AF661" s="77" t="s">
        <v>95</v>
      </c>
      <c r="AG661" s="77"/>
      <c r="AH661" s="77"/>
      <c r="AI661" s="77"/>
      <c r="AJ661" s="77"/>
      <c r="AK661" s="77"/>
      <c r="AL661" s="77"/>
      <c r="AM661" s="77" t="s">
        <v>4191</v>
      </c>
      <c r="AN661" s="77" t="s">
        <v>96</v>
      </c>
      <c r="AO661" s="77" t="s">
        <v>4164</v>
      </c>
      <c r="AP661" s="77" t="s">
        <v>97</v>
      </c>
      <c r="AQ661" s="77"/>
      <c r="AR661" s="79">
        <v>44059</v>
      </c>
      <c r="AS661" s="102" t="s">
        <v>230</v>
      </c>
      <c r="AT661" s="78">
        <v>476059444</v>
      </c>
      <c r="AU661" s="77" t="s">
        <v>3967</v>
      </c>
      <c r="AV661" s="77" t="s">
        <v>173</v>
      </c>
      <c r="AW661" s="77" t="s">
        <v>100</v>
      </c>
      <c r="AX661" s="77" t="s">
        <v>2071</v>
      </c>
      <c r="AY661" s="77" t="s">
        <v>232</v>
      </c>
      <c r="AZ661" s="77" t="s">
        <v>4165</v>
      </c>
      <c r="BA661" s="77">
        <v>8.5</v>
      </c>
      <c r="BB661" s="77">
        <v>8</v>
      </c>
      <c r="BC661" s="77">
        <v>93.2</v>
      </c>
      <c r="BD661" s="77">
        <v>1.0999999999999999E-2</v>
      </c>
      <c r="BE661" s="77" t="s">
        <v>374</v>
      </c>
      <c r="BF661" s="77"/>
      <c r="BG661" s="77">
        <v>6389.59</v>
      </c>
      <c r="BH661" s="77"/>
      <c r="BI661" s="77"/>
      <c r="BJ661" s="77"/>
      <c r="BK661" s="77">
        <v>1590</v>
      </c>
      <c r="BL661" s="75">
        <f t="shared" si="30"/>
        <v>7979.59</v>
      </c>
      <c r="BM661" s="103">
        <f t="shared" si="31"/>
        <v>438.87745000000001</v>
      </c>
      <c r="BN661" s="103">
        <f t="shared" si="32"/>
        <v>8418.4674500000001</v>
      </c>
      <c r="BO661" s="80"/>
      <c r="BP661" s="77" t="s">
        <v>97</v>
      </c>
      <c r="BQ661" s="77"/>
      <c r="BR661" s="77"/>
      <c r="BS661" s="157">
        <v>2020</v>
      </c>
      <c r="BU661">
        <v>2020</v>
      </c>
    </row>
    <row r="662" spans="1:73" ht="43.15" customHeight="1" x14ac:dyDescent="0.25">
      <c r="A662" s="241" t="s">
        <v>3845</v>
      </c>
      <c r="B662" s="241" t="s">
        <v>4104</v>
      </c>
      <c r="C662" s="163">
        <v>800</v>
      </c>
      <c r="D662" s="76">
        <v>43901</v>
      </c>
      <c r="E662" s="76">
        <v>43902</v>
      </c>
      <c r="F662" s="76">
        <v>43902</v>
      </c>
      <c r="G662" s="76" t="s">
        <v>4246</v>
      </c>
      <c r="H662" s="76">
        <v>43986</v>
      </c>
      <c r="I662" s="76">
        <v>43986</v>
      </c>
      <c r="J662" s="76">
        <v>43997</v>
      </c>
      <c r="K662" s="218"/>
      <c r="L662" s="76">
        <v>44007</v>
      </c>
      <c r="M662" s="76">
        <v>43999</v>
      </c>
      <c r="N662" s="254" t="s">
        <v>4330</v>
      </c>
      <c r="O662" s="76">
        <v>44033</v>
      </c>
      <c r="P662" s="76">
        <v>44033</v>
      </c>
      <c r="Q662" s="76">
        <v>44035</v>
      </c>
      <c r="R662" s="82"/>
      <c r="S662" s="76"/>
      <c r="T662" s="77"/>
      <c r="U662" s="77"/>
      <c r="V662" s="77"/>
      <c r="W662" s="77">
        <v>2</v>
      </c>
      <c r="X662" s="77">
        <v>9864</v>
      </c>
      <c r="Y662" s="75" t="str">
        <f ca="1">IF(I662="",IF(D662="","",IF(W662+X662&lt;15,"Données Nb pers ou RFR manquantes",IF(COUNTA(INDIRECT("TabRFR["&amp;YEAR(D662)&amp;"]"))&lt;&gt;COUNTA(TabRFR[Recherche RFR]),"Data RFR manquantes", IF(X662&lt;=INDEX(TabRFR[[2021]:[2025]],MATCH(BD!W662&amp;"-Très modestes",TabRFR[Recherche RFR],0),MATCH(TEXT(YEAR(BD!D662),"Standard"),TabRFR[[#Headers],[2021]:[2025]],0)),"Très Modeste",IF(X662&lt;=INDEX(TabRFR[[2021]:[2025]],MATCH(BD!W662&amp;"-modestes",TabRFR[Recherche RFR],0),MATCH(TEXT(YEAR(BD!D662),"Standard"),TabRFR[[#Headers],[2021]:[2025]],0)),"Modeste",IF(X662&lt;=INDEX(TabRFR[[2021]:[2025]],MATCH(BD!W662&amp;"-Intermédiaire",TabRFR[Recherche RFR],0),MATCH(TEXT(YEAR(BD!D662),"Standard"),TabRFR[[#Headers],[2021]:[2025]],0)),"Intermédiaire","Supérieur")))))),IF(D662="","",IF(W662+X662&lt;15,"Données Nb pers ou RFR manquantes",IF(COUNTA(INDIRECT("TabRFR["&amp;YEAR(I662)&amp;"]"))&lt;&gt;COUNTA(TabRFR[Recherche RFR]),"Data RFR manquantes", IF(X662&lt;=INDEX(TabRFR[[2021]:[2025]],MATCH(BD!W662&amp;"-Très modestes",TabRFR[Recherche RFR],0),MATCH(TEXT(YEAR(BD!I662),"Standard"),TabRFR[[#Headers],[2021]:[2025]],0)),"Très Modeste",IF(X662&lt;=INDEX(TabRFR[[2021]:[2025]],MATCH(BD!W662&amp;"-modestes",TabRFR[Recherche RFR],0),MATCH(TEXT(YEAR(BD!I662),"Standard"),TabRFR[[#Headers],[2021]:[2025]],0)),"Modeste",IF(X662&lt;=INDEX(TabRFR[[2021]:[2025]],MATCH(BD!W662&amp;"-Intermédiaire",TabRFR[Recherche RFR],0),MATCH(TEXT(YEAR(BD!I662),"Standard"),TabRFR[[#Headers],[2021]:[2025]],0)),"Intermédiaire","Supérieur")))))))</f>
        <v>Data RFR manquantes</v>
      </c>
      <c r="Z662" s="77"/>
      <c r="AA662" s="77" t="s">
        <v>4212</v>
      </c>
      <c r="AB662" s="77">
        <v>38500</v>
      </c>
      <c r="AC662" s="77" t="s">
        <v>96</v>
      </c>
      <c r="AD662" s="78"/>
      <c r="AE662" s="102"/>
      <c r="AF662" s="77" t="s">
        <v>125</v>
      </c>
      <c r="AG662" s="77"/>
      <c r="AH662" s="77"/>
      <c r="AI662" s="77">
        <v>4</v>
      </c>
      <c r="AJ662" s="77" t="s">
        <v>4211</v>
      </c>
      <c r="AK662" s="77">
        <v>38500</v>
      </c>
      <c r="AL662" s="77" t="s">
        <v>96</v>
      </c>
      <c r="AM662" s="77" t="s">
        <v>4167</v>
      </c>
      <c r="AN662" s="77" t="s">
        <v>3996</v>
      </c>
      <c r="AO662" s="77" t="s">
        <v>3550</v>
      </c>
      <c r="AP662" s="77" t="s">
        <v>97</v>
      </c>
      <c r="AQ662" s="77"/>
      <c r="AR662" s="79">
        <v>44248</v>
      </c>
      <c r="AS662" s="102" t="s">
        <v>536</v>
      </c>
      <c r="AT662" s="78">
        <v>611403887</v>
      </c>
      <c r="AU662" s="77" t="s">
        <v>3967</v>
      </c>
      <c r="AV662" s="77">
        <v>2001</v>
      </c>
      <c r="AW662" s="77" t="s">
        <v>100</v>
      </c>
      <c r="AX662" s="77" t="s">
        <v>112</v>
      </c>
      <c r="AY662" s="77" t="s">
        <v>344</v>
      </c>
      <c r="AZ662" s="77" t="s">
        <v>4166</v>
      </c>
      <c r="BA662" s="77">
        <v>7</v>
      </c>
      <c r="BB662" s="77">
        <v>36</v>
      </c>
      <c r="BC662" s="77">
        <v>79</v>
      </c>
      <c r="BD662" s="77">
        <v>0.11</v>
      </c>
      <c r="BE662" s="77" t="s">
        <v>97</v>
      </c>
      <c r="BF662" s="77"/>
      <c r="BG662" s="77">
        <v>459</v>
      </c>
      <c r="BH662" s="77"/>
      <c r="BI662" s="77"/>
      <c r="BJ662" s="77"/>
      <c r="BK662" s="77">
        <v>633</v>
      </c>
      <c r="BL662" s="75">
        <f t="shared" si="30"/>
        <v>1092</v>
      </c>
      <c r="BM662" s="103">
        <f t="shared" si="31"/>
        <v>60.06</v>
      </c>
      <c r="BN662" s="103">
        <f t="shared" si="32"/>
        <v>1152.06</v>
      </c>
      <c r="BO662" s="80"/>
      <c r="BP662" s="77"/>
      <c r="BQ662" s="77"/>
      <c r="BR662" s="77"/>
      <c r="BS662" s="157">
        <v>2020</v>
      </c>
      <c r="BT662">
        <v>2020</v>
      </c>
      <c r="BU662">
        <v>2020</v>
      </c>
    </row>
    <row r="663" spans="1:73" ht="43.15" customHeight="1" x14ac:dyDescent="0.25">
      <c r="A663" s="241" t="s">
        <v>2526</v>
      </c>
      <c r="B663" s="241" t="s">
        <v>4105</v>
      </c>
      <c r="C663" s="163">
        <v>400</v>
      </c>
      <c r="D663" s="76">
        <v>43907</v>
      </c>
      <c r="E663" s="76" t="s">
        <v>9</v>
      </c>
      <c r="F663" s="76" t="s">
        <v>9</v>
      </c>
      <c r="G663" s="76" t="s">
        <v>9</v>
      </c>
      <c r="H663" s="76">
        <v>43927</v>
      </c>
      <c r="I663" s="76">
        <v>43935</v>
      </c>
      <c r="J663" s="76">
        <v>43941</v>
      </c>
      <c r="K663" s="218"/>
      <c r="L663" s="76">
        <v>44138</v>
      </c>
      <c r="M663" s="76">
        <v>44137</v>
      </c>
      <c r="N663" s="76" t="s">
        <v>4044</v>
      </c>
      <c r="O663" s="76">
        <v>44140</v>
      </c>
      <c r="P663" s="76">
        <v>44140</v>
      </c>
      <c r="Q663" s="76">
        <v>44147</v>
      </c>
      <c r="R663" s="82"/>
      <c r="S663" s="76"/>
      <c r="T663" s="77"/>
      <c r="U663" s="77"/>
      <c r="V663" s="77"/>
      <c r="W663" s="77">
        <v>4</v>
      </c>
      <c r="X663" s="77">
        <v>105442</v>
      </c>
      <c r="Y663" s="75" t="str">
        <f ca="1">IF(I663="",IF(D663="","",IF(W663+X663&lt;15,"Données Nb pers ou RFR manquantes",IF(COUNTA(INDIRECT("TabRFR["&amp;YEAR(D663)&amp;"]"))&lt;&gt;COUNTA(TabRFR[Recherche RFR]),"Data RFR manquantes", IF(X663&lt;=INDEX(TabRFR[[2021]:[2025]],MATCH(BD!W663&amp;"-Très modestes",TabRFR[Recherche RFR],0),MATCH(TEXT(YEAR(BD!D663),"Standard"),TabRFR[[#Headers],[2021]:[2025]],0)),"Très Modeste",IF(X663&lt;=INDEX(TabRFR[[2021]:[2025]],MATCH(BD!W663&amp;"-modestes",TabRFR[Recherche RFR],0),MATCH(TEXT(YEAR(BD!D663),"Standard"),TabRFR[[#Headers],[2021]:[2025]],0)),"Modeste",IF(X663&lt;=INDEX(TabRFR[[2021]:[2025]],MATCH(BD!W663&amp;"-Intermédiaire",TabRFR[Recherche RFR],0),MATCH(TEXT(YEAR(BD!D663),"Standard"),TabRFR[[#Headers],[2021]:[2025]],0)),"Intermédiaire","Supérieur")))))),IF(D663="","",IF(W663+X663&lt;15,"Données Nb pers ou RFR manquantes",IF(COUNTA(INDIRECT("TabRFR["&amp;YEAR(I663)&amp;"]"))&lt;&gt;COUNTA(TabRFR[Recherche RFR]),"Data RFR manquantes", IF(X663&lt;=INDEX(TabRFR[[2021]:[2025]],MATCH(BD!W663&amp;"-Très modestes",TabRFR[Recherche RFR],0),MATCH(TEXT(YEAR(BD!I663),"Standard"),TabRFR[[#Headers],[2021]:[2025]],0)),"Très Modeste",IF(X663&lt;=INDEX(TabRFR[[2021]:[2025]],MATCH(BD!W663&amp;"-modestes",TabRFR[Recherche RFR],0),MATCH(TEXT(YEAR(BD!I663),"Standard"),TabRFR[[#Headers],[2021]:[2025]],0)),"Modeste",IF(X663&lt;=INDEX(TabRFR[[2021]:[2025]],MATCH(BD!W663&amp;"-Intermédiaire",TabRFR[Recherche RFR],0),MATCH(TEXT(YEAR(BD!I663),"Standard"),TabRFR[[#Headers],[2021]:[2025]],0)),"Intermédiaire","Supérieur")))))))</f>
        <v>Data RFR manquantes</v>
      </c>
      <c r="Z663" s="77"/>
      <c r="AA663" s="77" t="s">
        <v>4168</v>
      </c>
      <c r="AB663" s="77">
        <v>38340</v>
      </c>
      <c r="AC663" s="77" t="s">
        <v>3796</v>
      </c>
      <c r="AD663" s="78"/>
      <c r="AE663" s="102"/>
      <c r="AF663" s="77" t="s">
        <v>95</v>
      </c>
      <c r="AG663" s="77"/>
      <c r="AH663" s="77"/>
      <c r="AI663" s="77"/>
      <c r="AJ663" s="77"/>
      <c r="AK663" s="77"/>
      <c r="AL663" s="77"/>
      <c r="AM663" s="77" t="s">
        <v>1621</v>
      </c>
      <c r="AN663" s="77" t="s">
        <v>3966</v>
      </c>
      <c r="AO663" s="77" t="s">
        <v>3993</v>
      </c>
      <c r="AP663" s="77" t="s">
        <v>97</v>
      </c>
      <c r="AQ663" s="77"/>
      <c r="AR663" s="79">
        <v>44068</v>
      </c>
      <c r="AS663" s="102" t="s">
        <v>1618</v>
      </c>
      <c r="AT663" s="78" t="s">
        <v>3533</v>
      </c>
      <c r="AU663" s="77" t="s">
        <v>3967</v>
      </c>
      <c r="AV663" s="77">
        <v>1993</v>
      </c>
      <c r="AW663" s="77" t="s">
        <v>111</v>
      </c>
      <c r="AX663" s="77" t="s">
        <v>112</v>
      </c>
      <c r="AY663" s="77" t="s">
        <v>3532</v>
      </c>
      <c r="AZ663" s="77" t="s">
        <v>4170</v>
      </c>
      <c r="BA663" s="77">
        <v>30</v>
      </c>
      <c r="BB663" s="77">
        <v>12.6</v>
      </c>
      <c r="BC663" s="77">
        <v>77.599999999999994</v>
      </c>
      <c r="BD663" s="77">
        <v>0.1</v>
      </c>
      <c r="BE663" s="77" t="s">
        <v>97</v>
      </c>
      <c r="BF663" s="77"/>
      <c r="BG663" s="77">
        <f>2505+4112.3+2240</f>
        <v>8857.2999999999993</v>
      </c>
      <c r="BH663" s="77"/>
      <c r="BI663" s="77"/>
      <c r="BJ663" s="77"/>
      <c r="BK663" s="77">
        <f>1400+350</f>
        <v>1750</v>
      </c>
      <c r="BL663" s="75">
        <f>BG663+BK663-275.55</f>
        <v>10331.75</v>
      </c>
      <c r="BM663" s="103">
        <f t="shared" si="31"/>
        <v>568.24625000000003</v>
      </c>
      <c r="BN663" s="103">
        <f t="shared" si="32"/>
        <v>10899.99625</v>
      </c>
      <c r="BO663" s="80"/>
      <c r="BP663" s="77" t="s">
        <v>104</v>
      </c>
      <c r="BQ663" s="77"/>
      <c r="BR663" s="77"/>
      <c r="BS663" s="157">
        <v>2020</v>
      </c>
      <c r="BT663">
        <v>2020</v>
      </c>
      <c r="BU663">
        <v>2020</v>
      </c>
    </row>
    <row r="664" spans="1:73" ht="43.15" customHeight="1" x14ac:dyDescent="0.25">
      <c r="A664" s="241" t="s">
        <v>2526</v>
      </c>
      <c r="B664" s="241" t="s">
        <v>4106</v>
      </c>
      <c r="C664" s="163">
        <v>400</v>
      </c>
      <c r="D664" s="76">
        <v>43915</v>
      </c>
      <c r="E664" s="76">
        <v>43935</v>
      </c>
      <c r="F664" s="76">
        <v>43962</v>
      </c>
      <c r="G664" s="76" t="s">
        <v>4184</v>
      </c>
      <c r="H664" s="76">
        <v>43964</v>
      </c>
      <c r="I664" s="76">
        <v>43964</v>
      </c>
      <c r="J664" s="76">
        <v>43969</v>
      </c>
      <c r="K664" s="218"/>
      <c r="L664" s="76">
        <v>44159</v>
      </c>
      <c r="M664" s="76">
        <v>44148</v>
      </c>
      <c r="N664" s="76" t="s">
        <v>4044</v>
      </c>
      <c r="O664" s="76">
        <v>44161</v>
      </c>
      <c r="P664" s="76">
        <v>44161</v>
      </c>
      <c r="Q664" s="76">
        <v>44166</v>
      </c>
      <c r="R664" s="82"/>
      <c r="S664" s="76"/>
      <c r="T664" s="77"/>
      <c r="U664" s="77"/>
      <c r="V664" s="77"/>
      <c r="W664" s="77">
        <v>3</v>
      </c>
      <c r="X664" s="77">
        <v>40391</v>
      </c>
      <c r="Y664" s="75" t="str">
        <f ca="1">IF(I664="",IF(D664="","",IF(W664+X664&lt;15,"Données Nb pers ou RFR manquantes",IF(COUNTA(INDIRECT("TabRFR["&amp;YEAR(D664)&amp;"]"))&lt;&gt;COUNTA(TabRFR[Recherche RFR]),"Data RFR manquantes", IF(X664&lt;=INDEX(TabRFR[[2021]:[2025]],MATCH(BD!W664&amp;"-Très modestes",TabRFR[Recherche RFR],0),MATCH(TEXT(YEAR(BD!D664),"Standard"),TabRFR[[#Headers],[2021]:[2025]],0)),"Très Modeste",IF(X664&lt;=INDEX(TabRFR[[2021]:[2025]],MATCH(BD!W664&amp;"-modestes",TabRFR[Recherche RFR],0),MATCH(TEXT(YEAR(BD!D664),"Standard"),TabRFR[[#Headers],[2021]:[2025]],0)),"Modeste",IF(X664&lt;=INDEX(TabRFR[[2021]:[2025]],MATCH(BD!W664&amp;"-Intermédiaire",TabRFR[Recherche RFR],0),MATCH(TEXT(YEAR(BD!D664),"Standard"),TabRFR[[#Headers],[2021]:[2025]],0)),"Intermédiaire","Supérieur")))))),IF(D664="","",IF(W664+X664&lt;15,"Données Nb pers ou RFR manquantes",IF(COUNTA(INDIRECT("TabRFR["&amp;YEAR(I664)&amp;"]"))&lt;&gt;COUNTA(TabRFR[Recherche RFR]),"Data RFR manquantes", IF(X664&lt;=INDEX(TabRFR[[2021]:[2025]],MATCH(BD!W664&amp;"-Très modestes",TabRFR[Recherche RFR],0),MATCH(TEXT(YEAR(BD!I664),"Standard"),TabRFR[[#Headers],[2021]:[2025]],0)),"Très Modeste",IF(X664&lt;=INDEX(TabRFR[[2021]:[2025]],MATCH(BD!W664&amp;"-modestes",TabRFR[Recherche RFR],0),MATCH(TEXT(YEAR(BD!I664),"Standard"),TabRFR[[#Headers],[2021]:[2025]],0)),"Modeste",IF(X664&lt;=INDEX(TabRFR[[2021]:[2025]],MATCH(BD!W664&amp;"-Intermédiaire",TabRFR[Recherche RFR],0),MATCH(TEXT(YEAR(BD!I664),"Standard"),TabRFR[[#Headers],[2021]:[2025]],0)),"Intermédiaire","Supérieur")))))))</f>
        <v>Data RFR manquantes</v>
      </c>
      <c r="Z664" s="77"/>
      <c r="AA664" s="77" t="s">
        <v>4182</v>
      </c>
      <c r="AB664" s="77">
        <v>38960</v>
      </c>
      <c r="AC664" s="77" t="s">
        <v>2403</v>
      </c>
      <c r="AD664" s="78"/>
      <c r="AE664" s="102"/>
      <c r="AF664" s="77" t="s">
        <v>95</v>
      </c>
      <c r="AG664" s="77"/>
      <c r="AH664" s="77"/>
      <c r="AI664" s="77"/>
      <c r="AJ664" s="77"/>
      <c r="AK664" s="77"/>
      <c r="AL664" s="77"/>
      <c r="AM664" s="77" t="s">
        <v>4236</v>
      </c>
      <c r="AN664" s="77" t="s">
        <v>4091</v>
      </c>
      <c r="AO664" s="77" t="s">
        <v>4062</v>
      </c>
      <c r="AP664" s="77" t="s">
        <v>97</v>
      </c>
      <c r="AQ664" s="77"/>
      <c r="AR664" s="79">
        <v>44152</v>
      </c>
      <c r="AS664" s="102" t="s">
        <v>164</v>
      </c>
      <c r="AT664" s="78" t="s">
        <v>608</v>
      </c>
      <c r="AU664" s="77" t="s">
        <v>100</v>
      </c>
      <c r="AV664" s="77">
        <v>1985</v>
      </c>
      <c r="AW664" s="77" t="s">
        <v>100</v>
      </c>
      <c r="AX664" s="77" t="s">
        <v>2071</v>
      </c>
      <c r="AY664" s="77" t="s">
        <v>1017</v>
      </c>
      <c r="AZ664" s="77" t="s">
        <v>4183</v>
      </c>
      <c r="BA664" s="77">
        <v>15</v>
      </c>
      <c r="BB664" s="77">
        <v>9</v>
      </c>
      <c r="BC664" s="77">
        <v>91</v>
      </c>
      <c r="BD664" s="77">
        <v>3.0400000000000002E-3</v>
      </c>
      <c r="BE664" s="77" t="s">
        <v>97</v>
      </c>
      <c r="BF664" s="77"/>
      <c r="BG664" s="77">
        <f>2540+95+163+138</f>
        <v>2936</v>
      </c>
      <c r="BH664" s="77"/>
      <c r="BI664" s="77"/>
      <c r="BJ664" s="77"/>
      <c r="BK664" s="77">
        <f>590+198</f>
        <v>788</v>
      </c>
      <c r="BL664" s="75">
        <f t="shared" ref="BL664:BL695" si="33">BG664+BK664</f>
        <v>3724</v>
      </c>
      <c r="BM664" s="103">
        <f t="shared" si="31"/>
        <v>204.82</v>
      </c>
      <c r="BN664" s="103">
        <f t="shared" si="32"/>
        <v>3928.82</v>
      </c>
      <c r="BO664" s="80"/>
      <c r="BP664" s="77" t="s">
        <v>104</v>
      </c>
      <c r="BQ664" s="77"/>
      <c r="BR664" s="77"/>
      <c r="BS664" s="157">
        <v>2020</v>
      </c>
      <c r="BU664">
        <v>2020</v>
      </c>
    </row>
    <row r="665" spans="1:73" ht="43.15" customHeight="1" x14ac:dyDescent="0.25">
      <c r="A665" s="31" t="s">
        <v>2526</v>
      </c>
      <c r="B665" s="31" t="s">
        <v>4107</v>
      </c>
      <c r="C665" s="163" t="s">
        <v>9</v>
      </c>
      <c r="D665" s="76">
        <v>43916</v>
      </c>
      <c r="E665" s="76">
        <v>43935</v>
      </c>
      <c r="F665" s="76" t="s">
        <v>9</v>
      </c>
      <c r="G665" s="76" t="s">
        <v>9</v>
      </c>
      <c r="H665" s="76" t="s">
        <v>9</v>
      </c>
      <c r="I665" s="76" t="s">
        <v>9</v>
      </c>
      <c r="J665" s="76" t="s">
        <v>9</v>
      </c>
      <c r="K665" s="218"/>
      <c r="L665" s="76" t="s">
        <v>9</v>
      </c>
      <c r="M665" s="76" t="s">
        <v>9</v>
      </c>
      <c r="N665" s="76" t="s">
        <v>9</v>
      </c>
      <c r="O665" s="76" t="s">
        <v>9</v>
      </c>
      <c r="P665" s="76" t="s">
        <v>9</v>
      </c>
      <c r="Q665" s="76" t="s">
        <v>9</v>
      </c>
      <c r="R665" s="82" t="s">
        <v>9</v>
      </c>
      <c r="S665" s="76">
        <v>43962</v>
      </c>
      <c r="T665" s="77" t="s">
        <v>4190</v>
      </c>
      <c r="U665" s="77"/>
      <c r="V665" s="77"/>
      <c r="W665" s="77">
        <v>1</v>
      </c>
      <c r="X665" s="77">
        <v>12287</v>
      </c>
      <c r="Y665" s="75" t="str">
        <f ca="1">IF(I665="",IF(D665="","",IF(W665+X665&lt;15,"Données Nb pers ou RFR manquantes",IF(COUNTA(INDIRECT("TabRFR["&amp;YEAR(D665)&amp;"]"))&lt;&gt;COUNTA(TabRFR[Recherche RFR]),"Data RFR manquantes", IF(X665&lt;=INDEX(TabRFR[[2021]:[2025]],MATCH(BD!W665&amp;"-Très modestes",TabRFR[Recherche RFR],0),MATCH(TEXT(YEAR(BD!D665),"Standard"),TabRFR[[#Headers],[2021]:[2025]],0)),"Très Modeste",IF(X665&lt;=INDEX(TabRFR[[2021]:[2025]],MATCH(BD!W665&amp;"-modestes",TabRFR[Recherche RFR],0),MATCH(TEXT(YEAR(BD!D665),"Standard"),TabRFR[[#Headers],[2021]:[2025]],0)),"Modeste",IF(X665&lt;=INDEX(TabRFR[[2021]:[2025]],MATCH(BD!W665&amp;"-Intermédiaire",TabRFR[Recherche RFR],0),MATCH(TEXT(YEAR(BD!D665),"Standard"),TabRFR[[#Headers],[2021]:[2025]],0)),"Intermédiaire","Supérieur")))))),IF(D665="","",IF(W665+X665&lt;15,"Données Nb pers ou RFR manquantes",IF(COUNTA(INDIRECT("TabRFR["&amp;YEAR(I665)&amp;"]"))&lt;&gt;COUNTA(TabRFR[Recherche RFR]),"Data RFR manquantes", IF(X665&lt;=INDEX(TabRFR[[2021]:[2025]],MATCH(BD!W665&amp;"-Très modestes",TabRFR[Recherche RFR],0),MATCH(TEXT(YEAR(BD!I665),"Standard"),TabRFR[[#Headers],[2021]:[2025]],0)),"Très Modeste",IF(X665&lt;=INDEX(TabRFR[[2021]:[2025]],MATCH(BD!W665&amp;"-modestes",TabRFR[Recherche RFR],0),MATCH(TEXT(YEAR(BD!I665),"Standard"),TabRFR[[#Headers],[2021]:[2025]],0)),"Modeste",IF(X665&lt;=INDEX(TabRFR[[2021]:[2025]],MATCH(BD!W665&amp;"-Intermédiaire",TabRFR[Recherche RFR],0),MATCH(TEXT(YEAR(BD!I665),"Standard"),TabRFR[[#Headers],[2021]:[2025]],0)),"Intermédiaire","Supérieur")))))))</f>
        <v>Data RFR manquantes</v>
      </c>
      <c r="Z665" s="77"/>
      <c r="AA665" s="77" t="s">
        <v>4185</v>
      </c>
      <c r="AB665" s="77">
        <v>38210</v>
      </c>
      <c r="AC665" s="77" t="s">
        <v>195</v>
      </c>
      <c r="AD665" s="78"/>
      <c r="AE665" s="102"/>
      <c r="AF665" s="77"/>
      <c r="AG665" s="77"/>
      <c r="AH665" s="77"/>
      <c r="AI665" s="77"/>
      <c r="AJ665" s="77"/>
      <c r="AK665" s="77"/>
      <c r="AL665" s="77"/>
      <c r="AM665" s="77" t="s">
        <v>4186</v>
      </c>
      <c r="AN665" s="77" t="s">
        <v>4187</v>
      </c>
      <c r="AO665" s="77" t="s">
        <v>9</v>
      </c>
      <c r="AP665" s="77" t="s">
        <v>97</v>
      </c>
      <c r="AQ665" s="77"/>
      <c r="AR665" s="79">
        <v>44265</v>
      </c>
      <c r="AS665" s="102" t="s">
        <v>4189</v>
      </c>
      <c r="AT665" s="78">
        <v>478909919</v>
      </c>
      <c r="AU665" s="77" t="s">
        <v>111</v>
      </c>
      <c r="AV665" s="77">
        <v>2005</v>
      </c>
      <c r="AW665" s="77"/>
      <c r="AX665" s="77"/>
      <c r="AY665" s="77"/>
      <c r="AZ665" s="77"/>
      <c r="BA665" s="77"/>
      <c r="BB665" s="77"/>
      <c r="BC665" s="77"/>
      <c r="BD665" s="77"/>
      <c r="BE665" s="77"/>
      <c r="BF665" s="77"/>
      <c r="BG665" s="77"/>
      <c r="BH665" s="77"/>
      <c r="BI665" s="77"/>
      <c r="BJ665" s="77"/>
      <c r="BK665" s="77"/>
      <c r="BL665" s="75">
        <f t="shared" si="33"/>
        <v>0</v>
      </c>
      <c r="BM665" s="103">
        <f t="shared" si="31"/>
        <v>0</v>
      </c>
      <c r="BN665" s="103">
        <f t="shared" si="32"/>
        <v>0</v>
      </c>
      <c r="BO665" s="80"/>
      <c r="BP665" s="77"/>
      <c r="BQ665" s="77"/>
      <c r="BR665" s="77"/>
      <c r="BS665" s="157">
        <v>2020</v>
      </c>
      <c r="BU665" t="s">
        <v>4180</v>
      </c>
    </row>
    <row r="666" spans="1:73" ht="43.15" customHeight="1" x14ac:dyDescent="0.25">
      <c r="A666" s="241" t="s">
        <v>2526</v>
      </c>
      <c r="B666" s="241" t="s">
        <v>4108</v>
      </c>
      <c r="C666" s="163">
        <v>800</v>
      </c>
      <c r="D666" s="76">
        <v>43923</v>
      </c>
      <c r="E666" s="76">
        <v>43935</v>
      </c>
      <c r="F666" s="76">
        <v>43962</v>
      </c>
      <c r="G666" s="76" t="s">
        <v>3695</v>
      </c>
      <c r="H666" s="76">
        <v>43962</v>
      </c>
      <c r="I666" s="76">
        <v>43962</v>
      </c>
      <c r="J666" s="76">
        <v>43965</v>
      </c>
      <c r="K666" s="218"/>
      <c r="L666" s="76">
        <v>44112</v>
      </c>
      <c r="M666" s="76">
        <v>44109</v>
      </c>
      <c r="N666" s="76" t="s">
        <v>4044</v>
      </c>
      <c r="O666" s="76">
        <v>44116</v>
      </c>
      <c r="P666" s="76">
        <v>44116</v>
      </c>
      <c r="Q666" s="76">
        <v>44116</v>
      </c>
      <c r="R666" s="82"/>
      <c r="S666" s="76"/>
      <c r="T666" s="77"/>
      <c r="U666" s="77"/>
      <c r="V666" s="77"/>
      <c r="W666" s="77">
        <v>2</v>
      </c>
      <c r="X666" s="77">
        <v>22750</v>
      </c>
      <c r="Y666" s="75" t="str">
        <f ca="1">IF(I666="",IF(D666="","",IF(W666+X666&lt;15,"Données Nb pers ou RFR manquantes",IF(COUNTA(INDIRECT("TabRFR["&amp;YEAR(D666)&amp;"]"))&lt;&gt;COUNTA(TabRFR[Recherche RFR]),"Data RFR manquantes", IF(X666&lt;=INDEX(TabRFR[[2021]:[2025]],MATCH(BD!W666&amp;"-Très modestes",TabRFR[Recherche RFR],0),MATCH(TEXT(YEAR(BD!D666),"Standard"),TabRFR[[#Headers],[2021]:[2025]],0)),"Très Modeste",IF(X666&lt;=INDEX(TabRFR[[2021]:[2025]],MATCH(BD!W666&amp;"-modestes",TabRFR[Recherche RFR],0),MATCH(TEXT(YEAR(BD!D666),"Standard"),TabRFR[[#Headers],[2021]:[2025]],0)),"Modeste",IF(X666&lt;=INDEX(TabRFR[[2021]:[2025]],MATCH(BD!W666&amp;"-Intermédiaire",TabRFR[Recherche RFR],0),MATCH(TEXT(YEAR(BD!D666),"Standard"),TabRFR[[#Headers],[2021]:[2025]],0)),"Intermédiaire","Supérieur")))))),IF(D666="","",IF(W666+X666&lt;15,"Données Nb pers ou RFR manquantes",IF(COUNTA(INDIRECT("TabRFR["&amp;YEAR(I666)&amp;"]"))&lt;&gt;COUNTA(TabRFR[Recherche RFR]),"Data RFR manquantes", IF(X666&lt;=INDEX(TabRFR[[2021]:[2025]],MATCH(BD!W666&amp;"-Très modestes",TabRFR[Recherche RFR],0),MATCH(TEXT(YEAR(BD!I666),"Standard"),TabRFR[[#Headers],[2021]:[2025]],0)),"Très Modeste",IF(X666&lt;=INDEX(TabRFR[[2021]:[2025]],MATCH(BD!W666&amp;"-modestes",TabRFR[Recherche RFR],0),MATCH(TEXT(YEAR(BD!I666),"Standard"),TabRFR[[#Headers],[2021]:[2025]],0)),"Modeste",IF(X666&lt;=INDEX(TabRFR[[2021]:[2025]],MATCH(BD!W666&amp;"-Intermédiaire",TabRFR[Recherche RFR],0),MATCH(TEXT(YEAR(BD!I666),"Standard"),TabRFR[[#Headers],[2021]:[2025]],0)),"Intermédiaire","Supérieur")))))))</f>
        <v>Data RFR manquantes</v>
      </c>
      <c r="Z666" s="77"/>
      <c r="AA666" s="77" t="s">
        <v>3987</v>
      </c>
      <c r="AB666" s="77">
        <v>38140</v>
      </c>
      <c r="AC666" s="77" t="s">
        <v>363</v>
      </c>
      <c r="AD666" s="78"/>
      <c r="AE666" s="102"/>
      <c r="AF666" s="77" t="s">
        <v>95</v>
      </c>
      <c r="AG666" s="77"/>
      <c r="AH666" s="77"/>
      <c r="AI666" s="77"/>
      <c r="AJ666" s="77"/>
      <c r="AK666" s="77"/>
      <c r="AL666" s="77"/>
      <c r="AM666" s="77" t="s">
        <v>4356</v>
      </c>
      <c r="AN666" s="77" t="s">
        <v>96</v>
      </c>
      <c r="AO666" s="77" t="s">
        <v>4025</v>
      </c>
      <c r="AP666" s="77" t="s">
        <v>97</v>
      </c>
      <c r="AQ666" s="77"/>
      <c r="AR666" s="79">
        <v>44138</v>
      </c>
      <c r="AS666" s="102" t="s">
        <v>120</v>
      </c>
      <c r="AT666" s="78" t="s">
        <v>658</v>
      </c>
      <c r="AU666" s="77" t="s">
        <v>111</v>
      </c>
      <c r="AV666" s="77">
        <v>1980</v>
      </c>
      <c r="AW666" s="77" t="s">
        <v>100</v>
      </c>
      <c r="AX666" s="77" t="s">
        <v>2071</v>
      </c>
      <c r="AY666" s="77" t="s">
        <v>102</v>
      </c>
      <c r="AZ666" s="77" t="s">
        <v>4336</v>
      </c>
      <c r="BA666" s="77">
        <v>18</v>
      </c>
      <c r="BB666" s="77">
        <v>10</v>
      </c>
      <c r="BC666" s="77">
        <v>90.4</v>
      </c>
      <c r="BD666" s="77">
        <v>8.9999999999999993E-3</v>
      </c>
      <c r="BE666" s="77" t="s">
        <v>97</v>
      </c>
      <c r="BF666" s="77"/>
      <c r="BG666" s="77">
        <f>2663+490+142+101+89+120+120+186+30+64+180+44+131</f>
        <v>4360</v>
      </c>
      <c r="BH666" s="77"/>
      <c r="BI666" s="77"/>
      <c r="BJ666" s="77"/>
      <c r="BK666" s="77">
        <f>15+30+450</f>
        <v>495</v>
      </c>
      <c r="BL666" s="75">
        <f t="shared" si="33"/>
        <v>4855</v>
      </c>
      <c r="BM666" s="103">
        <f t="shared" si="31"/>
        <v>267.02499999999998</v>
      </c>
      <c r="BN666" s="103">
        <f t="shared" si="32"/>
        <v>5122.0249999999996</v>
      </c>
      <c r="BO666" s="80"/>
      <c r="BP666" s="77" t="s">
        <v>97</v>
      </c>
      <c r="BQ666" s="77"/>
      <c r="BR666" s="77"/>
      <c r="BS666" s="157">
        <v>2020</v>
      </c>
      <c r="BU666">
        <v>2020</v>
      </c>
    </row>
    <row r="667" spans="1:73" ht="43.15" customHeight="1" x14ac:dyDescent="0.25">
      <c r="A667" s="241" t="s">
        <v>2526</v>
      </c>
      <c r="B667" s="241" t="s">
        <v>4140</v>
      </c>
      <c r="C667" s="163">
        <v>800</v>
      </c>
      <c r="D667" s="76">
        <v>43938</v>
      </c>
      <c r="E667" s="76">
        <v>43962</v>
      </c>
      <c r="F667" s="76">
        <v>43962</v>
      </c>
      <c r="G667" s="76" t="s">
        <v>4199</v>
      </c>
      <c r="H667" s="76">
        <v>43962</v>
      </c>
      <c r="I667" s="76">
        <v>43962</v>
      </c>
      <c r="J667" s="76">
        <v>43965</v>
      </c>
      <c r="K667" s="218"/>
      <c r="L667" s="76">
        <v>44019</v>
      </c>
      <c r="M667" s="76">
        <v>44007</v>
      </c>
      <c r="N667" s="76" t="s">
        <v>4044</v>
      </c>
      <c r="O667" s="76">
        <v>44035</v>
      </c>
      <c r="P667" s="76">
        <v>44035</v>
      </c>
      <c r="Q667" s="76">
        <v>44035</v>
      </c>
      <c r="R667" s="82"/>
      <c r="S667" s="76"/>
      <c r="T667" s="77"/>
      <c r="U667" s="77"/>
      <c r="V667" s="77"/>
      <c r="W667" s="77">
        <v>3</v>
      </c>
      <c r="X667" s="77">
        <v>16877</v>
      </c>
      <c r="Y667" s="75" t="str">
        <f ca="1">IF(I667="",IF(D667="","",IF(W667+X667&lt;15,"Données Nb pers ou RFR manquantes",IF(COUNTA(INDIRECT("TabRFR["&amp;YEAR(D667)&amp;"]"))&lt;&gt;COUNTA(TabRFR[Recherche RFR]),"Data RFR manquantes", IF(X667&lt;=INDEX(TabRFR[[2021]:[2025]],MATCH(BD!W667&amp;"-Très modestes",TabRFR[Recherche RFR],0),MATCH(TEXT(YEAR(BD!D667),"Standard"),TabRFR[[#Headers],[2021]:[2025]],0)),"Très Modeste",IF(X667&lt;=INDEX(TabRFR[[2021]:[2025]],MATCH(BD!W667&amp;"-modestes",TabRFR[Recherche RFR],0),MATCH(TEXT(YEAR(BD!D667),"Standard"),TabRFR[[#Headers],[2021]:[2025]],0)),"Modeste",IF(X667&lt;=INDEX(TabRFR[[2021]:[2025]],MATCH(BD!W667&amp;"-Intermédiaire",TabRFR[Recherche RFR],0),MATCH(TEXT(YEAR(BD!D667),"Standard"),TabRFR[[#Headers],[2021]:[2025]],0)),"Intermédiaire","Supérieur")))))),IF(D667="","",IF(W667+X667&lt;15,"Données Nb pers ou RFR manquantes",IF(COUNTA(INDIRECT("TabRFR["&amp;YEAR(I667)&amp;"]"))&lt;&gt;COUNTA(TabRFR[Recherche RFR]),"Data RFR manquantes", IF(X667&lt;=INDEX(TabRFR[[2021]:[2025]],MATCH(BD!W667&amp;"-Très modestes",TabRFR[Recherche RFR],0),MATCH(TEXT(YEAR(BD!I667),"Standard"),TabRFR[[#Headers],[2021]:[2025]],0)),"Très Modeste",IF(X667&lt;=INDEX(TabRFR[[2021]:[2025]],MATCH(BD!W667&amp;"-modestes",TabRFR[Recherche RFR],0),MATCH(TEXT(YEAR(BD!I667),"Standard"),TabRFR[[#Headers],[2021]:[2025]],0)),"Modeste",IF(X667&lt;=INDEX(TabRFR[[2021]:[2025]],MATCH(BD!W667&amp;"-Intermédiaire",TabRFR[Recherche RFR],0),MATCH(TEXT(YEAR(BD!I667),"Standard"),TabRFR[[#Headers],[2021]:[2025]],0)),"Intermédiaire","Supérieur")))))))</f>
        <v>Data RFR manquantes</v>
      </c>
      <c r="Z667" s="77"/>
      <c r="AA667" s="77" t="s">
        <v>4197</v>
      </c>
      <c r="AB667" s="77">
        <v>38430</v>
      </c>
      <c r="AC667" s="77" t="s">
        <v>217</v>
      </c>
      <c r="AD667" s="78"/>
      <c r="AE667" s="102"/>
      <c r="AF667" s="77" t="s">
        <v>95</v>
      </c>
      <c r="AG667" s="77"/>
      <c r="AH667" s="77"/>
      <c r="AI667" s="77"/>
      <c r="AJ667" s="77"/>
      <c r="AK667" s="77"/>
      <c r="AL667" s="77"/>
      <c r="AM667" s="77" t="s">
        <v>4198</v>
      </c>
      <c r="AN667" s="75" t="s">
        <v>521</v>
      </c>
      <c r="AO667" s="75" t="s">
        <v>522</v>
      </c>
      <c r="AP667" s="75" t="s">
        <v>97</v>
      </c>
      <c r="AQ667" s="75"/>
      <c r="AR667" s="74">
        <v>44149</v>
      </c>
      <c r="AS667" s="102" t="s">
        <v>523</v>
      </c>
      <c r="AT667" s="101" t="s">
        <v>3573</v>
      </c>
      <c r="AU667" s="77" t="s">
        <v>111</v>
      </c>
      <c r="AV667" s="77"/>
      <c r="AW667" s="77" t="s">
        <v>100</v>
      </c>
      <c r="AX667" s="77" t="s">
        <v>2071</v>
      </c>
      <c r="AY667" s="77" t="s">
        <v>419</v>
      </c>
      <c r="AZ667" s="77" t="s">
        <v>3359</v>
      </c>
      <c r="BA667" s="77">
        <v>30</v>
      </c>
      <c r="BB667" s="77">
        <v>6.3</v>
      </c>
      <c r="BC667" s="77">
        <v>89</v>
      </c>
      <c r="BD667" s="77">
        <v>1.7999999999999999E-2</v>
      </c>
      <c r="BE667" s="77" t="s">
        <v>374</v>
      </c>
      <c r="BF667" s="77"/>
      <c r="BG667" s="77">
        <f>4140+15+240+65+75+70+40+250</f>
        <v>4895</v>
      </c>
      <c r="BH667" s="77"/>
      <c r="BI667" s="77"/>
      <c r="BJ667" s="77"/>
      <c r="BK667" s="77">
        <v>420</v>
      </c>
      <c r="BL667" s="75">
        <f t="shared" si="33"/>
        <v>5315</v>
      </c>
      <c r="BM667" s="103">
        <f t="shared" si="31"/>
        <v>292.32499999999999</v>
      </c>
      <c r="BN667" s="103">
        <f t="shared" si="32"/>
        <v>5607.3249999999998</v>
      </c>
      <c r="BO667" s="80"/>
      <c r="BP667" s="77" t="s">
        <v>97</v>
      </c>
      <c r="BQ667" s="77"/>
      <c r="BR667" s="77"/>
      <c r="BS667" s="157">
        <v>2020</v>
      </c>
      <c r="BU667">
        <v>2020</v>
      </c>
    </row>
    <row r="668" spans="1:73" ht="43.15" customHeight="1" x14ac:dyDescent="0.25">
      <c r="A668" s="241" t="s">
        <v>2526</v>
      </c>
      <c r="B668" s="241" t="s">
        <v>4141</v>
      </c>
      <c r="C668" s="163">
        <v>400</v>
      </c>
      <c r="D668" s="76">
        <v>43937</v>
      </c>
      <c r="E668" s="76">
        <v>43944</v>
      </c>
      <c r="F668" s="76">
        <v>43962</v>
      </c>
      <c r="G668" s="76" t="s">
        <v>4206</v>
      </c>
      <c r="H668" s="76">
        <v>43971</v>
      </c>
      <c r="I668" s="76">
        <v>43971</v>
      </c>
      <c r="J668" s="76">
        <v>43979</v>
      </c>
      <c r="K668" s="218"/>
      <c r="L668" s="76">
        <v>44123</v>
      </c>
      <c r="M668" s="76">
        <v>44075</v>
      </c>
      <c r="N668" s="76" t="s">
        <v>4044</v>
      </c>
      <c r="O668" s="76">
        <v>44126</v>
      </c>
      <c r="P668" s="76">
        <v>44126</v>
      </c>
      <c r="Q668" s="76">
        <v>44139</v>
      </c>
      <c r="R668" s="82"/>
      <c r="S668" s="76"/>
      <c r="T668" s="77"/>
      <c r="U668" s="77"/>
      <c r="V668" s="77"/>
      <c r="W668" s="77">
        <v>2</v>
      </c>
      <c r="X668" s="77">
        <v>35795</v>
      </c>
      <c r="Y668" s="75" t="str">
        <f ca="1">IF(I668="",IF(D668="","",IF(W668+X668&lt;15,"Données Nb pers ou RFR manquantes",IF(COUNTA(INDIRECT("TabRFR["&amp;YEAR(D668)&amp;"]"))&lt;&gt;COUNTA(TabRFR[Recherche RFR]),"Data RFR manquantes", IF(X668&lt;=INDEX(TabRFR[[2021]:[2025]],MATCH(BD!W668&amp;"-Très modestes",TabRFR[Recherche RFR],0),MATCH(TEXT(YEAR(BD!D668),"Standard"),TabRFR[[#Headers],[2021]:[2025]],0)),"Très Modeste",IF(X668&lt;=INDEX(TabRFR[[2021]:[2025]],MATCH(BD!W668&amp;"-modestes",TabRFR[Recherche RFR],0),MATCH(TEXT(YEAR(BD!D668),"Standard"),TabRFR[[#Headers],[2021]:[2025]],0)),"Modeste",IF(X668&lt;=INDEX(TabRFR[[2021]:[2025]],MATCH(BD!W668&amp;"-Intermédiaire",TabRFR[Recherche RFR],0),MATCH(TEXT(YEAR(BD!D668),"Standard"),TabRFR[[#Headers],[2021]:[2025]],0)),"Intermédiaire","Supérieur")))))),IF(D668="","",IF(W668+X668&lt;15,"Données Nb pers ou RFR manquantes",IF(COUNTA(INDIRECT("TabRFR["&amp;YEAR(I668)&amp;"]"))&lt;&gt;COUNTA(TabRFR[Recherche RFR]),"Data RFR manquantes", IF(X668&lt;=INDEX(TabRFR[[2021]:[2025]],MATCH(BD!W668&amp;"-Très modestes",TabRFR[Recherche RFR],0),MATCH(TEXT(YEAR(BD!I668),"Standard"),TabRFR[[#Headers],[2021]:[2025]],0)),"Très Modeste",IF(X668&lt;=INDEX(TabRFR[[2021]:[2025]],MATCH(BD!W668&amp;"-modestes",TabRFR[Recherche RFR],0),MATCH(TEXT(YEAR(BD!I668),"Standard"),TabRFR[[#Headers],[2021]:[2025]],0)),"Modeste",IF(X668&lt;=INDEX(TabRFR[[2021]:[2025]],MATCH(BD!W668&amp;"-Intermédiaire",TabRFR[Recherche RFR],0),MATCH(TEXT(YEAR(BD!I668),"Standard"),TabRFR[[#Headers],[2021]:[2025]],0)),"Intermédiaire","Supérieur")))))))</f>
        <v>Data RFR manquantes</v>
      </c>
      <c r="Z668" s="77"/>
      <c r="AA668" s="77" t="s">
        <v>4192</v>
      </c>
      <c r="AB668" s="77">
        <v>38520</v>
      </c>
      <c r="AC668" s="77" t="s">
        <v>857</v>
      </c>
      <c r="AD668" s="78"/>
      <c r="AE668" s="102"/>
      <c r="AF668" s="77" t="s">
        <v>95</v>
      </c>
      <c r="AG668" s="77"/>
      <c r="AH668" s="77"/>
      <c r="AI668" s="77"/>
      <c r="AJ668" s="77"/>
      <c r="AK668" s="77"/>
      <c r="AL668" s="77"/>
      <c r="AM668" s="77" t="s">
        <v>4193</v>
      </c>
      <c r="AN668" s="77" t="s">
        <v>4194</v>
      </c>
      <c r="AO668" s="77" t="s">
        <v>9</v>
      </c>
      <c r="AP668" s="75" t="s">
        <v>97</v>
      </c>
      <c r="AQ668" s="77" t="s">
        <v>9</v>
      </c>
      <c r="AR668" s="79">
        <v>44054</v>
      </c>
      <c r="AS668" s="102" t="s">
        <v>4196</v>
      </c>
      <c r="AT668" s="78">
        <v>608485041</v>
      </c>
      <c r="AU668" s="77" t="s">
        <v>111</v>
      </c>
      <c r="AV668" s="77">
        <v>1987</v>
      </c>
      <c r="AW668" s="77" t="s">
        <v>100</v>
      </c>
      <c r="AX668" s="77" t="s">
        <v>112</v>
      </c>
      <c r="AY668" s="77" t="s">
        <v>251</v>
      </c>
      <c r="AZ668" s="77" t="s">
        <v>4195</v>
      </c>
      <c r="BA668" s="77">
        <v>4</v>
      </c>
      <c r="BB668" s="77">
        <v>6.8</v>
      </c>
      <c r="BC668" s="77">
        <v>78</v>
      </c>
      <c r="BD668" s="77">
        <v>0.06</v>
      </c>
      <c r="BE668" s="77" t="s">
        <v>97</v>
      </c>
      <c r="BF668" s="77"/>
      <c r="BG668" s="77">
        <f>(2650+15)*0.85</f>
        <v>2265.25</v>
      </c>
      <c r="BH668" s="77"/>
      <c r="BI668" s="77"/>
      <c r="BJ668" s="77"/>
      <c r="BK668" s="77">
        <f>260*0.85</f>
        <v>221</v>
      </c>
      <c r="BL668" s="75">
        <v>2487</v>
      </c>
      <c r="BM668" s="103">
        <f t="shared" si="31"/>
        <v>136.785</v>
      </c>
      <c r="BN668" s="103">
        <f t="shared" si="32"/>
        <v>2623.7849999999999</v>
      </c>
      <c r="BO668" s="80"/>
      <c r="BP668" s="77" t="s">
        <v>97</v>
      </c>
      <c r="BQ668" s="77"/>
      <c r="BR668" s="77"/>
      <c r="BS668" s="157">
        <v>2020</v>
      </c>
      <c r="BT668">
        <v>2020</v>
      </c>
      <c r="BU668">
        <v>2020</v>
      </c>
    </row>
    <row r="669" spans="1:73" ht="43.15" customHeight="1" x14ac:dyDescent="0.25">
      <c r="A669" s="31" t="s">
        <v>2526</v>
      </c>
      <c r="B669" s="31" t="s">
        <v>4142</v>
      </c>
      <c r="C669" s="163">
        <v>400</v>
      </c>
      <c r="D669" s="76">
        <v>43945</v>
      </c>
      <c r="E669" s="76">
        <v>43970</v>
      </c>
      <c r="F669" s="76">
        <v>43976</v>
      </c>
      <c r="G669" s="76" t="s">
        <v>4216</v>
      </c>
      <c r="H669" s="76">
        <v>43986</v>
      </c>
      <c r="I669" s="76">
        <v>43986</v>
      </c>
      <c r="J669" s="76">
        <v>43997</v>
      </c>
      <c r="K669" s="218"/>
      <c r="L669" s="76" t="s">
        <v>4411</v>
      </c>
      <c r="M669" s="76"/>
      <c r="N669" s="76"/>
      <c r="O669" s="76"/>
      <c r="P669" s="76"/>
      <c r="Q669" s="76"/>
      <c r="R669" s="82"/>
      <c r="S669" s="76">
        <v>44263</v>
      </c>
      <c r="T669" s="77" t="s">
        <v>342</v>
      </c>
      <c r="U669" s="77"/>
      <c r="V669" s="77"/>
      <c r="W669" s="77">
        <v>2</v>
      </c>
      <c r="X669" s="77">
        <v>49461</v>
      </c>
      <c r="Y669" s="75" t="str">
        <f ca="1">IF(I669="",IF(D669="","",IF(W669+X669&lt;15,"Données Nb pers ou RFR manquantes",IF(COUNTA(INDIRECT("TabRFR["&amp;YEAR(D669)&amp;"]"))&lt;&gt;COUNTA(TabRFR[Recherche RFR]),"Data RFR manquantes", IF(X669&lt;=INDEX(TabRFR[[2021]:[2025]],MATCH(BD!W669&amp;"-Très modestes",TabRFR[Recherche RFR],0),MATCH(TEXT(YEAR(BD!D669),"Standard"),TabRFR[[#Headers],[2021]:[2025]],0)),"Très Modeste",IF(X669&lt;=INDEX(TabRFR[[2021]:[2025]],MATCH(BD!W669&amp;"-modestes",TabRFR[Recherche RFR],0),MATCH(TEXT(YEAR(BD!D669),"Standard"),TabRFR[[#Headers],[2021]:[2025]],0)),"Modeste",IF(X669&lt;=INDEX(TabRFR[[2021]:[2025]],MATCH(BD!W669&amp;"-Intermédiaire",TabRFR[Recherche RFR],0),MATCH(TEXT(YEAR(BD!D669),"Standard"),TabRFR[[#Headers],[2021]:[2025]],0)),"Intermédiaire","Supérieur")))))),IF(D669="","",IF(W669+X669&lt;15,"Données Nb pers ou RFR manquantes",IF(COUNTA(INDIRECT("TabRFR["&amp;YEAR(I669)&amp;"]"))&lt;&gt;COUNTA(TabRFR[Recherche RFR]),"Data RFR manquantes", IF(X669&lt;=INDEX(TabRFR[[2021]:[2025]],MATCH(BD!W669&amp;"-Très modestes",TabRFR[Recherche RFR],0),MATCH(TEXT(YEAR(BD!I669),"Standard"),TabRFR[[#Headers],[2021]:[2025]],0)),"Très Modeste",IF(X669&lt;=INDEX(TabRFR[[2021]:[2025]],MATCH(BD!W669&amp;"-modestes",TabRFR[Recherche RFR],0),MATCH(TEXT(YEAR(BD!I669),"Standard"),TabRFR[[#Headers],[2021]:[2025]],0)),"Modeste",IF(X669&lt;=INDEX(TabRFR[[2021]:[2025]],MATCH(BD!W669&amp;"-Intermédiaire",TabRFR[Recherche RFR],0),MATCH(TEXT(YEAR(BD!I669),"Standard"),TabRFR[[#Headers],[2021]:[2025]],0)),"Intermédiaire","Supérieur")))))))</f>
        <v>Data RFR manquantes</v>
      </c>
      <c r="Z669" s="77"/>
      <c r="AA669" s="77" t="s">
        <v>4207</v>
      </c>
      <c r="AB669" s="77">
        <v>38960</v>
      </c>
      <c r="AC669" s="77" t="s">
        <v>2378</v>
      </c>
      <c r="AD669" s="78"/>
      <c r="AE669" s="102"/>
      <c r="AF669" s="77" t="s">
        <v>95</v>
      </c>
      <c r="AG669" s="77"/>
      <c r="AH669" s="77"/>
      <c r="AI669" s="77"/>
      <c r="AJ669" s="77"/>
      <c r="AK669" s="77"/>
      <c r="AL669" s="77"/>
      <c r="AM669" s="77" t="s">
        <v>4359</v>
      </c>
      <c r="AN669" s="77" t="s">
        <v>829</v>
      </c>
      <c r="AO669" s="77" t="s">
        <v>3720</v>
      </c>
      <c r="AP669" s="77" t="s">
        <v>97</v>
      </c>
      <c r="AQ669" s="77"/>
      <c r="AR669" s="79">
        <v>44118</v>
      </c>
      <c r="AS669" s="102" t="s">
        <v>491</v>
      </c>
      <c r="AT669" s="78" t="s">
        <v>3208</v>
      </c>
      <c r="AU669" s="77" t="s">
        <v>111</v>
      </c>
      <c r="AV669" s="77">
        <v>2000</v>
      </c>
      <c r="AW669" s="77" t="s">
        <v>100</v>
      </c>
      <c r="AX669" s="77" t="s">
        <v>112</v>
      </c>
      <c r="AY669" s="77" t="s">
        <v>492</v>
      </c>
      <c r="AZ669" s="77" t="s">
        <v>4215</v>
      </c>
      <c r="BA669" s="77">
        <v>20</v>
      </c>
      <c r="BB669" s="77">
        <v>5.5</v>
      </c>
      <c r="BC669" s="77">
        <v>80</v>
      </c>
      <c r="BD669" s="77">
        <v>875</v>
      </c>
      <c r="BE669" s="77" t="s">
        <v>97</v>
      </c>
      <c r="BF669" s="77"/>
      <c r="BG669" s="77">
        <f>2834.12+639.47+101.32+255+175.33-(300*5/6)</f>
        <v>3755.2400000000002</v>
      </c>
      <c r="BH669" s="77"/>
      <c r="BI669" s="77"/>
      <c r="BJ669" s="77"/>
      <c r="BK669" s="77">
        <f>450+400-(300/6)</f>
        <v>800</v>
      </c>
      <c r="BL669" s="75">
        <f>BG669+BK669</f>
        <v>4555.24</v>
      </c>
      <c r="BM669" s="103">
        <f t="shared" si="31"/>
        <v>250.53819999999999</v>
      </c>
      <c r="BN669" s="103">
        <f t="shared" si="32"/>
        <v>4805.7781999999997</v>
      </c>
      <c r="BO669" s="80"/>
      <c r="BP669" s="77" t="s">
        <v>97</v>
      </c>
      <c r="BQ669" s="77"/>
      <c r="BR669" s="77"/>
      <c r="BS669" s="157">
        <v>2020</v>
      </c>
      <c r="BT669">
        <v>2020</v>
      </c>
      <c r="BU669" t="s">
        <v>4180</v>
      </c>
    </row>
    <row r="670" spans="1:73" ht="43.15" customHeight="1" x14ac:dyDescent="0.25">
      <c r="A670" s="241" t="s">
        <v>2526</v>
      </c>
      <c r="B670" s="241" t="s">
        <v>4143</v>
      </c>
      <c r="C670" s="163">
        <v>400</v>
      </c>
      <c r="D670" s="76">
        <v>43955</v>
      </c>
      <c r="E670" s="76">
        <v>43971</v>
      </c>
      <c r="F670" s="76" t="s">
        <v>9</v>
      </c>
      <c r="G670" s="76" t="s">
        <v>9</v>
      </c>
      <c r="H670" s="76">
        <v>43976</v>
      </c>
      <c r="I670" s="76">
        <v>43976</v>
      </c>
      <c r="J670" s="76">
        <v>43979</v>
      </c>
      <c r="K670" s="218"/>
      <c r="L670" s="76">
        <v>44041</v>
      </c>
      <c r="M670" s="76">
        <v>44033</v>
      </c>
      <c r="N670" s="76" t="s">
        <v>4044</v>
      </c>
      <c r="O670" s="76">
        <v>44043</v>
      </c>
      <c r="P670" s="76">
        <v>44043</v>
      </c>
      <c r="Q670" s="76">
        <v>44046</v>
      </c>
      <c r="R670" s="82"/>
      <c r="S670" s="76"/>
      <c r="T670" s="77"/>
      <c r="U670" s="77"/>
      <c r="V670" s="77"/>
      <c r="W670" s="77">
        <v>2</v>
      </c>
      <c r="X670" s="77">
        <v>36724</v>
      </c>
      <c r="Y670" s="75" t="str">
        <f ca="1">IF(I670="",IF(D670="","",IF(W670+X670&lt;15,"Données Nb pers ou RFR manquantes",IF(COUNTA(INDIRECT("TabRFR["&amp;YEAR(D670)&amp;"]"))&lt;&gt;COUNTA(TabRFR[Recherche RFR]),"Data RFR manquantes", IF(X670&lt;=INDEX(TabRFR[[2021]:[2025]],MATCH(BD!W670&amp;"-Très modestes",TabRFR[Recherche RFR],0),MATCH(TEXT(YEAR(BD!D670),"Standard"),TabRFR[[#Headers],[2021]:[2025]],0)),"Très Modeste",IF(X670&lt;=INDEX(TabRFR[[2021]:[2025]],MATCH(BD!W670&amp;"-modestes",TabRFR[Recherche RFR],0),MATCH(TEXT(YEAR(BD!D670),"Standard"),TabRFR[[#Headers],[2021]:[2025]],0)),"Modeste",IF(X670&lt;=INDEX(TabRFR[[2021]:[2025]],MATCH(BD!W670&amp;"-Intermédiaire",TabRFR[Recherche RFR],0),MATCH(TEXT(YEAR(BD!D670),"Standard"),TabRFR[[#Headers],[2021]:[2025]],0)),"Intermédiaire","Supérieur")))))),IF(D670="","",IF(W670+X670&lt;15,"Données Nb pers ou RFR manquantes",IF(COUNTA(INDIRECT("TabRFR["&amp;YEAR(I670)&amp;"]"))&lt;&gt;COUNTA(TabRFR[Recherche RFR]),"Data RFR manquantes", IF(X670&lt;=INDEX(TabRFR[[2021]:[2025]],MATCH(BD!W670&amp;"-Très modestes",TabRFR[Recherche RFR],0),MATCH(TEXT(YEAR(BD!I670),"Standard"),TabRFR[[#Headers],[2021]:[2025]],0)),"Très Modeste",IF(X670&lt;=INDEX(TabRFR[[2021]:[2025]],MATCH(BD!W670&amp;"-modestes",TabRFR[Recherche RFR],0),MATCH(TEXT(YEAR(BD!I670),"Standard"),TabRFR[[#Headers],[2021]:[2025]],0)),"Modeste",IF(X670&lt;=INDEX(TabRFR[[2021]:[2025]],MATCH(BD!W670&amp;"-Intermédiaire",TabRFR[Recherche RFR],0),MATCH(TEXT(YEAR(BD!I670),"Standard"),TabRFR[[#Headers],[2021]:[2025]],0)),"Intermédiaire","Supérieur")))))))</f>
        <v>Data RFR manquantes</v>
      </c>
      <c r="Z670" s="77"/>
      <c r="AA670" s="77" t="s">
        <v>4208</v>
      </c>
      <c r="AB670" s="77">
        <v>38960</v>
      </c>
      <c r="AC670" s="77" t="s">
        <v>2403</v>
      </c>
      <c r="AD670" s="78"/>
      <c r="AE670" s="102"/>
      <c r="AF670" s="77" t="s">
        <v>95</v>
      </c>
      <c r="AG670" s="77"/>
      <c r="AH670" s="77"/>
      <c r="AI670" s="77"/>
      <c r="AJ670" s="77"/>
      <c r="AK670" s="77"/>
      <c r="AL670" s="77"/>
      <c r="AM670" s="77" t="s">
        <v>218</v>
      </c>
      <c r="AN670" s="77" t="s">
        <v>217</v>
      </c>
      <c r="AO670" s="77" t="s">
        <v>4078</v>
      </c>
      <c r="AP670" s="77" t="s">
        <v>97</v>
      </c>
      <c r="AQ670" s="77"/>
      <c r="AR670" s="79">
        <v>44130</v>
      </c>
      <c r="AS670" s="102" t="s">
        <v>220</v>
      </c>
      <c r="AT670" s="78" t="s">
        <v>620</v>
      </c>
      <c r="AU670" s="77" t="s">
        <v>111</v>
      </c>
      <c r="AV670" s="77">
        <v>1982</v>
      </c>
      <c r="AW670" s="77" t="s">
        <v>3967</v>
      </c>
      <c r="AX670" s="77" t="s">
        <v>112</v>
      </c>
      <c r="AY670" s="77" t="s">
        <v>878</v>
      </c>
      <c r="AZ670" s="77" t="s">
        <v>4217</v>
      </c>
      <c r="BA670" s="77">
        <v>35</v>
      </c>
      <c r="BB670" s="77">
        <v>10</v>
      </c>
      <c r="BC670" s="77">
        <v>76.599999999999994</v>
      </c>
      <c r="BD670" s="77">
        <v>1250</v>
      </c>
      <c r="BE670" s="77" t="s">
        <v>97</v>
      </c>
      <c r="BF670" s="77"/>
      <c r="BG670" s="77">
        <f>420+27.5+44.5+365.75+3730+565+579+177.6+87+133.2</f>
        <v>6129.55</v>
      </c>
      <c r="BH670" s="77"/>
      <c r="BI670" s="77"/>
      <c r="BJ670" s="77"/>
      <c r="BK670" s="77">
        <f>99.09+68.6+1160</f>
        <v>1327.69</v>
      </c>
      <c r="BL670" s="75">
        <f t="shared" si="33"/>
        <v>7457.24</v>
      </c>
      <c r="BM670" s="103">
        <f t="shared" si="31"/>
        <v>410.14819999999997</v>
      </c>
      <c r="BN670" s="103">
        <f t="shared" si="32"/>
        <v>7867.3881999999994</v>
      </c>
      <c r="BO670" s="80"/>
      <c r="BP670" s="77" t="s">
        <v>104</v>
      </c>
      <c r="BQ670" s="77"/>
      <c r="BR670" s="77"/>
      <c r="BS670" s="157">
        <v>2020</v>
      </c>
      <c r="BT670">
        <v>2020</v>
      </c>
      <c r="BU670">
        <v>2020</v>
      </c>
    </row>
    <row r="671" spans="1:73" ht="43.15" customHeight="1" x14ac:dyDescent="0.25">
      <c r="A671" s="241" t="s">
        <v>2526</v>
      </c>
      <c r="B671" s="241" t="s">
        <v>4144</v>
      </c>
      <c r="C671" s="163">
        <v>400</v>
      </c>
      <c r="D671" s="76">
        <v>43958</v>
      </c>
      <c r="E671" s="76">
        <v>43970</v>
      </c>
      <c r="F671" s="76" t="s">
        <v>9</v>
      </c>
      <c r="G671" s="76" t="s">
        <v>9</v>
      </c>
      <c r="H671" s="76">
        <v>43976</v>
      </c>
      <c r="I671" s="76">
        <v>43976</v>
      </c>
      <c r="J671" s="76">
        <v>43979</v>
      </c>
      <c r="K671" s="218"/>
      <c r="L671" s="76">
        <v>44006</v>
      </c>
      <c r="M671" s="76">
        <v>43988</v>
      </c>
      <c r="N671" s="76" t="s">
        <v>4044</v>
      </c>
      <c r="O671" s="76">
        <v>43988</v>
      </c>
      <c r="P671" s="76">
        <v>44014</v>
      </c>
      <c r="Q671" s="76">
        <v>44014</v>
      </c>
      <c r="R671" s="82"/>
      <c r="S671" s="76"/>
      <c r="T671" s="77"/>
      <c r="U671" s="77"/>
      <c r="V671" s="77"/>
      <c r="W671" s="77">
        <v>2</v>
      </c>
      <c r="X671" s="77">
        <v>58550</v>
      </c>
      <c r="Y671" s="75" t="str">
        <f ca="1">IF(I671="",IF(D671="","",IF(W671+X671&lt;15,"Données Nb pers ou RFR manquantes",IF(COUNTA(INDIRECT("TabRFR["&amp;YEAR(D671)&amp;"]"))&lt;&gt;COUNTA(TabRFR[Recherche RFR]),"Data RFR manquantes", IF(X671&lt;=INDEX(TabRFR[[2021]:[2025]],MATCH(BD!W671&amp;"-Très modestes",TabRFR[Recherche RFR],0),MATCH(TEXT(YEAR(BD!D671),"Standard"),TabRFR[[#Headers],[2021]:[2025]],0)),"Très Modeste",IF(X671&lt;=INDEX(TabRFR[[2021]:[2025]],MATCH(BD!W671&amp;"-modestes",TabRFR[Recherche RFR],0),MATCH(TEXT(YEAR(BD!D671),"Standard"),TabRFR[[#Headers],[2021]:[2025]],0)),"Modeste",IF(X671&lt;=INDEX(TabRFR[[2021]:[2025]],MATCH(BD!W671&amp;"-Intermédiaire",TabRFR[Recherche RFR],0),MATCH(TEXT(YEAR(BD!D671),"Standard"),TabRFR[[#Headers],[2021]:[2025]],0)),"Intermédiaire","Supérieur")))))),IF(D671="","",IF(W671+X671&lt;15,"Données Nb pers ou RFR manquantes",IF(COUNTA(INDIRECT("TabRFR["&amp;YEAR(I671)&amp;"]"))&lt;&gt;COUNTA(TabRFR[Recherche RFR]),"Data RFR manquantes", IF(X671&lt;=INDEX(TabRFR[[2021]:[2025]],MATCH(BD!W671&amp;"-Très modestes",TabRFR[Recherche RFR],0),MATCH(TEXT(YEAR(BD!I671),"Standard"),TabRFR[[#Headers],[2021]:[2025]],0)),"Très Modeste",IF(X671&lt;=INDEX(TabRFR[[2021]:[2025]],MATCH(BD!W671&amp;"-modestes",TabRFR[Recherche RFR],0),MATCH(TEXT(YEAR(BD!I671),"Standard"),TabRFR[[#Headers],[2021]:[2025]],0)),"Modeste",IF(X671&lt;=INDEX(TabRFR[[2021]:[2025]],MATCH(BD!W671&amp;"-Intermédiaire",TabRFR[Recherche RFR],0),MATCH(TEXT(YEAR(BD!I671),"Standard"),TabRFR[[#Headers],[2021]:[2025]],0)),"Intermédiaire","Supérieur")))))))</f>
        <v>Data RFR manquantes</v>
      </c>
      <c r="Z671" s="77"/>
      <c r="AA671" s="77" t="s">
        <v>4209</v>
      </c>
      <c r="AB671" s="77">
        <v>38500</v>
      </c>
      <c r="AC671" s="77" t="s">
        <v>2572</v>
      </c>
      <c r="AD671" s="78"/>
      <c r="AE671" s="102"/>
      <c r="AF671" s="77"/>
      <c r="AG671" s="77"/>
      <c r="AH671" s="77"/>
      <c r="AI671" s="77"/>
      <c r="AJ671" s="77"/>
      <c r="AK671" s="77"/>
      <c r="AL671" s="77"/>
      <c r="AM671" s="77" t="s">
        <v>4348</v>
      </c>
      <c r="AN671" s="77" t="s">
        <v>96</v>
      </c>
      <c r="AO671" s="77" t="s">
        <v>4151</v>
      </c>
      <c r="AP671" s="77" t="s">
        <v>97</v>
      </c>
      <c r="AQ671" s="77"/>
      <c r="AR671" s="79">
        <v>44064</v>
      </c>
      <c r="AS671" s="102" t="s">
        <v>98</v>
      </c>
      <c r="AT671" s="78">
        <v>476323235</v>
      </c>
      <c r="AU671" s="77" t="s">
        <v>111</v>
      </c>
      <c r="AV671" s="77">
        <v>2001</v>
      </c>
      <c r="AW671" s="77" t="s">
        <v>100</v>
      </c>
      <c r="AX671" s="77" t="s">
        <v>112</v>
      </c>
      <c r="AY671" s="77" t="s">
        <v>499</v>
      </c>
      <c r="AZ671" s="77">
        <v>85</v>
      </c>
      <c r="BA671" s="77">
        <v>7</v>
      </c>
      <c r="BB671" s="77">
        <v>8</v>
      </c>
      <c r="BC671" s="77">
        <v>78</v>
      </c>
      <c r="BD671" s="77">
        <v>750</v>
      </c>
      <c r="BE671" s="77" t="s">
        <v>97</v>
      </c>
      <c r="BF671" s="77"/>
      <c r="BG671" s="77">
        <f>4093.4+242.65+126.6+90.73+72.8+30.6+27.43+100.23+31.65-(614.01*0.9)</f>
        <v>4263.4809999999998</v>
      </c>
      <c r="BH671" s="77"/>
      <c r="BI671" s="77"/>
      <c r="BJ671" s="77"/>
      <c r="BK671" s="77">
        <f>63.3+50.64+411.45-(614.01*0.1)</f>
        <v>463.98899999999998</v>
      </c>
      <c r="BL671" s="75">
        <f t="shared" si="33"/>
        <v>4727.4699999999993</v>
      </c>
      <c r="BM671" s="103">
        <f t="shared" si="31"/>
        <v>260.01084999999995</v>
      </c>
      <c r="BN671" s="103">
        <f t="shared" si="32"/>
        <v>4987.480849999999</v>
      </c>
      <c r="BO671" s="80"/>
      <c r="BP671" s="77" t="s">
        <v>104</v>
      </c>
      <c r="BQ671" s="77"/>
      <c r="BR671" s="77"/>
      <c r="BS671" s="157"/>
      <c r="BT671">
        <v>2020</v>
      </c>
      <c r="BU671">
        <v>2020</v>
      </c>
    </row>
    <row r="672" spans="1:73" ht="43.15" customHeight="1" x14ac:dyDescent="0.25">
      <c r="A672" s="241" t="s">
        <v>3845</v>
      </c>
      <c r="B672" s="241" t="s">
        <v>4200</v>
      </c>
      <c r="C672" s="163">
        <v>400</v>
      </c>
      <c r="D672" s="76">
        <v>43967</v>
      </c>
      <c r="E672" s="76">
        <v>43980</v>
      </c>
      <c r="F672" s="76" t="s">
        <v>9</v>
      </c>
      <c r="G672" s="76" t="s">
        <v>9</v>
      </c>
      <c r="H672" s="76">
        <v>43984</v>
      </c>
      <c r="I672" s="76">
        <v>43984</v>
      </c>
      <c r="J672" s="76">
        <v>43987</v>
      </c>
      <c r="K672" s="218"/>
      <c r="L672" s="76">
        <v>44000</v>
      </c>
      <c r="M672" s="76">
        <v>43995</v>
      </c>
      <c r="N672" s="76" t="s">
        <v>4044</v>
      </c>
      <c r="O672" s="76">
        <v>44007</v>
      </c>
      <c r="P672" s="76">
        <v>44007</v>
      </c>
      <c r="Q672" s="76">
        <v>44011</v>
      </c>
      <c r="R672" s="82"/>
      <c r="S672" s="76"/>
      <c r="T672" s="77"/>
      <c r="U672" s="77"/>
      <c r="V672" s="77"/>
      <c r="W672" s="77">
        <v>3</v>
      </c>
      <c r="X672" s="77">
        <v>36929</v>
      </c>
      <c r="Y672" s="75" t="str">
        <f ca="1">IF(I672="",IF(D672="","",IF(W672+X672&lt;15,"Données Nb pers ou RFR manquantes",IF(COUNTA(INDIRECT("TabRFR["&amp;YEAR(D672)&amp;"]"))&lt;&gt;COUNTA(TabRFR[Recherche RFR]),"Data RFR manquantes", IF(X672&lt;=INDEX(TabRFR[[2021]:[2025]],MATCH(BD!W672&amp;"-Très modestes",TabRFR[Recherche RFR],0),MATCH(TEXT(YEAR(BD!D672),"Standard"),TabRFR[[#Headers],[2021]:[2025]],0)),"Très Modeste",IF(X672&lt;=INDEX(TabRFR[[2021]:[2025]],MATCH(BD!W672&amp;"-modestes",TabRFR[Recherche RFR],0),MATCH(TEXT(YEAR(BD!D672),"Standard"),TabRFR[[#Headers],[2021]:[2025]],0)),"Modeste",IF(X672&lt;=INDEX(TabRFR[[2021]:[2025]],MATCH(BD!W672&amp;"-Intermédiaire",TabRFR[Recherche RFR],0),MATCH(TEXT(YEAR(BD!D672),"Standard"),TabRFR[[#Headers],[2021]:[2025]],0)),"Intermédiaire","Supérieur")))))),IF(D672="","",IF(W672+X672&lt;15,"Données Nb pers ou RFR manquantes",IF(COUNTA(INDIRECT("TabRFR["&amp;YEAR(I672)&amp;"]"))&lt;&gt;COUNTA(TabRFR[Recherche RFR]),"Data RFR manquantes", IF(X672&lt;=INDEX(TabRFR[[2021]:[2025]],MATCH(BD!W672&amp;"-Très modestes",TabRFR[Recherche RFR],0),MATCH(TEXT(YEAR(BD!I672),"Standard"),TabRFR[[#Headers],[2021]:[2025]],0)),"Très Modeste",IF(X672&lt;=INDEX(TabRFR[[2021]:[2025]],MATCH(BD!W672&amp;"-modestes",TabRFR[Recherche RFR],0),MATCH(TEXT(YEAR(BD!I672),"Standard"),TabRFR[[#Headers],[2021]:[2025]],0)),"Modeste",IF(X672&lt;=INDEX(TabRFR[[2021]:[2025]],MATCH(BD!W672&amp;"-Intermédiaire",TabRFR[Recherche RFR],0),MATCH(TEXT(YEAR(BD!I672),"Standard"),TabRFR[[#Headers],[2021]:[2025]],0)),"Intermédiaire","Supérieur")))))))</f>
        <v>Data RFR manquantes</v>
      </c>
      <c r="Z672" s="77"/>
      <c r="AA672" s="77" t="s">
        <v>4210</v>
      </c>
      <c r="AB672" s="77">
        <v>38500</v>
      </c>
      <c r="AC672" s="77" t="s">
        <v>96</v>
      </c>
      <c r="AD672" s="78"/>
      <c r="AE672" s="102"/>
      <c r="AF672" s="77" t="s">
        <v>95</v>
      </c>
      <c r="AG672" s="77"/>
      <c r="AH672" s="77"/>
      <c r="AI672" s="77"/>
      <c r="AJ672" s="77"/>
      <c r="AK672" s="77"/>
      <c r="AL672" s="77"/>
      <c r="AM672" s="77" t="s">
        <v>218</v>
      </c>
      <c r="AN672" s="77" t="s">
        <v>217</v>
      </c>
      <c r="AO672" s="77" t="s">
        <v>4078</v>
      </c>
      <c r="AP672" s="77" t="s">
        <v>97</v>
      </c>
      <c r="AQ672" s="77"/>
      <c r="AR672" s="79">
        <v>44130</v>
      </c>
      <c r="AS672" s="102" t="s">
        <v>220</v>
      </c>
      <c r="AT672" s="78" t="s">
        <v>620</v>
      </c>
      <c r="AU672" s="77" t="s">
        <v>1708</v>
      </c>
      <c r="AV672" s="77" t="s">
        <v>4230</v>
      </c>
      <c r="AW672" s="77" t="s">
        <v>100</v>
      </c>
      <c r="AX672" s="77" t="s">
        <v>112</v>
      </c>
      <c r="AY672" s="77" t="s">
        <v>4231</v>
      </c>
      <c r="AZ672" s="77" t="s">
        <v>4232</v>
      </c>
      <c r="BA672" s="77">
        <v>8</v>
      </c>
      <c r="BB672" s="77">
        <v>5.0999999999999996</v>
      </c>
      <c r="BC672" s="77">
        <v>82</v>
      </c>
      <c r="BD672" s="77">
        <v>0.09</v>
      </c>
      <c r="BE672" s="77" t="s">
        <v>97</v>
      </c>
      <c r="BF672" s="77"/>
      <c r="BG672" s="77">
        <f>360+24.5+41.4+94+74+47+1957+198+89.6+274.4+33.54</f>
        <v>3193.44</v>
      </c>
      <c r="BH672" s="77"/>
      <c r="BI672" s="77"/>
      <c r="BJ672" s="77"/>
      <c r="BK672" s="77">
        <f>450+99.09+450+525</f>
        <v>1524.0900000000001</v>
      </c>
      <c r="BL672" s="75">
        <f t="shared" si="33"/>
        <v>4717.5300000000007</v>
      </c>
      <c r="BM672" s="103">
        <f t="shared" si="31"/>
        <v>259.46415000000002</v>
      </c>
      <c r="BN672" s="103">
        <f t="shared" si="32"/>
        <v>4976.9941500000004</v>
      </c>
      <c r="BO672" s="80"/>
      <c r="BP672" s="77" t="s">
        <v>97</v>
      </c>
      <c r="BQ672" s="77"/>
      <c r="BR672" s="77"/>
      <c r="BS672" s="157"/>
      <c r="BT672">
        <v>2020</v>
      </c>
      <c r="BU672">
        <v>2020</v>
      </c>
    </row>
    <row r="673" spans="1:73" ht="43.15" customHeight="1" x14ac:dyDescent="0.25">
      <c r="A673" s="241" t="s">
        <v>3845</v>
      </c>
      <c r="B673" s="241" t="s">
        <v>4201</v>
      </c>
      <c r="C673" s="163">
        <v>400</v>
      </c>
      <c r="D673" s="76">
        <v>43970</v>
      </c>
      <c r="E673" s="76">
        <v>43980</v>
      </c>
      <c r="F673" s="76">
        <v>43984</v>
      </c>
      <c r="G673" s="76" t="s">
        <v>4257</v>
      </c>
      <c r="H673" s="76">
        <v>43987</v>
      </c>
      <c r="I673" s="76">
        <v>43987</v>
      </c>
      <c r="J673" s="76">
        <v>43997</v>
      </c>
      <c r="K673" s="218"/>
      <c r="L673" s="76">
        <v>44083</v>
      </c>
      <c r="M673" s="76">
        <v>44013</v>
      </c>
      <c r="N673" s="76" t="s">
        <v>4044</v>
      </c>
      <c r="O673" s="76">
        <v>44085</v>
      </c>
      <c r="P673" s="76">
        <v>44085</v>
      </c>
      <c r="Q673" s="76">
        <v>44088</v>
      </c>
      <c r="R673" s="82"/>
      <c r="S673" s="76"/>
      <c r="T673" s="77"/>
      <c r="U673" s="77"/>
      <c r="V673" s="77"/>
      <c r="W673" s="77">
        <v>2</v>
      </c>
      <c r="X673" s="77">
        <v>52364</v>
      </c>
      <c r="Y673" s="75" t="str">
        <f ca="1">IF(I673="",IF(D673="","",IF(W673+X673&lt;15,"Données Nb pers ou RFR manquantes",IF(COUNTA(INDIRECT("TabRFR["&amp;YEAR(D673)&amp;"]"))&lt;&gt;COUNTA(TabRFR[Recherche RFR]),"Data RFR manquantes", IF(X673&lt;=INDEX(TabRFR[[2021]:[2025]],MATCH(BD!W673&amp;"-Très modestes",TabRFR[Recherche RFR],0),MATCH(TEXT(YEAR(BD!D673),"Standard"),TabRFR[[#Headers],[2021]:[2025]],0)),"Très Modeste",IF(X673&lt;=INDEX(TabRFR[[2021]:[2025]],MATCH(BD!W673&amp;"-modestes",TabRFR[Recherche RFR],0),MATCH(TEXT(YEAR(BD!D673),"Standard"),TabRFR[[#Headers],[2021]:[2025]],0)),"Modeste",IF(X673&lt;=INDEX(TabRFR[[2021]:[2025]],MATCH(BD!W673&amp;"-Intermédiaire",TabRFR[Recherche RFR],0),MATCH(TEXT(YEAR(BD!D673),"Standard"),TabRFR[[#Headers],[2021]:[2025]],0)),"Intermédiaire","Supérieur")))))),IF(D673="","",IF(W673+X673&lt;15,"Données Nb pers ou RFR manquantes",IF(COUNTA(INDIRECT("TabRFR["&amp;YEAR(I673)&amp;"]"))&lt;&gt;COUNTA(TabRFR[Recherche RFR]),"Data RFR manquantes", IF(X673&lt;=INDEX(TabRFR[[2021]:[2025]],MATCH(BD!W673&amp;"-Très modestes",TabRFR[Recherche RFR],0),MATCH(TEXT(YEAR(BD!I673),"Standard"),TabRFR[[#Headers],[2021]:[2025]],0)),"Très Modeste",IF(X673&lt;=INDEX(TabRFR[[2021]:[2025]],MATCH(BD!W673&amp;"-modestes",TabRFR[Recherche RFR],0),MATCH(TEXT(YEAR(BD!I673),"Standard"),TabRFR[[#Headers],[2021]:[2025]],0)),"Modeste",IF(X673&lt;=INDEX(TabRFR[[2021]:[2025]],MATCH(BD!W673&amp;"-Intermédiaire",TabRFR[Recherche RFR],0),MATCH(TEXT(YEAR(BD!I673),"Standard"),TabRFR[[#Headers],[2021]:[2025]],0)),"Intermédiaire","Supérieur")))))))</f>
        <v>Data RFR manquantes</v>
      </c>
      <c r="Z673" s="77"/>
      <c r="AA673" s="77" t="s">
        <v>4058</v>
      </c>
      <c r="AB673" s="77">
        <v>38500</v>
      </c>
      <c r="AC673" s="77" t="s">
        <v>94</v>
      </c>
      <c r="AD673" s="78"/>
      <c r="AE673" s="102"/>
      <c r="AF673" s="77" t="s">
        <v>95</v>
      </c>
      <c r="AG673" s="77"/>
      <c r="AH673" s="77"/>
      <c r="AI673" s="77"/>
      <c r="AJ673" s="77"/>
      <c r="AK673" s="77"/>
      <c r="AL673" s="77"/>
      <c r="AM673" s="77" t="s">
        <v>4233</v>
      </c>
      <c r="AN673" s="77" t="s">
        <v>829</v>
      </c>
      <c r="AO673" s="77" t="s">
        <v>4122</v>
      </c>
      <c r="AP673" s="77" t="s">
        <v>97</v>
      </c>
      <c r="AQ673" s="77"/>
      <c r="AR673" s="79">
        <v>44052</v>
      </c>
      <c r="AS673" s="102" t="s">
        <v>4234</v>
      </c>
      <c r="AT673" s="78" t="s">
        <v>634</v>
      </c>
      <c r="AU673" s="77" t="s">
        <v>111</v>
      </c>
      <c r="AV673" s="77">
        <v>1982</v>
      </c>
      <c r="AW673" s="77" t="s">
        <v>100</v>
      </c>
      <c r="AX673" s="77" t="s">
        <v>2071</v>
      </c>
      <c r="AY673" s="77" t="s">
        <v>2922</v>
      </c>
      <c r="AZ673" s="77" t="s">
        <v>4235</v>
      </c>
      <c r="BA673" s="77">
        <v>26</v>
      </c>
      <c r="BB673" s="77">
        <v>8</v>
      </c>
      <c r="BC673" s="77">
        <v>91.9</v>
      </c>
      <c r="BD673" s="77">
        <v>7.0000000000000001E-3</v>
      </c>
      <c r="BE673" s="77" t="s">
        <v>374</v>
      </c>
      <c r="BF673" s="77"/>
      <c r="BG673" s="77">
        <f>3290+300+280+86+300+77</f>
        <v>4333</v>
      </c>
      <c r="BH673" s="77"/>
      <c r="BI673" s="77"/>
      <c r="BJ673" s="77"/>
      <c r="BK673" s="77">
        <v>650</v>
      </c>
      <c r="BL673" s="75">
        <f t="shared" si="33"/>
        <v>4983</v>
      </c>
      <c r="BM673" s="103">
        <f t="shared" si="31"/>
        <v>274.065</v>
      </c>
      <c r="BN673" s="103">
        <f t="shared" si="32"/>
        <v>5257.0649999999996</v>
      </c>
      <c r="BO673" s="80"/>
      <c r="BP673" s="77" t="s">
        <v>97</v>
      </c>
      <c r="BQ673" s="77"/>
      <c r="BR673" s="77"/>
      <c r="BS673" s="157"/>
      <c r="BU673">
        <v>2020</v>
      </c>
    </row>
    <row r="674" spans="1:73" ht="43.15" customHeight="1" x14ac:dyDescent="0.25">
      <c r="A674" s="241" t="s">
        <v>3845</v>
      </c>
      <c r="B674" s="241" t="s">
        <v>4202</v>
      </c>
      <c r="C674" s="163">
        <v>400</v>
      </c>
      <c r="D674" s="76">
        <v>43971</v>
      </c>
      <c r="E674" s="76">
        <v>43980</v>
      </c>
      <c r="F674" s="76" t="s">
        <v>9</v>
      </c>
      <c r="G674" s="76" t="s">
        <v>9</v>
      </c>
      <c r="H674" s="76">
        <v>43984</v>
      </c>
      <c r="I674" s="76">
        <v>43984</v>
      </c>
      <c r="J674" s="76">
        <v>43987</v>
      </c>
      <c r="K674" s="218"/>
      <c r="L674" s="76">
        <v>44025</v>
      </c>
      <c r="M674" s="76">
        <v>44011</v>
      </c>
      <c r="N674" s="76" t="s">
        <v>4044</v>
      </c>
      <c r="O674" s="76">
        <v>44033</v>
      </c>
      <c r="P674" s="76">
        <v>44033</v>
      </c>
      <c r="Q674" s="76">
        <v>44035</v>
      </c>
      <c r="R674" s="82"/>
      <c r="S674" s="76"/>
      <c r="T674" s="77"/>
      <c r="U674" s="77"/>
      <c r="V674" s="77"/>
      <c r="W674" s="77">
        <v>2</v>
      </c>
      <c r="X674" s="77">
        <v>39848</v>
      </c>
      <c r="Y674" s="75" t="str">
        <f ca="1">IF(I674="",IF(D674="","",IF(W674+X674&lt;15,"Données Nb pers ou RFR manquantes",IF(COUNTA(INDIRECT("TabRFR["&amp;YEAR(D674)&amp;"]"))&lt;&gt;COUNTA(TabRFR[Recherche RFR]),"Data RFR manquantes", IF(X674&lt;=INDEX(TabRFR[[2021]:[2025]],MATCH(BD!W674&amp;"-Très modestes",TabRFR[Recherche RFR],0),MATCH(TEXT(YEAR(BD!D674),"Standard"),TabRFR[[#Headers],[2021]:[2025]],0)),"Très Modeste",IF(X674&lt;=INDEX(TabRFR[[2021]:[2025]],MATCH(BD!W674&amp;"-modestes",TabRFR[Recherche RFR],0),MATCH(TEXT(YEAR(BD!D674),"Standard"),TabRFR[[#Headers],[2021]:[2025]],0)),"Modeste",IF(X674&lt;=INDEX(TabRFR[[2021]:[2025]],MATCH(BD!W674&amp;"-Intermédiaire",TabRFR[Recherche RFR],0),MATCH(TEXT(YEAR(BD!D674),"Standard"),TabRFR[[#Headers],[2021]:[2025]],0)),"Intermédiaire","Supérieur")))))),IF(D674="","",IF(W674+X674&lt;15,"Données Nb pers ou RFR manquantes",IF(COUNTA(INDIRECT("TabRFR["&amp;YEAR(I674)&amp;"]"))&lt;&gt;COUNTA(TabRFR[Recherche RFR]),"Data RFR manquantes", IF(X674&lt;=INDEX(TabRFR[[2021]:[2025]],MATCH(BD!W674&amp;"-Très modestes",TabRFR[Recherche RFR],0),MATCH(TEXT(YEAR(BD!I674),"Standard"),TabRFR[[#Headers],[2021]:[2025]],0)),"Très Modeste",IF(X674&lt;=INDEX(TabRFR[[2021]:[2025]],MATCH(BD!W674&amp;"-modestes",TabRFR[Recherche RFR],0),MATCH(TEXT(YEAR(BD!I674),"Standard"),TabRFR[[#Headers],[2021]:[2025]],0)),"Modeste",IF(X674&lt;=INDEX(TabRFR[[2021]:[2025]],MATCH(BD!W674&amp;"-Intermédiaire",TabRFR[Recherche RFR],0),MATCH(TEXT(YEAR(BD!I674),"Standard"),TabRFR[[#Headers],[2021]:[2025]],0)),"Intermédiaire","Supérieur")))))))</f>
        <v>Data RFR manquantes</v>
      </c>
      <c r="Z674" s="77"/>
      <c r="AA674" s="77" t="s">
        <v>4218</v>
      </c>
      <c r="AB674" s="77">
        <v>38500</v>
      </c>
      <c r="AC674" s="77" t="s">
        <v>94</v>
      </c>
      <c r="AD674" s="78"/>
      <c r="AE674" s="102"/>
      <c r="AF674" s="77" t="s">
        <v>95</v>
      </c>
      <c r="AG674" s="77"/>
      <c r="AH674" s="77"/>
      <c r="AI674" s="77"/>
      <c r="AJ674" s="77"/>
      <c r="AK674" s="77"/>
      <c r="AL674" s="77"/>
      <c r="AM674" s="77" t="s">
        <v>4348</v>
      </c>
      <c r="AN674" s="77" t="s">
        <v>96</v>
      </c>
      <c r="AO674" s="77" t="s">
        <v>4151</v>
      </c>
      <c r="AP674" s="77" t="s">
        <v>97</v>
      </c>
      <c r="AQ674" s="77"/>
      <c r="AR674" s="79">
        <v>44064</v>
      </c>
      <c r="AS674" s="102" t="s">
        <v>98</v>
      </c>
      <c r="AT674" s="78" t="s">
        <v>802</v>
      </c>
      <c r="AU674" s="77" t="s">
        <v>111</v>
      </c>
      <c r="AV674" s="77">
        <v>1990</v>
      </c>
      <c r="AW674" s="77" t="s">
        <v>100</v>
      </c>
      <c r="AX674" s="77" t="s">
        <v>112</v>
      </c>
      <c r="AY674" s="77" t="s">
        <v>873</v>
      </c>
      <c r="AZ674" s="77" t="s">
        <v>1981</v>
      </c>
      <c r="BA674" s="77">
        <v>12</v>
      </c>
      <c r="BB674" s="77">
        <v>9.1999999999999993</v>
      </c>
      <c r="BC674" s="77">
        <v>77</v>
      </c>
      <c r="BD674" s="77">
        <v>0.04</v>
      </c>
      <c r="BE674" s="77" t="s">
        <v>97</v>
      </c>
      <c r="BF674" s="77"/>
      <c r="BG674" s="77">
        <f>15+90+26+29+82+69+90+80+2350+174+25</f>
        <v>3030</v>
      </c>
      <c r="BH674" s="77"/>
      <c r="BI674" s="77"/>
      <c r="BJ674" s="77"/>
      <c r="BK674" s="77">
        <f>30+440+230+30+30+220</f>
        <v>980</v>
      </c>
      <c r="BL674" s="75">
        <f t="shared" si="33"/>
        <v>4010</v>
      </c>
      <c r="BM674" s="103">
        <f t="shared" si="31"/>
        <v>220.55</v>
      </c>
      <c r="BN674" s="103">
        <f t="shared" si="32"/>
        <v>4230.55</v>
      </c>
      <c r="BO674" s="80"/>
      <c r="BP674" s="77" t="s">
        <v>97</v>
      </c>
      <c r="BQ674" s="77"/>
      <c r="BR674" s="77"/>
      <c r="BS674" s="157"/>
      <c r="BT674">
        <v>2020</v>
      </c>
      <c r="BU674">
        <v>2020</v>
      </c>
    </row>
    <row r="675" spans="1:73" ht="43.15" customHeight="1" x14ac:dyDescent="0.25">
      <c r="A675" s="241" t="s">
        <v>3845</v>
      </c>
      <c r="B675" s="241" t="s">
        <v>4203</v>
      </c>
      <c r="C675" s="163">
        <v>400</v>
      </c>
      <c r="D675" s="76">
        <v>43974</v>
      </c>
      <c r="E675" s="76">
        <v>43980</v>
      </c>
      <c r="F675" s="76">
        <v>43984</v>
      </c>
      <c r="G675" s="76" t="s">
        <v>4256</v>
      </c>
      <c r="H675" s="76">
        <v>43987</v>
      </c>
      <c r="I675" s="76">
        <v>43987</v>
      </c>
      <c r="J675" s="76">
        <v>43997</v>
      </c>
      <c r="K675" s="218"/>
      <c r="L675" s="76">
        <v>44102</v>
      </c>
      <c r="M675" s="76">
        <v>44095</v>
      </c>
      <c r="N675" s="76" t="s">
        <v>4044</v>
      </c>
      <c r="O675" s="76">
        <v>44131</v>
      </c>
      <c r="P675" s="76">
        <v>44131</v>
      </c>
      <c r="Q675" s="76">
        <v>44133</v>
      </c>
      <c r="R675" s="82"/>
      <c r="S675" s="76"/>
      <c r="T675" s="77"/>
      <c r="U675" s="77"/>
      <c r="V675" s="77"/>
      <c r="W675" s="77">
        <v>1</v>
      </c>
      <c r="X675" s="77">
        <v>25513</v>
      </c>
      <c r="Y675" s="75" t="str">
        <f ca="1">IF(I675="",IF(D675="","",IF(W675+X675&lt;15,"Données Nb pers ou RFR manquantes",IF(COUNTA(INDIRECT("TabRFR["&amp;YEAR(D675)&amp;"]"))&lt;&gt;COUNTA(TabRFR[Recherche RFR]),"Data RFR manquantes", IF(X675&lt;=INDEX(TabRFR[[2021]:[2025]],MATCH(BD!W675&amp;"-Très modestes",TabRFR[Recherche RFR],0),MATCH(TEXT(YEAR(BD!D675),"Standard"),TabRFR[[#Headers],[2021]:[2025]],0)),"Très Modeste",IF(X675&lt;=INDEX(TabRFR[[2021]:[2025]],MATCH(BD!W675&amp;"-modestes",TabRFR[Recherche RFR],0),MATCH(TEXT(YEAR(BD!D675),"Standard"),TabRFR[[#Headers],[2021]:[2025]],0)),"Modeste",IF(X675&lt;=INDEX(TabRFR[[2021]:[2025]],MATCH(BD!W675&amp;"-Intermédiaire",TabRFR[Recherche RFR],0),MATCH(TEXT(YEAR(BD!D675),"Standard"),TabRFR[[#Headers],[2021]:[2025]],0)),"Intermédiaire","Supérieur")))))),IF(D675="","",IF(W675+X675&lt;15,"Données Nb pers ou RFR manquantes",IF(COUNTA(INDIRECT("TabRFR["&amp;YEAR(I675)&amp;"]"))&lt;&gt;COUNTA(TabRFR[Recherche RFR]),"Data RFR manquantes", IF(X675&lt;=INDEX(TabRFR[[2021]:[2025]],MATCH(BD!W675&amp;"-Très modestes",TabRFR[Recherche RFR],0),MATCH(TEXT(YEAR(BD!I675),"Standard"),TabRFR[[#Headers],[2021]:[2025]],0)),"Très Modeste",IF(X675&lt;=INDEX(TabRFR[[2021]:[2025]],MATCH(BD!W675&amp;"-modestes",TabRFR[Recherche RFR],0),MATCH(TEXT(YEAR(BD!I675),"Standard"),TabRFR[[#Headers],[2021]:[2025]],0)),"Modeste",IF(X675&lt;=INDEX(TabRFR[[2021]:[2025]],MATCH(BD!W675&amp;"-Intermédiaire",TabRFR[Recherche RFR],0),MATCH(TEXT(YEAR(BD!I675),"Standard"),TabRFR[[#Headers],[2021]:[2025]],0)),"Intermédiaire","Supérieur")))))))</f>
        <v>Data RFR manquantes</v>
      </c>
      <c r="Z675" s="77"/>
      <c r="AA675" s="77" t="s">
        <v>4219</v>
      </c>
      <c r="AB675" s="77">
        <v>38500</v>
      </c>
      <c r="AC675" s="77" t="s">
        <v>96</v>
      </c>
      <c r="AD675" s="78"/>
      <c r="AE675" s="102"/>
      <c r="AF675" s="77" t="s">
        <v>95</v>
      </c>
      <c r="AG675" s="77"/>
      <c r="AH675" s="77"/>
      <c r="AI675" s="77"/>
      <c r="AJ675" s="77"/>
      <c r="AK675" s="77"/>
      <c r="AL675" s="77"/>
      <c r="AM675" s="77" t="s">
        <v>4236</v>
      </c>
      <c r="AN675" s="77" t="s">
        <v>4091</v>
      </c>
      <c r="AO675" s="77" t="s">
        <v>4062</v>
      </c>
      <c r="AP675" s="77" t="s">
        <v>97</v>
      </c>
      <c r="AQ675" s="77"/>
      <c r="AR675" s="79">
        <v>44152</v>
      </c>
      <c r="AS675" s="102" t="s">
        <v>285</v>
      </c>
      <c r="AT675" s="78" t="s">
        <v>608</v>
      </c>
      <c r="AU675" s="77" t="s">
        <v>111</v>
      </c>
      <c r="AV675" s="77">
        <v>1990</v>
      </c>
      <c r="AW675" s="77" t="s">
        <v>100</v>
      </c>
      <c r="AX675" s="77" t="s">
        <v>2071</v>
      </c>
      <c r="AY675" s="77" t="s">
        <v>1017</v>
      </c>
      <c r="AZ675" s="77" t="s">
        <v>4237</v>
      </c>
      <c r="BA675" s="77">
        <v>16</v>
      </c>
      <c r="BB675" s="77">
        <v>9.1</v>
      </c>
      <c r="BC675" s="77">
        <v>91.8</v>
      </c>
      <c r="BD675" s="77">
        <v>3.7599999999999999E-3</v>
      </c>
      <c r="BE675" s="77" t="s">
        <v>97</v>
      </c>
      <c r="BF675" s="77"/>
      <c r="BG675" s="77">
        <f>3770+285.5+263+98</f>
        <v>4416.5</v>
      </c>
      <c r="BH675" s="77"/>
      <c r="BI675" s="77"/>
      <c r="BJ675" s="77"/>
      <c r="BK675" s="77">
        <f>590+985</f>
        <v>1575</v>
      </c>
      <c r="BL675" s="75">
        <f t="shared" si="33"/>
        <v>5991.5</v>
      </c>
      <c r="BM675" s="103">
        <f t="shared" si="31"/>
        <v>329.53250000000003</v>
      </c>
      <c r="BN675" s="103">
        <f t="shared" si="32"/>
        <v>6321.0325000000003</v>
      </c>
      <c r="BO675" s="80"/>
      <c r="BP675" s="77" t="s">
        <v>97</v>
      </c>
      <c r="BQ675" s="77"/>
      <c r="BR675" s="77"/>
      <c r="BS675" s="157"/>
      <c r="BU675">
        <v>2020</v>
      </c>
    </row>
    <row r="676" spans="1:73" ht="43.15" customHeight="1" x14ac:dyDescent="0.25">
      <c r="A676" s="241" t="s">
        <v>3845</v>
      </c>
      <c r="B676" s="241" t="s">
        <v>4204</v>
      </c>
      <c r="C676" s="163">
        <v>400</v>
      </c>
      <c r="D676" s="76">
        <v>43977</v>
      </c>
      <c r="E676" s="76">
        <v>43980</v>
      </c>
      <c r="F676" s="76" t="s">
        <v>9</v>
      </c>
      <c r="G676" s="76" t="s">
        <v>9</v>
      </c>
      <c r="H676" s="76">
        <v>43984</v>
      </c>
      <c r="I676" s="76">
        <v>43984</v>
      </c>
      <c r="J676" s="76">
        <v>43997</v>
      </c>
      <c r="K676" s="218"/>
      <c r="L676" s="76">
        <v>44175</v>
      </c>
      <c r="M676" s="76">
        <v>44169</v>
      </c>
      <c r="N676" s="76" t="s">
        <v>4044</v>
      </c>
      <c r="O676" s="76">
        <v>44176</v>
      </c>
      <c r="P676" s="76">
        <v>44176</v>
      </c>
      <c r="Q676" s="76">
        <v>44182</v>
      </c>
      <c r="R676" s="82"/>
      <c r="S676" s="76"/>
      <c r="T676" s="77"/>
      <c r="U676" s="77"/>
      <c r="V676" s="77"/>
      <c r="W676" s="77">
        <v>2</v>
      </c>
      <c r="X676" s="77">
        <v>40809</v>
      </c>
      <c r="Y676" s="75" t="str">
        <f ca="1">IF(I676="",IF(D676="","",IF(W676+X676&lt;15,"Données Nb pers ou RFR manquantes",IF(COUNTA(INDIRECT("TabRFR["&amp;YEAR(D676)&amp;"]"))&lt;&gt;COUNTA(TabRFR[Recherche RFR]),"Data RFR manquantes", IF(X676&lt;=INDEX(TabRFR[[2021]:[2025]],MATCH(BD!W676&amp;"-Très modestes",TabRFR[Recherche RFR],0),MATCH(TEXT(YEAR(BD!D676),"Standard"),TabRFR[[#Headers],[2021]:[2025]],0)),"Très Modeste",IF(X676&lt;=INDEX(TabRFR[[2021]:[2025]],MATCH(BD!W676&amp;"-modestes",TabRFR[Recherche RFR],0),MATCH(TEXT(YEAR(BD!D676),"Standard"),TabRFR[[#Headers],[2021]:[2025]],0)),"Modeste",IF(X676&lt;=INDEX(TabRFR[[2021]:[2025]],MATCH(BD!W676&amp;"-Intermédiaire",TabRFR[Recherche RFR],0),MATCH(TEXT(YEAR(BD!D676),"Standard"),TabRFR[[#Headers],[2021]:[2025]],0)),"Intermédiaire","Supérieur")))))),IF(D676="","",IF(W676+X676&lt;15,"Données Nb pers ou RFR manquantes",IF(COUNTA(INDIRECT("TabRFR["&amp;YEAR(I676)&amp;"]"))&lt;&gt;COUNTA(TabRFR[Recherche RFR]),"Data RFR manquantes", IF(X676&lt;=INDEX(TabRFR[[2021]:[2025]],MATCH(BD!W676&amp;"-Très modestes",TabRFR[Recherche RFR],0),MATCH(TEXT(YEAR(BD!I676),"Standard"),TabRFR[[#Headers],[2021]:[2025]],0)),"Très Modeste",IF(X676&lt;=INDEX(TabRFR[[2021]:[2025]],MATCH(BD!W676&amp;"-modestes",TabRFR[Recherche RFR],0),MATCH(TEXT(YEAR(BD!I676),"Standard"),TabRFR[[#Headers],[2021]:[2025]],0)),"Modeste",IF(X676&lt;=INDEX(TabRFR[[2021]:[2025]],MATCH(BD!W676&amp;"-Intermédiaire",TabRFR[Recherche RFR],0),MATCH(TEXT(YEAR(BD!I676),"Standard"),TabRFR[[#Headers],[2021]:[2025]],0)),"Intermédiaire","Supérieur")))))))</f>
        <v>Data RFR manquantes</v>
      </c>
      <c r="Z676" s="77"/>
      <c r="AA676" s="77" t="s">
        <v>4220</v>
      </c>
      <c r="AB676" s="77">
        <v>38210</v>
      </c>
      <c r="AC676" s="77" t="s">
        <v>445</v>
      </c>
      <c r="AD676" s="78"/>
      <c r="AE676" s="102"/>
      <c r="AF676" s="77" t="s">
        <v>95</v>
      </c>
      <c r="AG676" s="77"/>
      <c r="AH676" s="77"/>
      <c r="AI676" s="77"/>
      <c r="AJ676" s="77"/>
      <c r="AK676" s="77"/>
      <c r="AL676" s="77"/>
      <c r="AM676" s="77" t="s">
        <v>4035</v>
      </c>
      <c r="AN676" s="77" t="s">
        <v>108</v>
      </c>
      <c r="AO676" s="77" t="s">
        <v>4036</v>
      </c>
      <c r="AP676" s="77" t="s">
        <v>97</v>
      </c>
      <c r="AQ676" s="77"/>
      <c r="AR676" s="79">
        <v>44074</v>
      </c>
      <c r="AS676" s="102" t="s">
        <v>110</v>
      </c>
      <c r="AT676" s="78" t="s">
        <v>616</v>
      </c>
      <c r="AU676" s="77" t="s">
        <v>1708</v>
      </c>
      <c r="AV676" s="77">
        <v>1980</v>
      </c>
      <c r="AW676" s="77" t="s">
        <v>100</v>
      </c>
      <c r="AX676" s="77" t="s">
        <v>112</v>
      </c>
      <c r="AY676" s="77" t="s">
        <v>113</v>
      </c>
      <c r="AZ676" s="77" t="s">
        <v>4041</v>
      </c>
      <c r="BA676" s="77">
        <v>22</v>
      </c>
      <c r="BB676" s="77">
        <v>6</v>
      </c>
      <c r="BC676" s="77">
        <v>81.900000000000006</v>
      </c>
      <c r="BD676" s="77">
        <v>7.3999999999999996E-2</v>
      </c>
      <c r="BE676" s="77" t="s">
        <v>97</v>
      </c>
      <c r="BF676" s="77"/>
      <c r="BG676" s="77">
        <f>376.65+71.09+182.53+1825+165.2+88.38</f>
        <v>2708.85</v>
      </c>
      <c r="BH676" s="77"/>
      <c r="BI676" s="77"/>
      <c r="BJ676" s="77"/>
      <c r="BK676" s="77">
        <f>468.8+151.3+68.6+820</f>
        <v>1508.7</v>
      </c>
      <c r="BL676" s="75">
        <f t="shared" si="33"/>
        <v>4217.55</v>
      </c>
      <c r="BM676" s="103">
        <f t="shared" si="31"/>
        <v>231.96525</v>
      </c>
      <c r="BN676" s="103">
        <f t="shared" si="32"/>
        <v>4449.5152500000004</v>
      </c>
      <c r="BO676" s="80"/>
      <c r="BP676" s="77" t="s">
        <v>97</v>
      </c>
      <c r="BQ676" s="77"/>
      <c r="BR676" s="77"/>
      <c r="BS676" s="157"/>
      <c r="BT676">
        <v>2020</v>
      </c>
      <c r="BU676">
        <v>2020</v>
      </c>
    </row>
    <row r="677" spans="1:73" ht="43.15" customHeight="1" x14ac:dyDescent="0.25">
      <c r="A677" s="241" t="s">
        <v>3845</v>
      </c>
      <c r="B677" s="241" t="s">
        <v>4205</v>
      </c>
      <c r="C677" s="163">
        <v>400</v>
      </c>
      <c r="D677" s="76">
        <v>43978</v>
      </c>
      <c r="E677" s="76">
        <v>43980</v>
      </c>
      <c r="F677" s="76" t="s">
        <v>9</v>
      </c>
      <c r="G677" s="76" t="s">
        <v>9</v>
      </c>
      <c r="H677" s="76">
        <v>43984</v>
      </c>
      <c r="I677" s="76">
        <v>43984</v>
      </c>
      <c r="J677" s="76">
        <v>43987</v>
      </c>
      <c r="K677" s="218"/>
      <c r="L677" s="76">
        <v>44064</v>
      </c>
      <c r="M677" s="76">
        <v>44043</v>
      </c>
      <c r="N677" s="76" t="s">
        <v>4334</v>
      </c>
      <c r="O677" s="76">
        <v>44077</v>
      </c>
      <c r="P677" s="76">
        <v>44077</v>
      </c>
      <c r="Q677" s="76">
        <v>44078</v>
      </c>
      <c r="R677" s="82"/>
      <c r="S677" s="76"/>
      <c r="T677" s="77"/>
      <c r="U677" s="251"/>
      <c r="V677" s="77"/>
      <c r="W677" s="77">
        <v>2</v>
      </c>
      <c r="X677" s="77">
        <f>18614+46123</f>
        <v>64737</v>
      </c>
      <c r="Y677" s="75" t="str">
        <f ca="1">IF(I677="",IF(D677="","",IF(W677+X677&lt;15,"Données Nb pers ou RFR manquantes",IF(COUNTA(INDIRECT("TabRFR["&amp;YEAR(D677)&amp;"]"))&lt;&gt;COUNTA(TabRFR[Recherche RFR]),"Data RFR manquantes", IF(X677&lt;=INDEX(TabRFR[[2021]:[2025]],MATCH(BD!W677&amp;"-Très modestes",TabRFR[Recherche RFR],0),MATCH(TEXT(YEAR(BD!D677),"Standard"),TabRFR[[#Headers],[2021]:[2025]],0)),"Très Modeste",IF(X677&lt;=INDEX(TabRFR[[2021]:[2025]],MATCH(BD!W677&amp;"-modestes",TabRFR[Recherche RFR],0),MATCH(TEXT(YEAR(BD!D677),"Standard"),TabRFR[[#Headers],[2021]:[2025]],0)),"Modeste",IF(X677&lt;=INDEX(TabRFR[[2021]:[2025]],MATCH(BD!W677&amp;"-Intermédiaire",TabRFR[Recherche RFR],0),MATCH(TEXT(YEAR(BD!D677),"Standard"),TabRFR[[#Headers],[2021]:[2025]],0)),"Intermédiaire","Supérieur")))))),IF(D677="","",IF(W677+X677&lt;15,"Données Nb pers ou RFR manquantes",IF(COUNTA(INDIRECT("TabRFR["&amp;YEAR(I677)&amp;"]"))&lt;&gt;COUNTA(TabRFR[Recherche RFR]),"Data RFR manquantes", IF(X677&lt;=INDEX(TabRFR[[2021]:[2025]],MATCH(BD!W677&amp;"-Très modestes",TabRFR[Recherche RFR],0),MATCH(TEXT(YEAR(BD!I677),"Standard"),TabRFR[[#Headers],[2021]:[2025]],0)),"Très Modeste",IF(X677&lt;=INDEX(TabRFR[[2021]:[2025]],MATCH(BD!W677&amp;"-modestes",TabRFR[Recherche RFR],0),MATCH(TEXT(YEAR(BD!I677),"Standard"),TabRFR[[#Headers],[2021]:[2025]],0)),"Modeste",IF(X677&lt;=INDEX(TabRFR[[2021]:[2025]],MATCH(BD!W677&amp;"-Intermédiaire",TabRFR[Recherche RFR],0),MATCH(TEXT(YEAR(BD!I677),"Standard"),TabRFR[[#Headers],[2021]:[2025]],0)),"Intermédiaire","Supérieur")))))))</f>
        <v>Data RFR manquantes</v>
      </c>
      <c r="Z677" s="77"/>
      <c r="AA677" s="77" t="s">
        <v>4221</v>
      </c>
      <c r="AB677" s="77">
        <v>38500</v>
      </c>
      <c r="AC677" s="77" t="s">
        <v>118</v>
      </c>
      <c r="AD677" s="78"/>
      <c r="AE677" s="102"/>
      <c r="AF677" s="77" t="s">
        <v>95</v>
      </c>
      <c r="AG677" s="77"/>
      <c r="AH677" s="77"/>
      <c r="AI677" s="77"/>
      <c r="AJ677" s="77"/>
      <c r="AK677" s="77"/>
      <c r="AL677" s="77"/>
      <c r="AM677" s="77" t="s">
        <v>4348</v>
      </c>
      <c r="AN677" s="77" t="s">
        <v>96</v>
      </c>
      <c r="AO677" s="77" t="s">
        <v>4151</v>
      </c>
      <c r="AP677" s="77" t="s">
        <v>97</v>
      </c>
      <c r="AQ677" s="77"/>
      <c r="AR677" s="79">
        <v>44064</v>
      </c>
      <c r="AS677" s="102" t="s">
        <v>98</v>
      </c>
      <c r="AT677" s="78" t="s">
        <v>802</v>
      </c>
      <c r="AU677" s="77" t="s">
        <v>111</v>
      </c>
      <c r="AV677" s="77">
        <v>1980</v>
      </c>
      <c r="AW677" s="77" t="s">
        <v>100</v>
      </c>
      <c r="AX677" s="77" t="s">
        <v>112</v>
      </c>
      <c r="AY677" s="77" t="s">
        <v>499</v>
      </c>
      <c r="AZ677" s="77" t="s">
        <v>4238</v>
      </c>
      <c r="BA677" s="77">
        <v>23</v>
      </c>
      <c r="BB677" s="77">
        <v>5.8</v>
      </c>
      <c r="BC677" s="77">
        <v>79</v>
      </c>
      <c r="BD677" s="77">
        <v>7.0000000000000007E-2</v>
      </c>
      <c r="BE677" s="77" t="s">
        <v>97</v>
      </c>
      <c r="BF677" s="77"/>
      <c r="BG677" s="77">
        <f>480+348+38+2650+69+82+29+23+95+30</f>
        <v>3844</v>
      </c>
      <c r="BH677" s="77"/>
      <c r="BI677" s="77"/>
      <c r="BJ677" s="77"/>
      <c r="BK677" s="77">
        <f>65+395+135+320+40+220</f>
        <v>1175</v>
      </c>
      <c r="BL677" s="75">
        <f t="shared" si="33"/>
        <v>5019</v>
      </c>
      <c r="BM677" s="103">
        <f t="shared" si="31"/>
        <v>276.04500000000002</v>
      </c>
      <c r="BN677" s="103">
        <f t="shared" si="32"/>
        <v>5295.0450000000001</v>
      </c>
      <c r="BO677" s="80"/>
      <c r="BP677" s="77" t="s">
        <v>104</v>
      </c>
      <c r="BQ677" s="77"/>
      <c r="BR677" s="77"/>
      <c r="BS677" s="157"/>
      <c r="BT677">
        <v>2020</v>
      </c>
      <c r="BU677">
        <v>2020</v>
      </c>
    </row>
    <row r="678" spans="1:73" ht="43.15" customHeight="1" x14ac:dyDescent="0.25">
      <c r="A678" s="241" t="s">
        <v>3845</v>
      </c>
      <c r="B678" s="241" t="s">
        <v>4222</v>
      </c>
      <c r="C678" s="163">
        <v>400</v>
      </c>
      <c r="D678" s="76">
        <v>43978</v>
      </c>
      <c r="E678" s="76">
        <v>43980</v>
      </c>
      <c r="F678" s="76" t="s">
        <v>9</v>
      </c>
      <c r="G678" s="76" t="s">
        <v>9</v>
      </c>
      <c r="H678" s="76">
        <v>43984</v>
      </c>
      <c r="I678" s="76">
        <v>43984</v>
      </c>
      <c r="J678" s="76">
        <v>43987</v>
      </c>
      <c r="K678" s="218"/>
      <c r="L678" s="76">
        <v>44116</v>
      </c>
      <c r="M678" s="76">
        <v>44106</v>
      </c>
      <c r="N678" s="76" t="s">
        <v>4334</v>
      </c>
      <c r="O678" s="76">
        <v>44123</v>
      </c>
      <c r="P678" s="76">
        <v>44123</v>
      </c>
      <c r="Q678" s="76">
        <v>44133</v>
      </c>
      <c r="R678" s="82"/>
      <c r="S678" s="76"/>
      <c r="T678" s="77"/>
      <c r="U678" s="77"/>
      <c r="V678" s="77"/>
      <c r="W678" s="77">
        <v>2</v>
      </c>
      <c r="X678" s="77">
        <v>58558</v>
      </c>
      <c r="Y678" s="75" t="str">
        <f ca="1">IF(I678="",IF(D678="","",IF(W678+X678&lt;15,"Données Nb pers ou RFR manquantes",IF(COUNTA(INDIRECT("TabRFR["&amp;YEAR(D678)&amp;"]"))&lt;&gt;COUNTA(TabRFR[Recherche RFR]),"Data RFR manquantes", IF(X678&lt;=INDEX(TabRFR[[2021]:[2025]],MATCH(BD!W678&amp;"-Très modestes",TabRFR[Recherche RFR],0),MATCH(TEXT(YEAR(BD!D678),"Standard"),TabRFR[[#Headers],[2021]:[2025]],0)),"Très Modeste",IF(X678&lt;=INDEX(TabRFR[[2021]:[2025]],MATCH(BD!W678&amp;"-modestes",TabRFR[Recherche RFR],0),MATCH(TEXT(YEAR(BD!D678),"Standard"),TabRFR[[#Headers],[2021]:[2025]],0)),"Modeste",IF(X678&lt;=INDEX(TabRFR[[2021]:[2025]],MATCH(BD!W678&amp;"-Intermédiaire",TabRFR[Recherche RFR],0),MATCH(TEXT(YEAR(BD!D678),"Standard"),TabRFR[[#Headers],[2021]:[2025]],0)),"Intermédiaire","Supérieur")))))),IF(D678="","",IF(W678+X678&lt;15,"Données Nb pers ou RFR manquantes",IF(COUNTA(INDIRECT("TabRFR["&amp;YEAR(I678)&amp;"]"))&lt;&gt;COUNTA(TabRFR[Recherche RFR]),"Data RFR manquantes", IF(X678&lt;=INDEX(TabRFR[[2021]:[2025]],MATCH(BD!W678&amp;"-Très modestes",TabRFR[Recherche RFR],0),MATCH(TEXT(YEAR(BD!I678),"Standard"),TabRFR[[#Headers],[2021]:[2025]],0)),"Très Modeste",IF(X678&lt;=INDEX(TabRFR[[2021]:[2025]],MATCH(BD!W678&amp;"-modestes",TabRFR[Recherche RFR],0),MATCH(TEXT(YEAR(BD!I678),"Standard"),TabRFR[[#Headers],[2021]:[2025]],0)),"Modeste",IF(X678&lt;=INDEX(TabRFR[[2021]:[2025]],MATCH(BD!W678&amp;"-Intermédiaire",TabRFR[Recherche RFR],0),MATCH(TEXT(YEAR(BD!I678),"Standard"),TabRFR[[#Headers],[2021]:[2025]],0)),"Intermédiaire","Supérieur")))))))</f>
        <v>Data RFR manquantes</v>
      </c>
      <c r="Z678" s="77"/>
      <c r="AA678" s="77" t="s">
        <v>4228</v>
      </c>
      <c r="AB678" s="77">
        <v>38500</v>
      </c>
      <c r="AC678" s="77" t="s">
        <v>96</v>
      </c>
      <c r="AD678" s="78"/>
      <c r="AE678" s="102"/>
      <c r="AF678" s="77" t="s">
        <v>95</v>
      </c>
      <c r="AG678" s="77"/>
      <c r="AH678" s="77"/>
      <c r="AI678" s="77"/>
      <c r="AJ678" s="77"/>
      <c r="AK678" s="77"/>
      <c r="AL678" s="77"/>
      <c r="AM678" s="77" t="s">
        <v>4356</v>
      </c>
      <c r="AN678" s="77" t="s">
        <v>96</v>
      </c>
      <c r="AO678" s="77" t="s">
        <v>4025</v>
      </c>
      <c r="AP678" s="77" t="s">
        <v>97</v>
      </c>
      <c r="AQ678" s="77"/>
      <c r="AR678" s="79">
        <v>44138</v>
      </c>
      <c r="AS678" s="102" t="s">
        <v>120</v>
      </c>
      <c r="AT678" s="78" t="s">
        <v>658</v>
      </c>
      <c r="AU678" s="77" t="s">
        <v>1708</v>
      </c>
      <c r="AV678" s="77">
        <v>1990</v>
      </c>
      <c r="AW678" s="77" t="s">
        <v>100</v>
      </c>
      <c r="AX678" s="77" t="s">
        <v>112</v>
      </c>
      <c r="AY678" s="77" t="s">
        <v>3990</v>
      </c>
      <c r="AZ678" s="77" t="s">
        <v>4239</v>
      </c>
      <c r="BA678" s="77">
        <v>22</v>
      </c>
      <c r="BB678" s="77">
        <v>7</v>
      </c>
      <c r="BC678" s="77">
        <v>80</v>
      </c>
      <c r="BD678" s="77">
        <v>0.08</v>
      </c>
      <c r="BE678" s="77" t="s">
        <v>97</v>
      </c>
      <c r="BF678" s="77"/>
      <c r="BG678" s="77">
        <f>3553.33+102+89+158+77+108+68+120+90+47+51+22+15</f>
        <v>4500.33</v>
      </c>
      <c r="BH678" s="77"/>
      <c r="BI678" s="77"/>
      <c r="BJ678" s="77"/>
      <c r="BK678" s="77">
        <f>400+60+480</f>
        <v>940</v>
      </c>
      <c r="BL678" s="75">
        <f t="shared" si="33"/>
        <v>5440.33</v>
      </c>
      <c r="BM678" s="103">
        <f t="shared" si="31"/>
        <v>299.21814999999998</v>
      </c>
      <c r="BN678" s="103">
        <f t="shared" si="32"/>
        <v>5739.5481499999996</v>
      </c>
      <c r="BO678" s="80"/>
      <c r="BP678" s="77" t="s">
        <v>97</v>
      </c>
      <c r="BQ678" s="77"/>
      <c r="BR678" s="77"/>
      <c r="BS678" s="157"/>
      <c r="BT678">
        <v>2020</v>
      </c>
      <c r="BU678">
        <v>2020</v>
      </c>
    </row>
    <row r="679" spans="1:73" ht="43.15" customHeight="1" x14ac:dyDescent="0.25">
      <c r="A679" s="31" t="s">
        <v>3845</v>
      </c>
      <c r="B679" s="31" t="s">
        <v>4223</v>
      </c>
      <c r="C679" s="163" t="s">
        <v>9</v>
      </c>
      <c r="D679" s="76">
        <v>43978</v>
      </c>
      <c r="E679" s="76" t="s">
        <v>4245</v>
      </c>
      <c r="F679" s="76" t="s">
        <v>9</v>
      </c>
      <c r="G679" s="76" t="s">
        <v>9</v>
      </c>
      <c r="H679" s="76" t="s">
        <v>9</v>
      </c>
      <c r="I679" s="76" t="s">
        <v>9</v>
      </c>
      <c r="J679" s="76" t="s">
        <v>9</v>
      </c>
      <c r="K679" s="218"/>
      <c r="L679" s="76" t="s">
        <v>9</v>
      </c>
      <c r="M679" s="76" t="s">
        <v>9</v>
      </c>
      <c r="N679" s="76" t="s">
        <v>9</v>
      </c>
      <c r="O679" s="76" t="s">
        <v>9</v>
      </c>
      <c r="P679" s="76" t="s">
        <v>9</v>
      </c>
      <c r="Q679" s="76" t="s">
        <v>9</v>
      </c>
      <c r="R679" s="82"/>
      <c r="S679" s="76">
        <v>43984</v>
      </c>
      <c r="T679" s="77" t="s">
        <v>4240</v>
      </c>
      <c r="U679" s="77"/>
      <c r="V679" s="77"/>
      <c r="W679" s="77"/>
      <c r="X679" s="77"/>
      <c r="Y679" s="75" t="str">
        <f ca="1">IF(I679="",IF(D679="","",IF(W679+X679&lt;15,"Données Nb pers ou RFR manquantes",IF(COUNTA(INDIRECT("TabRFR["&amp;YEAR(D679)&amp;"]"))&lt;&gt;COUNTA(TabRFR[Recherche RFR]),"Data RFR manquantes", IF(X679&lt;=INDEX(TabRFR[[2021]:[2025]],MATCH(BD!W679&amp;"-Très modestes",TabRFR[Recherche RFR],0),MATCH(TEXT(YEAR(BD!D679),"Standard"),TabRFR[[#Headers],[2021]:[2025]],0)),"Très Modeste",IF(X679&lt;=INDEX(TabRFR[[2021]:[2025]],MATCH(BD!W679&amp;"-modestes",TabRFR[Recherche RFR],0),MATCH(TEXT(YEAR(BD!D679),"Standard"),TabRFR[[#Headers],[2021]:[2025]],0)),"Modeste",IF(X679&lt;=INDEX(TabRFR[[2021]:[2025]],MATCH(BD!W679&amp;"-Intermédiaire",TabRFR[Recherche RFR],0),MATCH(TEXT(YEAR(BD!D679),"Standard"),TabRFR[[#Headers],[2021]:[2025]],0)),"Intermédiaire","Supérieur")))))),IF(D679="","",IF(W679+X679&lt;15,"Données Nb pers ou RFR manquantes",IF(COUNTA(INDIRECT("TabRFR["&amp;YEAR(I679)&amp;"]"))&lt;&gt;COUNTA(TabRFR[Recherche RFR]),"Data RFR manquantes", IF(X679&lt;=INDEX(TabRFR[[2021]:[2025]],MATCH(BD!W679&amp;"-Très modestes",TabRFR[Recherche RFR],0),MATCH(TEXT(YEAR(BD!I679),"Standard"),TabRFR[[#Headers],[2021]:[2025]],0)),"Très Modeste",IF(X679&lt;=INDEX(TabRFR[[2021]:[2025]],MATCH(BD!W679&amp;"-modestes",TabRFR[Recherche RFR],0),MATCH(TEXT(YEAR(BD!I679),"Standard"),TabRFR[[#Headers],[2021]:[2025]],0)),"Modeste",IF(X679&lt;=INDEX(TabRFR[[2021]:[2025]],MATCH(BD!W679&amp;"-Intermédiaire",TabRFR[Recherche RFR],0),MATCH(TEXT(YEAR(BD!I679),"Standard"),TabRFR[[#Headers],[2021]:[2025]],0)),"Intermédiaire","Supérieur")))))))</f>
        <v>Données Nb pers ou RFR manquantes</v>
      </c>
      <c r="Z679" s="77"/>
      <c r="AA679" s="77" t="s">
        <v>4229</v>
      </c>
      <c r="AB679" s="77">
        <v>38140</v>
      </c>
      <c r="AC679" s="77" t="s">
        <v>1089</v>
      </c>
      <c r="AD679" s="78"/>
      <c r="AE679" s="102"/>
      <c r="AF679" s="77"/>
      <c r="AG679" s="77"/>
      <c r="AH679" s="77"/>
      <c r="AI679" s="77"/>
      <c r="AJ679" s="77"/>
      <c r="AK679" s="77"/>
      <c r="AL679" s="77"/>
      <c r="AM679" s="77" t="s">
        <v>3969</v>
      </c>
      <c r="AN679" s="77" t="s">
        <v>96</v>
      </c>
      <c r="AO679" s="77" t="s">
        <v>4241</v>
      </c>
      <c r="AP679" s="77" t="s">
        <v>97</v>
      </c>
      <c r="AQ679" s="77"/>
      <c r="AR679" s="79">
        <v>44068</v>
      </c>
      <c r="AS679" s="102" t="s">
        <v>3970</v>
      </c>
      <c r="AT679" s="78" t="s">
        <v>3971</v>
      </c>
      <c r="AU679" s="77" t="s">
        <v>9</v>
      </c>
      <c r="AV679" s="77" t="s">
        <v>9</v>
      </c>
      <c r="AW679" s="77" t="s">
        <v>9</v>
      </c>
      <c r="AX679" s="77" t="s">
        <v>9</v>
      </c>
      <c r="AY679" s="77" t="s">
        <v>9</v>
      </c>
      <c r="AZ679" s="77" t="s">
        <v>9</v>
      </c>
      <c r="BA679" s="77" t="s">
        <v>9</v>
      </c>
      <c r="BB679" s="77" t="s">
        <v>9</v>
      </c>
      <c r="BC679" s="77" t="s">
        <v>9</v>
      </c>
      <c r="BD679" s="77" t="s">
        <v>9</v>
      </c>
      <c r="BE679" s="77" t="s">
        <v>9</v>
      </c>
      <c r="BF679" s="77"/>
      <c r="BG679" s="77" t="s">
        <v>9</v>
      </c>
      <c r="BH679" s="77"/>
      <c r="BI679" s="77"/>
      <c r="BJ679" s="77"/>
      <c r="BK679" s="77" t="s">
        <v>9</v>
      </c>
      <c r="BL679" s="77" t="s">
        <v>9</v>
      </c>
      <c r="BM679" s="77" t="s">
        <v>9</v>
      </c>
      <c r="BN679" s="77" t="s">
        <v>9</v>
      </c>
      <c r="BO679" s="77" t="s">
        <v>9</v>
      </c>
      <c r="BP679" s="77" t="s">
        <v>9</v>
      </c>
      <c r="BQ679" s="77" t="s">
        <v>9</v>
      </c>
      <c r="BR679" s="77" t="s">
        <v>9</v>
      </c>
      <c r="BS679" s="77" t="s">
        <v>9</v>
      </c>
      <c r="BU679" t="s">
        <v>4180</v>
      </c>
    </row>
    <row r="680" spans="1:73" ht="43.15" customHeight="1" x14ac:dyDescent="0.25">
      <c r="A680" s="241" t="s">
        <v>3845</v>
      </c>
      <c r="B680" s="241" t="s">
        <v>4224</v>
      </c>
      <c r="C680" s="163">
        <v>800</v>
      </c>
      <c r="D680" s="76">
        <v>43972</v>
      </c>
      <c r="E680" s="76">
        <v>43984</v>
      </c>
      <c r="F680" s="76">
        <v>43984</v>
      </c>
      <c r="G680" s="76" t="s">
        <v>4278</v>
      </c>
      <c r="H680" s="76">
        <v>43991</v>
      </c>
      <c r="I680" s="76">
        <v>43991</v>
      </c>
      <c r="J680" s="76">
        <v>43997</v>
      </c>
      <c r="K680" s="218"/>
      <c r="L680" s="76">
        <v>44199</v>
      </c>
      <c r="M680" s="76">
        <v>44152</v>
      </c>
      <c r="N680" s="76" t="s">
        <v>9</v>
      </c>
      <c r="O680" s="76">
        <v>44204</v>
      </c>
      <c r="P680" s="76">
        <v>44204</v>
      </c>
      <c r="Q680" s="76">
        <v>44211</v>
      </c>
      <c r="R680" s="82"/>
      <c r="S680" s="76"/>
      <c r="T680" s="77"/>
      <c r="U680" s="77"/>
      <c r="V680" s="77"/>
      <c r="W680" s="77">
        <v>4</v>
      </c>
      <c r="X680" s="77">
        <v>13826</v>
      </c>
      <c r="Y680" s="75" t="str">
        <f ca="1">IF(I680="",IF(D680="","",IF(W680+X680&lt;15,"Données Nb pers ou RFR manquantes",IF(COUNTA(INDIRECT("TabRFR["&amp;YEAR(D680)&amp;"]"))&lt;&gt;COUNTA(TabRFR[Recherche RFR]),"Data RFR manquantes", IF(X680&lt;=INDEX(TabRFR[[2021]:[2025]],MATCH(BD!W680&amp;"-Très modestes",TabRFR[Recherche RFR],0),MATCH(TEXT(YEAR(BD!D680),"Standard"),TabRFR[[#Headers],[2021]:[2025]],0)),"Très Modeste",IF(X680&lt;=INDEX(TabRFR[[2021]:[2025]],MATCH(BD!W680&amp;"-modestes",TabRFR[Recherche RFR],0),MATCH(TEXT(YEAR(BD!D680),"Standard"),TabRFR[[#Headers],[2021]:[2025]],0)),"Modeste",IF(X680&lt;=INDEX(TabRFR[[2021]:[2025]],MATCH(BD!W680&amp;"-Intermédiaire",TabRFR[Recherche RFR],0),MATCH(TEXT(YEAR(BD!D680),"Standard"),TabRFR[[#Headers],[2021]:[2025]],0)),"Intermédiaire","Supérieur")))))),IF(D680="","",IF(W680+X680&lt;15,"Données Nb pers ou RFR manquantes",IF(COUNTA(INDIRECT("TabRFR["&amp;YEAR(I680)&amp;"]"))&lt;&gt;COUNTA(TabRFR[Recherche RFR]),"Data RFR manquantes", IF(X680&lt;=INDEX(TabRFR[[2021]:[2025]],MATCH(BD!W680&amp;"-Très modestes",TabRFR[Recherche RFR],0),MATCH(TEXT(YEAR(BD!I680),"Standard"),TabRFR[[#Headers],[2021]:[2025]],0)),"Très Modeste",IF(X680&lt;=INDEX(TabRFR[[2021]:[2025]],MATCH(BD!W680&amp;"-modestes",TabRFR[Recherche RFR],0),MATCH(TEXT(YEAR(BD!I680),"Standard"),TabRFR[[#Headers],[2021]:[2025]],0)),"Modeste",IF(X680&lt;=INDEX(TabRFR[[2021]:[2025]],MATCH(BD!W680&amp;"-Intermédiaire",TabRFR[Recherche RFR],0),MATCH(TEXT(YEAR(BD!I680),"Standard"),TabRFR[[#Headers],[2021]:[2025]],0)),"Intermédiaire","Supérieur")))))))</f>
        <v>Data RFR manquantes</v>
      </c>
      <c r="Z680" s="77"/>
      <c r="AA680" s="77" t="s">
        <v>4242</v>
      </c>
      <c r="AB680" s="77">
        <v>38620</v>
      </c>
      <c r="AC680" s="77" t="s">
        <v>1386</v>
      </c>
      <c r="AD680" s="78"/>
      <c r="AE680" s="102"/>
      <c r="AF680" s="77" t="s">
        <v>95</v>
      </c>
      <c r="AG680" s="77"/>
      <c r="AH680" s="77"/>
      <c r="AI680" s="77"/>
      <c r="AJ680" s="77"/>
      <c r="AK680" s="77"/>
      <c r="AL680" s="77"/>
      <c r="AM680" s="77" t="s">
        <v>4130</v>
      </c>
      <c r="AN680" s="77" t="s">
        <v>4349</v>
      </c>
      <c r="AO680" s="77" t="s">
        <v>4243</v>
      </c>
      <c r="AP680" s="77" t="s">
        <v>97</v>
      </c>
      <c r="AQ680" s="77"/>
      <c r="AR680" s="79">
        <v>44219</v>
      </c>
      <c r="AS680" s="102" t="s">
        <v>385</v>
      </c>
      <c r="AT680" s="78">
        <v>474934316</v>
      </c>
      <c r="AU680" s="77" t="s">
        <v>111</v>
      </c>
      <c r="AV680" s="77" t="s">
        <v>9</v>
      </c>
      <c r="AW680" s="77" t="s">
        <v>172</v>
      </c>
      <c r="AX680" s="77" t="s">
        <v>112</v>
      </c>
      <c r="AY680" s="77" t="s">
        <v>338</v>
      </c>
      <c r="AZ680" s="77" t="s">
        <v>4244</v>
      </c>
      <c r="BA680" s="77">
        <v>37</v>
      </c>
      <c r="BB680" s="77">
        <v>10.5</v>
      </c>
      <c r="BC680" s="77">
        <v>78</v>
      </c>
      <c r="BD680" s="77">
        <v>0.08</v>
      </c>
      <c r="BE680" s="77" t="s">
        <v>97</v>
      </c>
      <c r="BF680" s="77"/>
      <c r="BG680" s="77">
        <f>4022+1672+142</f>
        <v>5836</v>
      </c>
      <c r="BH680" s="77"/>
      <c r="BI680" s="77"/>
      <c r="BJ680" s="77"/>
      <c r="BK680" s="77">
        <v>892</v>
      </c>
      <c r="BL680" s="75">
        <f t="shared" si="33"/>
        <v>6728</v>
      </c>
      <c r="BM680" s="103">
        <f t="shared" si="31"/>
        <v>370.04</v>
      </c>
      <c r="BN680" s="103">
        <f t="shared" si="32"/>
        <v>7098.04</v>
      </c>
      <c r="BO680" s="80"/>
      <c r="BP680" s="77" t="s">
        <v>97</v>
      </c>
      <c r="BQ680" s="77"/>
      <c r="BR680" s="77"/>
      <c r="BS680" s="157"/>
      <c r="BT680">
        <v>2020</v>
      </c>
      <c r="BU680">
        <v>2021</v>
      </c>
    </row>
    <row r="681" spans="1:73" ht="43.15" customHeight="1" x14ac:dyDescent="0.25">
      <c r="A681" s="31" t="s">
        <v>3845</v>
      </c>
      <c r="B681" s="31" t="s">
        <v>4315</v>
      </c>
      <c r="C681" s="163" t="s">
        <v>9</v>
      </c>
      <c r="D681" s="76">
        <v>43978</v>
      </c>
      <c r="E681" s="76">
        <v>43987</v>
      </c>
      <c r="F681" s="76">
        <v>43990</v>
      </c>
      <c r="G681" s="76" t="s">
        <v>4288</v>
      </c>
      <c r="H681" s="76"/>
      <c r="I681" s="76"/>
      <c r="J681" s="76"/>
      <c r="K681" s="218"/>
      <c r="L681" s="76"/>
      <c r="M681" s="76"/>
      <c r="N681" s="76"/>
      <c r="O681" s="76"/>
      <c r="P681" s="76"/>
      <c r="Q681" s="76"/>
      <c r="R681" s="82"/>
      <c r="S681" s="76" t="s">
        <v>4319</v>
      </c>
      <c r="T681" s="77" t="s">
        <v>4322</v>
      </c>
      <c r="U681" s="77"/>
      <c r="V681" s="77"/>
      <c r="W681" s="77">
        <v>3</v>
      </c>
      <c r="X681" s="77">
        <v>64803</v>
      </c>
      <c r="Y681" s="75" t="str">
        <f ca="1">IF(I681="",IF(D681="","",IF(W681+X681&lt;15,"Données Nb pers ou RFR manquantes",IF(COUNTA(INDIRECT("TabRFR["&amp;YEAR(D681)&amp;"]"))&lt;&gt;COUNTA(TabRFR[Recherche RFR]),"Data RFR manquantes", IF(X681&lt;=INDEX(TabRFR[[2021]:[2025]],MATCH(BD!W681&amp;"-Très modestes",TabRFR[Recherche RFR],0),MATCH(TEXT(YEAR(BD!D681),"Standard"),TabRFR[[#Headers],[2021]:[2025]],0)),"Très Modeste",IF(X681&lt;=INDEX(TabRFR[[2021]:[2025]],MATCH(BD!W681&amp;"-modestes",TabRFR[Recherche RFR],0),MATCH(TEXT(YEAR(BD!D681),"Standard"),TabRFR[[#Headers],[2021]:[2025]],0)),"Modeste",IF(X681&lt;=INDEX(TabRFR[[2021]:[2025]],MATCH(BD!W681&amp;"-Intermédiaire",TabRFR[Recherche RFR],0),MATCH(TEXT(YEAR(BD!D681),"Standard"),TabRFR[[#Headers],[2021]:[2025]],0)),"Intermédiaire","Supérieur")))))),IF(D681="","",IF(W681+X681&lt;15,"Données Nb pers ou RFR manquantes",IF(COUNTA(INDIRECT("TabRFR["&amp;YEAR(I681)&amp;"]"))&lt;&gt;COUNTA(TabRFR[Recherche RFR]),"Data RFR manquantes", IF(X681&lt;=INDEX(TabRFR[[2021]:[2025]],MATCH(BD!W681&amp;"-Très modestes",TabRFR[Recherche RFR],0),MATCH(TEXT(YEAR(BD!I681),"Standard"),TabRFR[[#Headers],[2021]:[2025]],0)),"Très Modeste",IF(X681&lt;=INDEX(TabRFR[[2021]:[2025]],MATCH(BD!W681&amp;"-modestes",TabRFR[Recherche RFR],0),MATCH(TEXT(YEAR(BD!I681),"Standard"),TabRFR[[#Headers],[2021]:[2025]],0)),"Modeste",IF(X681&lt;=INDEX(TabRFR[[2021]:[2025]],MATCH(BD!W681&amp;"-Intermédiaire",TabRFR[Recherche RFR],0),MATCH(TEXT(YEAR(BD!I681),"Standard"),TabRFR[[#Headers],[2021]:[2025]],0)),"Intermédiaire","Supérieur")))))))</f>
        <v>Data RFR manquantes</v>
      </c>
      <c r="Z681" s="77"/>
      <c r="AA681" s="77" t="s">
        <v>4098</v>
      </c>
      <c r="AB681" s="77">
        <v>38500</v>
      </c>
      <c r="AC681" s="77" t="s">
        <v>2873</v>
      </c>
      <c r="AD681" s="78"/>
      <c r="AE681" s="102"/>
      <c r="AF681" s="77" t="s">
        <v>95</v>
      </c>
      <c r="AG681" s="77"/>
      <c r="AH681" s="77"/>
      <c r="AI681" s="77"/>
      <c r="AJ681" s="77"/>
      <c r="AK681" s="77"/>
      <c r="AL681" s="77"/>
      <c r="AM681" s="77" t="s">
        <v>4258</v>
      </c>
      <c r="AN681" s="77" t="s">
        <v>451</v>
      </c>
      <c r="AO681" s="77" t="s">
        <v>4259</v>
      </c>
      <c r="AP681" s="77" t="s">
        <v>97</v>
      </c>
      <c r="AQ681" s="77"/>
      <c r="AR681" s="79">
        <v>44314</v>
      </c>
      <c r="AS681" s="102" t="s">
        <v>815</v>
      </c>
      <c r="AT681" s="78">
        <v>474937373</v>
      </c>
      <c r="AU681" s="77" t="s">
        <v>1708</v>
      </c>
      <c r="AV681" s="77" t="s">
        <v>9</v>
      </c>
      <c r="AW681" s="77" t="s">
        <v>100</v>
      </c>
      <c r="AX681" s="77" t="s">
        <v>112</v>
      </c>
      <c r="AY681" s="77" t="s">
        <v>1695</v>
      </c>
      <c r="AZ681" s="77" t="s">
        <v>4287</v>
      </c>
      <c r="BA681" s="77">
        <v>25</v>
      </c>
      <c r="BB681" s="77">
        <v>10.199999999999999</v>
      </c>
      <c r="BC681" s="77">
        <v>76</v>
      </c>
      <c r="BD681" s="77">
        <v>7.0000000000000007E-2</v>
      </c>
      <c r="BE681" s="77" t="s">
        <v>97</v>
      </c>
      <c r="BF681" s="77"/>
      <c r="BG681" s="77">
        <f>2920+30</f>
        <v>2950</v>
      </c>
      <c r="BH681" s="77"/>
      <c r="BI681" s="77"/>
      <c r="BJ681" s="77"/>
      <c r="BK681" s="77">
        <v>1380</v>
      </c>
      <c r="BL681" s="75">
        <f t="shared" si="33"/>
        <v>4330</v>
      </c>
      <c r="BM681" s="103">
        <f t="shared" si="31"/>
        <v>238.15</v>
      </c>
      <c r="BN681" s="103">
        <f t="shared" si="32"/>
        <v>4568.1499999999996</v>
      </c>
      <c r="BO681" s="80"/>
      <c r="BP681" s="77" t="s">
        <v>97</v>
      </c>
      <c r="BQ681" s="77"/>
      <c r="BR681" s="77"/>
      <c r="BS681" s="157"/>
      <c r="BU681" t="s">
        <v>4180</v>
      </c>
    </row>
    <row r="682" spans="1:73" ht="43.15" customHeight="1" x14ac:dyDescent="0.25">
      <c r="A682" s="31" t="s">
        <v>3845</v>
      </c>
      <c r="B682" s="31" t="s">
        <v>4314</v>
      </c>
      <c r="C682" s="163" t="s">
        <v>9</v>
      </c>
      <c r="D682" s="76">
        <v>43981</v>
      </c>
      <c r="E682" s="76">
        <v>43987</v>
      </c>
      <c r="F682" s="76">
        <v>43990</v>
      </c>
      <c r="G682" s="76" t="s">
        <v>4276</v>
      </c>
      <c r="H682" s="76"/>
      <c r="I682" s="76"/>
      <c r="J682" s="76"/>
      <c r="K682" s="218"/>
      <c r="L682" s="76"/>
      <c r="M682" s="76"/>
      <c r="N682" s="76"/>
      <c r="O682" s="76"/>
      <c r="P682" s="76"/>
      <c r="Q682" s="76"/>
      <c r="R682" s="82"/>
      <c r="S682" s="76" t="s">
        <v>4319</v>
      </c>
      <c r="T682" s="77" t="s">
        <v>4323</v>
      </c>
      <c r="U682" s="77"/>
      <c r="V682" s="77"/>
      <c r="W682" s="77">
        <v>4</v>
      </c>
      <c r="X682" s="77">
        <v>52921</v>
      </c>
      <c r="Y682" s="75" t="str">
        <f ca="1">IF(I682="",IF(D682="","",IF(W682+X682&lt;15,"Données Nb pers ou RFR manquantes",IF(COUNTA(INDIRECT("TabRFR["&amp;YEAR(D682)&amp;"]"))&lt;&gt;COUNTA(TabRFR[Recherche RFR]),"Data RFR manquantes", IF(X682&lt;=INDEX(TabRFR[[2021]:[2025]],MATCH(BD!W682&amp;"-Très modestes",TabRFR[Recherche RFR],0),MATCH(TEXT(YEAR(BD!D682),"Standard"),TabRFR[[#Headers],[2021]:[2025]],0)),"Très Modeste",IF(X682&lt;=INDEX(TabRFR[[2021]:[2025]],MATCH(BD!W682&amp;"-modestes",TabRFR[Recherche RFR],0),MATCH(TEXT(YEAR(BD!D682),"Standard"),TabRFR[[#Headers],[2021]:[2025]],0)),"Modeste",IF(X682&lt;=INDEX(TabRFR[[2021]:[2025]],MATCH(BD!W682&amp;"-Intermédiaire",TabRFR[Recherche RFR],0),MATCH(TEXT(YEAR(BD!D682),"Standard"),TabRFR[[#Headers],[2021]:[2025]],0)),"Intermédiaire","Supérieur")))))),IF(D682="","",IF(W682+X682&lt;15,"Données Nb pers ou RFR manquantes",IF(COUNTA(INDIRECT("TabRFR["&amp;YEAR(I682)&amp;"]"))&lt;&gt;COUNTA(TabRFR[Recherche RFR]),"Data RFR manquantes", IF(X682&lt;=INDEX(TabRFR[[2021]:[2025]],MATCH(BD!W682&amp;"-Très modestes",TabRFR[Recherche RFR],0),MATCH(TEXT(YEAR(BD!I682),"Standard"),TabRFR[[#Headers],[2021]:[2025]],0)),"Très Modeste",IF(X682&lt;=INDEX(TabRFR[[2021]:[2025]],MATCH(BD!W682&amp;"-modestes",TabRFR[Recherche RFR],0),MATCH(TEXT(YEAR(BD!I682),"Standard"),TabRFR[[#Headers],[2021]:[2025]],0)),"Modeste",IF(X682&lt;=INDEX(TabRFR[[2021]:[2025]],MATCH(BD!W682&amp;"-Intermédiaire",TabRFR[Recherche RFR],0),MATCH(TEXT(YEAR(BD!I682),"Standard"),TabRFR[[#Headers],[2021]:[2025]],0)),"Intermédiaire","Supérieur")))))))</f>
        <v>Data RFR manquantes</v>
      </c>
      <c r="Z682" s="77"/>
      <c r="AA682" s="77" t="s">
        <v>4250</v>
      </c>
      <c r="AB682" s="77">
        <v>38210</v>
      </c>
      <c r="AC682" s="77" t="s">
        <v>445</v>
      </c>
      <c r="AD682" s="78"/>
      <c r="AE682" s="102"/>
      <c r="AF682" s="77" t="s">
        <v>95</v>
      </c>
      <c r="AG682" s="77"/>
      <c r="AH682" s="77"/>
      <c r="AI682" s="77"/>
      <c r="AJ682" s="77"/>
      <c r="AK682" s="77"/>
      <c r="AL682" s="77"/>
      <c r="AM682" s="77" t="s">
        <v>218</v>
      </c>
      <c r="AN682" s="77" t="s">
        <v>217</v>
      </c>
      <c r="AO682" s="77" t="s">
        <v>4078</v>
      </c>
      <c r="AP682" s="77" t="s">
        <v>97</v>
      </c>
      <c r="AQ682" s="77"/>
      <c r="AR682" s="79">
        <v>44130</v>
      </c>
      <c r="AS682" s="102" t="s">
        <v>220</v>
      </c>
      <c r="AT682" s="78" t="s">
        <v>620</v>
      </c>
      <c r="AU682" s="77" t="s">
        <v>111</v>
      </c>
      <c r="AV682" s="77">
        <v>2001</v>
      </c>
      <c r="AW682" s="77" t="s">
        <v>100</v>
      </c>
      <c r="AX682" s="77" t="s">
        <v>112</v>
      </c>
      <c r="AY682" s="77" t="s">
        <v>3990</v>
      </c>
      <c r="AZ682" s="77" t="s">
        <v>4270</v>
      </c>
      <c r="BA682" s="77">
        <v>23</v>
      </c>
      <c r="BB682" s="77">
        <v>7</v>
      </c>
      <c r="BC682" s="77">
        <v>79</v>
      </c>
      <c r="BD682" s="77">
        <v>0.09</v>
      </c>
      <c r="BE682" s="77" t="s">
        <v>104</v>
      </c>
      <c r="BF682" s="77"/>
      <c r="BG682" s="77">
        <f>3060+268+33.54+69.54+36.55</f>
        <v>3467.63</v>
      </c>
      <c r="BH682" s="77"/>
      <c r="BI682" s="77"/>
      <c r="BJ682" s="77"/>
      <c r="BK682" s="77">
        <v>525</v>
      </c>
      <c r="BL682" s="75">
        <f t="shared" si="33"/>
        <v>3992.63</v>
      </c>
      <c r="BM682" s="103">
        <f t="shared" si="31"/>
        <v>219.59465</v>
      </c>
      <c r="BN682" s="103">
        <f t="shared" si="32"/>
        <v>4212.2246500000001</v>
      </c>
      <c r="BO682" s="80"/>
      <c r="BP682" s="77" t="s">
        <v>104</v>
      </c>
      <c r="BQ682" s="77"/>
      <c r="BR682" s="77"/>
      <c r="BS682" s="157"/>
      <c r="BU682" t="s">
        <v>4180</v>
      </c>
    </row>
    <row r="683" spans="1:73" ht="43.15" customHeight="1" x14ac:dyDescent="0.25">
      <c r="A683" s="241" t="s">
        <v>3845</v>
      </c>
      <c r="B683" s="241" t="s">
        <v>4225</v>
      </c>
      <c r="C683" s="163">
        <v>400</v>
      </c>
      <c r="D683" s="76">
        <v>43985</v>
      </c>
      <c r="E683" s="76">
        <v>43987</v>
      </c>
      <c r="F683" s="76" t="s">
        <v>9</v>
      </c>
      <c r="G683" s="76" t="s">
        <v>9</v>
      </c>
      <c r="H683" s="76">
        <v>43990</v>
      </c>
      <c r="I683" s="76">
        <v>43991</v>
      </c>
      <c r="J683" s="76">
        <v>43997</v>
      </c>
      <c r="K683" s="218"/>
      <c r="L683" s="76">
        <v>44054</v>
      </c>
      <c r="M683" s="76">
        <v>44004</v>
      </c>
      <c r="N683" s="76" t="s">
        <v>9</v>
      </c>
      <c r="O683" s="76">
        <v>44056</v>
      </c>
      <c r="P683" s="76">
        <v>44056</v>
      </c>
      <c r="Q683" s="76">
        <v>44074</v>
      </c>
      <c r="R683" s="82"/>
      <c r="S683" s="76"/>
      <c r="T683" s="77"/>
      <c r="U683" s="77"/>
      <c r="V683" s="77"/>
      <c r="W683" s="77">
        <v>3</v>
      </c>
      <c r="X683" s="77">
        <v>63458</v>
      </c>
      <c r="Y683" s="75" t="str">
        <f ca="1">IF(I683="",IF(D683="","",IF(W683+X683&lt;15,"Données Nb pers ou RFR manquantes",IF(COUNTA(INDIRECT("TabRFR["&amp;YEAR(D683)&amp;"]"))&lt;&gt;COUNTA(TabRFR[Recherche RFR]),"Data RFR manquantes", IF(X683&lt;=INDEX(TabRFR[[2021]:[2025]],MATCH(BD!W683&amp;"-Très modestes",TabRFR[Recherche RFR],0),MATCH(TEXT(YEAR(BD!D683),"Standard"),TabRFR[[#Headers],[2021]:[2025]],0)),"Très Modeste",IF(X683&lt;=INDEX(TabRFR[[2021]:[2025]],MATCH(BD!W683&amp;"-modestes",TabRFR[Recherche RFR],0),MATCH(TEXT(YEAR(BD!D683),"Standard"),TabRFR[[#Headers],[2021]:[2025]],0)),"Modeste",IF(X683&lt;=INDEX(TabRFR[[2021]:[2025]],MATCH(BD!W683&amp;"-Intermédiaire",TabRFR[Recherche RFR],0),MATCH(TEXT(YEAR(BD!D683),"Standard"),TabRFR[[#Headers],[2021]:[2025]],0)),"Intermédiaire","Supérieur")))))),IF(D683="","",IF(W683+X683&lt;15,"Données Nb pers ou RFR manquantes",IF(COUNTA(INDIRECT("TabRFR["&amp;YEAR(I683)&amp;"]"))&lt;&gt;COUNTA(TabRFR[Recherche RFR]),"Data RFR manquantes", IF(X683&lt;=INDEX(TabRFR[[2021]:[2025]],MATCH(BD!W683&amp;"-Très modestes",TabRFR[Recherche RFR],0),MATCH(TEXT(YEAR(BD!I683),"Standard"),TabRFR[[#Headers],[2021]:[2025]],0)),"Très Modeste",IF(X683&lt;=INDEX(TabRFR[[2021]:[2025]],MATCH(BD!W683&amp;"-modestes",TabRFR[Recherche RFR],0),MATCH(TEXT(YEAR(BD!I683),"Standard"),TabRFR[[#Headers],[2021]:[2025]],0)),"Modeste",IF(X683&lt;=INDEX(TabRFR[[2021]:[2025]],MATCH(BD!W683&amp;"-Intermédiaire",TabRFR[Recherche RFR],0),MATCH(TEXT(YEAR(BD!I683),"Standard"),TabRFR[[#Headers],[2021]:[2025]],0)),"Intermédiaire","Supérieur")))))))</f>
        <v>Data RFR manquantes</v>
      </c>
      <c r="Z683" s="77"/>
      <c r="AA683" s="77" t="s">
        <v>4251</v>
      </c>
      <c r="AB683" s="77">
        <v>38160</v>
      </c>
      <c r="AC683" s="77" t="s">
        <v>4252</v>
      </c>
      <c r="AD683" s="78"/>
      <c r="AE683" s="102"/>
      <c r="AF683" s="77" t="s">
        <v>125</v>
      </c>
      <c r="AG683" s="77"/>
      <c r="AH683" s="77"/>
      <c r="AI683" s="77">
        <v>29</v>
      </c>
      <c r="AJ683" s="77" t="s">
        <v>4277</v>
      </c>
      <c r="AK683" s="77">
        <v>38210</v>
      </c>
      <c r="AL683" s="77" t="s">
        <v>195</v>
      </c>
      <c r="AM683" s="77" t="s">
        <v>4233</v>
      </c>
      <c r="AN683" s="77" t="s">
        <v>829</v>
      </c>
      <c r="AO683" s="77" t="s">
        <v>4122</v>
      </c>
      <c r="AP683" s="77" t="s">
        <v>97</v>
      </c>
      <c r="AQ683" s="77"/>
      <c r="AR683" s="79">
        <v>44052</v>
      </c>
      <c r="AS683" s="102" t="s">
        <v>211</v>
      </c>
      <c r="AT683" s="78">
        <v>438029038</v>
      </c>
      <c r="AU683" s="77" t="s">
        <v>1708</v>
      </c>
      <c r="AV683" s="77">
        <v>1986</v>
      </c>
      <c r="AW683" s="77" t="s">
        <v>100</v>
      </c>
      <c r="AX683" s="77" t="s">
        <v>2071</v>
      </c>
      <c r="AY683" s="77" t="s">
        <v>2922</v>
      </c>
      <c r="AZ683" s="77" t="s">
        <v>4267</v>
      </c>
      <c r="BA683" s="77">
        <v>18</v>
      </c>
      <c r="BB683" s="77">
        <v>7</v>
      </c>
      <c r="BC683" s="77">
        <v>87.6</v>
      </c>
      <c r="BD683" s="77">
        <v>1.0999999999999999E-2</v>
      </c>
      <c r="BE683" s="77" t="s">
        <v>374</v>
      </c>
      <c r="BF683" s="77"/>
      <c r="BG683" s="77">
        <f>2275+525</f>
        <v>2800</v>
      </c>
      <c r="BH683" s="77"/>
      <c r="BI683" s="77"/>
      <c r="BJ683" s="77"/>
      <c r="BK683" s="77">
        <v>600</v>
      </c>
      <c r="BL683" s="75">
        <f t="shared" si="33"/>
        <v>3400</v>
      </c>
      <c r="BM683" s="103">
        <f t="shared" si="31"/>
        <v>187</v>
      </c>
      <c r="BN683" s="103">
        <f t="shared" si="32"/>
        <v>3587</v>
      </c>
      <c r="BO683" s="80"/>
      <c r="BP683" s="77" t="s">
        <v>104</v>
      </c>
      <c r="BQ683" s="77"/>
      <c r="BR683" s="77"/>
      <c r="BS683" s="157"/>
      <c r="BU683">
        <v>2020</v>
      </c>
    </row>
    <row r="684" spans="1:73" ht="43.15" customHeight="1" x14ac:dyDescent="0.25">
      <c r="A684" s="31" t="s">
        <v>3845</v>
      </c>
      <c r="B684" s="31" t="s">
        <v>4313</v>
      </c>
      <c r="C684" s="163" t="s">
        <v>9</v>
      </c>
      <c r="D684" s="76">
        <v>43985</v>
      </c>
      <c r="E684" s="76">
        <v>43987</v>
      </c>
      <c r="F684" s="76">
        <v>43990</v>
      </c>
      <c r="G684" s="76" t="s">
        <v>4283</v>
      </c>
      <c r="H684" s="76"/>
      <c r="I684" s="76"/>
      <c r="J684" s="76"/>
      <c r="K684" s="218"/>
      <c r="L684" s="76"/>
      <c r="M684" s="76"/>
      <c r="N684" s="76"/>
      <c r="O684" s="76"/>
      <c r="P684" s="76"/>
      <c r="Q684" s="76"/>
      <c r="R684" s="82"/>
      <c r="S684" s="76" t="s">
        <v>4319</v>
      </c>
      <c r="T684" s="77" t="s">
        <v>4325</v>
      </c>
      <c r="U684" s="77"/>
      <c r="V684" s="77"/>
      <c r="W684" s="77">
        <v>3</v>
      </c>
      <c r="X684" s="77">
        <v>66803</v>
      </c>
      <c r="Y684" s="75" t="str">
        <f ca="1">IF(I684="",IF(D684="","",IF(W684+X684&lt;15,"Données Nb pers ou RFR manquantes",IF(COUNTA(INDIRECT("TabRFR["&amp;YEAR(D684)&amp;"]"))&lt;&gt;COUNTA(TabRFR[Recherche RFR]),"Data RFR manquantes", IF(X684&lt;=INDEX(TabRFR[[2021]:[2025]],MATCH(BD!W684&amp;"-Très modestes",TabRFR[Recherche RFR],0),MATCH(TEXT(YEAR(BD!D684),"Standard"),TabRFR[[#Headers],[2021]:[2025]],0)),"Très Modeste",IF(X684&lt;=INDEX(TabRFR[[2021]:[2025]],MATCH(BD!W684&amp;"-modestes",TabRFR[Recherche RFR],0),MATCH(TEXT(YEAR(BD!D684),"Standard"),TabRFR[[#Headers],[2021]:[2025]],0)),"Modeste",IF(X684&lt;=INDEX(TabRFR[[2021]:[2025]],MATCH(BD!W684&amp;"-Intermédiaire",TabRFR[Recherche RFR],0),MATCH(TEXT(YEAR(BD!D684),"Standard"),TabRFR[[#Headers],[2021]:[2025]],0)),"Intermédiaire","Supérieur")))))),IF(D684="","",IF(W684+X684&lt;15,"Données Nb pers ou RFR manquantes",IF(COUNTA(INDIRECT("TabRFR["&amp;YEAR(I684)&amp;"]"))&lt;&gt;COUNTA(TabRFR[Recherche RFR]),"Data RFR manquantes", IF(X684&lt;=INDEX(TabRFR[[2021]:[2025]],MATCH(BD!W684&amp;"-Très modestes",TabRFR[Recherche RFR],0),MATCH(TEXT(YEAR(BD!I684),"Standard"),TabRFR[[#Headers],[2021]:[2025]],0)),"Très Modeste",IF(X684&lt;=INDEX(TabRFR[[2021]:[2025]],MATCH(BD!W684&amp;"-modestes",TabRFR[Recherche RFR],0),MATCH(TEXT(YEAR(BD!I684),"Standard"),TabRFR[[#Headers],[2021]:[2025]],0)),"Modeste",IF(X684&lt;=INDEX(TabRFR[[2021]:[2025]],MATCH(BD!W684&amp;"-Intermédiaire",TabRFR[Recherche RFR],0),MATCH(TEXT(YEAR(BD!I684),"Standard"),TabRFR[[#Headers],[2021]:[2025]],0)),"Intermédiaire","Supérieur")))))))</f>
        <v>Data RFR manquantes</v>
      </c>
      <c r="Z684" s="77"/>
      <c r="AA684" s="77" t="s">
        <v>4253</v>
      </c>
      <c r="AB684" s="77">
        <v>38140</v>
      </c>
      <c r="AC684" s="77" t="s">
        <v>2357</v>
      </c>
      <c r="AD684" s="78"/>
      <c r="AE684" s="102"/>
      <c r="AF684" s="77" t="s">
        <v>95</v>
      </c>
      <c r="AG684" s="77"/>
      <c r="AH684" s="77"/>
      <c r="AI684" s="77"/>
      <c r="AJ684" s="77"/>
      <c r="AK684" s="77"/>
      <c r="AL684" s="77"/>
      <c r="AM684" s="77" t="s">
        <v>3969</v>
      </c>
      <c r="AN684" s="77" t="s">
        <v>96</v>
      </c>
      <c r="AO684" s="77" t="s">
        <v>4268</v>
      </c>
      <c r="AP684" s="77" t="s">
        <v>97</v>
      </c>
      <c r="AQ684" s="77"/>
      <c r="AR684" s="79">
        <v>44068</v>
      </c>
      <c r="AS684" s="102" t="s">
        <v>3970</v>
      </c>
      <c r="AT684" s="78">
        <v>951096343</v>
      </c>
      <c r="AU684" s="77" t="s">
        <v>1708</v>
      </c>
      <c r="AV684" s="77" t="s">
        <v>4040</v>
      </c>
      <c r="AW684" s="77" t="s">
        <v>100</v>
      </c>
      <c r="AX684" s="77" t="s">
        <v>2071</v>
      </c>
      <c r="AY684" s="77" t="s">
        <v>419</v>
      </c>
      <c r="AZ684" s="77" t="s">
        <v>4271</v>
      </c>
      <c r="BA684" s="77">
        <v>20</v>
      </c>
      <c r="BB684" s="77">
        <v>8.3000000000000007</v>
      </c>
      <c r="BC684" s="77">
        <v>87</v>
      </c>
      <c r="BD684" s="77">
        <v>1.7999999999999999E-2</v>
      </c>
      <c r="BE684" s="77" t="s">
        <v>374</v>
      </c>
      <c r="BF684" s="77"/>
      <c r="BG684" s="77">
        <f>6490+444.22+271.35+354</f>
        <v>7559.5700000000006</v>
      </c>
      <c r="BH684" s="77"/>
      <c r="BI684" s="77"/>
      <c r="BJ684" s="77"/>
      <c r="BK684" s="77">
        <v>630</v>
      </c>
      <c r="BL684" s="75">
        <f t="shared" si="33"/>
        <v>8189.5700000000006</v>
      </c>
      <c r="BM684" s="103">
        <f t="shared" si="31"/>
        <v>450.42635000000001</v>
      </c>
      <c r="BN684" s="103">
        <f t="shared" si="32"/>
        <v>8639.9963500000013</v>
      </c>
      <c r="BO684" s="80"/>
      <c r="BP684" s="77" t="s">
        <v>97</v>
      </c>
      <c r="BQ684" s="77"/>
      <c r="BR684" s="77"/>
      <c r="BS684" s="157"/>
      <c r="BU684" t="s">
        <v>4180</v>
      </c>
    </row>
    <row r="685" spans="1:73" ht="43.15" customHeight="1" x14ac:dyDescent="0.25">
      <c r="A685" s="241" t="s">
        <v>3845</v>
      </c>
      <c r="B685" s="241" t="s">
        <v>4226</v>
      </c>
      <c r="C685" s="163">
        <v>400</v>
      </c>
      <c r="D685" s="76">
        <v>43985</v>
      </c>
      <c r="E685" s="76">
        <v>43987</v>
      </c>
      <c r="F685" s="76">
        <v>43990</v>
      </c>
      <c r="G685" s="76" t="s">
        <v>4279</v>
      </c>
      <c r="H685" s="76">
        <v>43991</v>
      </c>
      <c r="I685" s="76">
        <v>43991</v>
      </c>
      <c r="J685" s="76">
        <v>43997</v>
      </c>
      <c r="K685" s="218"/>
      <c r="L685" s="76">
        <v>44159</v>
      </c>
      <c r="M685" s="76">
        <v>44095</v>
      </c>
      <c r="N685" s="76" t="s">
        <v>4044</v>
      </c>
      <c r="O685" s="76">
        <v>44165</v>
      </c>
      <c r="P685" s="76">
        <v>44165</v>
      </c>
      <c r="Q685" s="76">
        <v>44166</v>
      </c>
      <c r="R685" s="82"/>
      <c r="S685" s="76"/>
      <c r="T685" s="77"/>
      <c r="U685" s="77"/>
      <c r="V685" s="77"/>
      <c r="W685" s="77">
        <v>4</v>
      </c>
      <c r="X685" s="77">
        <v>40357</v>
      </c>
      <c r="Y685" s="75" t="str">
        <f ca="1">IF(I685="",IF(D685="","",IF(W685+X685&lt;15,"Données Nb pers ou RFR manquantes",IF(COUNTA(INDIRECT("TabRFR["&amp;YEAR(D685)&amp;"]"))&lt;&gt;COUNTA(TabRFR[Recherche RFR]),"Data RFR manquantes", IF(X685&lt;=INDEX(TabRFR[[2021]:[2025]],MATCH(BD!W685&amp;"-Très modestes",TabRFR[Recherche RFR],0),MATCH(TEXT(YEAR(BD!D685),"Standard"),TabRFR[[#Headers],[2021]:[2025]],0)),"Très Modeste",IF(X685&lt;=INDEX(TabRFR[[2021]:[2025]],MATCH(BD!W685&amp;"-modestes",TabRFR[Recherche RFR],0),MATCH(TEXT(YEAR(BD!D685),"Standard"),TabRFR[[#Headers],[2021]:[2025]],0)),"Modeste",IF(X685&lt;=INDEX(TabRFR[[2021]:[2025]],MATCH(BD!W685&amp;"-Intermédiaire",TabRFR[Recherche RFR],0),MATCH(TEXT(YEAR(BD!D685),"Standard"),TabRFR[[#Headers],[2021]:[2025]],0)),"Intermédiaire","Supérieur")))))),IF(D685="","",IF(W685+X685&lt;15,"Données Nb pers ou RFR manquantes",IF(COUNTA(INDIRECT("TabRFR["&amp;YEAR(I685)&amp;"]"))&lt;&gt;COUNTA(TabRFR[Recherche RFR]),"Data RFR manquantes", IF(X685&lt;=INDEX(TabRFR[[2021]:[2025]],MATCH(BD!W685&amp;"-Très modestes",TabRFR[Recherche RFR],0),MATCH(TEXT(YEAR(BD!I685),"Standard"),TabRFR[[#Headers],[2021]:[2025]],0)),"Très Modeste",IF(X685&lt;=INDEX(TabRFR[[2021]:[2025]],MATCH(BD!W685&amp;"-modestes",TabRFR[Recherche RFR],0),MATCH(TEXT(YEAR(BD!I685),"Standard"),TabRFR[[#Headers],[2021]:[2025]],0)),"Modeste",IF(X685&lt;=INDEX(TabRFR[[2021]:[2025]],MATCH(BD!W685&amp;"-Intermédiaire",TabRFR[Recherche RFR],0),MATCH(TEXT(YEAR(BD!I685),"Standard"),TabRFR[[#Headers],[2021]:[2025]],0)),"Intermédiaire","Supérieur")))))))</f>
        <v>Data RFR manquantes</v>
      </c>
      <c r="Z685" s="77"/>
      <c r="AA685" s="77" t="s">
        <v>4254</v>
      </c>
      <c r="AB685" s="77">
        <v>38850</v>
      </c>
      <c r="AC685" s="77" t="s">
        <v>148</v>
      </c>
      <c r="AD685" s="78"/>
      <c r="AE685" s="102"/>
      <c r="AF685" s="77" t="s">
        <v>95</v>
      </c>
      <c r="AG685" s="77"/>
      <c r="AH685" s="77"/>
      <c r="AI685" s="77"/>
      <c r="AJ685" s="77"/>
      <c r="AK685" s="77"/>
      <c r="AL685" s="77"/>
      <c r="AM685" s="77" t="s">
        <v>3973</v>
      </c>
      <c r="AN685" s="77" t="s">
        <v>96</v>
      </c>
      <c r="AO685" s="77" t="s">
        <v>3761</v>
      </c>
      <c r="AP685" s="77" t="s">
        <v>97</v>
      </c>
      <c r="AQ685" s="77"/>
      <c r="AR685" s="79">
        <v>44092</v>
      </c>
      <c r="AS685" s="102" t="s">
        <v>141</v>
      </c>
      <c r="AT685" s="78">
        <v>476069938</v>
      </c>
      <c r="AU685" s="77" t="s">
        <v>111</v>
      </c>
      <c r="AV685" s="77">
        <v>1991</v>
      </c>
      <c r="AW685" s="77" t="s">
        <v>111</v>
      </c>
      <c r="AX685" s="77" t="s">
        <v>112</v>
      </c>
      <c r="AY685" s="77" t="s">
        <v>1249</v>
      </c>
      <c r="AZ685" s="77" t="s">
        <v>4269</v>
      </c>
      <c r="BA685" s="77">
        <v>35</v>
      </c>
      <c r="BB685" s="77">
        <v>8.6</v>
      </c>
      <c r="BC685" s="77">
        <v>80.5</v>
      </c>
      <c r="BD685" s="77">
        <v>0.1</v>
      </c>
      <c r="BE685" s="77" t="s">
        <v>97</v>
      </c>
      <c r="BF685" s="77"/>
      <c r="BG685" s="77">
        <f>531+2250+261+891+80.1+580.5+261+495+441</f>
        <v>5790.6</v>
      </c>
      <c r="BH685" s="77"/>
      <c r="BI685" s="77"/>
      <c r="BJ685" s="77"/>
      <c r="BK685" s="77">
        <f>621+405+711+306</f>
        <v>2043</v>
      </c>
      <c r="BL685" s="75">
        <f t="shared" si="33"/>
        <v>7833.6</v>
      </c>
      <c r="BM685" s="103">
        <f t="shared" si="31"/>
        <v>430.84800000000001</v>
      </c>
      <c r="BN685" s="103">
        <f t="shared" si="32"/>
        <v>8264.4480000000003</v>
      </c>
      <c r="BO685" s="80"/>
      <c r="BP685" s="77" t="s">
        <v>97</v>
      </c>
      <c r="BQ685" s="77"/>
      <c r="BR685" s="77"/>
      <c r="BS685" s="157"/>
      <c r="BT685">
        <v>2020</v>
      </c>
      <c r="BU685">
        <v>2020</v>
      </c>
    </row>
    <row r="686" spans="1:73" ht="43.15" customHeight="1" x14ac:dyDescent="0.25">
      <c r="A686" s="241" t="s">
        <v>3845</v>
      </c>
      <c r="B686" s="241" t="s">
        <v>4227</v>
      </c>
      <c r="C686" s="163">
        <v>400</v>
      </c>
      <c r="D686" s="76">
        <v>43985</v>
      </c>
      <c r="E686" s="76">
        <v>43987</v>
      </c>
      <c r="F686" s="76" t="s">
        <v>9</v>
      </c>
      <c r="G686" s="76" t="s">
        <v>9</v>
      </c>
      <c r="H686" s="76">
        <v>43991</v>
      </c>
      <c r="I686" s="76">
        <v>43991</v>
      </c>
      <c r="J686" s="76">
        <v>43997</v>
      </c>
      <c r="K686" s="218"/>
      <c r="L686" s="76">
        <v>44105</v>
      </c>
      <c r="M686" s="76">
        <v>44013</v>
      </c>
      <c r="N686" s="76" t="s">
        <v>4044</v>
      </c>
      <c r="O686" s="76">
        <v>44109</v>
      </c>
      <c r="P686" s="76">
        <v>44109</v>
      </c>
      <c r="Q686" s="76">
        <v>44109</v>
      </c>
      <c r="R686" s="82"/>
      <c r="S686" s="76"/>
      <c r="T686" s="77"/>
      <c r="U686" s="77"/>
      <c r="V686" s="77"/>
      <c r="W686" s="77">
        <v>2</v>
      </c>
      <c r="X686" s="77">
        <v>328116</v>
      </c>
      <c r="Y686" s="75" t="str">
        <f ca="1">IF(I686="",IF(D686="","",IF(W686+X686&lt;15,"Données Nb pers ou RFR manquantes",IF(COUNTA(INDIRECT("TabRFR["&amp;YEAR(D686)&amp;"]"))&lt;&gt;COUNTA(TabRFR[Recherche RFR]),"Data RFR manquantes", IF(X686&lt;=INDEX(TabRFR[[2021]:[2025]],MATCH(BD!W686&amp;"-Très modestes",TabRFR[Recherche RFR],0),MATCH(TEXT(YEAR(BD!D686),"Standard"),TabRFR[[#Headers],[2021]:[2025]],0)),"Très Modeste",IF(X686&lt;=INDEX(TabRFR[[2021]:[2025]],MATCH(BD!W686&amp;"-modestes",TabRFR[Recherche RFR],0),MATCH(TEXT(YEAR(BD!D686),"Standard"),TabRFR[[#Headers],[2021]:[2025]],0)),"Modeste",IF(X686&lt;=INDEX(TabRFR[[2021]:[2025]],MATCH(BD!W686&amp;"-Intermédiaire",TabRFR[Recherche RFR],0),MATCH(TEXT(YEAR(BD!D686),"Standard"),TabRFR[[#Headers],[2021]:[2025]],0)),"Intermédiaire","Supérieur")))))),IF(D686="","",IF(W686+X686&lt;15,"Données Nb pers ou RFR manquantes",IF(COUNTA(INDIRECT("TabRFR["&amp;YEAR(I686)&amp;"]"))&lt;&gt;COUNTA(TabRFR[Recherche RFR]),"Data RFR manquantes", IF(X686&lt;=INDEX(TabRFR[[2021]:[2025]],MATCH(BD!W686&amp;"-Très modestes",TabRFR[Recherche RFR],0),MATCH(TEXT(YEAR(BD!I686),"Standard"),TabRFR[[#Headers],[2021]:[2025]],0)),"Très Modeste",IF(X686&lt;=INDEX(TabRFR[[2021]:[2025]],MATCH(BD!W686&amp;"-modestes",TabRFR[Recherche RFR],0),MATCH(TEXT(YEAR(BD!I686),"Standard"),TabRFR[[#Headers],[2021]:[2025]],0)),"Modeste",IF(X686&lt;=INDEX(TabRFR[[2021]:[2025]],MATCH(BD!W686&amp;"-Intermédiaire",TabRFR[Recherche RFR],0),MATCH(TEXT(YEAR(BD!I686),"Standard"),TabRFR[[#Headers],[2021]:[2025]],0)),"Intermédiaire","Supérieur")))))))</f>
        <v>Data RFR manquantes</v>
      </c>
      <c r="Z686" s="77"/>
      <c r="AA686" s="77" t="s">
        <v>4255</v>
      </c>
      <c r="AB686" s="77">
        <v>38340</v>
      </c>
      <c r="AC686" s="77" t="s">
        <v>108</v>
      </c>
      <c r="AD686" s="78"/>
      <c r="AE686" s="102"/>
      <c r="AF686" s="77" t="s">
        <v>95</v>
      </c>
      <c r="AG686" s="77"/>
      <c r="AH686" s="77"/>
      <c r="AI686" s="77"/>
      <c r="AJ686" s="77"/>
      <c r="AK686" s="77"/>
      <c r="AL686" s="77"/>
      <c r="AM686" s="77" t="s">
        <v>4130</v>
      </c>
      <c r="AN686" s="77" t="s">
        <v>4349</v>
      </c>
      <c r="AO686" s="77" t="s">
        <v>4131</v>
      </c>
      <c r="AP686" s="77" t="s">
        <v>97</v>
      </c>
      <c r="AQ686" s="77"/>
      <c r="AR686" s="79">
        <v>44276</v>
      </c>
      <c r="AS686" s="102" t="s">
        <v>337</v>
      </c>
      <c r="AT686" s="78">
        <v>438021901</v>
      </c>
      <c r="AU686" s="77" t="s">
        <v>111</v>
      </c>
      <c r="AV686" s="77">
        <v>1998</v>
      </c>
      <c r="AW686" s="77" t="s">
        <v>100</v>
      </c>
      <c r="AX686" s="77" t="s">
        <v>112</v>
      </c>
      <c r="AY686" s="77" t="s">
        <v>4272</v>
      </c>
      <c r="AZ686" s="77" t="s">
        <v>4273</v>
      </c>
      <c r="BA686" s="77">
        <v>38</v>
      </c>
      <c r="BB686" s="77">
        <v>9.4</v>
      </c>
      <c r="BC686" s="77">
        <v>79.900000000000006</v>
      </c>
      <c r="BD686" s="77">
        <v>6.2E-2</v>
      </c>
      <c r="BE686" s="77" t="s">
        <v>97</v>
      </c>
      <c r="BF686" s="77"/>
      <c r="BG686" s="77">
        <f>5707+1618+1159</f>
        <v>8484</v>
      </c>
      <c r="BH686" s="77"/>
      <c r="BI686" s="77"/>
      <c r="BJ686" s="77"/>
      <c r="BK686" s="77">
        <v>1492</v>
      </c>
      <c r="BL686" s="75">
        <f t="shared" si="33"/>
        <v>9976</v>
      </c>
      <c r="BM686" s="103">
        <f t="shared" si="31"/>
        <v>548.67999999999995</v>
      </c>
      <c r="BN686" s="103">
        <f t="shared" si="32"/>
        <v>10524.68</v>
      </c>
      <c r="BO686" s="80"/>
      <c r="BP686" s="77" t="s">
        <v>97</v>
      </c>
      <c r="BQ686" s="77"/>
      <c r="BR686" s="77"/>
      <c r="BS686" s="157"/>
      <c r="BT686">
        <v>2020</v>
      </c>
      <c r="BU686">
        <v>2020</v>
      </c>
    </row>
    <row r="687" spans="1:73" ht="43.15" customHeight="1" x14ac:dyDescent="0.25">
      <c r="A687" s="31" t="s">
        <v>3845</v>
      </c>
      <c r="B687" s="31" t="s">
        <v>4312</v>
      </c>
      <c r="C687" s="163" t="s">
        <v>9</v>
      </c>
      <c r="D687" s="76">
        <v>43987</v>
      </c>
      <c r="E687" s="76">
        <v>43990</v>
      </c>
      <c r="F687" s="76">
        <v>43991</v>
      </c>
      <c r="G687" s="76" t="s">
        <v>4282</v>
      </c>
      <c r="H687" s="76"/>
      <c r="I687" s="76"/>
      <c r="J687" s="76"/>
      <c r="K687" s="218"/>
      <c r="L687" s="76"/>
      <c r="M687" s="76"/>
      <c r="N687" s="76"/>
      <c r="O687" s="76"/>
      <c r="P687" s="76"/>
      <c r="Q687" s="76"/>
      <c r="R687" s="82"/>
      <c r="S687" s="76" t="s">
        <v>4319</v>
      </c>
      <c r="T687" s="77" t="s">
        <v>4326</v>
      </c>
      <c r="U687" s="77"/>
      <c r="V687" s="77"/>
      <c r="W687" s="77">
        <v>1</v>
      </c>
      <c r="X687" s="77">
        <v>19593</v>
      </c>
      <c r="Y687" s="75" t="str">
        <f ca="1">IF(I687="",IF(D687="","",IF(W687+X687&lt;15,"Données Nb pers ou RFR manquantes",IF(COUNTA(INDIRECT("TabRFR["&amp;YEAR(D687)&amp;"]"))&lt;&gt;COUNTA(TabRFR[Recherche RFR]),"Data RFR manquantes", IF(X687&lt;=INDEX(TabRFR[[2021]:[2025]],MATCH(BD!W687&amp;"-Très modestes",TabRFR[Recherche RFR],0),MATCH(TEXT(YEAR(BD!D687),"Standard"),TabRFR[[#Headers],[2021]:[2025]],0)),"Très Modeste",IF(X687&lt;=INDEX(TabRFR[[2021]:[2025]],MATCH(BD!W687&amp;"-modestes",TabRFR[Recherche RFR],0),MATCH(TEXT(YEAR(BD!D687),"Standard"),TabRFR[[#Headers],[2021]:[2025]],0)),"Modeste",IF(X687&lt;=INDEX(TabRFR[[2021]:[2025]],MATCH(BD!W687&amp;"-Intermédiaire",TabRFR[Recherche RFR],0),MATCH(TEXT(YEAR(BD!D687),"Standard"),TabRFR[[#Headers],[2021]:[2025]],0)),"Intermédiaire","Supérieur")))))),IF(D687="","",IF(W687+X687&lt;15,"Données Nb pers ou RFR manquantes",IF(COUNTA(INDIRECT("TabRFR["&amp;YEAR(I687)&amp;"]"))&lt;&gt;COUNTA(TabRFR[Recherche RFR]),"Data RFR manquantes", IF(X687&lt;=INDEX(TabRFR[[2021]:[2025]],MATCH(BD!W687&amp;"-Très modestes",TabRFR[Recherche RFR],0),MATCH(TEXT(YEAR(BD!I687),"Standard"),TabRFR[[#Headers],[2021]:[2025]],0)),"Très Modeste",IF(X687&lt;=INDEX(TabRFR[[2021]:[2025]],MATCH(BD!W687&amp;"-modestes",TabRFR[Recherche RFR],0),MATCH(TEXT(YEAR(BD!I687),"Standard"),TabRFR[[#Headers],[2021]:[2025]],0)),"Modeste",IF(X687&lt;=INDEX(TabRFR[[2021]:[2025]],MATCH(BD!W687&amp;"-Intermédiaire",TabRFR[Recherche RFR],0),MATCH(TEXT(YEAR(BD!I687),"Standard"),TabRFR[[#Headers],[2021]:[2025]],0)),"Intermédiaire","Supérieur")))))))</f>
        <v>Data RFR manquantes</v>
      </c>
      <c r="Z687" s="77"/>
      <c r="AA687" s="77" t="s">
        <v>4260</v>
      </c>
      <c r="AB687" s="77">
        <v>38850</v>
      </c>
      <c r="AC687" s="77" t="s">
        <v>242</v>
      </c>
      <c r="AD687" s="78"/>
      <c r="AE687" s="102"/>
      <c r="AF687" s="77" t="s">
        <v>95</v>
      </c>
      <c r="AG687" s="77"/>
      <c r="AH687" s="77"/>
      <c r="AI687" s="77"/>
      <c r="AJ687" s="77"/>
      <c r="AK687" s="77"/>
      <c r="AL687" s="77"/>
      <c r="AM687" s="77" t="s">
        <v>3969</v>
      </c>
      <c r="AN687" s="77" t="s">
        <v>96</v>
      </c>
      <c r="AO687" s="77" t="s">
        <v>4274</v>
      </c>
      <c r="AP687" s="77" t="s">
        <v>97</v>
      </c>
      <c r="AQ687" s="77"/>
      <c r="AR687" s="79">
        <v>44068</v>
      </c>
      <c r="AS687" s="102" t="s">
        <v>3970</v>
      </c>
      <c r="AT687" s="78">
        <v>951096343</v>
      </c>
      <c r="AU687" s="77" t="s">
        <v>111</v>
      </c>
      <c r="AV687" s="77">
        <v>1984</v>
      </c>
      <c r="AW687" s="77" t="s">
        <v>100</v>
      </c>
      <c r="AX687" s="77" t="s">
        <v>112</v>
      </c>
      <c r="AY687" s="77" t="s">
        <v>587</v>
      </c>
      <c r="AZ687" s="77" t="s">
        <v>4275</v>
      </c>
      <c r="BA687" s="77">
        <v>17</v>
      </c>
      <c r="BB687" s="77">
        <v>9</v>
      </c>
      <c r="BC687" s="77">
        <v>84</v>
      </c>
      <c r="BD687" s="77">
        <v>0.09</v>
      </c>
      <c r="BE687" s="77" t="s">
        <v>97</v>
      </c>
      <c r="BF687" s="77"/>
      <c r="BG687" s="77">
        <f>4860+369+222.32</f>
        <v>5451.32</v>
      </c>
      <c r="BH687" s="77"/>
      <c r="BI687" s="77"/>
      <c r="BJ687" s="77"/>
      <c r="BK687" s="77">
        <v>1070</v>
      </c>
      <c r="BL687" s="75">
        <f t="shared" si="33"/>
        <v>6521.32</v>
      </c>
      <c r="BM687" s="103">
        <f t="shared" si="31"/>
        <v>358.67259999999999</v>
      </c>
      <c r="BN687" s="103">
        <f t="shared" si="32"/>
        <v>6879.9925999999996</v>
      </c>
      <c r="BO687" s="80"/>
      <c r="BP687" s="77" t="s">
        <v>104</v>
      </c>
      <c r="BQ687" s="77"/>
      <c r="BR687" s="77"/>
      <c r="BS687" s="157"/>
      <c r="BU687" t="s">
        <v>4180</v>
      </c>
    </row>
    <row r="688" spans="1:73" ht="43.15" customHeight="1" x14ac:dyDescent="0.25">
      <c r="A688" s="241" t="s">
        <v>3845</v>
      </c>
      <c r="B688" s="241" t="s">
        <v>4261</v>
      </c>
      <c r="C688" s="163">
        <v>400</v>
      </c>
      <c r="D688" s="76">
        <v>43990</v>
      </c>
      <c r="E688" s="76">
        <v>43991</v>
      </c>
      <c r="F688" s="76" t="s">
        <v>9</v>
      </c>
      <c r="G688" s="76" t="s">
        <v>9</v>
      </c>
      <c r="H688" s="76">
        <v>43991</v>
      </c>
      <c r="I688" s="76">
        <v>43991</v>
      </c>
      <c r="J688" s="76">
        <v>43997</v>
      </c>
      <c r="K688" s="218"/>
      <c r="L688" s="76">
        <v>44036</v>
      </c>
      <c r="M688" s="76">
        <v>44033</v>
      </c>
      <c r="N688" s="76" t="s">
        <v>4044</v>
      </c>
      <c r="O688" s="76" t="s">
        <v>9</v>
      </c>
      <c r="P688" s="76">
        <v>44043</v>
      </c>
      <c r="Q688" s="76">
        <v>44046</v>
      </c>
      <c r="R688" s="82"/>
      <c r="S688" s="76"/>
      <c r="T688" s="77"/>
      <c r="U688" s="77"/>
      <c r="V688" s="77"/>
      <c r="W688" s="77">
        <v>2</v>
      </c>
      <c r="X688" s="77">
        <v>40644</v>
      </c>
      <c r="Y688" s="75" t="str">
        <f ca="1">IF(I688="",IF(D688="","",IF(W688+X688&lt;15,"Données Nb pers ou RFR manquantes",IF(COUNTA(INDIRECT("TabRFR["&amp;YEAR(D688)&amp;"]"))&lt;&gt;COUNTA(TabRFR[Recherche RFR]),"Data RFR manquantes", IF(X688&lt;=INDEX(TabRFR[[2021]:[2025]],MATCH(BD!W688&amp;"-Très modestes",TabRFR[Recherche RFR],0),MATCH(TEXT(YEAR(BD!D688),"Standard"),TabRFR[[#Headers],[2021]:[2025]],0)),"Très Modeste",IF(X688&lt;=INDEX(TabRFR[[2021]:[2025]],MATCH(BD!W688&amp;"-modestes",TabRFR[Recherche RFR],0),MATCH(TEXT(YEAR(BD!D688),"Standard"),TabRFR[[#Headers],[2021]:[2025]],0)),"Modeste",IF(X688&lt;=INDEX(TabRFR[[2021]:[2025]],MATCH(BD!W688&amp;"-Intermédiaire",TabRFR[Recherche RFR],0),MATCH(TEXT(YEAR(BD!D688),"Standard"),TabRFR[[#Headers],[2021]:[2025]],0)),"Intermédiaire","Supérieur")))))),IF(D688="","",IF(W688+X688&lt;15,"Données Nb pers ou RFR manquantes",IF(COUNTA(INDIRECT("TabRFR["&amp;YEAR(I688)&amp;"]"))&lt;&gt;COUNTA(TabRFR[Recherche RFR]),"Data RFR manquantes", IF(X688&lt;=INDEX(TabRFR[[2021]:[2025]],MATCH(BD!W688&amp;"-Très modestes",TabRFR[Recherche RFR],0),MATCH(TEXT(YEAR(BD!I688),"Standard"),TabRFR[[#Headers],[2021]:[2025]],0)),"Très Modeste",IF(X688&lt;=INDEX(TabRFR[[2021]:[2025]],MATCH(BD!W688&amp;"-modestes",TabRFR[Recherche RFR],0),MATCH(TEXT(YEAR(BD!I688),"Standard"),TabRFR[[#Headers],[2021]:[2025]],0)),"Modeste",IF(X688&lt;=INDEX(TabRFR[[2021]:[2025]],MATCH(BD!W688&amp;"-Intermédiaire",TabRFR[Recherche RFR],0),MATCH(TEXT(YEAR(BD!I688),"Standard"),TabRFR[[#Headers],[2021]:[2025]],0)),"Intermédiaire","Supérieur")))))))</f>
        <v>Data RFR manquantes</v>
      </c>
      <c r="Z688" s="77"/>
      <c r="AA688" s="77" t="s">
        <v>4280</v>
      </c>
      <c r="AB688" s="77">
        <v>38340</v>
      </c>
      <c r="AC688" s="77" t="s">
        <v>108</v>
      </c>
      <c r="AD688" s="78"/>
      <c r="AE688" s="102"/>
      <c r="AF688" s="77" t="s">
        <v>95</v>
      </c>
      <c r="AG688" s="77"/>
      <c r="AH688" s="77"/>
      <c r="AI688" s="77"/>
      <c r="AJ688" s="77"/>
      <c r="AK688" s="77"/>
      <c r="AL688" s="77"/>
      <c r="AM688" s="77" t="s">
        <v>218</v>
      </c>
      <c r="AN688" s="77" t="s">
        <v>217</v>
      </c>
      <c r="AO688" s="77" t="s">
        <v>4078</v>
      </c>
      <c r="AP688" s="77" t="s">
        <v>97</v>
      </c>
      <c r="AQ688" s="77"/>
      <c r="AR688" s="79">
        <v>44130</v>
      </c>
      <c r="AS688" s="102" t="s">
        <v>220</v>
      </c>
      <c r="AT688" s="78">
        <v>476355605</v>
      </c>
      <c r="AU688" s="77" t="s">
        <v>111</v>
      </c>
      <c r="AV688" s="77">
        <v>1999</v>
      </c>
      <c r="AW688" s="77" t="s">
        <v>111</v>
      </c>
      <c r="AX688" s="77" t="s">
        <v>112</v>
      </c>
      <c r="AY688" s="77" t="s">
        <v>3990</v>
      </c>
      <c r="AZ688" s="77" t="s">
        <v>4281</v>
      </c>
      <c r="BA688" s="77">
        <v>23</v>
      </c>
      <c r="BB688" s="77">
        <v>10</v>
      </c>
      <c r="BC688" s="77">
        <v>78</v>
      </c>
      <c r="BD688" s="77">
        <v>7.0000000000000007E-2</v>
      </c>
      <c r="BE688" s="77" t="s">
        <v>97</v>
      </c>
      <c r="BF688" s="77"/>
      <c r="BG688" s="77">
        <f>195.6+1637+58.8+88.8+165.75+167.01</f>
        <v>2312.96</v>
      </c>
      <c r="BH688" s="77"/>
      <c r="BI688" s="77"/>
      <c r="BJ688" s="77"/>
      <c r="BK688" s="77">
        <f>182.94+290.56+950</f>
        <v>1423.5</v>
      </c>
      <c r="BL688" s="75">
        <f t="shared" si="33"/>
        <v>3736.46</v>
      </c>
      <c r="BM688" s="103">
        <f t="shared" si="31"/>
        <v>205.50530000000001</v>
      </c>
      <c r="BN688" s="103">
        <f t="shared" si="32"/>
        <v>3941.9652999999998</v>
      </c>
      <c r="BO688" s="80"/>
      <c r="BP688" s="77" t="s">
        <v>104</v>
      </c>
      <c r="BQ688" s="77"/>
      <c r="BR688" s="77"/>
      <c r="BS688" s="157"/>
      <c r="BT688">
        <v>2020</v>
      </c>
      <c r="BU688">
        <v>2020</v>
      </c>
    </row>
    <row r="689" spans="1:73" ht="43.15" customHeight="1" x14ac:dyDescent="0.25">
      <c r="A689" s="241" t="s">
        <v>3845</v>
      </c>
      <c r="B689" s="241" t="s">
        <v>4262</v>
      </c>
      <c r="C689" s="163">
        <v>400</v>
      </c>
      <c r="D689" s="76">
        <v>43993</v>
      </c>
      <c r="E689" s="76">
        <v>43998</v>
      </c>
      <c r="F689" s="76">
        <v>44005</v>
      </c>
      <c r="G689" s="76" t="s">
        <v>4293</v>
      </c>
      <c r="H689" s="76">
        <v>44007</v>
      </c>
      <c r="I689" s="76">
        <v>44007</v>
      </c>
      <c r="J689" s="76">
        <v>44013</v>
      </c>
      <c r="K689" s="218"/>
      <c r="L689" s="76">
        <v>44063</v>
      </c>
      <c r="M689" s="76">
        <v>44028</v>
      </c>
      <c r="N689" s="76" t="s">
        <v>4044</v>
      </c>
      <c r="O689" s="76" t="s">
        <v>9</v>
      </c>
      <c r="P689" s="76">
        <v>44063</v>
      </c>
      <c r="Q689" s="76">
        <v>44074</v>
      </c>
      <c r="R689" s="82"/>
      <c r="S689" s="76"/>
      <c r="T689" s="77"/>
      <c r="U689" s="77"/>
      <c r="V689" s="77"/>
      <c r="W689" s="77">
        <v>5</v>
      </c>
      <c r="X689" s="77">
        <v>95415</v>
      </c>
      <c r="Y689" s="75" t="str">
        <f ca="1">IF(I689="",IF(D689="","",IF(W689+X689&lt;15,"Données Nb pers ou RFR manquantes",IF(COUNTA(INDIRECT("TabRFR["&amp;YEAR(D689)&amp;"]"))&lt;&gt;COUNTA(TabRFR[Recherche RFR]),"Data RFR manquantes", IF(X689&lt;=INDEX(TabRFR[[2021]:[2025]],MATCH(BD!W689&amp;"-Très modestes",TabRFR[Recherche RFR],0),MATCH(TEXT(YEAR(BD!D689),"Standard"),TabRFR[[#Headers],[2021]:[2025]],0)),"Très Modeste",IF(X689&lt;=INDEX(TabRFR[[2021]:[2025]],MATCH(BD!W689&amp;"-modestes",TabRFR[Recherche RFR],0),MATCH(TEXT(YEAR(BD!D689),"Standard"),TabRFR[[#Headers],[2021]:[2025]],0)),"Modeste",IF(X689&lt;=INDEX(TabRFR[[2021]:[2025]],MATCH(BD!W689&amp;"-Intermédiaire",TabRFR[Recherche RFR],0),MATCH(TEXT(YEAR(BD!D689),"Standard"),TabRFR[[#Headers],[2021]:[2025]],0)),"Intermédiaire","Supérieur")))))),IF(D689="","",IF(W689+X689&lt;15,"Données Nb pers ou RFR manquantes",IF(COUNTA(INDIRECT("TabRFR["&amp;YEAR(I689)&amp;"]"))&lt;&gt;COUNTA(TabRFR[Recherche RFR]),"Data RFR manquantes", IF(X689&lt;=INDEX(TabRFR[[2021]:[2025]],MATCH(BD!W689&amp;"-Très modestes",TabRFR[Recherche RFR],0),MATCH(TEXT(YEAR(BD!I689),"Standard"),TabRFR[[#Headers],[2021]:[2025]],0)),"Très Modeste",IF(X689&lt;=INDEX(TabRFR[[2021]:[2025]],MATCH(BD!W689&amp;"-modestes",TabRFR[Recherche RFR],0),MATCH(TEXT(YEAR(BD!I689),"Standard"),TabRFR[[#Headers],[2021]:[2025]],0)),"Modeste",IF(X689&lt;=INDEX(TabRFR[[2021]:[2025]],MATCH(BD!W689&amp;"-Intermédiaire",TabRFR[Recherche RFR],0),MATCH(TEXT(YEAR(BD!I689),"Standard"),TabRFR[[#Headers],[2021]:[2025]],0)),"Intermédiaire","Supérieur")))))))</f>
        <v>Data RFR manquantes</v>
      </c>
      <c r="Z689" s="77"/>
      <c r="AA689" s="77" t="s">
        <v>4294</v>
      </c>
      <c r="AB689" s="77">
        <v>38340</v>
      </c>
      <c r="AC689" s="77" t="s">
        <v>108</v>
      </c>
      <c r="AD689" s="78"/>
      <c r="AE689" s="252"/>
      <c r="AF689" s="77" t="s">
        <v>95</v>
      </c>
      <c r="AG689" s="77"/>
      <c r="AH689" s="77"/>
      <c r="AI689" s="77"/>
      <c r="AJ689" s="77"/>
      <c r="AK689" s="77"/>
      <c r="AL689" s="77"/>
      <c r="AM689" s="77" t="s">
        <v>4035</v>
      </c>
      <c r="AN689" s="77" t="s">
        <v>108</v>
      </c>
      <c r="AO689" s="77" t="s">
        <v>4036</v>
      </c>
      <c r="AP689" s="77" t="s">
        <v>97</v>
      </c>
      <c r="AQ689" s="77"/>
      <c r="AR689" s="79">
        <v>44074</v>
      </c>
      <c r="AS689" s="252" t="s">
        <v>110</v>
      </c>
      <c r="AT689" s="78">
        <v>476500550</v>
      </c>
      <c r="AU689" s="77" t="s">
        <v>1708</v>
      </c>
      <c r="AV689" s="77">
        <v>2002</v>
      </c>
      <c r="AW689" s="77" t="s">
        <v>777</v>
      </c>
      <c r="AX689" s="77" t="s">
        <v>4295</v>
      </c>
      <c r="AY689" s="77" t="s">
        <v>4296</v>
      </c>
      <c r="AZ689" s="77" t="s">
        <v>4297</v>
      </c>
      <c r="BA689" s="77">
        <v>17</v>
      </c>
      <c r="BB689" s="77">
        <v>10</v>
      </c>
      <c r="BC689" s="77">
        <v>92</v>
      </c>
      <c r="BD689" s="77">
        <v>0.01</v>
      </c>
      <c r="BE689" s="77" t="s">
        <v>4298</v>
      </c>
      <c r="BF689" s="77"/>
      <c r="BG689" s="77">
        <f>348.84+71.09+182.53+3260+185.2+680</f>
        <v>4727.66</v>
      </c>
      <c r="BH689" s="77"/>
      <c r="BI689" s="77"/>
      <c r="BJ689" s="77"/>
      <c r="BK689" s="77">
        <f>488.14+429.17</f>
        <v>917.31</v>
      </c>
      <c r="BL689" s="75">
        <f t="shared" si="33"/>
        <v>5644.9699999999993</v>
      </c>
      <c r="BM689" s="103">
        <f t="shared" si="31"/>
        <v>310.47334999999998</v>
      </c>
      <c r="BN689" s="103">
        <f t="shared" si="32"/>
        <v>5955.4433499999996</v>
      </c>
      <c r="BO689" s="80">
        <v>5337</v>
      </c>
      <c r="BP689" s="77" t="s">
        <v>97</v>
      </c>
      <c r="BQ689" s="77"/>
      <c r="BR689" s="77"/>
      <c r="BS689" s="157"/>
      <c r="BU689">
        <v>2020</v>
      </c>
    </row>
    <row r="690" spans="1:73" ht="43.15" customHeight="1" x14ac:dyDescent="0.25">
      <c r="A690" s="241" t="s">
        <v>3845</v>
      </c>
      <c r="B690" s="241" t="s">
        <v>4263</v>
      </c>
      <c r="C690" s="163">
        <v>400</v>
      </c>
      <c r="D690" s="76">
        <v>43995</v>
      </c>
      <c r="E690" s="76">
        <v>44000</v>
      </c>
      <c r="F690" s="76" t="s">
        <v>9</v>
      </c>
      <c r="G690" s="76" t="s">
        <v>9</v>
      </c>
      <c r="H690" s="76">
        <v>44005</v>
      </c>
      <c r="I690" s="76">
        <v>44007</v>
      </c>
      <c r="J690" s="76">
        <v>44013</v>
      </c>
      <c r="K690" s="218"/>
      <c r="L690" s="76">
        <v>44031</v>
      </c>
      <c r="M690" s="76">
        <v>44029</v>
      </c>
      <c r="N690" s="76" t="s">
        <v>4044</v>
      </c>
      <c r="O690" s="76" t="s">
        <v>4329</v>
      </c>
      <c r="P690" s="76">
        <v>44035</v>
      </c>
      <c r="Q690" s="76">
        <v>44035</v>
      </c>
      <c r="R690" s="82"/>
      <c r="S690" s="76"/>
      <c r="T690" s="77"/>
      <c r="U690" s="77"/>
      <c r="V690" s="77"/>
      <c r="W690" s="77">
        <v>4</v>
      </c>
      <c r="X690" s="77">
        <v>44527</v>
      </c>
      <c r="Y690" s="75" t="str">
        <f ca="1">IF(I690="",IF(D690="","",IF(W690+X690&lt;15,"Données Nb pers ou RFR manquantes",IF(COUNTA(INDIRECT("TabRFR["&amp;YEAR(D690)&amp;"]"))&lt;&gt;COUNTA(TabRFR[Recherche RFR]),"Data RFR manquantes", IF(X690&lt;=INDEX(TabRFR[[2021]:[2025]],MATCH(BD!W690&amp;"-Très modestes",TabRFR[Recherche RFR],0),MATCH(TEXT(YEAR(BD!D690),"Standard"),TabRFR[[#Headers],[2021]:[2025]],0)),"Très Modeste",IF(X690&lt;=INDEX(TabRFR[[2021]:[2025]],MATCH(BD!W690&amp;"-modestes",TabRFR[Recherche RFR],0),MATCH(TEXT(YEAR(BD!D690),"Standard"),TabRFR[[#Headers],[2021]:[2025]],0)),"Modeste",IF(X690&lt;=INDEX(TabRFR[[2021]:[2025]],MATCH(BD!W690&amp;"-Intermédiaire",TabRFR[Recherche RFR],0),MATCH(TEXT(YEAR(BD!D690),"Standard"),TabRFR[[#Headers],[2021]:[2025]],0)),"Intermédiaire","Supérieur")))))),IF(D690="","",IF(W690+X690&lt;15,"Données Nb pers ou RFR manquantes",IF(COUNTA(INDIRECT("TabRFR["&amp;YEAR(I690)&amp;"]"))&lt;&gt;COUNTA(TabRFR[Recherche RFR]),"Data RFR manquantes", IF(X690&lt;=INDEX(TabRFR[[2021]:[2025]],MATCH(BD!W690&amp;"-Très modestes",TabRFR[Recherche RFR],0),MATCH(TEXT(YEAR(BD!I690),"Standard"),TabRFR[[#Headers],[2021]:[2025]],0)),"Très Modeste",IF(X690&lt;=INDEX(TabRFR[[2021]:[2025]],MATCH(BD!W690&amp;"-modestes",TabRFR[Recherche RFR],0),MATCH(TEXT(YEAR(BD!I690),"Standard"),TabRFR[[#Headers],[2021]:[2025]],0)),"Modeste",IF(X690&lt;=INDEX(TabRFR[[2021]:[2025]],MATCH(BD!W690&amp;"-Intermédiaire",TabRFR[Recherche RFR],0),MATCH(TEXT(YEAR(BD!I690),"Standard"),TabRFR[[#Headers],[2021]:[2025]],0)),"Intermédiaire","Supérieur")))))))</f>
        <v>Data RFR manquantes</v>
      </c>
      <c r="Z690" s="77"/>
      <c r="AA690" s="77" t="s">
        <v>4299</v>
      </c>
      <c r="AB690" s="77">
        <v>38500</v>
      </c>
      <c r="AC690" s="77" t="s">
        <v>96</v>
      </c>
      <c r="AD690" s="78"/>
      <c r="AE690" s="252"/>
      <c r="AF690" s="77" t="s">
        <v>95</v>
      </c>
      <c r="AG690" s="77"/>
      <c r="AH690" s="77"/>
      <c r="AI690" s="77"/>
      <c r="AJ690" s="77"/>
      <c r="AK690" s="77"/>
      <c r="AL690" s="77"/>
      <c r="AM690" s="77" t="s">
        <v>3969</v>
      </c>
      <c r="AN690" s="77" t="s">
        <v>96</v>
      </c>
      <c r="AO690" s="77" t="s">
        <v>4274</v>
      </c>
      <c r="AP690" s="77" t="s">
        <v>97</v>
      </c>
      <c r="AQ690" s="77"/>
      <c r="AR690" s="79">
        <v>44068</v>
      </c>
      <c r="AS690" s="252" t="s">
        <v>3869</v>
      </c>
      <c r="AT690" s="78">
        <v>951096343</v>
      </c>
      <c r="AU690" s="77" t="s">
        <v>3967</v>
      </c>
      <c r="AV690" s="77">
        <v>1998</v>
      </c>
      <c r="AW690" s="77" t="s">
        <v>777</v>
      </c>
      <c r="AX690" s="77" t="s">
        <v>4300</v>
      </c>
      <c r="AY690" s="77" t="s">
        <v>4301</v>
      </c>
      <c r="AZ690" s="77" t="s">
        <v>4302</v>
      </c>
      <c r="BA690" s="77">
        <v>5</v>
      </c>
      <c r="BB690" s="77">
        <v>7</v>
      </c>
      <c r="BC690" s="77">
        <v>81</v>
      </c>
      <c r="BD690" s="77">
        <v>0.09</v>
      </c>
      <c r="BE690" s="77" t="s">
        <v>4298</v>
      </c>
      <c r="BF690" s="77"/>
      <c r="BG690" s="77">
        <f>2775+369.3+770.5</f>
        <v>3914.8</v>
      </c>
      <c r="BH690" s="77"/>
      <c r="BI690" s="77"/>
      <c r="BJ690" s="77"/>
      <c r="BK690" s="77">
        <v>450</v>
      </c>
      <c r="BL690" s="75">
        <f t="shared" si="33"/>
        <v>4364.8</v>
      </c>
      <c r="BM690" s="103">
        <f t="shared" si="31"/>
        <v>240.06400000000002</v>
      </c>
      <c r="BN690" s="103">
        <f t="shared" si="32"/>
        <v>4604.8640000000005</v>
      </c>
      <c r="BO690" s="80">
        <v>3400</v>
      </c>
      <c r="BP690" s="77" t="s">
        <v>97</v>
      </c>
      <c r="BQ690" s="77"/>
      <c r="BR690" s="77"/>
      <c r="BS690" s="157"/>
      <c r="BT690">
        <v>2020</v>
      </c>
      <c r="BU690">
        <v>2020</v>
      </c>
    </row>
    <row r="691" spans="1:73" ht="43.15" customHeight="1" x14ac:dyDescent="0.25">
      <c r="A691" s="241" t="s">
        <v>3845</v>
      </c>
      <c r="B691" s="241" t="s">
        <v>4264</v>
      </c>
      <c r="C691" s="163">
        <v>400</v>
      </c>
      <c r="D691" s="76">
        <v>43991</v>
      </c>
      <c r="E691" s="76">
        <v>44007</v>
      </c>
      <c r="F691" s="76" t="s">
        <v>9</v>
      </c>
      <c r="G691" s="76" t="s">
        <v>9</v>
      </c>
      <c r="H691" s="76">
        <v>44007</v>
      </c>
      <c r="I691" s="76">
        <v>44007</v>
      </c>
      <c r="J691" s="76">
        <v>44013</v>
      </c>
      <c r="K691" s="218"/>
      <c r="L691" s="76">
        <v>44126</v>
      </c>
      <c r="M691" s="76">
        <v>44033</v>
      </c>
      <c r="N691" s="76" t="s">
        <v>4044</v>
      </c>
      <c r="O691" s="76">
        <v>44126</v>
      </c>
      <c r="P691" s="76">
        <v>44126</v>
      </c>
      <c r="Q691" s="76">
        <v>44139</v>
      </c>
      <c r="R691" s="82"/>
      <c r="S691" s="76"/>
      <c r="T691" s="77"/>
      <c r="U691" s="77"/>
      <c r="V691" s="77"/>
      <c r="W691" s="77">
        <v>2</v>
      </c>
      <c r="X691" s="77">
        <v>48966</v>
      </c>
      <c r="Y691" s="75" t="str">
        <f ca="1">IF(I691="",IF(D691="","",IF(W691+X691&lt;15,"Données Nb pers ou RFR manquantes",IF(COUNTA(INDIRECT("TabRFR["&amp;YEAR(D691)&amp;"]"))&lt;&gt;COUNTA(TabRFR[Recherche RFR]),"Data RFR manquantes", IF(X691&lt;=INDEX(TabRFR[[2021]:[2025]],MATCH(BD!W691&amp;"-Très modestes",TabRFR[Recherche RFR],0),MATCH(TEXT(YEAR(BD!D691),"Standard"),TabRFR[[#Headers],[2021]:[2025]],0)),"Très Modeste",IF(X691&lt;=INDEX(TabRFR[[2021]:[2025]],MATCH(BD!W691&amp;"-modestes",TabRFR[Recherche RFR],0),MATCH(TEXT(YEAR(BD!D691),"Standard"),TabRFR[[#Headers],[2021]:[2025]],0)),"Modeste",IF(X691&lt;=INDEX(TabRFR[[2021]:[2025]],MATCH(BD!W691&amp;"-Intermédiaire",TabRFR[Recherche RFR],0),MATCH(TEXT(YEAR(BD!D691),"Standard"),TabRFR[[#Headers],[2021]:[2025]],0)),"Intermédiaire","Supérieur")))))),IF(D691="","",IF(W691+X691&lt;15,"Données Nb pers ou RFR manquantes",IF(COUNTA(INDIRECT("TabRFR["&amp;YEAR(I691)&amp;"]"))&lt;&gt;COUNTA(TabRFR[Recherche RFR]),"Data RFR manquantes", IF(X691&lt;=INDEX(TabRFR[[2021]:[2025]],MATCH(BD!W691&amp;"-Très modestes",TabRFR[Recherche RFR],0),MATCH(TEXT(YEAR(BD!I691),"Standard"),TabRFR[[#Headers],[2021]:[2025]],0)),"Très Modeste",IF(X691&lt;=INDEX(TabRFR[[2021]:[2025]],MATCH(BD!W691&amp;"-modestes",TabRFR[Recherche RFR],0),MATCH(TEXT(YEAR(BD!I691),"Standard"),TabRFR[[#Headers],[2021]:[2025]],0)),"Modeste",IF(X691&lt;=INDEX(TabRFR[[2021]:[2025]],MATCH(BD!W691&amp;"-Intermédiaire",TabRFR[Recherche RFR],0),MATCH(TEXT(YEAR(BD!I691),"Standard"),TabRFR[[#Headers],[2021]:[2025]],0)),"Intermédiaire","Supérieur")))))))</f>
        <v>Data RFR manquantes</v>
      </c>
      <c r="Z691" s="77"/>
      <c r="AA691" s="77" t="s">
        <v>4303</v>
      </c>
      <c r="AB691" s="77">
        <v>38730</v>
      </c>
      <c r="AC691" s="77" t="s">
        <v>4304</v>
      </c>
      <c r="AD691" s="78"/>
      <c r="AE691" s="252"/>
      <c r="AF691" s="77" t="s">
        <v>95</v>
      </c>
      <c r="AG691" s="77"/>
      <c r="AH691" s="77"/>
      <c r="AI691" s="77"/>
      <c r="AJ691" s="77"/>
      <c r="AK691" s="77"/>
      <c r="AL691" s="77"/>
      <c r="AM691" s="77" t="s">
        <v>4130</v>
      </c>
      <c r="AN691" s="77" t="s">
        <v>4349</v>
      </c>
      <c r="AO691" s="77" t="s">
        <v>4243</v>
      </c>
      <c r="AP691" s="77" t="s">
        <v>97</v>
      </c>
      <c r="AQ691" s="77"/>
      <c r="AR691" s="79">
        <v>44276</v>
      </c>
      <c r="AS691" s="252" t="s">
        <v>385</v>
      </c>
      <c r="AT691" s="78">
        <v>474934316</v>
      </c>
      <c r="AU691" s="77" t="s">
        <v>3967</v>
      </c>
      <c r="AV691" s="77">
        <v>1988</v>
      </c>
      <c r="AW691" s="77" t="s">
        <v>777</v>
      </c>
      <c r="AX691" s="77" t="s">
        <v>4300</v>
      </c>
      <c r="AY691" s="77" t="s">
        <v>338</v>
      </c>
      <c r="AZ691" s="77" t="s">
        <v>4305</v>
      </c>
      <c r="BA691" s="77">
        <v>30</v>
      </c>
      <c r="BB691" s="77">
        <v>9.5</v>
      </c>
      <c r="BC691" s="77">
        <v>77.3</v>
      </c>
      <c r="BD691" s="77">
        <v>8.9999999999999993E-3</v>
      </c>
      <c r="BE691" s="77" t="s">
        <v>4298</v>
      </c>
      <c r="BF691" s="77"/>
      <c r="BG691" s="77">
        <f>4172+640+1263</f>
        <v>6075</v>
      </c>
      <c r="BH691" s="77"/>
      <c r="BI691" s="77"/>
      <c r="BJ691" s="77"/>
      <c r="BK691" s="77">
        <v>750</v>
      </c>
      <c r="BL691" s="75">
        <f t="shared" si="33"/>
        <v>6825</v>
      </c>
      <c r="BM691" s="103">
        <f t="shared" si="31"/>
        <v>375.375</v>
      </c>
      <c r="BN691" s="103">
        <f t="shared" si="32"/>
        <v>7200.375</v>
      </c>
      <c r="BO691" s="80">
        <v>7200</v>
      </c>
      <c r="BP691" s="77" t="s">
        <v>104</v>
      </c>
      <c r="BQ691" s="77"/>
      <c r="BR691" s="77"/>
      <c r="BS691" s="157"/>
      <c r="BT691">
        <v>2020</v>
      </c>
      <c r="BU691">
        <v>2020</v>
      </c>
    </row>
    <row r="692" spans="1:73" ht="43.15" customHeight="1" x14ac:dyDescent="0.25">
      <c r="A692" s="241" t="s">
        <v>3845</v>
      </c>
      <c r="B692" s="241" t="s">
        <v>4265</v>
      </c>
      <c r="C692" s="163">
        <v>400</v>
      </c>
      <c r="D692" s="76">
        <v>44000</v>
      </c>
      <c r="E692" s="76">
        <v>44007</v>
      </c>
      <c r="F692" s="76" t="s">
        <v>9</v>
      </c>
      <c r="G692" s="76" t="s">
        <v>9</v>
      </c>
      <c r="H692" s="76">
        <v>44007</v>
      </c>
      <c r="I692" s="76">
        <v>44007</v>
      </c>
      <c r="J692" s="76">
        <v>44013</v>
      </c>
      <c r="K692" s="218"/>
      <c r="L692" s="76">
        <v>44075</v>
      </c>
      <c r="M692" s="76">
        <v>44063</v>
      </c>
      <c r="N692" s="76" t="s">
        <v>4044</v>
      </c>
      <c r="O692" s="76">
        <v>44077</v>
      </c>
      <c r="P692" s="76">
        <v>44077</v>
      </c>
      <c r="Q692" s="76">
        <v>44078</v>
      </c>
      <c r="R692" s="82"/>
      <c r="S692" s="76"/>
      <c r="T692" s="77"/>
      <c r="U692" s="77"/>
      <c r="V692" s="77"/>
      <c r="W692" s="77">
        <v>2</v>
      </c>
      <c r="X692" s="77">
        <v>42382</v>
      </c>
      <c r="Y692" s="75" t="str">
        <f ca="1">IF(I692="",IF(D692="","",IF(W692+X692&lt;15,"Données Nb pers ou RFR manquantes",IF(COUNTA(INDIRECT("TabRFR["&amp;YEAR(D692)&amp;"]"))&lt;&gt;COUNTA(TabRFR[Recherche RFR]),"Data RFR manquantes", IF(X692&lt;=INDEX(TabRFR[[2021]:[2025]],MATCH(BD!W692&amp;"-Très modestes",TabRFR[Recherche RFR],0),MATCH(TEXT(YEAR(BD!D692),"Standard"),TabRFR[[#Headers],[2021]:[2025]],0)),"Très Modeste",IF(X692&lt;=INDEX(TabRFR[[2021]:[2025]],MATCH(BD!W692&amp;"-modestes",TabRFR[Recherche RFR],0),MATCH(TEXT(YEAR(BD!D692),"Standard"),TabRFR[[#Headers],[2021]:[2025]],0)),"Modeste",IF(X692&lt;=INDEX(TabRFR[[2021]:[2025]],MATCH(BD!W692&amp;"-Intermédiaire",TabRFR[Recherche RFR],0),MATCH(TEXT(YEAR(BD!D692),"Standard"),TabRFR[[#Headers],[2021]:[2025]],0)),"Intermédiaire","Supérieur")))))),IF(D692="","",IF(W692+X692&lt;15,"Données Nb pers ou RFR manquantes",IF(COUNTA(INDIRECT("TabRFR["&amp;YEAR(I692)&amp;"]"))&lt;&gt;COUNTA(TabRFR[Recherche RFR]),"Data RFR manquantes", IF(X692&lt;=INDEX(TabRFR[[2021]:[2025]],MATCH(BD!W692&amp;"-Très modestes",TabRFR[Recherche RFR],0),MATCH(TEXT(YEAR(BD!I692),"Standard"),TabRFR[[#Headers],[2021]:[2025]],0)),"Très Modeste",IF(X692&lt;=INDEX(TabRFR[[2021]:[2025]],MATCH(BD!W692&amp;"-modestes",TabRFR[Recherche RFR],0),MATCH(TEXT(YEAR(BD!I692),"Standard"),TabRFR[[#Headers],[2021]:[2025]],0)),"Modeste",IF(X692&lt;=INDEX(TabRFR[[2021]:[2025]],MATCH(BD!W692&amp;"-Intermédiaire",TabRFR[Recherche RFR],0),MATCH(TEXT(YEAR(BD!I692),"Standard"),TabRFR[[#Headers],[2021]:[2025]],0)),"Intermédiaire","Supérieur")))))))</f>
        <v>Data RFR manquantes</v>
      </c>
      <c r="Z692" s="77"/>
      <c r="AA692" s="77" t="s">
        <v>4306</v>
      </c>
      <c r="AB692" s="77">
        <v>38500</v>
      </c>
      <c r="AC692" s="77" t="s">
        <v>118</v>
      </c>
      <c r="AD692" s="78"/>
      <c r="AE692" s="252"/>
      <c r="AF692" s="77" t="s">
        <v>95</v>
      </c>
      <c r="AG692" s="77"/>
      <c r="AH692" s="77"/>
      <c r="AI692" s="77"/>
      <c r="AJ692" s="77"/>
      <c r="AK692" s="77"/>
      <c r="AL692" s="77"/>
      <c r="AM692" s="77" t="s">
        <v>3969</v>
      </c>
      <c r="AN692" s="77" t="s">
        <v>96</v>
      </c>
      <c r="AO692" s="77" t="s">
        <v>4274</v>
      </c>
      <c r="AP692" s="77" t="s">
        <v>97</v>
      </c>
      <c r="AQ692" s="77"/>
      <c r="AR692" s="79">
        <v>44068</v>
      </c>
      <c r="AS692" s="252" t="s">
        <v>3869</v>
      </c>
      <c r="AT692" s="78">
        <v>951096343</v>
      </c>
      <c r="AU692" s="77" t="s">
        <v>3967</v>
      </c>
      <c r="AV692" s="77">
        <v>1990</v>
      </c>
      <c r="AW692" s="77" t="s">
        <v>777</v>
      </c>
      <c r="AX692" s="77" t="s">
        <v>4295</v>
      </c>
      <c r="AY692" s="77" t="s">
        <v>4307</v>
      </c>
      <c r="AZ692" s="77" t="s">
        <v>4308</v>
      </c>
      <c r="BA692" s="77">
        <v>20</v>
      </c>
      <c r="BB692" s="77">
        <v>7.9</v>
      </c>
      <c r="BC692" s="77">
        <v>89</v>
      </c>
      <c r="BD692" s="77">
        <v>1.7999999999999999E-2</v>
      </c>
      <c r="BE692" s="77" t="s">
        <v>4309</v>
      </c>
      <c r="BF692" s="77"/>
      <c r="BG692" s="77">
        <f>5885+340.5+271.35+267</f>
        <v>6763.85</v>
      </c>
      <c r="BH692" s="77"/>
      <c r="BI692" s="77"/>
      <c r="BJ692" s="77"/>
      <c r="BK692" s="77">
        <v>630</v>
      </c>
      <c r="BL692" s="75">
        <f t="shared" si="33"/>
        <v>7393.85</v>
      </c>
      <c r="BM692" s="103">
        <f t="shared" si="31"/>
        <v>406.66175000000004</v>
      </c>
      <c r="BN692" s="103">
        <f t="shared" si="32"/>
        <v>7800.5117500000006</v>
      </c>
      <c r="BO692" s="80">
        <v>7325.76</v>
      </c>
      <c r="BP692" s="77" t="s">
        <v>97</v>
      </c>
      <c r="BQ692" s="77"/>
      <c r="BR692" s="77"/>
      <c r="BS692" s="157"/>
      <c r="BU692">
        <v>2020</v>
      </c>
    </row>
    <row r="693" spans="1:73" ht="43.15" customHeight="1" x14ac:dyDescent="0.25">
      <c r="A693" s="241" t="s">
        <v>3845</v>
      </c>
      <c r="B693" s="241" t="s">
        <v>4266</v>
      </c>
      <c r="C693" s="163">
        <v>800</v>
      </c>
      <c r="D693" s="76">
        <v>44011</v>
      </c>
      <c r="E693" s="76">
        <v>44012</v>
      </c>
      <c r="F693" s="76" t="s">
        <v>9</v>
      </c>
      <c r="G693" s="76" t="s">
        <v>9</v>
      </c>
      <c r="H693" s="76">
        <v>44012</v>
      </c>
      <c r="I693" s="76">
        <v>44012</v>
      </c>
      <c r="J693" s="76">
        <v>44014</v>
      </c>
      <c r="K693" s="218"/>
      <c r="L693" s="76">
        <v>44130</v>
      </c>
      <c r="M693" s="76">
        <v>44103</v>
      </c>
      <c r="N693" s="76" t="s">
        <v>4044</v>
      </c>
      <c r="O693" s="76">
        <v>44140</v>
      </c>
      <c r="P693" s="76">
        <v>44140</v>
      </c>
      <c r="Q693" s="76">
        <v>44147</v>
      </c>
      <c r="R693" s="82"/>
      <c r="S693" s="76"/>
      <c r="T693" s="77"/>
      <c r="U693" s="77"/>
      <c r="V693" s="77"/>
      <c r="W693" s="77">
        <v>3</v>
      </c>
      <c r="X693" s="77">
        <v>28142</v>
      </c>
      <c r="Y693" s="75" t="str">
        <f ca="1">IF(I693="",IF(D693="","",IF(W693+X693&lt;15,"Données Nb pers ou RFR manquantes",IF(COUNTA(INDIRECT("TabRFR["&amp;YEAR(D693)&amp;"]"))&lt;&gt;COUNTA(TabRFR[Recherche RFR]),"Data RFR manquantes", IF(X693&lt;=INDEX(TabRFR[[2021]:[2025]],MATCH(BD!W693&amp;"-Très modestes",TabRFR[Recherche RFR],0),MATCH(TEXT(YEAR(BD!D693),"Standard"),TabRFR[[#Headers],[2021]:[2025]],0)),"Très Modeste",IF(X693&lt;=INDEX(TabRFR[[2021]:[2025]],MATCH(BD!W693&amp;"-modestes",TabRFR[Recherche RFR],0),MATCH(TEXT(YEAR(BD!D693),"Standard"),TabRFR[[#Headers],[2021]:[2025]],0)),"Modeste",IF(X693&lt;=INDEX(TabRFR[[2021]:[2025]],MATCH(BD!W693&amp;"-Intermédiaire",TabRFR[Recherche RFR],0),MATCH(TEXT(YEAR(BD!D693),"Standard"),TabRFR[[#Headers],[2021]:[2025]],0)),"Intermédiaire","Supérieur")))))),IF(D693="","",IF(W693+X693&lt;15,"Données Nb pers ou RFR manquantes",IF(COUNTA(INDIRECT("TabRFR["&amp;YEAR(I693)&amp;"]"))&lt;&gt;COUNTA(TabRFR[Recherche RFR]),"Data RFR manquantes", IF(X693&lt;=INDEX(TabRFR[[2021]:[2025]],MATCH(BD!W693&amp;"-Très modestes",TabRFR[Recherche RFR],0),MATCH(TEXT(YEAR(BD!I693),"Standard"),TabRFR[[#Headers],[2021]:[2025]],0)),"Très Modeste",IF(X693&lt;=INDEX(TabRFR[[2021]:[2025]],MATCH(BD!W693&amp;"-modestes",TabRFR[Recherche RFR],0),MATCH(TEXT(YEAR(BD!I693),"Standard"),TabRFR[[#Headers],[2021]:[2025]],0)),"Modeste",IF(X693&lt;=INDEX(TabRFR[[2021]:[2025]],MATCH(BD!W693&amp;"-Intermédiaire",TabRFR[Recherche RFR],0),MATCH(TEXT(YEAR(BD!I693),"Standard"),TabRFR[[#Headers],[2021]:[2025]],0)),"Intermédiaire","Supérieur")))))))</f>
        <v>Data RFR manquantes</v>
      </c>
      <c r="Z693" s="77"/>
      <c r="AA693" s="77" t="s">
        <v>4004</v>
      </c>
      <c r="AB693" s="77">
        <v>38500</v>
      </c>
      <c r="AC693" s="77" t="s">
        <v>96</v>
      </c>
      <c r="AD693" s="78"/>
      <c r="AE693" s="102"/>
      <c r="AF693" s="77" t="s">
        <v>95</v>
      </c>
      <c r="AG693" s="77"/>
      <c r="AH693" s="77"/>
      <c r="AI693" s="77"/>
      <c r="AJ693" s="77"/>
      <c r="AK693" s="77"/>
      <c r="AL693" s="77"/>
      <c r="AM693" s="77" t="s">
        <v>4356</v>
      </c>
      <c r="AN693" s="77" t="s">
        <v>96</v>
      </c>
      <c r="AO693" s="77" t="s">
        <v>4025</v>
      </c>
      <c r="AP693" s="77" t="s">
        <v>97</v>
      </c>
      <c r="AQ693" s="77"/>
      <c r="AR693" s="79">
        <v>44138</v>
      </c>
      <c r="AS693" s="102" t="s">
        <v>120</v>
      </c>
      <c r="AT693" s="78" t="s">
        <v>658</v>
      </c>
      <c r="AU693" s="77" t="s">
        <v>100</v>
      </c>
      <c r="AV693" s="77">
        <v>2000</v>
      </c>
      <c r="AW693" s="77" t="s">
        <v>777</v>
      </c>
      <c r="AX693" s="77" t="s">
        <v>4295</v>
      </c>
      <c r="AY693" s="77" t="s">
        <v>102</v>
      </c>
      <c r="AZ693" s="77" t="s">
        <v>4310</v>
      </c>
      <c r="BA693" s="77">
        <v>18</v>
      </c>
      <c r="BB693" s="77">
        <v>10</v>
      </c>
      <c r="BC693" s="77">
        <v>90.4</v>
      </c>
      <c r="BD693" s="77">
        <v>3.0000000000000001E-3</v>
      </c>
      <c r="BE693" s="77" t="s">
        <v>4298</v>
      </c>
      <c r="BF693" s="77"/>
      <c r="BG693" s="77">
        <f>3846+172.3+88+101+118+81+63+325+15</f>
        <v>4809.3</v>
      </c>
      <c r="BH693" s="77"/>
      <c r="BI693" s="77"/>
      <c r="BJ693" s="77"/>
      <c r="BK693" s="77">
        <f>30+420</f>
        <v>450</v>
      </c>
      <c r="BL693" s="75">
        <f t="shared" si="33"/>
        <v>5259.3</v>
      </c>
      <c r="BM693" s="103">
        <f t="shared" si="31"/>
        <v>289.26150000000001</v>
      </c>
      <c r="BN693" s="103">
        <f t="shared" si="32"/>
        <v>5548.5614999999998</v>
      </c>
      <c r="BO693" s="80">
        <v>5500</v>
      </c>
      <c r="BP693" s="77" t="s">
        <v>97</v>
      </c>
      <c r="BQ693" s="77"/>
      <c r="BR693" s="77"/>
      <c r="BS693" s="157"/>
      <c r="BU693">
        <v>2020</v>
      </c>
    </row>
    <row r="694" spans="1:73" ht="165.75" x14ac:dyDescent="0.25">
      <c r="A694" s="241" t="s">
        <v>3845</v>
      </c>
      <c r="B694" s="241" t="s">
        <v>4413</v>
      </c>
      <c r="C694" s="163">
        <v>400</v>
      </c>
      <c r="D694" s="76">
        <v>43844</v>
      </c>
      <c r="E694" s="76">
        <v>43844</v>
      </c>
      <c r="F694" s="76">
        <v>43847</v>
      </c>
      <c r="G694" s="76" t="s">
        <v>4415</v>
      </c>
      <c r="H694" s="76">
        <v>44169</v>
      </c>
      <c r="I694" s="76">
        <v>44169</v>
      </c>
      <c r="J694" s="76">
        <v>44176</v>
      </c>
      <c r="K694" s="218"/>
      <c r="L694" s="76">
        <v>44245</v>
      </c>
      <c r="M694" s="76">
        <v>44195</v>
      </c>
      <c r="N694" s="76" t="s">
        <v>9</v>
      </c>
      <c r="O694" s="76">
        <v>44246</v>
      </c>
      <c r="P694" s="76">
        <v>44246</v>
      </c>
      <c r="Q694" s="76">
        <v>44252</v>
      </c>
      <c r="R694" s="82"/>
      <c r="S694" s="76">
        <v>44293</v>
      </c>
      <c r="T694" s="77" t="s">
        <v>4416</v>
      </c>
      <c r="U694" s="77"/>
      <c r="V694" s="77"/>
      <c r="W694" s="77">
        <v>1</v>
      </c>
      <c r="X694" s="77">
        <v>19533</v>
      </c>
      <c r="Y694" s="75" t="str">
        <f ca="1">IF(I694="",IF(D694="","",IF(W694+X694&lt;15,"Données Nb pers ou RFR manquantes",IF(COUNTA(INDIRECT("TabRFR["&amp;YEAR(D694)&amp;"]"))&lt;&gt;COUNTA(TabRFR[Recherche RFR]),"Data RFR manquantes", IF(X694&lt;=INDEX(TabRFR[[2021]:[2025]],MATCH(BD!W694&amp;"-Très modestes",TabRFR[Recherche RFR],0),MATCH(TEXT(YEAR(BD!D694),"Standard"),TabRFR[[#Headers],[2021]:[2025]],0)),"Très Modeste",IF(X694&lt;=INDEX(TabRFR[[2021]:[2025]],MATCH(BD!W694&amp;"-modestes",TabRFR[Recherche RFR],0),MATCH(TEXT(YEAR(BD!D694),"Standard"),TabRFR[[#Headers],[2021]:[2025]],0)),"Modeste",IF(X694&lt;=INDEX(TabRFR[[2021]:[2025]],MATCH(BD!W694&amp;"-Intermédiaire",TabRFR[Recherche RFR],0),MATCH(TEXT(YEAR(BD!D694),"Standard"),TabRFR[[#Headers],[2021]:[2025]],0)),"Intermédiaire","Supérieur")))))),IF(D694="","",IF(W694+X694&lt;15,"Données Nb pers ou RFR manquantes",IF(COUNTA(INDIRECT("TabRFR["&amp;YEAR(I694)&amp;"]"))&lt;&gt;COUNTA(TabRFR[Recherche RFR]),"Data RFR manquantes", IF(X694&lt;=INDEX(TabRFR[[2021]:[2025]],MATCH(BD!W694&amp;"-Très modestes",TabRFR[Recherche RFR],0),MATCH(TEXT(YEAR(BD!I694),"Standard"),TabRFR[[#Headers],[2021]:[2025]],0)),"Très Modeste",IF(X694&lt;=INDEX(TabRFR[[2021]:[2025]],MATCH(BD!W694&amp;"-modestes",TabRFR[Recherche RFR],0),MATCH(TEXT(YEAR(BD!I694),"Standard"),TabRFR[[#Headers],[2021]:[2025]],0)),"Modeste",IF(X694&lt;=INDEX(TabRFR[[2021]:[2025]],MATCH(BD!W694&amp;"-Intermédiaire",TabRFR[Recherche RFR],0),MATCH(TEXT(YEAR(BD!I694),"Standard"),TabRFR[[#Headers],[2021]:[2025]],0)),"Intermédiaire","Supérieur")))))))</f>
        <v>Data RFR manquantes</v>
      </c>
      <c r="Z694" s="77"/>
      <c r="AA694" s="77" t="s">
        <v>4096</v>
      </c>
      <c r="AB694" s="77">
        <v>38500</v>
      </c>
      <c r="AC694" s="77" t="s">
        <v>96</v>
      </c>
      <c r="AD694" s="78"/>
      <c r="AE694" s="102"/>
      <c r="AF694" s="77" t="s">
        <v>95</v>
      </c>
      <c r="AG694" s="77"/>
      <c r="AH694" s="77"/>
      <c r="AI694" s="77"/>
      <c r="AJ694" s="77"/>
      <c r="AK694" s="77"/>
      <c r="AL694" s="77"/>
      <c r="AM694" s="77" t="s">
        <v>4417</v>
      </c>
      <c r="AN694" s="77" t="s">
        <v>96</v>
      </c>
      <c r="AO694" s="77" t="s">
        <v>4025</v>
      </c>
      <c r="AP694" s="77" t="s">
        <v>97</v>
      </c>
      <c r="AQ694" s="77"/>
      <c r="AR694" s="79"/>
      <c r="AS694" s="102" t="s">
        <v>120</v>
      </c>
      <c r="AT694" s="79">
        <v>44138</v>
      </c>
      <c r="AU694" s="77" t="s">
        <v>777</v>
      </c>
      <c r="AV694" s="77">
        <v>1999</v>
      </c>
      <c r="AW694" s="77" t="s">
        <v>777</v>
      </c>
      <c r="AX694" s="77" t="s">
        <v>4295</v>
      </c>
      <c r="AY694" s="77" t="s">
        <v>102</v>
      </c>
      <c r="AZ694" s="77" t="s">
        <v>4111</v>
      </c>
      <c r="BA694" s="77">
        <v>17</v>
      </c>
      <c r="BB694" s="77">
        <v>8.1</v>
      </c>
      <c r="BC694" s="77">
        <v>90.9</v>
      </c>
      <c r="BD694" s="77">
        <v>2E-3</v>
      </c>
      <c r="BE694" s="77" t="s">
        <v>4298</v>
      </c>
      <c r="BF694" s="77"/>
      <c r="BG694" s="77">
        <v>3591.47</v>
      </c>
      <c r="BH694" s="77"/>
      <c r="BI694" s="77"/>
      <c r="BJ694" s="77"/>
      <c r="BK694" s="77">
        <v>420</v>
      </c>
      <c r="BL694" s="75">
        <f t="shared" si="33"/>
        <v>4011.47</v>
      </c>
      <c r="BM694" s="103">
        <f t="shared" si="31"/>
        <v>220.63084999999998</v>
      </c>
      <c r="BN694" s="103">
        <f t="shared" si="32"/>
        <v>4232.1008499999998</v>
      </c>
      <c r="BO694" s="80"/>
      <c r="BP694" s="77" t="s">
        <v>104</v>
      </c>
      <c r="BQ694" s="77"/>
      <c r="BR694" s="77"/>
      <c r="BS694" s="255">
        <v>2020</v>
      </c>
      <c r="BU694">
        <v>2021</v>
      </c>
    </row>
    <row r="695" spans="1:73" ht="63.75" x14ac:dyDescent="0.25">
      <c r="A695" s="241" t="s">
        <v>3845</v>
      </c>
      <c r="B695" s="241" t="s">
        <v>4414</v>
      </c>
      <c r="C695" s="163">
        <v>400</v>
      </c>
      <c r="D695" s="76">
        <v>44000</v>
      </c>
      <c r="E695" s="76">
        <v>44001</v>
      </c>
      <c r="F695" s="76">
        <v>44005</v>
      </c>
      <c r="G695" s="76" t="s">
        <v>4418</v>
      </c>
      <c r="H695" s="76">
        <v>44014</v>
      </c>
      <c r="I695" s="76">
        <v>44014</v>
      </c>
      <c r="J695" s="76">
        <v>44018</v>
      </c>
      <c r="K695" s="218"/>
      <c r="L695" s="76">
        <v>44034</v>
      </c>
      <c r="M695" s="76">
        <v>44019</v>
      </c>
      <c r="N695" s="76" t="s">
        <v>9</v>
      </c>
      <c r="O695" s="76">
        <v>44077</v>
      </c>
      <c r="P695" s="76">
        <v>44077</v>
      </c>
      <c r="Q695" s="76">
        <v>44078</v>
      </c>
      <c r="R695" s="82"/>
      <c r="S695" s="76">
        <v>44293</v>
      </c>
      <c r="T695" s="77" t="s">
        <v>4416</v>
      </c>
      <c r="U695" s="77"/>
      <c r="V695" s="77"/>
      <c r="W695" s="77">
        <v>2</v>
      </c>
      <c r="X695" s="77">
        <v>41987</v>
      </c>
      <c r="Y695" s="75" t="str">
        <f ca="1">IF(I695="",IF(D695="","",IF(W695+X695&lt;15,"Données Nb pers ou RFR manquantes",IF(COUNTA(INDIRECT("TabRFR["&amp;YEAR(D695)&amp;"]"))&lt;&gt;COUNTA(TabRFR[Recherche RFR]),"Data RFR manquantes", IF(X695&lt;=INDEX(TabRFR[[2021]:[2025]],MATCH(BD!W695&amp;"-Très modestes",TabRFR[Recherche RFR],0),MATCH(TEXT(YEAR(BD!D695),"Standard"),TabRFR[[#Headers],[2021]:[2025]],0)),"Très Modeste",IF(X695&lt;=INDEX(TabRFR[[2021]:[2025]],MATCH(BD!W695&amp;"-modestes",TabRFR[Recherche RFR],0),MATCH(TEXT(YEAR(BD!D695),"Standard"),TabRFR[[#Headers],[2021]:[2025]],0)),"Modeste",IF(X695&lt;=INDEX(TabRFR[[2021]:[2025]],MATCH(BD!W695&amp;"-Intermédiaire",TabRFR[Recherche RFR],0),MATCH(TEXT(YEAR(BD!D695),"Standard"),TabRFR[[#Headers],[2021]:[2025]],0)),"Intermédiaire","Supérieur")))))),IF(D695="","",IF(W695+X695&lt;15,"Données Nb pers ou RFR manquantes",IF(COUNTA(INDIRECT("TabRFR["&amp;YEAR(I695)&amp;"]"))&lt;&gt;COUNTA(TabRFR[Recherche RFR]),"Data RFR manquantes", IF(X695&lt;=INDEX(TabRFR[[2021]:[2025]],MATCH(BD!W695&amp;"-Très modestes",TabRFR[Recherche RFR],0),MATCH(TEXT(YEAR(BD!I695),"Standard"),TabRFR[[#Headers],[2021]:[2025]],0)),"Très Modeste",IF(X695&lt;=INDEX(TabRFR[[2021]:[2025]],MATCH(BD!W695&amp;"-modestes",TabRFR[Recherche RFR],0),MATCH(TEXT(YEAR(BD!I695),"Standard"),TabRFR[[#Headers],[2021]:[2025]],0)),"Modeste",IF(X695&lt;=INDEX(TabRFR[[2021]:[2025]],MATCH(BD!W695&amp;"-Intermédiaire",TabRFR[Recherche RFR],0),MATCH(TEXT(YEAR(BD!I695),"Standard"),TabRFR[[#Headers],[2021]:[2025]],0)),"Intermédiaire","Supérieur")))))))</f>
        <v>Data RFR manquantes</v>
      </c>
      <c r="Z695" s="77"/>
      <c r="AA695" s="77" t="s">
        <v>4419</v>
      </c>
      <c r="AB695" s="77">
        <v>38430</v>
      </c>
      <c r="AC695" s="77" t="s">
        <v>217</v>
      </c>
      <c r="AD695" s="78"/>
      <c r="AE695" s="252"/>
      <c r="AF695" s="77" t="s">
        <v>95</v>
      </c>
      <c r="AG695" s="77"/>
      <c r="AH695" s="77"/>
      <c r="AI695" s="77"/>
      <c r="AJ695" s="77"/>
      <c r="AK695" s="77"/>
      <c r="AL695" s="77"/>
      <c r="AM695" s="77" t="s">
        <v>4233</v>
      </c>
      <c r="AN695" s="77" t="s">
        <v>829</v>
      </c>
      <c r="AO695" s="77" t="s">
        <v>4420</v>
      </c>
      <c r="AP695" s="77" t="s">
        <v>97</v>
      </c>
      <c r="AQ695" s="77"/>
      <c r="AR695" s="79"/>
      <c r="AS695" s="252" t="s">
        <v>211</v>
      </c>
      <c r="AT695" s="79">
        <v>44417</v>
      </c>
      <c r="AU695" s="77" t="s">
        <v>3967</v>
      </c>
      <c r="AV695" s="77">
        <v>1990</v>
      </c>
      <c r="AW695" s="77" t="s">
        <v>777</v>
      </c>
      <c r="AX695" s="77" t="s">
        <v>4295</v>
      </c>
      <c r="AY695" s="77" t="s">
        <v>2922</v>
      </c>
      <c r="AZ695" s="77" t="s">
        <v>4421</v>
      </c>
      <c r="BA695" s="77">
        <v>15.1</v>
      </c>
      <c r="BB695" s="77">
        <v>10.4</v>
      </c>
      <c r="BC695" s="77">
        <v>90.8</v>
      </c>
      <c r="BD695" s="77">
        <v>1.2E-2</v>
      </c>
      <c r="BE695" s="77" t="s">
        <v>374</v>
      </c>
      <c r="BF695" s="77"/>
      <c r="BG695" s="77">
        <f>3577+201+230+115+325+86</f>
        <v>4534</v>
      </c>
      <c r="BH695" s="77"/>
      <c r="BI695" s="77"/>
      <c r="BJ695" s="77"/>
      <c r="BK695" s="77">
        <f>386+850</f>
        <v>1236</v>
      </c>
      <c r="BL695" s="75">
        <f t="shared" si="33"/>
        <v>5770</v>
      </c>
      <c r="BM695" s="103">
        <f t="shared" si="31"/>
        <v>317.35000000000002</v>
      </c>
      <c r="BN695" s="103">
        <f t="shared" si="32"/>
        <v>6087.35</v>
      </c>
      <c r="BO695" s="80">
        <v>4950</v>
      </c>
      <c r="BP695" s="77" t="s">
        <v>97</v>
      </c>
      <c r="BQ695" s="77"/>
      <c r="BR695" s="77"/>
      <c r="BS695" s="255">
        <v>2020</v>
      </c>
      <c r="BU695">
        <v>2021</v>
      </c>
    </row>
  </sheetData>
  <autoFilter ref="A5:BW695"/>
  <conditionalFormatting sqref="X426:Y428 X467:Y468 X471:Y477 X510:Y514 X430:Y434 X448:Y449 X452:Y455 X461:Y464 X480:Y482 X485:Y485 X499:Y500 X516:Y543 X487:Y490 X492:Y496 X437:Y439 X441:Y441 X457:Y459 X545:Y599 X606:Y606 X633:Y633 X631:Y631">
    <cfRule type="expression" dxfId="64" priority="97">
      <formula>IF(W426=1,X426&lt;18960,IF(W426=2,X426&lt;27729,IF(W426=3,X426&lt;33346,IF(W426=4,X426&lt;38958,IF(W426=5,X426&lt;44592,IF(W426=4,X426&lt;38958,IF(W426=6,X426&lt;50209)))))))</formula>
    </cfRule>
  </conditionalFormatting>
  <conditionalFormatting sqref="X466:Y466">
    <cfRule type="expression" dxfId="63" priority="96">
      <formula>IF(W466=1,X466&lt;18960,IF(W466=2,X466&lt;27729,IF(W466=3,X466&lt;33346,IF(W466=4,X466&lt;38958,IF(W466=5,X466&lt;44592)))))</formula>
    </cfRule>
  </conditionalFormatting>
  <conditionalFormatting sqref="X470:Y470">
    <cfRule type="expression" dxfId="62" priority="95">
      <formula>IF(W470=1,X470&lt;18960,IF(W470=2,X470&lt;27729,IF(W470=3,X470&lt;33346,IF(W470=4,X470&lt;38958,IF(W470=5,X470&lt;44592)))))</formula>
    </cfRule>
  </conditionalFormatting>
  <conditionalFormatting sqref="X501:Y508">
    <cfRule type="expression" dxfId="61" priority="94">
      <formula>IF(W501=1,X501&lt;18960,IF(W501=2,X501&lt;27729,IF(W501=3,X501&lt;33346,IF(W501=4,X501&lt;38958,IF(W501=5,X501&lt;44592)))))</formula>
    </cfRule>
  </conditionalFormatting>
  <conditionalFormatting sqref="X509:Y509">
    <cfRule type="expression" dxfId="60" priority="93">
      <formula>IF(W509=1,X509&lt;18960,IF(W509=2,X509&lt;27729,IF(W509=3,X509&lt;33346,IF(W509=4,X509&lt;38958,IF(W509=5,X509&lt;44592)))))</formula>
    </cfRule>
  </conditionalFormatting>
  <conditionalFormatting sqref="X429:Y429">
    <cfRule type="expression" dxfId="59" priority="92">
      <formula>IF(W429=1,X429&lt;18960,IF(W429=2,X429&lt;27729,IF(W429=3,X429&lt;33346,IF(W429=4,X429&lt;38958,IF(W429=5,X429&lt;44592)))))</formula>
    </cfRule>
  </conditionalFormatting>
  <conditionalFormatting sqref="X450:Y450">
    <cfRule type="expression" dxfId="58" priority="90">
      <formula>IF(W450=1,X450&lt;18960,IF(W450=2,X450&lt;27729,IF(W450=3,X450&lt;33346,IF(W450=4,X450&lt;38958,IF(W450=5,X450&lt;44592)))))</formula>
    </cfRule>
  </conditionalFormatting>
  <conditionalFormatting sqref="X460:Y460">
    <cfRule type="expression" dxfId="57" priority="89">
      <formula>IF(W460=1,X460&lt;18960,IF(W460=2,X460&lt;27729,IF(W460=3,X460&lt;33346,IF(W460=4,X460&lt;38958,IF(W460=5,X460&lt;44592)))))</formula>
    </cfRule>
  </conditionalFormatting>
  <conditionalFormatting sqref="X465:Y465">
    <cfRule type="expression" dxfId="56" priority="88">
      <formula>IF(W465=1,X465&lt;18960,IF(W465=2,X465&lt;27729,IF(W465=3,X465&lt;33346,IF(W465=4,X465&lt;38958,IF(W465=5,X465&lt;44592)))))</formula>
    </cfRule>
  </conditionalFormatting>
  <conditionalFormatting sqref="X479:Y479">
    <cfRule type="expression" dxfId="55" priority="87">
      <formula>IF(W479=1,X479&lt;18960,IF(W479=2,X479&lt;27729,IF(W479=3,X479&lt;33346,IF(W479=4,X479&lt;38958,IF(W479=5,X479&lt;44592)))))</formula>
    </cfRule>
  </conditionalFormatting>
  <conditionalFormatting sqref="X483:Y483">
    <cfRule type="expression" dxfId="54" priority="86">
      <formula>IF(W483=1,X483&lt;18960,IF(W483=2,X483&lt;27729,IF(W483=3,X483&lt;33346,IF(W483=4,X483&lt;38958,IF(W483=5,X483&lt;44592)))))</formula>
    </cfRule>
  </conditionalFormatting>
  <conditionalFormatting sqref="X497:Y497">
    <cfRule type="expression" dxfId="53" priority="85">
      <formula>IF(W497=1,X497&lt;18960,IF(W497=2,X497&lt;27729,IF(W497=3,X497&lt;33346,IF(W497=4,X497&lt;38958,IF(W497=5,X497&lt;44592)))))</formula>
    </cfRule>
  </conditionalFormatting>
  <conditionalFormatting sqref="X515:Y515">
    <cfRule type="expression" dxfId="52" priority="84">
      <formula>IF(W515=1,X515&lt;18960,IF(W515=2,X515&lt;27729,IF(W515=3,X515&lt;33346,IF(W515=4,X515&lt;38958,IF(W515=5,X515&lt;44592)))))</formula>
    </cfRule>
  </conditionalFormatting>
  <conditionalFormatting sqref="X484:Y484">
    <cfRule type="expression" dxfId="51" priority="83">
      <formula>IF(W484=1,X484&lt;18960,IF(W484=2,X484&lt;27729,IF(W484=3,X484&lt;33346,IF(W484=4,X484&lt;38958,IF(W484=5,X484&lt;44592)))))</formula>
    </cfRule>
  </conditionalFormatting>
  <conditionalFormatting sqref="X486:Y486">
    <cfRule type="expression" dxfId="50" priority="82">
      <formula>IF(W486=1,X486&lt;18960,IF(W486=2,X486&lt;27729,IF(W486=3,X486&lt;33346,IF(W486=4,X486&lt;38958,IF(W486=5,X486&lt;44592)))))</formula>
    </cfRule>
  </conditionalFormatting>
  <conditionalFormatting sqref="X491:Y491">
    <cfRule type="expression" dxfId="49" priority="81">
      <formula>IF(W491=1,X491&lt;18960,IF(W491=2,X491&lt;27729,IF(W491=3,X491&lt;33346,IF(W491=4,X491&lt;38958,IF(W491=5,X491&lt;44592)))))</formula>
    </cfRule>
  </conditionalFormatting>
  <conditionalFormatting sqref="X498:Y498">
    <cfRule type="expression" dxfId="48" priority="80">
      <formula>IF(W498=1,X498&lt;18960,IF(W498=2,X498&lt;27729,IF(W498=3,X498&lt;33346,IF(W498=4,X498&lt;38958,IF(W498=5,X498&lt;44592)))))</formula>
    </cfRule>
  </conditionalFormatting>
  <conditionalFormatting sqref="X544:Y544">
    <cfRule type="expression" dxfId="47" priority="79">
      <formula>IF(W544=1,X544&lt;18960,IF(W544=2,X544&lt;27729,IF(W544=3,X544&lt;33346,IF(W544=4,X544&lt;38958,IF(W544=5,X544&lt;44592)))))</formula>
    </cfRule>
  </conditionalFormatting>
  <conditionalFormatting sqref="X604:Y605">
    <cfRule type="expression" dxfId="46" priority="78">
      <formula>IF(W604=1,X604&lt;18960,IF(W604=2,X604&lt;27729,IF(W604=3,X604&lt;33346,IF(W604=4,X604&lt;38958,IF(W604=5,X604&lt;44592,IF(W604=4,X604&lt;38958,IF(W604=6,X604&lt;50209)))))))</formula>
    </cfRule>
  </conditionalFormatting>
  <conditionalFormatting sqref="X602:Y603">
    <cfRule type="expression" dxfId="45" priority="77">
      <formula>IF(W602=1,X602&lt;18960,IF(W602=2,X602&lt;27729,IF(W602=3,X602&lt;33346,IF(W602=4,X602&lt;38958,IF(W602=5,X602&lt;44592,IF(W602=4,X602&lt;38958,IF(W602=6,X602&lt;50209)))))))</formula>
    </cfRule>
  </conditionalFormatting>
  <conditionalFormatting sqref="X600:Y601">
    <cfRule type="expression" dxfId="44" priority="76">
      <formula>IF(W600=1,X600&lt;18960,IF(W600=2,X600&lt;27729,IF(W600=3,X600&lt;33346,IF(W600=4,X600&lt;38958,IF(W600=5,X600&lt;44592,IF(W600=4,X600&lt;38958,IF(W600=6,X600&lt;50209)))))))</formula>
    </cfRule>
  </conditionalFormatting>
  <conditionalFormatting sqref="X632:Y632">
    <cfRule type="expression" dxfId="43" priority="75">
      <formula>IF(W632=1,X632&lt;18960,IF(W632=2,X632&lt;27729,IF(W632=3,X632&lt;33346,IF(W632=4,X632&lt;38958,IF(W632=5,X632&lt;44592,IF(W632=4,X632&lt;38958,IF(W632=6,X632&lt;50209)))))))</formula>
    </cfRule>
  </conditionalFormatting>
  <conditionalFormatting sqref="X630:Y630 X613:Y613">
    <cfRule type="expression" dxfId="42" priority="74">
      <formula>IF(W613=1,X613&lt;18960,IF(W613=2,X613&lt;27729,IF(W613=3,X613&lt;33346,IF(W613=4,X613&lt;38958,IF(W613=5,X613&lt;44592,IF(W613=4,X613&lt;38958,IF(W613=6,X613&lt;50209)))))))</formula>
    </cfRule>
  </conditionalFormatting>
  <conditionalFormatting sqref="X629:Y629">
    <cfRule type="expression" dxfId="41" priority="73">
      <formula>IF(W629=1,X629&lt;18960,IF(W629=2,X629&lt;27729,IF(W629=3,X629&lt;33346,IF(W629=4,X629&lt;38958,IF(W629=5,X629&lt;44592,IF(W629=4,X629&lt;38958,IF(W629=6,X629&lt;50209)))))))</formula>
    </cfRule>
  </conditionalFormatting>
  <conditionalFormatting sqref="X612:Y612 X610:Y610">
    <cfRule type="expression" dxfId="40" priority="72">
      <formula>IF(W610=1,X610&lt;18960,IF(W610=2,X610&lt;27729,IF(W610=3,X610&lt;33346,IF(W610=4,X610&lt;38958,IF(W610=5,X610&lt;44592,IF(W610=4,X610&lt;38958,IF(W610=6,X610&lt;50209)))))))</formula>
    </cfRule>
  </conditionalFormatting>
  <conditionalFormatting sqref="X611:Y611">
    <cfRule type="expression" dxfId="39" priority="71">
      <formula>IF(W611=1,X611&lt;18960,IF(W611=2,X611&lt;27729,IF(W611=3,X611&lt;33346,IF(W611=4,X611&lt;38958,IF(W611=5,X611&lt;44592,IF(W611=4,X611&lt;38958,IF(W611=6,X611&lt;50209)))))))</formula>
    </cfRule>
  </conditionalFormatting>
  <conditionalFormatting sqref="X609:Y609 X607:Y607">
    <cfRule type="expression" dxfId="38" priority="70">
      <formula>IF(W607=1,X607&lt;18960,IF(W607=2,X607&lt;27729,IF(W607=3,X607&lt;33346,IF(W607=4,X607&lt;38958,IF(W607=5,X607&lt;44592,IF(W607=4,X607&lt;38958,IF(W607=6,X607&lt;50209)))))))</formula>
    </cfRule>
  </conditionalFormatting>
  <conditionalFormatting sqref="X608:Y608">
    <cfRule type="expression" dxfId="37" priority="69">
      <formula>IF(W608=1,X608&lt;18960,IF(W608=2,X608&lt;27729,IF(W608=3,X608&lt;33346,IF(W608=4,X608&lt;38958,IF(W608=5,X608&lt;44592,IF(W608=4,X608&lt;38958,IF(W608=6,X608&lt;50209)))))))</formula>
    </cfRule>
  </conditionalFormatting>
  <conditionalFormatting sqref="X628:Y628 X626:Y626">
    <cfRule type="expression" dxfId="36" priority="68">
      <formula>IF(W626=1,X626&lt;18960,IF(W626=2,X626&lt;27729,IF(W626=3,X626&lt;33346,IF(W626=4,X626&lt;38958,IF(W626=5,X626&lt;44592,IF(W626=4,X626&lt;38958,IF(W626=6,X626&lt;50209)))))))</formula>
    </cfRule>
  </conditionalFormatting>
  <conditionalFormatting sqref="X627:Y627">
    <cfRule type="expression" dxfId="35" priority="67">
      <formula>IF(W627=1,X627&lt;18960,IF(W627=2,X627&lt;27729,IF(W627=3,X627&lt;33346,IF(W627=4,X627&lt;38958,IF(W627=5,X627&lt;44592,IF(W627=4,X627&lt;38958,IF(W627=6,X627&lt;50209)))))))</formula>
    </cfRule>
  </conditionalFormatting>
  <conditionalFormatting sqref="X625:Y625">
    <cfRule type="expression" dxfId="34" priority="66">
      <formula>IF(W625=1,X625&lt;18960,IF(W625=2,X625&lt;27729,IF(W625=3,X625&lt;33346,IF(W625=4,X625&lt;38958,IF(W625=5,X625&lt;44592,IF(W625=4,X625&lt;38958,IF(W625=6,X625&lt;50209)))))))</formula>
    </cfRule>
  </conditionalFormatting>
  <conditionalFormatting sqref="X624:Y624">
    <cfRule type="expression" dxfId="33" priority="65">
      <formula>IF(W624=1,X624&lt;18960,IF(W624=2,X624&lt;27729,IF(W624=3,X624&lt;33346,IF(W624=4,X624&lt;38958,IF(W624=5,X624&lt;44592,IF(W624=4,X624&lt;38958,IF(W624=6,X624&lt;50209)))))))</formula>
    </cfRule>
  </conditionalFormatting>
  <conditionalFormatting sqref="X623:Y623 X621:Y621">
    <cfRule type="expression" dxfId="32" priority="64">
      <formula>IF(W621=1,X621&lt;18960,IF(W621=2,X621&lt;27729,IF(W621=3,X621&lt;33346,IF(W621=4,X621&lt;38958,IF(W621=5,X621&lt;44592,IF(W621=4,X621&lt;38958,IF(W621=6,X621&lt;50209)))))))</formula>
    </cfRule>
  </conditionalFormatting>
  <conditionalFormatting sqref="X622:Y622">
    <cfRule type="expression" dxfId="31" priority="63">
      <formula>IF(W622=1,X622&lt;18960,IF(W622=2,X622&lt;27729,IF(W622=3,X622&lt;33346,IF(W622=4,X622&lt;38958,IF(W622=5,X622&lt;44592,IF(W622=4,X622&lt;38958,IF(W622=6,X622&lt;50209)))))))</formula>
    </cfRule>
  </conditionalFormatting>
  <conditionalFormatting sqref="X620:Y620">
    <cfRule type="expression" dxfId="30" priority="62">
      <formula>IF(W620=1,X620&lt;18960,IF(W620=2,X620&lt;27729,IF(W620=3,X620&lt;33346,IF(W620=4,X620&lt;38958,IF(W620=5,X620&lt;44592,IF(W620=4,X620&lt;38958,IF(W620=6,X620&lt;50209)))))))</formula>
    </cfRule>
  </conditionalFormatting>
  <conditionalFormatting sqref="X619:Y619">
    <cfRule type="expression" dxfId="29" priority="61">
      <formula>IF(W619=1,X619&lt;18960,IF(W619=2,X619&lt;27729,IF(W619=3,X619&lt;33346,IF(W619=4,X619&lt;38958,IF(W619=5,X619&lt;44592,IF(W619=4,X619&lt;38958,IF(W619=6,X619&lt;50209)))))))</formula>
    </cfRule>
  </conditionalFormatting>
  <conditionalFormatting sqref="X618:Y618 X616:Y616">
    <cfRule type="expression" dxfId="28" priority="60">
      <formula>IF(W616=1,X616&lt;18960,IF(W616=2,X616&lt;27729,IF(W616=3,X616&lt;33346,IF(W616=4,X616&lt;38958,IF(W616=5,X616&lt;44592,IF(W616=4,X616&lt;38958,IF(W616=6,X616&lt;50209)))))))</formula>
    </cfRule>
  </conditionalFormatting>
  <conditionalFormatting sqref="X617:Y617">
    <cfRule type="expression" dxfId="27" priority="59">
      <formula>IF(W617=1,X617&lt;18960,IF(W617=2,X617&lt;27729,IF(W617=3,X617&lt;33346,IF(W617=4,X617&lt;38958,IF(W617=5,X617&lt;44592,IF(W617=4,X617&lt;38958,IF(W617=6,X617&lt;50209)))))))</formula>
    </cfRule>
  </conditionalFormatting>
  <conditionalFormatting sqref="X615:Y615">
    <cfRule type="expression" dxfId="26" priority="58">
      <formula>IF(W615=1,X615&lt;18960,IF(W615=2,X615&lt;27729,IF(W615=3,X615&lt;33346,IF(W615=4,X615&lt;38958,IF(W615=5,X615&lt;44592,IF(W615=4,X615&lt;38958,IF(W615=6,X615&lt;50209)))))))</formula>
    </cfRule>
  </conditionalFormatting>
  <conditionalFormatting sqref="X614:Y614">
    <cfRule type="expression" dxfId="25" priority="57">
      <formula>IF(W614=1,X614&lt;18960,IF(W614=2,X614&lt;27729,IF(W614=3,X614&lt;33346,IF(W614=4,X614&lt;38958,IF(W614=5,X614&lt;44592,IF(W614=4,X614&lt;38958,IF(W614=6,X614&lt;50209)))))))</formula>
    </cfRule>
  </conditionalFormatting>
  <conditionalFormatting sqref="X636:Y636 X634:Y634">
    <cfRule type="expression" dxfId="24" priority="56">
      <formula>IF(W634=1,X634&lt;18960,IF(W634=2,X634&lt;27729,IF(W634=3,X634&lt;33346,IF(W634=4,X634&lt;38958,IF(W634=5,X634&lt;44592,IF(W634=4,X634&lt;38958,IF(W634=6,X634&lt;50209)))))))</formula>
    </cfRule>
  </conditionalFormatting>
  <conditionalFormatting sqref="X635:Y635">
    <cfRule type="expression" dxfId="23" priority="55">
      <formula>IF(W635=1,X635&lt;18960,IF(W635=2,X635&lt;27729,IF(W635=3,X635&lt;33346,IF(W635=4,X635&lt;38958,IF(W635=5,X635&lt;44592,IF(W635=4,X635&lt;38958,IF(W635=6,X635&lt;50209)))))))</formula>
    </cfRule>
  </conditionalFormatting>
  <conditionalFormatting sqref="X639:Y639 X637:Y637">
    <cfRule type="expression" dxfId="22" priority="54">
      <formula>IF(W637=1,X637&lt;18960,IF(W637=2,X637&lt;27729,IF(W637=3,X637&lt;33346,IF(W637=4,X637&lt;38958,IF(W637=5,X637&lt;44592,IF(W637=4,X637&lt;38958,IF(W637=6,X637&lt;50209)))))))</formula>
    </cfRule>
  </conditionalFormatting>
  <conditionalFormatting sqref="X638:Y638">
    <cfRule type="expression" dxfId="21" priority="53">
      <formula>IF(W638=1,X638&lt;18960,IF(W638=2,X638&lt;27729,IF(W638=3,X638&lt;33346,IF(W638=4,X638&lt;38958,IF(W638=5,X638&lt;44592,IF(W638=4,X638&lt;38958,IF(W638=6,X638&lt;50209)))))))</formula>
    </cfRule>
  </conditionalFormatting>
  <conditionalFormatting sqref="X642:Y642">
    <cfRule type="expression" dxfId="20" priority="38">
      <formula>IF(W642=1,X642&lt;18960,IF(W642=2,X642&lt;27729,IF(W642=3,X642&lt;33346,IF(W642=4,X642&lt;38958,IF(W642=5,X642&lt;44592,IF(W642=4,X642&lt;38958,IF(W642=6,X642&lt;50209)))))))</formula>
    </cfRule>
  </conditionalFormatting>
  <conditionalFormatting sqref="X641:Y641">
    <cfRule type="expression" dxfId="19" priority="37">
      <formula>IF(W641=1,X641&lt;18960,IF(W641=2,X641&lt;27729,IF(W641=3,X641&lt;33346,IF(W641=4,X641&lt;38958,IF(W641=5,X641&lt;44592,IF(W641=4,X641&lt;38958,IF(W641=6,X641&lt;50209)))))))</formula>
    </cfRule>
  </conditionalFormatting>
  <conditionalFormatting sqref="X643:Y687">
    <cfRule type="expression" dxfId="18" priority="22">
      <formula>IF(W643=1,X643&lt;19074,IF(W643=2,X643&lt;27896,IF(W643=3,X643&lt;33547,IF(W643=4,X643&lt;39192,IF(W643=5,X643&lt;44860,IF(W643=6,X643&lt;50511,IF(W643=7,X643&lt;56162)))))))</formula>
    </cfRule>
  </conditionalFormatting>
  <conditionalFormatting sqref="X693:Y693">
    <cfRule type="expression" dxfId="17" priority="9">
      <formula>IF(W693=1,X693&lt;19074,IF(W693=2,X693&lt;27896,IF(W693=3,X693&lt;33547,IF(W693=4,X693&lt;39192,IF(W693=5,X693&lt;44860,IF(W693=6,X693&lt;50511,IF(W693=7,X693&lt;56162)))))))</formula>
    </cfRule>
  </conditionalFormatting>
  <conditionalFormatting sqref="X688:Y688">
    <cfRule type="expression" dxfId="16" priority="7">
      <formula>IF(W688=1,X688&lt;19074,IF(W688=2,X688&lt;27896,IF(W688=3,X688&lt;33547,IF(W688=4,X688&lt;39192,IF(W688=5,X688&lt;44860,IF(W688=6,X688&lt;50511,IF(W688=7,X688&lt;56162)))))))</formula>
    </cfRule>
  </conditionalFormatting>
  <conditionalFormatting sqref="X689:Y689">
    <cfRule type="expression" dxfId="15" priority="6">
      <formula>IF(W689=1,X689&lt;19074,IF(W689=2,X689&lt;27896,IF(W689=3,X689&lt;33547,IF(W689=4,X689&lt;39192,IF(W689=5,X689&lt;44860,IF(W689=6,X689&lt;50511,IF(W689=7,X689&lt;56162)))))))</formula>
    </cfRule>
  </conditionalFormatting>
  <conditionalFormatting sqref="X690:Y690">
    <cfRule type="expression" dxfId="14" priority="5">
      <formula>IF(W690=1,X690&lt;19074,IF(W690=2,X690&lt;27896,IF(W690=3,X690&lt;33547,IF(W690=4,X690&lt;39192,IF(W690=5,X690&lt;44860,IF(W690=6,X690&lt;50511,IF(W690=7,X690&lt;56162)))))))</formula>
    </cfRule>
  </conditionalFormatting>
  <conditionalFormatting sqref="X691:Y691">
    <cfRule type="expression" dxfId="13" priority="4">
      <formula>IF(W691=1,X691&lt;19074,IF(W691=2,X691&lt;27896,IF(W691=3,X691&lt;33547,IF(W691=4,X691&lt;39192,IF(W691=5,X691&lt;44860,IF(W691=6,X691&lt;50511,IF(W691=7,X691&lt;56162)))))))</formula>
    </cfRule>
  </conditionalFormatting>
  <conditionalFormatting sqref="X692:Y692">
    <cfRule type="expression" dxfId="12" priority="3">
      <formula>IF(W692=1,X692&lt;19074,IF(W692=2,X692&lt;27896,IF(W692=3,X692&lt;33547,IF(W692=4,X692&lt;39192,IF(W692=5,X692&lt;44860,IF(W692=6,X692&lt;50511,IF(W692=7,X692&lt;56162)))))))</formula>
    </cfRule>
  </conditionalFormatting>
  <conditionalFormatting sqref="X695:Y695">
    <cfRule type="expression" dxfId="11" priority="2">
      <formula>IF(W695=1,X695&lt;19074,IF(W695=2,X695&lt;27896,IF(W695=3,X695&lt;33547,IF(W695=4,X695&lt;39192,IF(W695=5,X695&lt;44860,IF(W695=6,X695&lt;50511,IF(W695=7,X695&lt;56162)))))))</formula>
    </cfRule>
  </conditionalFormatting>
  <conditionalFormatting sqref="X694:Y694">
    <cfRule type="expression" dxfId="10" priority="1">
      <formula>IF(W694=1,X694&lt;19074,IF(W694=2,X694&lt;27896,IF(W694=3,X694&lt;33547,IF(W694=4,X694&lt;39192,IF(W694=5,X694&lt;44860,IF(W694=6,X694&lt;50511,IF(W694=7,X694&lt;56162)))))))</formula>
    </cfRule>
  </conditionalFormatting>
  <hyperlinks>
    <hyperlink ref="AS135" r:id="rId1"/>
    <hyperlink ref="AS136" r:id="rId2"/>
    <hyperlink ref="AS137" r:id="rId3"/>
    <hyperlink ref="AS140" r:id="rId4"/>
    <hyperlink ref="AS141" r:id="rId5"/>
    <hyperlink ref="AS138" r:id="rId6"/>
    <hyperlink ref="AS149" r:id="rId7"/>
    <hyperlink ref="AS152" r:id="rId8"/>
    <hyperlink ref="AS153" r:id="rId9"/>
    <hyperlink ref="AS154" r:id="rId10"/>
    <hyperlink ref="AS155" r:id="rId11"/>
    <hyperlink ref="AS156" r:id="rId12"/>
    <hyperlink ref="AS157" r:id="rId13"/>
    <hyperlink ref="AS160" r:id="rId14"/>
    <hyperlink ref="AS161" r:id="rId15"/>
    <hyperlink ref="AS163" r:id="rId16"/>
    <hyperlink ref="AS165" r:id="rId17"/>
    <hyperlink ref="AS172" r:id="rId18"/>
    <hyperlink ref="AS174" r:id="rId19"/>
    <hyperlink ref="AS175" r:id="rId20"/>
    <hyperlink ref="AS176" r:id="rId21"/>
    <hyperlink ref="AS178" r:id="rId22"/>
    <hyperlink ref="AS179" r:id="rId23"/>
    <hyperlink ref="AS180" r:id="rId24"/>
    <hyperlink ref="AS181" r:id="rId25"/>
    <hyperlink ref="AS182" r:id="rId26"/>
    <hyperlink ref="AS183" r:id="rId27"/>
    <hyperlink ref="AS184" r:id="rId28"/>
    <hyperlink ref="AS185" r:id="rId29"/>
    <hyperlink ref="AS186" r:id="rId30"/>
    <hyperlink ref="AS187" r:id="rId31"/>
    <hyperlink ref="AS190" r:id="rId32"/>
    <hyperlink ref="AS191" r:id="rId33"/>
    <hyperlink ref="AS193" r:id="rId34"/>
    <hyperlink ref="AS194" r:id="rId35"/>
    <hyperlink ref="AS197" r:id="rId36"/>
    <hyperlink ref="AS199" r:id="rId37"/>
    <hyperlink ref="AS200" r:id="rId38"/>
    <hyperlink ref="AS201" r:id="rId39"/>
    <hyperlink ref="AQ202" r:id="rId40"/>
    <hyperlink ref="AS203" r:id="rId41"/>
    <hyperlink ref="AS204" r:id="rId42"/>
    <hyperlink ref="AS205" r:id="rId43"/>
    <hyperlink ref="AS206" r:id="rId44"/>
    <hyperlink ref="AS208" r:id="rId45"/>
    <hyperlink ref="AS209" r:id="rId46"/>
    <hyperlink ref="AS210" r:id="rId47"/>
    <hyperlink ref="AS211" r:id="rId48"/>
    <hyperlink ref="AS212" r:id="rId49"/>
    <hyperlink ref="AS213" r:id="rId50"/>
    <hyperlink ref="AS214" r:id="rId51"/>
    <hyperlink ref="AS215" r:id="rId52"/>
    <hyperlink ref="AS217" r:id="rId53"/>
    <hyperlink ref="AS218" r:id="rId54"/>
    <hyperlink ref="AS221" r:id="rId55"/>
    <hyperlink ref="AS222" r:id="rId56"/>
    <hyperlink ref="AS223" r:id="rId57"/>
    <hyperlink ref="AS224" r:id="rId58"/>
    <hyperlink ref="AS225" r:id="rId59"/>
    <hyperlink ref="AS226" r:id="rId60"/>
    <hyperlink ref="AS227" r:id="rId61"/>
    <hyperlink ref="AS228" r:id="rId62"/>
    <hyperlink ref="AS229" r:id="rId63"/>
    <hyperlink ref="AS230" r:id="rId64"/>
    <hyperlink ref="AS231" r:id="rId65"/>
    <hyperlink ref="AS233" r:id="rId66"/>
    <hyperlink ref="AS234" r:id="rId67"/>
    <hyperlink ref="AS235" r:id="rId68"/>
    <hyperlink ref="AS236" r:id="rId69"/>
    <hyperlink ref="AS237" r:id="rId70"/>
    <hyperlink ref="AS238" r:id="rId71"/>
    <hyperlink ref="AS239" r:id="rId72"/>
    <hyperlink ref="AS240" r:id="rId73"/>
    <hyperlink ref="AS241" r:id="rId74"/>
    <hyperlink ref="AS242" r:id="rId75"/>
    <hyperlink ref="AS244" r:id="rId76"/>
    <hyperlink ref="AS245" r:id="rId77"/>
    <hyperlink ref="AS246" r:id="rId78"/>
    <hyperlink ref="AS247" r:id="rId79"/>
    <hyperlink ref="AS248" r:id="rId80"/>
    <hyperlink ref="AS249" r:id="rId81"/>
    <hyperlink ref="AS250" r:id="rId82"/>
    <hyperlink ref="AS251" r:id="rId83"/>
    <hyperlink ref="AS252" r:id="rId84"/>
    <hyperlink ref="AS253" r:id="rId85"/>
    <hyperlink ref="AS254" r:id="rId86"/>
    <hyperlink ref="AS255" r:id="rId87"/>
    <hyperlink ref="AS256" r:id="rId88"/>
    <hyperlink ref="AS257" r:id="rId89"/>
    <hyperlink ref="AS258" r:id="rId90"/>
    <hyperlink ref="AS259" r:id="rId91"/>
    <hyperlink ref="AS260" r:id="rId92"/>
    <hyperlink ref="AS261" r:id="rId93"/>
    <hyperlink ref="AS262" r:id="rId94"/>
    <hyperlink ref="AS263" r:id="rId95"/>
    <hyperlink ref="AS264" r:id="rId96"/>
    <hyperlink ref="AS265" r:id="rId97"/>
    <hyperlink ref="AS267" r:id="rId98"/>
    <hyperlink ref="AS268" r:id="rId99"/>
    <hyperlink ref="AS269" r:id="rId100"/>
    <hyperlink ref="AS270" r:id="rId101"/>
    <hyperlink ref="AS271" r:id="rId102"/>
    <hyperlink ref="AS272" r:id="rId103"/>
    <hyperlink ref="AS273" r:id="rId104"/>
    <hyperlink ref="AS274" r:id="rId105"/>
    <hyperlink ref="AS275" r:id="rId106"/>
    <hyperlink ref="AS279" r:id="rId107"/>
    <hyperlink ref="AS280" r:id="rId108"/>
    <hyperlink ref="AS281" r:id="rId109"/>
    <hyperlink ref="AS283" r:id="rId110"/>
    <hyperlink ref="AS284" r:id="rId111"/>
    <hyperlink ref="AS285" r:id="rId112"/>
    <hyperlink ref="AS286" r:id="rId113"/>
    <hyperlink ref="AS287" r:id="rId114"/>
    <hyperlink ref="AS288" r:id="rId115"/>
    <hyperlink ref="AS289" r:id="rId116"/>
    <hyperlink ref="AS290" r:id="rId117"/>
    <hyperlink ref="AS291" r:id="rId118"/>
    <hyperlink ref="AS292" r:id="rId119"/>
    <hyperlink ref="AS293" r:id="rId120"/>
    <hyperlink ref="AS294" r:id="rId121"/>
    <hyperlink ref="AS295" r:id="rId122"/>
    <hyperlink ref="AS296" r:id="rId123"/>
    <hyperlink ref="AS297" r:id="rId124"/>
    <hyperlink ref="AS298" r:id="rId125"/>
    <hyperlink ref="AS299" r:id="rId126"/>
    <hyperlink ref="AS300" r:id="rId127"/>
    <hyperlink ref="AS301" r:id="rId128"/>
    <hyperlink ref="AS302" r:id="rId129"/>
    <hyperlink ref="AS304" r:id="rId130"/>
    <hyperlink ref="AS305" r:id="rId131"/>
    <hyperlink ref="AS306" r:id="rId132"/>
    <hyperlink ref="AS307" r:id="rId133"/>
    <hyperlink ref="AS308" r:id="rId134"/>
    <hyperlink ref="AS309" r:id="rId135"/>
    <hyperlink ref="AS310" r:id="rId136"/>
    <hyperlink ref="AS311" r:id="rId137"/>
    <hyperlink ref="AS312" r:id="rId138"/>
    <hyperlink ref="AS313" r:id="rId139"/>
    <hyperlink ref="AS314" r:id="rId140"/>
    <hyperlink ref="AS315" r:id="rId141"/>
    <hyperlink ref="AS316" r:id="rId142"/>
    <hyperlink ref="AS317" r:id="rId143"/>
    <hyperlink ref="AS318" r:id="rId144"/>
    <hyperlink ref="AS319" r:id="rId145"/>
    <hyperlink ref="AS320" r:id="rId146"/>
    <hyperlink ref="AS321" r:id="rId147"/>
    <hyperlink ref="AS322" r:id="rId148"/>
    <hyperlink ref="AS323" r:id="rId149"/>
    <hyperlink ref="AS324" r:id="rId150"/>
    <hyperlink ref="AS325" r:id="rId151"/>
    <hyperlink ref="AS326" r:id="rId152"/>
    <hyperlink ref="AS327" r:id="rId153"/>
    <hyperlink ref="AS328" r:id="rId154"/>
    <hyperlink ref="AS329" r:id="rId155"/>
    <hyperlink ref="AS330" r:id="rId156"/>
    <hyperlink ref="AS331" r:id="rId157"/>
    <hyperlink ref="AS332" r:id="rId158"/>
    <hyperlink ref="AS333" r:id="rId159"/>
    <hyperlink ref="AS334" r:id="rId160"/>
    <hyperlink ref="AS335" r:id="rId161"/>
    <hyperlink ref="AS336" r:id="rId162"/>
    <hyperlink ref="AS337" r:id="rId163"/>
    <hyperlink ref="AS338" r:id="rId164"/>
    <hyperlink ref="AS339" r:id="rId165"/>
    <hyperlink ref="AS340" r:id="rId166"/>
    <hyperlink ref="AS341" r:id="rId167"/>
    <hyperlink ref="AS342" r:id="rId168"/>
    <hyperlink ref="AS343" r:id="rId169"/>
    <hyperlink ref="AS344" r:id="rId170"/>
    <hyperlink ref="AS345" r:id="rId171"/>
    <hyperlink ref="AS346" r:id="rId172"/>
    <hyperlink ref="AS347" r:id="rId173"/>
    <hyperlink ref="AS348" r:id="rId174"/>
    <hyperlink ref="AS349" r:id="rId175"/>
    <hyperlink ref="AS350" r:id="rId176"/>
    <hyperlink ref="AS351" r:id="rId177"/>
    <hyperlink ref="AS352" r:id="rId178"/>
    <hyperlink ref="AS354" r:id="rId179"/>
    <hyperlink ref="AS355" r:id="rId180"/>
    <hyperlink ref="AS356" r:id="rId181"/>
    <hyperlink ref="AS357" r:id="rId182"/>
    <hyperlink ref="AS358" r:id="rId183"/>
    <hyperlink ref="AS359" r:id="rId184"/>
    <hyperlink ref="AS360" r:id="rId185"/>
    <hyperlink ref="AS361" r:id="rId186"/>
    <hyperlink ref="AS362" r:id="rId187"/>
    <hyperlink ref="AS363" r:id="rId188"/>
    <hyperlink ref="AS364" r:id="rId189"/>
    <hyperlink ref="AS365" r:id="rId190"/>
    <hyperlink ref="AS366" r:id="rId191"/>
    <hyperlink ref="AS367" r:id="rId192"/>
    <hyperlink ref="AS368" r:id="rId193"/>
    <hyperlink ref="AS369" r:id="rId194"/>
    <hyperlink ref="AS371" r:id="rId195"/>
    <hyperlink ref="AS372" r:id="rId196"/>
    <hyperlink ref="AS373" r:id="rId197"/>
    <hyperlink ref="AS374" r:id="rId198"/>
    <hyperlink ref="AS375" r:id="rId199"/>
    <hyperlink ref="AS376" r:id="rId200"/>
    <hyperlink ref="AS377" r:id="rId201"/>
    <hyperlink ref="AS378" r:id="rId202"/>
    <hyperlink ref="AS379" r:id="rId203"/>
    <hyperlink ref="AS380" r:id="rId204"/>
    <hyperlink ref="AS381" r:id="rId205"/>
    <hyperlink ref="AS382" r:id="rId206"/>
    <hyperlink ref="AS383" r:id="rId207"/>
    <hyperlink ref="AS384" r:id="rId208"/>
    <hyperlink ref="AS385" r:id="rId209"/>
    <hyperlink ref="AS386" r:id="rId210"/>
    <hyperlink ref="AS387" r:id="rId211"/>
    <hyperlink ref="AS388" r:id="rId212"/>
    <hyperlink ref="AS389" r:id="rId213"/>
    <hyperlink ref="AS390" r:id="rId214"/>
    <hyperlink ref="AS391" r:id="rId215"/>
    <hyperlink ref="AS392" r:id="rId216"/>
    <hyperlink ref="AS393" r:id="rId217"/>
    <hyperlink ref="AS394" r:id="rId218"/>
    <hyperlink ref="AS395" r:id="rId219"/>
    <hyperlink ref="AS396" r:id="rId220"/>
    <hyperlink ref="AS397" r:id="rId221"/>
    <hyperlink ref="AS398" r:id="rId222"/>
    <hyperlink ref="AS399" r:id="rId223"/>
    <hyperlink ref="AS400" r:id="rId224"/>
    <hyperlink ref="AS401" r:id="rId225"/>
    <hyperlink ref="AS402" r:id="rId226"/>
    <hyperlink ref="AS403" r:id="rId227"/>
    <hyperlink ref="AS404" r:id="rId228"/>
    <hyperlink ref="AS405" r:id="rId229"/>
    <hyperlink ref="AS406" r:id="rId230"/>
    <hyperlink ref="AS407" r:id="rId231"/>
    <hyperlink ref="AS408" r:id="rId232"/>
    <hyperlink ref="AS409" r:id="rId233"/>
    <hyperlink ref="AS410" r:id="rId234"/>
    <hyperlink ref="AS411" r:id="rId235"/>
    <hyperlink ref="AS412" r:id="rId236"/>
    <hyperlink ref="AS413" r:id="rId237"/>
    <hyperlink ref="AS414" r:id="rId238"/>
    <hyperlink ref="AS415" r:id="rId239"/>
    <hyperlink ref="AS416" r:id="rId240"/>
    <hyperlink ref="AS417" r:id="rId241"/>
    <hyperlink ref="AS418" r:id="rId242"/>
    <hyperlink ref="AS419" r:id="rId243"/>
    <hyperlink ref="AS420" r:id="rId244"/>
    <hyperlink ref="AS421" r:id="rId245"/>
    <hyperlink ref="AS422" r:id="rId246"/>
    <hyperlink ref="AS423" r:id="rId247"/>
    <hyperlink ref="AS424" r:id="rId248"/>
    <hyperlink ref="AS425" r:id="rId249"/>
    <hyperlink ref="AS426" r:id="rId250"/>
    <hyperlink ref="AS427" r:id="rId251"/>
    <hyperlink ref="AS428" r:id="rId252"/>
    <hyperlink ref="AS429" r:id="rId253"/>
    <hyperlink ref="AS430" r:id="rId254"/>
    <hyperlink ref="AS431" r:id="rId255"/>
    <hyperlink ref="AS432" r:id="rId256"/>
    <hyperlink ref="AS433" r:id="rId257"/>
    <hyperlink ref="AS434" r:id="rId258"/>
    <hyperlink ref="AS435" r:id="rId259"/>
    <hyperlink ref="AS436" r:id="rId260"/>
    <hyperlink ref="AS437" r:id="rId261"/>
    <hyperlink ref="AS438" r:id="rId262"/>
    <hyperlink ref="AS439" r:id="rId263"/>
    <hyperlink ref="AS440" r:id="rId264"/>
    <hyperlink ref="AS441" r:id="rId265"/>
    <hyperlink ref="AS442" r:id="rId266"/>
    <hyperlink ref="AS443" r:id="rId267"/>
    <hyperlink ref="AS444" r:id="rId268"/>
    <hyperlink ref="AS445" r:id="rId269"/>
    <hyperlink ref="AS446" r:id="rId270"/>
    <hyperlink ref="AS447" r:id="rId271"/>
    <hyperlink ref="AS448" r:id="rId272"/>
    <hyperlink ref="AS449" r:id="rId273"/>
    <hyperlink ref="AS450" r:id="rId274"/>
    <hyperlink ref="AS451" r:id="rId275"/>
    <hyperlink ref="AS453" r:id="rId276"/>
    <hyperlink ref="AS454" r:id="rId277"/>
    <hyperlink ref="AS455" r:id="rId278"/>
    <hyperlink ref="AS456" r:id="rId279"/>
    <hyperlink ref="AS457" r:id="rId280"/>
    <hyperlink ref="AS458" r:id="rId281"/>
    <hyperlink ref="AS459" r:id="rId282"/>
    <hyperlink ref="AS460" r:id="rId283"/>
    <hyperlink ref="AS461" r:id="rId284"/>
    <hyperlink ref="AS462" r:id="rId285"/>
    <hyperlink ref="AS464" r:id="rId286"/>
    <hyperlink ref="AS465" r:id="rId287"/>
    <hyperlink ref="AS466" r:id="rId288"/>
    <hyperlink ref="AS467" r:id="rId289"/>
    <hyperlink ref="AS468" r:id="rId290"/>
    <hyperlink ref="AS469" r:id="rId291"/>
    <hyperlink ref="AS470" r:id="rId292"/>
    <hyperlink ref="AS471" r:id="rId293"/>
    <hyperlink ref="AS472" r:id="rId294"/>
    <hyperlink ref="AS473" r:id="rId295"/>
    <hyperlink ref="AS474" r:id="rId296"/>
    <hyperlink ref="AS475" r:id="rId297"/>
    <hyperlink ref="AS476" r:id="rId298"/>
    <hyperlink ref="AS477" r:id="rId299"/>
    <hyperlink ref="AS478" r:id="rId300"/>
    <hyperlink ref="AS479" r:id="rId301"/>
    <hyperlink ref="AS480" r:id="rId302"/>
    <hyperlink ref="AS481" r:id="rId303"/>
    <hyperlink ref="AS482" r:id="rId304"/>
    <hyperlink ref="AS483" r:id="rId305"/>
    <hyperlink ref="AS484" r:id="rId306"/>
    <hyperlink ref="AS485" r:id="rId307"/>
    <hyperlink ref="AS486" r:id="rId308"/>
    <hyperlink ref="AS487" r:id="rId309"/>
    <hyperlink ref="AS488" r:id="rId310"/>
    <hyperlink ref="AS489" r:id="rId311"/>
    <hyperlink ref="AS490" r:id="rId312"/>
    <hyperlink ref="AS491" r:id="rId313"/>
    <hyperlink ref="AS492" r:id="rId314"/>
    <hyperlink ref="AS493" r:id="rId315"/>
    <hyperlink ref="AS494" r:id="rId316"/>
    <hyperlink ref="AS495" r:id="rId317"/>
    <hyperlink ref="AS496" r:id="rId318"/>
    <hyperlink ref="AS497" r:id="rId319"/>
    <hyperlink ref="AS498" r:id="rId320"/>
    <hyperlink ref="AS500" r:id="rId321"/>
    <hyperlink ref="AS501" r:id="rId322"/>
    <hyperlink ref="AS502" r:id="rId323"/>
    <hyperlink ref="AS504" r:id="rId324"/>
    <hyperlink ref="AS505" r:id="rId325"/>
    <hyperlink ref="AS506" r:id="rId326"/>
    <hyperlink ref="AS507" r:id="rId327"/>
    <hyperlink ref="AS508" r:id="rId328"/>
    <hyperlink ref="AS509" r:id="rId329"/>
    <hyperlink ref="AS510" r:id="rId330"/>
    <hyperlink ref="AS512" r:id="rId331"/>
    <hyperlink ref="AS513" r:id="rId332"/>
    <hyperlink ref="AS514" r:id="rId333"/>
    <hyperlink ref="AS463" r:id="rId334"/>
    <hyperlink ref="AS515" r:id="rId335"/>
    <hyperlink ref="AS516" r:id="rId336"/>
    <hyperlink ref="AS517" r:id="rId337"/>
    <hyperlink ref="AS519" r:id="rId338"/>
    <hyperlink ref="AS520" r:id="rId339"/>
    <hyperlink ref="AS518" r:id="rId340"/>
    <hyperlink ref="AS521" r:id="rId341"/>
    <hyperlink ref="AS522" r:id="rId342"/>
    <hyperlink ref="AS526" r:id="rId343"/>
    <hyperlink ref="AS528" r:id="rId344"/>
    <hyperlink ref="AS529" r:id="rId345"/>
    <hyperlink ref="AS530" r:id="rId346"/>
    <hyperlink ref="AS531" r:id="rId347"/>
    <hyperlink ref="AS503" r:id="rId348"/>
    <hyperlink ref="AS524" r:id="rId349"/>
    <hyperlink ref="AS525" r:id="rId350"/>
    <hyperlink ref="AS527" r:id="rId351"/>
    <hyperlink ref="AS532" r:id="rId352"/>
    <hyperlink ref="AS535" r:id="rId353"/>
    <hyperlink ref="AS537" r:id="rId354"/>
    <hyperlink ref="AS538" r:id="rId355"/>
    <hyperlink ref="AS539" r:id="rId356"/>
    <hyperlink ref="AS543" r:id="rId357"/>
    <hyperlink ref="AS544" r:id="rId358"/>
    <hyperlink ref="AS542" r:id="rId359"/>
    <hyperlink ref="AS533" r:id="rId360"/>
    <hyperlink ref="AS534" r:id="rId361"/>
    <hyperlink ref="AS536" r:id="rId362"/>
    <hyperlink ref="AS540" r:id="rId363"/>
    <hyperlink ref="AS541" r:id="rId364"/>
    <hyperlink ref="AS545" r:id="rId365"/>
    <hyperlink ref="AS546" r:id="rId366"/>
    <hyperlink ref="AS548" r:id="rId367"/>
    <hyperlink ref="AS547" r:id="rId368"/>
    <hyperlink ref="AS523" r:id="rId369"/>
    <hyperlink ref="AS553" r:id="rId370"/>
    <hyperlink ref="AS555" r:id="rId371"/>
    <hyperlink ref="AS556" r:id="rId372"/>
    <hyperlink ref="AS557" r:id="rId373"/>
    <hyperlink ref="AS550" r:id="rId374"/>
    <hyperlink ref="AS551" r:id="rId375"/>
    <hyperlink ref="AU552" r:id="rId376"/>
    <hyperlink ref="AS552" r:id="rId377"/>
    <hyperlink ref="AS554" r:id="rId378"/>
    <hyperlink ref="AS558" r:id="rId379"/>
    <hyperlink ref="AS549" r:id="rId380"/>
    <hyperlink ref="AS559" r:id="rId381"/>
    <hyperlink ref="AS560" r:id="rId382"/>
    <hyperlink ref="AS561" r:id="rId383"/>
    <hyperlink ref="AS562" r:id="rId384"/>
    <hyperlink ref="AS563" r:id="rId385"/>
    <hyperlink ref="AS564" r:id="rId386"/>
    <hyperlink ref="AS565" r:id="rId387"/>
    <hyperlink ref="AS567" r:id="rId388"/>
    <hyperlink ref="AS568" r:id="rId389"/>
    <hyperlink ref="AS569" r:id="rId390"/>
    <hyperlink ref="AS571" r:id="rId391"/>
    <hyperlink ref="AS572" r:id="rId392"/>
    <hyperlink ref="AS573" r:id="rId393"/>
    <hyperlink ref="AS574" r:id="rId394"/>
    <hyperlink ref="AS575" r:id="rId395"/>
    <hyperlink ref="AS576" r:id="rId396"/>
    <hyperlink ref="AS577" r:id="rId397"/>
    <hyperlink ref="AS578" r:id="rId398"/>
    <hyperlink ref="AS579" r:id="rId399"/>
    <hyperlink ref="AS580" r:id="rId400"/>
    <hyperlink ref="AS581" r:id="rId401"/>
    <hyperlink ref="AS582" r:id="rId402"/>
    <hyperlink ref="AS583" r:id="rId403"/>
    <hyperlink ref="AS566" r:id="rId404"/>
    <hyperlink ref="AS584" r:id="rId405"/>
    <hyperlink ref="AS586" r:id="rId406"/>
    <hyperlink ref="AS585" r:id="rId407"/>
    <hyperlink ref="AS587" r:id="rId408"/>
    <hyperlink ref="AS588" r:id="rId409"/>
    <hyperlink ref="AS662" r:id="rId410"/>
    <hyperlink ref="AS667" r:id="rId411"/>
    <hyperlink ref="AS689" r:id="rId412"/>
    <hyperlink ref="AS690" r:id="rId413"/>
    <hyperlink ref="AS691" r:id="rId414"/>
    <hyperlink ref="AS692" r:id="rId415"/>
    <hyperlink ref="AS695" r:id="rId416"/>
  </hyperlinks>
  <pageMargins left="0.7" right="0.7" top="0.75" bottom="0.75" header="0.3" footer="0.3"/>
  <pageSetup paperSize="9" orientation="portrait" r:id="rId417"/>
  <drawing r:id="rId418"/>
  <legacyDrawing r:id="rId41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7"/>
  <sheetViews>
    <sheetView workbookViewId="0">
      <selection activeCell="I15" sqref="I15"/>
    </sheetView>
  </sheetViews>
  <sheetFormatPr baseColWidth="10" defaultColWidth="11.42578125" defaultRowHeight="15" x14ac:dyDescent="0.25"/>
  <cols>
    <col min="1" max="1" width="15.42578125" style="260" customWidth="1"/>
    <col min="2" max="2" width="12.85546875" style="265" customWidth="1"/>
    <col min="3" max="3" width="14" style="260" customWidth="1"/>
    <col min="4" max="5" width="11.42578125" style="260" customWidth="1"/>
    <col min="6" max="16384" width="11.42578125" style="260"/>
  </cols>
  <sheetData>
    <row r="2" spans="1:8" ht="30" x14ac:dyDescent="0.25">
      <c r="A2" s="256" t="s">
        <v>4423</v>
      </c>
      <c r="B2" s="257" t="s">
        <v>4424</v>
      </c>
      <c r="C2" s="257" t="s">
        <v>4425</v>
      </c>
      <c r="D2" s="258" t="s">
        <v>4426</v>
      </c>
      <c r="E2" s="258" t="s">
        <v>4427</v>
      </c>
      <c r="F2" s="258" t="s">
        <v>4428</v>
      </c>
      <c r="G2" s="258" t="s">
        <v>4429</v>
      </c>
      <c r="H2" s="259" t="s">
        <v>4430</v>
      </c>
    </row>
    <row r="3" spans="1:8" x14ac:dyDescent="0.25">
      <c r="A3" s="256" t="str">
        <f>B3&amp;"-"&amp;C3</f>
        <v>1-Très modestes</v>
      </c>
      <c r="B3" s="258">
        <v>1</v>
      </c>
      <c r="C3" s="261" t="s">
        <v>4431</v>
      </c>
      <c r="D3" s="262">
        <v>14879</v>
      </c>
      <c r="E3" s="262">
        <v>15262</v>
      </c>
      <c r="F3" s="262">
        <v>16229</v>
      </c>
      <c r="G3" s="262">
        <v>17009</v>
      </c>
      <c r="H3" s="263"/>
    </row>
    <row r="4" spans="1:8" x14ac:dyDescent="0.25">
      <c r="A4" s="256" t="str">
        <f t="shared" ref="A4:A23" si="0">B4&amp;"-"&amp;C4</f>
        <v>2-Très modestes</v>
      </c>
      <c r="B4" s="258">
        <v>2</v>
      </c>
      <c r="C4" s="261" t="s">
        <v>4431</v>
      </c>
      <c r="D4" s="262">
        <v>21760</v>
      </c>
      <c r="E4" s="262">
        <v>22320</v>
      </c>
      <c r="F4" s="262">
        <v>23734</v>
      </c>
      <c r="G4" s="262">
        <v>24875</v>
      </c>
      <c r="H4" s="263"/>
    </row>
    <row r="5" spans="1:8" x14ac:dyDescent="0.25">
      <c r="A5" s="256" t="str">
        <f t="shared" si="0"/>
        <v>3-Très modestes</v>
      </c>
      <c r="B5" s="258">
        <v>3</v>
      </c>
      <c r="C5" s="261" t="s">
        <v>4431</v>
      </c>
      <c r="D5" s="262">
        <v>26170</v>
      </c>
      <c r="E5" s="262">
        <v>26844</v>
      </c>
      <c r="F5" s="262">
        <v>18545</v>
      </c>
      <c r="G5" s="262">
        <v>29917</v>
      </c>
      <c r="H5" s="263"/>
    </row>
    <row r="6" spans="1:8" x14ac:dyDescent="0.25">
      <c r="A6" s="256" t="str">
        <f t="shared" si="0"/>
        <v>4-Très modestes</v>
      </c>
      <c r="B6" s="258">
        <v>4</v>
      </c>
      <c r="C6" s="261" t="s">
        <v>4431</v>
      </c>
      <c r="D6" s="262">
        <v>30572</v>
      </c>
      <c r="E6" s="262">
        <v>31359</v>
      </c>
      <c r="F6" s="262">
        <v>33346</v>
      </c>
      <c r="G6" s="262">
        <v>34948</v>
      </c>
      <c r="H6" s="264"/>
    </row>
    <row r="7" spans="1:8" x14ac:dyDescent="0.25">
      <c r="A7" s="256" t="str">
        <f t="shared" si="0"/>
        <v>5-Très modestes</v>
      </c>
      <c r="B7" s="258">
        <v>5</v>
      </c>
      <c r="C7" s="261" t="s">
        <v>4431</v>
      </c>
      <c r="D7" s="262">
        <v>34993</v>
      </c>
      <c r="E7" s="262">
        <v>35894</v>
      </c>
      <c r="F7" s="262">
        <v>38168</v>
      </c>
      <c r="G7" s="262">
        <v>40002</v>
      </c>
      <c r="H7" s="264"/>
    </row>
    <row r="8" spans="1:8" x14ac:dyDescent="0.25">
      <c r="A8" s="256" t="str">
        <f t="shared" si="0"/>
        <v>6-Très modestes</v>
      </c>
      <c r="B8" s="258">
        <v>6</v>
      </c>
      <c r="C8" s="261" t="s">
        <v>4431</v>
      </c>
      <c r="D8" s="262">
        <f>D7+4412</f>
        <v>39405</v>
      </c>
      <c r="E8" s="262">
        <f>E7+4526</f>
        <v>40420</v>
      </c>
      <c r="F8" s="262">
        <f>38168+4813</f>
        <v>42981</v>
      </c>
      <c r="G8" s="262">
        <f>G7+5045</f>
        <v>45047</v>
      </c>
      <c r="H8" s="264"/>
    </row>
    <row r="9" spans="1:8" x14ac:dyDescent="0.25">
      <c r="A9" s="256" t="str">
        <f t="shared" si="0"/>
        <v>7-Très modestes</v>
      </c>
      <c r="B9" s="258">
        <v>7</v>
      </c>
      <c r="C9" s="261" t="s">
        <v>4431</v>
      </c>
      <c r="D9" s="262">
        <f>D8+4412</f>
        <v>43817</v>
      </c>
      <c r="E9" s="262">
        <f>E8+4526</f>
        <v>44946</v>
      </c>
      <c r="F9" s="262">
        <f>F8+4813</f>
        <v>47794</v>
      </c>
      <c r="G9" s="262">
        <f>G8+5045</f>
        <v>50092</v>
      </c>
      <c r="H9" s="264"/>
    </row>
    <row r="10" spans="1:8" x14ac:dyDescent="0.25">
      <c r="A10" s="256" t="str">
        <f t="shared" si="0"/>
        <v>1-Modestes</v>
      </c>
      <c r="B10" s="258">
        <v>1</v>
      </c>
      <c r="C10" s="261" t="s">
        <v>4432</v>
      </c>
      <c r="D10" s="262">
        <v>19074</v>
      </c>
      <c r="E10" s="262">
        <v>19565</v>
      </c>
      <c r="F10" s="262">
        <v>20805</v>
      </c>
      <c r="G10" s="262">
        <v>21805</v>
      </c>
      <c r="H10" s="264"/>
    </row>
    <row r="11" spans="1:8" x14ac:dyDescent="0.25">
      <c r="A11" s="256" t="str">
        <f t="shared" si="0"/>
        <v>2-Modestes</v>
      </c>
      <c r="B11" s="258">
        <v>2</v>
      </c>
      <c r="C11" s="261" t="s">
        <v>4432</v>
      </c>
      <c r="D11" s="262">
        <v>27896</v>
      </c>
      <c r="E11" s="262">
        <v>28614</v>
      </c>
      <c r="F11" s="262">
        <v>30427</v>
      </c>
      <c r="G11" s="262">
        <v>31889</v>
      </c>
      <c r="H11" s="264"/>
    </row>
    <row r="12" spans="1:8" x14ac:dyDescent="0.25">
      <c r="A12" s="256" t="str">
        <f t="shared" si="0"/>
        <v>3-Modestes</v>
      </c>
      <c r="B12" s="258">
        <v>3</v>
      </c>
      <c r="C12" s="261" t="s">
        <v>4432</v>
      </c>
      <c r="D12" s="262">
        <v>33547</v>
      </c>
      <c r="E12" s="262">
        <v>34411</v>
      </c>
      <c r="F12" s="262">
        <v>36591</v>
      </c>
      <c r="G12" s="262">
        <v>38349</v>
      </c>
      <c r="H12" s="264"/>
    </row>
    <row r="13" spans="1:8" x14ac:dyDescent="0.25">
      <c r="A13" s="256" t="str">
        <f t="shared" si="0"/>
        <v>4-Modestes</v>
      </c>
      <c r="B13" s="258">
        <v>4</v>
      </c>
      <c r="C13" s="261" t="s">
        <v>4432</v>
      </c>
      <c r="D13" s="262">
        <v>39192</v>
      </c>
      <c r="E13" s="262">
        <v>40201</v>
      </c>
      <c r="F13" s="262">
        <v>42748</v>
      </c>
      <c r="G13" s="262">
        <v>44802</v>
      </c>
      <c r="H13" s="264"/>
    </row>
    <row r="14" spans="1:8" x14ac:dyDescent="0.25">
      <c r="A14" s="256" t="str">
        <f t="shared" si="0"/>
        <v>5-Modestes</v>
      </c>
      <c r="B14" s="258">
        <v>5</v>
      </c>
      <c r="C14" s="261" t="s">
        <v>4432</v>
      </c>
      <c r="D14" s="262">
        <v>44860</v>
      </c>
      <c r="E14" s="262">
        <v>46015</v>
      </c>
      <c r="F14" s="262">
        <v>48930</v>
      </c>
      <c r="G14" s="262">
        <v>51281</v>
      </c>
      <c r="H14" s="264"/>
    </row>
    <row r="15" spans="1:8" x14ac:dyDescent="0.25">
      <c r="A15" s="256" t="str">
        <f t="shared" si="0"/>
        <v>6-Modestes</v>
      </c>
      <c r="B15" s="258">
        <v>6</v>
      </c>
      <c r="C15" s="261" t="s">
        <v>4432</v>
      </c>
      <c r="D15" s="262">
        <f>D14+5651</f>
        <v>50511</v>
      </c>
      <c r="E15" s="262">
        <f>E14+5797</f>
        <v>51812</v>
      </c>
      <c r="F15" s="262">
        <f>F14+6165</f>
        <v>55095</v>
      </c>
      <c r="G15" s="262">
        <f>G14+6462</f>
        <v>57743</v>
      </c>
      <c r="H15" s="264"/>
    </row>
    <row r="16" spans="1:8" x14ac:dyDescent="0.25">
      <c r="A16" s="256" t="str">
        <f t="shared" si="0"/>
        <v>7-Modestes</v>
      </c>
      <c r="B16" s="258">
        <v>7</v>
      </c>
      <c r="C16" s="261" t="s">
        <v>4432</v>
      </c>
      <c r="D16" s="262">
        <f>D15+5651</f>
        <v>56162</v>
      </c>
      <c r="E16" s="262">
        <f>E15+5797</f>
        <v>57609</v>
      </c>
      <c r="F16" s="262">
        <f>F15+6165</f>
        <v>61260</v>
      </c>
      <c r="G16" s="262">
        <f>G15+6462</f>
        <v>64205</v>
      </c>
      <c r="H16" s="264"/>
    </row>
    <row r="17" spans="1:8" x14ac:dyDescent="0.25">
      <c r="A17" s="256" t="str">
        <f t="shared" si="0"/>
        <v>1-Intermédiaire</v>
      </c>
      <c r="B17" s="258">
        <v>1</v>
      </c>
      <c r="C17" s="261" t="s">
        <v>4433</v>
      </c>
      <c r="D17" s="262">
        <v>29148</v>
      </c>
      <c r="E17" s="262">
        <v>29148</v>
      </c>
      <c r="F17" s="262">
        <v>29148</v>
      </c>
      <c r="G17" s="262">
        <v>30549</v>
      </c>
      <c r="H17" s="264"/>
    </row>
    <row r="18" spans="1:8" x14ac:dyDescent="0.25">
      <c r="A18" s="256" t="str">
        <f t="shared" si="0"/>
        <v>2-Intermédiaire</v>
      </c>
      <c r="B18" s="258">
        <v>2</v>
      </c>
      <c r="C18" s="261" t="s">
        <v>4433</v>
      </c>
      <c r="D18" s="262">
        <v>42848</v>
      </c>
      <c r="E18" s="262">
        <v>42848</v>
      </c>
      <c r="F18" s="262">
        <v>42848</v>
      </c>
      <c r="G18" s="262">
        <v>44907</v>
      </c>
      <c r="H18" s="264"/>
    </row>
    <row r="19" spans="1:8" x14ac:dyDescent="0.25">
      <c r="A19" s="256" t="str">
        <f t="shared" si="0"/>
        <v>3-Intermédiaire</v>
      </c>
      <c r="B19" s="258">
        <v>3</v>
      </c>
      <c r="C19" s="261" t="s">
        <v>4433</v>
      </c>
      <c r="D19" s="262">
        <v>51592</v>
      </c>
      <c r="E19" s="262">
        <v>51592</v>
      </c>
      <c r="F19" s="262">
        <v>51592</v>
      </c>
      <c r="G19" s="262">
        <v>54071</v>
      </c>
      <c r="H19" s="264"/>
    </row>
    <row r="20" spans="1:8" x14ac:dyDescent="0.25">
      <c r="A20" s="256" t="str">
        <f t="shared" si="0"/>
        <v>4-Intermédiaire</v>
      </c>
      <c r="B20" s="258">
        <v>4</v>
      </c>
      <c r="C20" s="261" t="s">
        <v>4433</v>
      </c>
      <c r="D20" s="262">
        <v>60336</v>
      </c>
      <c r="E20" s="262">
        <v>60336</v>
      </c>
      <c r="F20" s="262">
        <v>60336</v>
      </c>
      <c r="G20" s="262">
        <v>63235</v>
      </c>
      <c r="H20" s="264"/>
    </row>
    <row r="21" spans="1:8" x14ac:dyDescent="0.25">
      <c r="A21" s="256" t="str">
        <f t="shared" si="0"/>
        <v>5-Intermédiaire</v>
      </c>
      <c r="B21" s="258">
        <v>5</v>
      </c>
      <c r="C21" s="261" t="s">
        <v>4433</v>
      </c>
      <c r="D21" s="262">
        <v>69081</v>
      </c>
      <c r="E21" s="262">
        <v>69081</v>
      </c>
      <c r="F21" s="262">
        <v>69081</v>
      </c>
      <c r="G21" s="262">
        <v>72400</v>
      </c>
      <c r="H21" s="264"/>
    </row>
    <row r="22" spans="1:8" x14ac:dyDescent="0.25">
      <c r="A22" s="256" t="str">
        <f t="shared" si="0"/>
        <v>6-Intermédiaire</v>
      </c>
      <c r="B22" s="258">
        <v>6</v>
      </c>
      <c r="C22" s="261" t="s">
        <v>4433</v>
      </c>
      <c r="D22" s="262">
        <f>D21+8744</f>
        <v>77825</v>
      </c>
      <c r="E22" s="262">
        <f>E21+8744</f>
        <v>77825</v>
      </c>
      <c r="F22" s="262">
        <f>69081+8744</f>
        <v>77825</v>
      </c>
      <c r="G22" s="262">
        <f>G21+9165</f>
        <v>81565</v>
      </c>
      <c r="H22" s="263"/>
    </row>
    <row r="23" spans="1:8" x14ac:dyDescent="0.25">
      <c r="A23" s="256" t="str">
        <f t="shared" si="0"/>
        <v>7-Intermédiaire</v>
      </c>
      <c r="B23" s="258">
        <v>7</v>
      </c>
      <c r="C23" s="261" t="s">
        <v>4433</v>
      </c>
      <c r="D23" s="262">
        <f>D22+8744</f>
        <v>86569</v>
      </c>
      <c r="E23" s="262">
        <f>E22+8744</f>
        <v>86569</v>
      </c>
      <c r="F23" s="262">
        <f>F22+8744</f>
        <v>86569</v>
      </c>
      <c r="G23" s="262">
        <f>G22+9165</f>
        <v>90730</v>
      </c>
      <c r="H23" s="263"/>
    </row>
    <row r="24" spans="1:8" x14ac:dyDescent="0.25">
      <c r="A24" s="265"/>
    </row>
    <row r="25" spans="1:8" x14ac:dyDescent="0.25">
      <c r="A25" s="265"/>
    </row>
    <row r="26" spans="1:8" x14ac:dyDescent="0.25">
      <c r="A26" s="265"/>
    </row>
    <row r="27" spans="1:8" x14ac:dyDescent="0.25">
      <c r="A27" s="265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4"/>
  <sheetViews>
    <sheetView workbookViewId="0">
      <selection activeCell="E19" sqref="E19"/>
    </sheetView>
  </sheetViews>
  <sheetFormatPr baseColWidth="10" defaultRowHeight="15" x14ac:dyDescent="0.25"/>
  <cols>
    <col min="1" max="1" width="64.28515625" bestFit="1" customWidth="1"/>
    <col min="2" max="2" width="18.5703125" customWidth="1"/>
    <col min="3" max="3" width="11.5703125" style="230"/>
    <col min="8" max="8" width="12" bestFit="1" customWidth="1"/>
  </cols>
  <sheetData>
    <row r="1" spans="1:12" ht="26.25" x14ac:dyDescent="0.4">
      <c r="A1" s="266" t="s">
        <v>3651</v>
      </c>
      <c r="B1" s="267"/>
      <c r="C1" s="268"/>
      <c r="D1" s="89"/>
      <c r="E1" s="90"/>
      <c r="F1" s="267" t="s">
        <v>3683</v>
      </c>
      <c r="G1" s="267"/>
      <c r="H1" s="267"/>
      <c r="I1" s="267"/>
      <c r="J1" s="267"/>
      <c r="K1" s="267"/>
      <c r="L1" s="268"/>
    </row>
    <row r="2" spans="1:12" x14ac:dyDescent="0.25">
      <c r="A2" s="89"/>
      <c r="B2" s="89"/>
      <c r="C2" s="224"/>
      <c r="D2" s="89"/>
      <c r="E2" s="92"/>
      <c r="F2" s="93"/>
      <c r="G2" s="93"/>
      <c r="H2" s="93"/>
      <c r="I2" s="93"/>
      <c r="J2" s="93"/>
      <c r="K2" s="93"/>
      <c r="L2" s="91"/>
    </row>
    <row r="3" spans="1:12" x14ac:dyDescent="0.25">
      <c r="A3" s="92" t="s">
        <v>3629</v>
      </c>
      <c r="B3" s="197">
        <f>COUNTIFS(BD!D4:D1338,"&gt;=01/01/2016",BD!D4:D1338,"&lt;31/12/2020")</f>
        <v>690</v>
      </c>
      <c r="C3" s="225" t="s">
        <v>3891</v>
      </c>
      <c r="D3" s="89"/>
      <c r="E3" s="92"/>
      <c r="F3" s="93"/>
      <c r="G3" s="93">
        <v>2016</v>
      </c>
      <c r="H3" s="93">
        <v>2017</v>
      </c>
      <c r="I3" s="93">
        <v>2018</v>
      </c>
      <c r="J3" s="93">
        <v>2019</v>
      </c>
      <c r="K3" s="93">
        <v>2020</v>
      </c>
      <c r="L3" s="91"/>
    </row>
    <row r="4" spans="1:12" x14ac:dyDescent="0.25">
      <c r="A4" s="93" t="s">
        <v>3630</v>
      </c>
      <c r="B4" s="198">
        <f>COUNTIFS(BD!I4:I1338,"&gt;=01/01/2015",BD!I4:I1338,"&lt;31/12/2020")</f>
        <v>624</v>
      </c>
      <c r="C4" s="225" t="s">
        <v>3891</v>
      </c>
      <c r="D4" s="89"/>
      <c r="E4" s="92"/>
      <c r="F4" s="93" t="s">
        <v>3631</v>
      </c>
      <c r="G4" s="93">
        <f>SUMPRODUCT((BD!D4:D1338&gt;="01/01/2016"*1)*(BD!D4:D1338&lt;="31/01/2016"*1))</f>
        <v>6</v>
      </c>
      <c r="H4" s="93">
        <f>SUMPRODUCT((BD!D4:D1338&gt;="01/01/2017"*1)*(BD!D4:D1338&lt;="31/01/2017"*1))</f>
        <v>10</v>
      </c>
      <c r="I4" s="93">
        <f>SUMPRODUCT((BD!D4:D1338&gt;="01/01/2018"*1)*(BD!D4:D1338&lt;="31/01/2018"*1))</f>
        <v>8</v>
      </c>
      <c r="J4" s="93">
        <f>SUMPRODUCT((BD!D4:D1338&gt;="01/01/2019"*1)*(BD!D4:D1338&lt;="31/01/2019"*1))</f>
        <v>13</v>
      </c>
      <c r="K4" s="93">
        <f>SUMPRODUCT((BD!D4:D1338&gt;="01/01/2020"*1)*(BD!D4:D1338&lt;="31/01/2020"*1))</f>
        <v>10</v>
      </c>
      <c r="L4" s="91"/>
    </row>
    <row r="5" spans="1:12" x14ac:dyDescent="0.25">
      <c r="A5" s="92" t="s">
        <v>8</v>
      </c>
      <c r="B5" s="197">
        <f>COUNTIF(BD!C4:C1338,"-")</f>
        <v>80</v>
      </c>
      <c r="C5" s="95" t="s">
        <v>3891</v>
      </c>
      <c r="D5" s="89"/>
      <c r="E5" s="92"/>
      <c r="F5" s="93" t="s">
        <v>3632</v>
      </c>
      <c r="G5" s="93">
        <f>SUMPRODUCT((BD!D4:D1338&gt;="01/02/2016"*1)*(BD!D4:D1338&lt;="28/02/2016"*1))</f>
        <v>11</v>
      </c>
      <c r="H5" s="93">
        <f>SUMPRODUCT((BD!D4:D1338&gt;="01/02/2017"*1)*(BD!D4:D1338&lt;="28/02/2017"*1))</f>
        <v>8</v>
      </c>
      <c r="I5" s="93">
        <f>SUMPRODUCT((BD!D4:D1338&gt;="01/02/2018"*1)*(BD!D4:D1338&lt;="28/02/2018"*1))</f>
        <v>6</v>
      </c>
      <c r="J5" s="93">
        <f>SUMPRODUCT((BD!D4:D1338&gt;="01/02/2019"*1)*(BD!D4:D1338&lt;="28/02/2019"*1))</f>
        <v>6</v>
      </c>
      <c r="K5" s="93">
        <f>SUMPRODUCT((BD!D4:D1338&gt;="01/02/2020"*1)*(BD!D4:D1338&lt;="28/02/2020"*1))</f>
        <v>6</v>
      </c>
      <c r="L5" s="91"/>
    </row>
    <row r="6" spans="1:12" x14ac:dyDescent="0.25">
      <c r="A6" s="92" t="s">
        <v>3633</v>
      </c>
      <c r="B6" s="197">
        <f>COUNTIFS(BD!P4:P1338,"&gt;=01/01/2015",BD!P4:P1338,"&lt;31/12/2020")</f>
        <v>595</v>
      </c>
      <c r="C6" s="95" t="s">
        <v>3891</v>
      </c>
      <c r="D6" s="89"/>
      <c r="E6" s="92"/>
      <c r="F6" s="93" t="s">
        <v>3634</v>
      </c>
      <c r="G6" s="93">
        <f>SUMPRODUCT((BD!D4:D1338&gt;="01/03/2016"*1)*(BD!D4:D1338&lt;="31/03/2016"*1))</f>
        <v>15</v>
      </c>
      <c r="H6" s="93">
        <f>SUMPRODUCT((BD!D4:D1338&gt;="01/03/2017"*1)*(BD!D4:D1338&lt;="31/03/2017"*1))</f>
        <v>15</v>
      </c>
      <c r="I6" s="93">
        <f>SUMPRODUCT((BD!D4:D1338&gt;="01/03/2018"*1)*(BD!D4:D1338&lt;="31/03/2018"*1))</f>
        <v>12</v>
      </c>
      <c r="J6" s="93">
        <f>SUMPRODUCT((BD!D4:D1338&gt;="01/03/2019"*1)*(BD!D4:D1338&lt;="31/03/2019"*1))</f>
        <v>16</v>
      </c>
      <c r="K6" s="93">
        <f>SUMPRODUCT((BD!D4:D1338&gt;="01/03/2020"*1)*(BD!D4:D1338&lt;="31/03/2020"*1))</f>
        <v>8</v>
      </c>
      <c r="L6" s="91"/>
    </row>
    <row r="7" spans="1:12" x14ac:dyDescent="0.25">
      <c r="A7" s="234" t="s">
        <v>3901</v>
      </c>
      <c r="B7" s="94">
        <f>COUNTIFS(BD!D4:D1338,"&gt;=01/01/2015",BD!O4:O1338,"&lt;31/12/2020",BD!C4:C1338,"=800")</f>
        <v>133</v>
      </c>
      <c r="C7" s="96"/>
      <c r="D7" s="89"/>
      <c r="E7" s="92"/>
      <c r="F7" s="93" t="s">
        <v>3635</v>
      </c>
      <c r="G7" s="93">
        <f>SUMPRODUCT((BD!D4:D1338&gt;="01/04/2016"*1)*(BD!D4:D1338&lt;="30/04/2016"*1))</f>
        <v>11</v>
      </c>
      <c r="H7" s="93">
        <f>SUMPRODUCT((BD!D4:D1338&gt;="01/04/2017"*1)*(BD!D4:D1338&lt;="30/04/2017"*1))</f>
        <v>13</v>
      </c>
      <c r="I7" s="93">
        <f>SUMPRODUCT((BD!D4:D1338&gt;="01/04/2018"*1)*(BD!D4:D1338&lt;="30/04/2018"*1))</f>
        <v>9</v>
      </c>
      <c r="J7" s="93">
        <f>SUMPRODUCT((BD!D4:D1338&gt;="01/04/2019"*1)*(BD!D4:D1338&lt;="30/04/2019"*1))</f>
        <v>10</v>
      </c>
      <c r="K7" s="93">
        <f>SUMPRODUCT((BD!D4:D1338&gt;="01/04/2020"*1)*(BD!D4:D1338&lt;="30/04/2020"*1))</f>
        <v>4</v>
      </c>
      <c r="L7" s="91"/>
    </row>
    <row r="8" spans="1:12" x14ac:dyDescent="0.25">
      <c r="A8" s="234" t="s">
        <v>3902</v>
      </c>
      <c r="B8" s="94">
        <f>COUNTIFS(BD!D4:D1338,"&gt;=01/01/2015",BD!D4:D1338,"&lt;31/12/2020",BD!C4:C1338,"=400")</f>
        <v>466</v>
      </c>
      <c r="C8" s="96"/>
      <c r="D8" s="89"/>
      <c r="E8" s="92"/>
      <c r="F8" s="93" t="s">
        <v>3636</v>
      </c>
      <c r="G8" s="93">
        <f>SUMPRODUCT((BD!D4:D1338&gt;="01/05/2016"*1)*(BD!D4:D1338&lt;="31/05/2016"*1))</f>
        <v>9</v>
      </c>
      <c r="H8" s="93">
        <f>SUMPRODUCT((BD!D4:D1338&gt;="01/05/2017"*1)*(BD!D4:D1338&lt;="31/05/2017"*1))</f>
        <v>13</v>
      </c>
      <c r="I8" s="93">
        <f>SUMPRODUCT((BD!D4:D1338&gt;="01/05/2018"*1)*(BD!D4:D1338&lt;="31/05/2018"*1))</f>
        <v>15</v>
      </c>
      <c r="J8" s="93">
        <f>SUMPRODUCT((BD!D4:D1338&gt;="01/05/2019"*1)*(BD!D4:D1338&lt;="31/05/2019"*1))</f>
        <v>12</v>
      </c>
      <c r="K8" s="93">
        <f>SUMPRODUCT((BD!D4:D1338&gt;="01/05/2020"*1)*(BD!D4:D1338&lt;="31/05/2020"*1))</f>
        <v>13</v>
      </c>
      <c r="L8" s="91"/>
    </row>
    <row r="9" spans="1:12" x14ac:dyDescent="0.25">
      <c r="A9" s="93" t="s">
        <v>3645</v>
      </c>
      <c r="B9" s="94">
        <f>800*B7+400*B8</f>
        <v>292800</v>
      </c>
      <c r="C9" s="96"/>
      <c r="D9" s="89"/>
      <c r="E9" s="92"/>
      <c r="F9" s="93" t="s">
        <v>3637</v>
      </c>
      <c r="G9" s="93">
        <f>SUMPRODUCT((BD!D4:D1338&gt;="01/06/2016"*1)*(BD!D4:D1338&lt;="30/06/2016"*1))</f>
        <v>6</v>
      </c>
      <c r="H9" s="93">
        <f>SUMPRODUCT((BD!D4:D1338&gt;="01/06/2017"*1)*(BD!D4:D1338&lt;="30/06/2017"*1))</f>
        <v>8</v>
      </c>
      <c r="I9" s="93">
        <f>SUMPRODUCT((BD!D4:D1338&gt;="01/06/2018"*1)*(BD!D4:D1338&lt;="30/06/2018"*1))</f>
        <v>11</v>
      </c>
      <c r="J9" s="93">
        <f>SUMPRODUCT((BD!D4:D1338&gt;="01/06/2019"*1)*(BD!D4:D1338&lt;="30/06/2019"*1))</f>
        <v>13</v>
      </c>
      <c r="K9" s="93">
        <f>SUMPRODUCT((BD!D4:D1338&gt;="01/06/2020"*1)*(BD!D4:D1338&lt;="30/06/2020"*1))</f>
        <v>12</v>
      </c>
      <c r="L9" s="91"/>
    </row>
    <row r="10" spans="1:12" x14ac:dyDescent="0.25">
      <c r="A10" s="170" t="s">
        <v>3671</v>
      </c>
      <c r="B10" s="173">
        <f>COUNTIFS(BD!D4:D1338,"&gt;=01/01/2015",BD!D4:D1338,"&lt;31/12/2020",BD!C4:C1338,"=800?")</f>
        <v>0</v>
      </c>
      <c r="C10" s="96" t="s">
        <v>3891</v>
      </c>
      <c r="D10" s="89"/>
      <c r="E10" s="92"/>
      <c r="F10" s="93" t="s">
        <v>3638</v>
      </c>
      <c r="G10" s="93">
        <f>SUMPRODUCT((BD!D4:D1338&gt;="01/07/2016"*1)*(BD!D4:D1338&lt;="31/07/2016"*1))</f>
        <v>16</v>
      </c>
      <c r="H10" s="93">
        <f>SUMPRODUCT((BD!D4:D1338&gt;="01/07/2017"*1)*(BD!D4:D1338&lt;="31/07/2017"*1))</f>
        <v>13</v>
      </c>
      <c r="I10" s="93">
        <f>SUMPRODUCT((BD!D4:D1338&gt;="01/07/2018"*1)*(BD!D4:D1338&lt;="31/07/2018"*1))</f>
        <v>12</v>
      </c>
      <c r="J10" s="93">
        <f>SUMPRODUCT((BD!D4:D1338&gt;="01/07/2019"*1)*(BD!D4:D1338&lt;="31/07/2019"*1))</f>
        <v>13</v>
      </c>
      <c r="K10" s="93">
        <f>SUMPRODUCT((BD!D4:D1338&gt;="01/07/2020"*1)*(BD!D4:D1338&lt;="31/07/2020"*1))</f>
        <v>0</v>
      </c>
      <c r="L10" s="91"/>
    </row>
    <row r="11" spans="1:12" x14ac:dyDescent="0.25">
      <c r="A11" s="170" t="s">
        <v>3672</v>
      </c>
      <c r="B11" s="173">
        <f>COUNTIFS(BD!D4:D1338,"&gt;=01/01/2015",BD!D4:D1338,"&lt;31/12/2020",BD!C4:C1338,"=400?")</f>
        <v>0</v>
      </c>
      <c r="C11" s="96" t="s">
        <v>3891</v>
      </c>
      <c r="D11" s="89"/>
      <c r="E11" s="92"/>
      <c r="F11" s="93" t="s">
        <v>3639</v>
      </c>
      <c r="G11" s="93">
        <f>SUMPRODUCT((BD!D4:D1338&gt;="01/08/2016"*1)*(BD!D4:D1338&lt;="31/08/2016"*1))</f>
        <v>9</v>
      </c>
      <c r="H11" s="93">
        <f>SUMPRODUCT((BD!D4:D1338&gt;="01/08/2017"*1)*(BD!D4:D1338&lt;="31/08/2017"*1))</f>
        <v>14</v>
      </c>
      <c r="I11" s="93">
        <f>SUMPRODUCT((BD!D4:D1338&gt;="01/08/2018"*1)*(BD!D4:D1338&lt;="31/08/2018"*1))</f>
        <v>13</v>
      </c>
      <c r="J11" s="93">
        <f>SUMPRODUCT((BD!D4:D1338&gt;="01/08/2019"*1)*(BD!D4:D1338&lt;="31/08/2019"*1))</f>
        <v>9</v>
      </c>
      <c r="K11" s="93">
        <f>SUMPRODUCT((BD!D4:D1338&gt;="01/08/2020"*1)*(BD!D4:D1338&lt;="31/08/2020"*1))</f>
        <v>0</v>
      </c>
      <c r="L11" s="91"/>
    </row>
    <row r="12" spans="1:12" x14ac:dyDescent="0.25">
      <c r="A12" s="93" t="s">
        <v>3646</v>
      </c>
      <c r="B12" s="94">
        <f>800*B10+400*B11</f>
        <v>0</v>
      </c>
      <c r="C12" s="96" t="s">
        <v>3891</v>
      </c>
      <c r="D12" s="89"/>
      <c r="E12" s="92"/>
      <c r="F12" s="93" t="s">
        <v>3640</v>
      </c>
      <c r="G12" s="93">
        <f>SUMPRODUCT((BD!D4:D1338&gt;="01/09/2016"*1)*(BD!D4:D1338&lt;="30/09/2016"*1))</f>
        <v>19</v>
      </c>
      <c r="H12" s="93">
        <f>SUMPRODUCT((BD!D4:D1338&gt;="01/09/2017"*1)*(BD!D4:D1338&lt;="30/09/2017"*1))</f>
        <v>16</v>
      </c>
      <c r="I12" s="93">
        <f>SUMPRODUCT((BD!D4:D1338&gt;="01/09/2018"*1)*(BD!D4:D1338&lt;="30/09/2018"*1))</f>
        <v>14</v>
      </c>
      <c r="J12" s="93">
        <f>SUMPRODUCT((BD!D4:D1338&gt;="01/09/2019"*1)*(BD!D4:D1338&lt;="30/09/2019"*1))</f>
        <v>19</v>
      </c>
      <c r="K12" s="93">
        <f>SUMPRODUCT((BD!D4:D1338&gt;="01/09/2020"*1)*(BD!D4:D1338&lt;="30/09/2020"*1))</f>
        <v>0</v>
      </c>
      <c r="L12" s="91"/>
    </row>
    <row r="13" spans="1:12" x14ac:dyDescent="0.25">
      <c r="A13" s="174" t="s">
        <v>3675</v>
      </c>
      <c r="B13" s="197">
        <f>COUNTIFS(BD!P4:P1338,"&gt;=01/01/2015",BD!P4:P1338,"&lt;31/12/2020",BD!C4:C1338,"800")</f>
        <v>138</v>
      </c>
      <c r="C13" s="96"/>
      <c r="D13" s="89"/>
      <c r="E13" s="92"/>
      <c r="F13" s="93" t="s">
        <v>3641</v>
      </c>
      <c r="G13" s="93">
        <f>SUMPRODUCT((BD!D4:D1338&gt;="01/10/2016"*1)*(BD!D4:D1338&lt;="31/10/2016"*1))</f>
        <v>16</v>
      </c>
      <c r="H13" s="93">
        <f>SUMPRODUCT((BD!D4:D1338&gt;="01/10/2017"*1)*(BD!D4:D1338&lt;="31/10/2017"*1))</f>
        <v>23</v>
      </c>
      <c r="I13" s="93">
        <f>SUMPRODUCT((BD!D4:D1338&gt;="01/10/2018"*1)*(BD!D4:D1338&lt;="31/10/2018"*1))</f>
        <v>29</v>
      </c>
      <c r="J13" s="93">
        <f>SUMPRODUCT((BD!D4:D1338&gt;="01/10/2019"*1)*(BD!D4:D1338&lt;="31/10/2019"*1))</f>
        <v>17</v>
      </c>
      <c r="K13" s="93">
        <f>SUMPRODUCT((BD!D4:D1338&gt;="01/10/2020"*1)*(BD!D4:D1338&lt;="31/10/2020"*1))</f>
        <v>0</v>
      </c>
      <c r="L13" s="91"/>
    </row>
    <row r="14" spans="1:12" x14ac:dyDescent="0.25">
      <c r="A14" s="174" t="s">
        <v>3676</v>
      </c>
      <c r="B14" s="197">
        <f>COUNTIFS(BD!P4:P1338,"&gt;=01/01/2015",BD!P4:P1338,"&lt;31/12/2020",BD!C4:C1338,"400")</f>
        <v>457</v>
      </c>
      <c r="C14" s="96"/>
      <c r="D14" s="89"/>
      <c r="E14" s="92"/>
      <c r="F14" s="93" t="s">
        <v>3642</v>
      </c>
      <c r="G14" s="93">
        <f>SUMPRODUCT((BD!D4:D1338&gt;="01/11/2016"*1)*(BD!D4:D1338&lt;="30/11/2016"*1))</f>
        <v>14</v>
      </c>
      <c r="H14" s="93">
        <f>SUMPRODUCT((BD!D4:D1338&gt;="01/11/2017"*1)*(BD!D4:D1338&lt;="30/11/2017"*1))</f>
        <v>15</v>
      </c>
      <c r="I14" s="93">
        <f>SUMPRODUCT((BD!D4:D1338&gt;="01/11/2018"*1)*(BD!D4:D1338&lt;="30/11/2018"*1))</f>
        <v>23</v>
      </c>
      <c r="J14" s="93">
        <f>SUMPRODUCT((BD!D4:D1338&gt;="01/11/2019"*1)*(BD!D4:D1338&lt;="30/11/2019"*1))</f>
        <v>27</v>
      </c>
      <c r="K14" s="93">
        <f>SUMPRODUCT((BD!D4:D1338&gt;="01/11/2020"*1)*(BD!D4:D1338&lt;="30/11/2020"*1))</f>
        <v>0</v>
      </c>
      <c r="L14" s="91"/>
    </row>
    <row r="15" spans="1:12" x14ac:dyDescent="0.25">
      <c r="A15" s="174" t="s">
        <v>3677</v>
      </c>
      <c r="B15" s="197">
        <f>B13*800</f>
        <v>110400</v>
      </c>
      <c r="C15" s="96"/>
      <c r="D15" s="89"/>
      <c r="E15" s="92"/>
      <c r="F15" s="93" t="s">
        <v>3643</v>
      </c>
      <c r="G15" s="93">
        <f>SUMPRODUCT((BD!D4:D1338&gt;="01/12/2016"*1)*(BD!D4:D1338&lt;="31/12/2016"*1))</f>
        <v>13</v>
      </c>
      <c r="H15" s="93">
        <f>SUMPRODUCT((BD!D4:D1338&gt;="01/12/2017"*1)*(BD!D4:D1338&lt;="31/12/2017"*1))</f>
        <v>14</v>
      </c>
      <c r="I15" s="93">
        <f>SUMPRODUCT((BD!D4:D1338&gt;="01/12/2018"*1)*(BD!D4:D1338&lt;="31/12/2018"*1))</f>
        <v>11</v>
      </c>
      <c r="J15" s="93">
        <f>SUMPRODUCT((BD!D4:D1338&gt;="01/12/2019"*1)*(BD!D4:D1338&lt;="31/12/2019"*1))</f>
        <v>12</v>
      </c>
      <c r="K15" s="93">
        <f>SUMPRODUCT((BD!D4:D1338&gt;="01/12/2020"*1)*(BD!D4:D1338&lt;="31/12/2020"*1))</f>
        <v>0</v>
      </c>
      <c r="L15" s="91"/>
    </row>
    <row r="16" spans="1:12" x14ac:dyDescent="0.25">
      <c r="A16" s="174" t="s">
        <v>3678</v>
      </c>
      <c r="B16" s="197">
        <f>B14*400</f>
        <v>182800</v>
      </c>
      <c r="C16" s="96"/>
      <c r="D16" s="89"/>
      <c r="E16" s="92"/>
      <c r="F16" s="93"/>
      <c r="G16" s="93"/>
      <c r="H16" s="93"/>
      <c r="I16" s="93"/>
      <c r="J16" s="93"/>
      <c r="K16" s="93"/>
      <c r="L16" s="91"/>
    </row>
    <row r="17" spans="1:12" x14ac:dyDescent="0.25">
      <c r="A17" s="93" t="s">
        <v>3650</v>
      </c>
      <c r="B17" s="94">
        <f>B9+B12</f>
        <v>292800</v>
      </c>
      <c r="C17" s="96"/>
      <c r="D17" s="89"/>
      <c r="E17" s="92"/>
      <c r="F17" s="93" t="s">
        <v>3644</v>
      </c>
      <c r="G17" s="93">
        <f>SUMPRODUCT((BD!D4:D1338&gt;="01/01/2016"*1)*(BD!D4:D1338&lt;="31/12/2016"*1))</f>
        <v>145</v>
      </c>
      <c r="H17" s="93">
        <f>SUMPRODUCT((BD!D4:D1338&gt;="01/01/2017"*1)*(BD!D4:D1338&lt;="31/12/2017"*1))</f>
        <v>162</v>
      </c>
      <c r="I17" s="93">
        <f>SUMPRODUCT((BD!D4:D1338&gt;="01/01/2018"*1)*(BD!D4:D1338&lt;="31/12/2018"*1))</f>
        <v>163</v>
      </c>
      <c r="J17" s="93">
        <f>SUMPRODUCT((BD!D4:D1338&gt;="01/01/2019"*1)*(BD!D4:D1338&lt;="31/12/2019"*1))</f>
        <v>167</v>
      </c>
      <c r="K17" s="93">
        <f>SUMPRODUCT((BD!D4:D1338&gt;="01/01/2020"*1)*(BD!D4:D1338&lt;="31/12/2020"*1))</f>
        <v>53</v>
      </c>
      <c r="L17" s="91"/>
    </row>
    <row r="18" spans="1:12" ht="15.75" thickBot="1" x14ac:dyDescent="0.3">
      <c r="A18" s="93" t="s">
        <v>3648</v>
      </c>
      <c r="B18" s="94">
        <f>SUMIFS(BD!C4:C1338,BD!Q4:Q1338,"&gt;=01/01/2015",BD!Q4:Q1338,"&lt;31/12/2020",BD!C4:C1338,"800")</f>
        <v>112000</v>
      </c>
      <c r="C18" s="96"/>
      <c r="D18" s="89"/>
      <c r="E18" s="97"/>
      <c r="F18" s="98"/>
      <c r="G18" s="98"/>
      <c r="H18" s="98"/>
      <c r="I18" s="98"/>
      <c r="J18" s="98"/>
      <c r="K18" s="98"/>
      <c r="L18" s="99"/>
    </row>
    <row r="19" spans="1:12" x14ac:dyDescent="0.25">
      <c r="A19" s="93" t="s">
        <v>3649</v>
      </c>
      <c r="B19" s="94">
        <f>SUMIFS(BD!C4:C1338,BD!Q4:Q1338,"&gt;=01/01/2015",BD!Q4:Q1338,"&lt;31/12/2020",BD!C4:C1338,"400")</f>
        <v>183200</v>
      </c>
      <c r="C19" s="96"/>
    </row>
    <row r="20" spans="1:12" x14ac:dyDescent="0.25">
      <c r="A20" s="93" t="s">
        <v>3647</v>
      </c>
      <c r="B20" s="94">
        <f>B18+B19</f>
        <v>295200</v>
      </c>
      <c r="C20" s="96"/>
    </row>
    <row r="21" spans="1:12" ht="15.75" thickBot="1" x14ac:dyDescent="0.3">
      <c r="A21" s="165" t="s">
        <v>3667</v>
      </c>
      <c r="B21" s="94">
        <v>300000</v>
      </c>
      <c r="C21" s="96"/>
    </row>
    <row r="22" spans="1:12" x14ac:dyDescent="0.25">
      <c r="A22" s="165" t="s">
        <v>3668</v>
      </c>
      <c r="B22" s="94">
        <f>B21-B17</f>
        <v>7200</v>
      </c>
      <c r="C22" s="96"/>
      <c r="E22" s="192"/>
      <c r="F22" s="193"/>
      <c r="G22" s="193"/>
      <c r="H22" s="193" t="s">
        <v>3700</v>
      </c>
      <c r="I22" s="194">
        <v>42370</v>
      </c>
    </row>
    <row r="23" spans="1:12" ht="15.75" thickBot="1" x14ac:dyDescent="0.3">
      <c r="A23" s="165" t="s">
        <v>3669</v>
      </c>
      <c r="B23" s="94">
        <f>B22/500</f>
        <v>14.4</v>
      </c>
      <c r="C23" s="96"/>
      <c r="E23" s="166"/>
      <c r="F23" s="167"/>
      <c r="G23" s="167"/>
      <c r="H23" s="195" t="s">
        <v>3699</v>
      </c>
      <c r="I23" s="196" t="str">
        <f ca="1">DATEDIF(I22, TODAY(),"m")&amp;" mois"</f>
        <v>100 mois</v>
      </c>
    </row>
    <row r="24" spans="1:12" ht="15.75" thickBot="1" x14ac:dyDescent="0.3">
      <c r="A24" s="97"/>
      <c r="B24" s="98"/>
      <c r="C24" s="226"/>
    </row>
    <row r="25" spans="1:12" ht="15.75" thickBot="1" x14ac:dyDescent="0.3">
      <c r="A25" s="89"/>
      <c r="B25" s="89"/>
      <c r="C25" s="227"/>
    </row>
    <row r="26" spans="1:12" ht="26.25" x14ac:dyDescent="0.4">
      <c r="A26" s="266" t="s">
        <v>3892</v>
      </c>
      <c r="B26" s="267"/>
      <c r="C26" s="268"/>
    </row>
    <row r="27" spans="1:12" x14ac:dyDescent="0.25">
      <c r="A27" s="92" t="s">
        <v>3629</v>
      </c>
      <c r="B27" s="94">
        <f>COUNTIFS(BD!BS4:BS1338,2016)</f>
        <v>134</v>
      </c>
      <c r="C27" s="231" t="s">
        <v>3891</v>
      </c>
    </row>
    <row r="28" spans="1:12" x14ac:dyDescent="0.25">
      <c r="A28" s="92" t="s">
        <v>3630</v>
      </c>
      <c r="B28" s="94">
        <f>COUNTIFS(BD!I4:I1338,"&gt;=01/01/2016",BD!I4:I1338,"&lt;31/12/2020",BD!BS4:BS1338,2016)</f>
        <v>119</v>
      </c>
      <c r="C28" s="231" t="s">
        <v>3891</v>
      </c>
    </row>
    <row r="29" spans="1:12" x14ac:dyDescent="0.25">
      <c r="A29" s="92" t="s">
        <v>8</v>
      </c>
      <c r="B29" s="94">
        <f>COUNTIFS(BD!S4:S1338,"&gt;=01/01/2016",BD!S4:S1338,"&lt;31/12/2020",BD!BS4:BS1338,2016)</f>
        <v>15</v>
      </c>
      <c r="C29" s="231" t="s">
        <v>3891</v>
      </c>
    </row>
    <row r="30" spans="1:12" x14ac:dyDescent="0.25">
      <c r="A30" s="92" t="s">
        <v>3633</v>
      </c>
      <c r="B30" s="94">
        <f>COUNTIFS(BD!P4:P1338,"&gt;=01/01/2016",BD!P4:P1338,"&lt;31/12/2020",BD!BS4:BS1338,2016)</f>
        <v>119</v>
      </c>
      <c r="C30" s="228" t="s">
        <v>3891</v>
      </c>
    </row>
    <row r="31" spans="1:12" x14ac:dyDescent="0.25">
      <c r="A31" s="168" t="s">
        <v>3670</v>
      </c>
      <c r="B31" s="94">
        <f>COUNTIFS(BD!Q4:Q1338,"&gt;=01/01/2016",BD!Q4:Q1338,"&lt;31/12/2020",BD!BS4:BS1338,2016)</f>
        <v>119</v>
      </c>
      <c r="C31" s="228" t="s">
        <v>3891</v>
      </c>
    </row>
    <row r="32" spans="1:12" x14ac:dyDescent="0.25">
      <c r="A32" s="171" t="s">
        <v>3673</v>
      </c>
      <c r="B32" s="173">
        <f>B27-B31-B29</f>
        <v>0</v>
      </c>
      <c r="C32" s="228" t="s">
        <v>3891</v>
      </c>
    </row>
    <row r="33" spans="1:3" x14ac:dyDescent="0.25">
      <c r="A33" s="172" t="s">
        <v>3674</v>
      </c>
      <c r="B33" s="173">
        <f>SUMIFS(BD!C4:C1338,BD!D4:D1338,"&gt;=01/01/2016",BD!D4:D1338,"&lt;31/12/2016",BD!Q4:Q1338,"")+(COUNTIFS(BD!D4:D1338,"&gt;=01/01/2016",BD!D4:D1338,"&lt;31/12/2016",BD!C4:C1338,"=400?")*400)+(COUNTIFS(BD!D4:D1338,"&gt;=01/01/2016",BD!D4:D1338,"&lt;31/12/2016",BD!C4:C1338,"=800?")*800)</f>
        <v>0</v>
      </c>
      <c r="C33" s="228" t="s">
        <v>3891</v>
      </c>
    </row>
    <row r="34" spans="1:3" x14ac:dyDescent="0.25">
      <c r="A34" s="92" t="s">
        <v>5</v>
      </c>
      <c r="B34" s="94">
        <f>COUNTIFS(BD!O4:O1338,"&gt;=01/01/2016",BD!O4:O1338,"&lt;31/12/2016",BD!C4:C1338,"=800")</f>
        <v>19</v>
      </c>
      <c r="C34" s="228"/>
    </row>
    <row r="35" spans="1:3" x14ac:dyDescent="0.25">
      <c r="A35" s="92" t="s">
        <v>2</v>
      </c>
      <c r="B35" s="94">
        <f>COUNTIFS(BD!O4:O1338,"&gt;=01/01/2016",BD!O4:O1338,"&lt;31/12/2016",BD!C4:C1338,"=400")</f>
        <v>46</v>
      </c>
      <c r="C35" s="228"/>
    </row>
    <row r="36" spans="1:3" x14ac:dyDescent="0.25">
      <c r="A36" s="92" t="s">
        <v>3645</v>
      </c>
      <c r="B36" s="94">
        <f>800*B34+400*B35</f>
        <v>33600</v>
      </c>
      <c r="C36" s="228"/>
    </row>
    <row r="37" spans="1:3" x14ac:dyDescent="0.25">
      <c r="A37" s="92" t="s">
        <v>6</v>
      </c>
      <c r="B37" s="94">
        <f>COUNTIFS(BD!D4:D1338,"&gt;=01/01/2016",BD!D4:D1338,"&lt;31/12/2016",BD!C4:C1338,"=800?")</f>
        <v>0</v>
      </c>
      <c r="C37" s="228"/>
    </row>
    <row r="38" spans="1:3" x14ac:dyDescent="0.25">
      <c r="A38" s="92" t="s">
        <v>3</v>
      </c>
      <c r="B38" s="94">
        <f>COUNTIFS(BD!D4:D1338,"&gt;=01/01/2016",BD!D4:D1338,"&lt;31/12/2016",BD!C4:C1338,"=400?")</f>
        <v>0</v>
      </c>
      <c r="C38" s="228"/>
    </row>
    <row r="39" spans="1:3" x14ac:dyDescent="0.25">
      <c r="A39" s="92" t="s">
        <v>3646</v>
      </c>
      <c r="B39" s="94">
        <f>800*B37+400*B38</f>
        <v>0</v>
      </c>
      <c r="C39" s="228"/>
    </row>
    <row r="40" spans="1:3" x14ac:dyDescent="0.25">
      <c r="A40" s="92" t="s">
        <v>3650</v>
      </c>
      <c r="B40" s="94">
        <f>B36+B39</f>
        <v>33600</v>
      </c>
      <c r="C40" s="228"/>
    </row>
    <row r="41" spans="1:3" x14ac:dyDescent="0.25">
      <c r="A41" s="92" t="s">
        <v>3648</v>
      </c>
      <c r="B41" s="94">
        <f>SUMIFS(BD!C4:C1338,BD!Q4:Q1338,"&gt;=01/01/2016",BD!Q4:Q1338,"&lt;31/12/2016",BD!C4:C1338,"800")</f>
        <v>16800</v>
      </c>
      <c r="C41" s="228"/>
    </row>
    <row r="42" spans="1:3" x14ac:dyDescent="0.25">
      <c r="A42" s="92" t="s">
        <v>3649</v>
      </c>
      <c r="B42" s="94">
        <f>SUMIFS(BD!C4:C1338,BD!Q4:Q1338,"&gt;=01/01/2016",BD!Q4:Q1338,"&lt;31/12/2016",BD!C4:C1338,"400")</f>
        <v>24800</v>
      </c>
      <c r="C42" s="228"/>
    </row>
    <row r="43" spans="1:3" x14ac:dyDescent="0.25">
      <c r="A43" s="92" t="s">
        <v>3647</v>
      </c>
      <c r="B43" s="94">
        <f>B41+B42</f>
        <v>41600</v>
      </c>
      <c r="C43" s="228"/>
    </row>
    <row r="44" spans="1:3" ht="15.75" thickBot="1" x14ac:dyDescent="0.3">
      <c r="A44" s="166"/>
      <c r="B44" s="167"/>
      <c r="C44" s="229"/>
    </row>
    <row r="45" spans="1:3" ht="15.75" thickBot="1" x14ac:dyDescent="0.3"/>
    <row r="46" spans="1:3" ht="26.25" x14ac:dyDescent="0.4">
      <c r="A46" s="266" t="s">
        <v>3893</v>
      </c>
      <c r="B46" s="267"/>
      <c r="C46" s="268"/>
    </row>
    <row r="47" spans="1:3" x14ac:dyDescent="0.25">
      <c r="A47" s="92" t="s">
        <v>3629</v>
      </c>
      <c r="B47" s="94">
        <f>COUNTIFS(BD!BS4:BS1338,2017)</f>
        <v>128</v>
      </c>
      <c r="C47" s="231" t="s">
        <v>3891</v>
      </c>
    </row>
    <row r="48" spans="1:3" x14ac:dyDescent="0.25">
      <c r="A48" s="92" t="s">
        <v>3630</v>
      </c>
      <c r="B48" s="94">
        <f>COUNTIFS(BD!I4:I1338,"&gt;=01/01/2016",BD!I4:I1338,"&lt;31/12/2020",BD!BS4:BS1338,2017)</f>
        <v>117</v>
      </c>
      <c r="C48" s="231" t="s">
        <v>3891</v>
      </c>
    </row>
    <row r="49" spans="1:3" x14ac:dyDescent="0.25">
      <c r="A49" s="92" t="s">
        <v>8</v>
      </c>
      <c r="B49" s="94">
        <f>COUNTIFS(BD!S4:S1338,"&gt;=01/01/2016",BD!S4:S1338,"&lt;31/12/2020",BD!BS4:BS1338,2017)</f>
        <v>15</v>
      </c>
      <c r="C49" s="231" t="s">
        <v>3891</v>
      </c>
    </row>
    <row r="50" spans="1:3" x14ac:dyDescent="0.25">
      <c r="A50" s="92" t="s">
        <v>3633</v>
      </c>
      <c r="B50" s="94">
        <f>COUNTIFS(BD!P4:P1338,"&gt;=01/01/2016",BD!P4:P1338,"&lt;31/12/2020",BD!BS4:BS1338,2017)</f>
        <v>113</v>
      </c>
      <c r="C50" s="228" t="s">
        <v>3891</v>
      </c>
    </row>
    <row r="51" spans="1:3" x14ac:dyDescent="0.25">
      <c r="A51" s="168" t="s">
        <v>3670</v>
      </c>
      <c r="B51" s="94">
        <f>COUNTIFS(BD!Q4:Q1338,"&gt;=01/01/2016",BD!Q4:Q1338,"&lt;31/12/2020",BD!BS4:BS1338,2017)</f>
        <v>113</v>
      </c>
      <c r="C51" s="228" t="s">
        <v>3891</v>
      </c>
    </row>
    <row r="52" spans="1:3" x14ac:dyDescent="0.25">
      <c r="A52" s="171" t="s">
        <v>3673</v>
      </c>
      <c r="B52" s="173">
        <f>B47-B51-B49</f>
        <v>0</v>
      </c>
      <c r="C52" s="228" t="s">
        <v>3891</v>
      </c>
    </row>
    <row r="53" spans="1:3" x14ac:dyDescent="0.25">
      <c r="A53" s="172" t="s">
        <v>3674</v>
      </c>
      <c r="B53" s="94">
        <f>SUMIFS(BD!C4:C1338,BD!D4:D1338,"&gt;=01/01/2017",BD!D4:D1338,"&lt;31/12/2017",BD!Q4:Q1338,"")+(COUNTIFS(BD!D4:D1338,"&gt;=01/01/2017",BD!D4:D1338,"&lt;31/12/2017",BD!C4:C1338,"=(400)")*400)+(COUNTIFS(BD!D4:D1338,"&gt;=01/01/2017",BD!D4:D1338,"&lt;31/12/2017",BD!C4:C1338,"=(800)")*800)</f>
        <v>0</v>
      </c>
      <c r="C53" s="228"/>
    </row>
    <row r="54" spans="1:3" x14ac:dyDescent="0.25">
      <c r="A54" s="92" t="s">
        <v>5</v>
      </c>
      <c r="B54" s="94">
        <f>COUNTIFS(BD!O4:O1338,"&gt;=01/01/2017",BD!O4:O1338,"&lt;31/12/2017",BD!C4:C1338,"=800")</f>
        <v>39</v>
      </c>
      <c r="C54" s="228"/>
    </row>
    <row r="55" spans="1:3" x14ac:dyDescent="0.25">
      <c r="A55" s="92" t="s">
        <v>2</v>
      </c>
      <c r="B55" s="94">
        <f>COUNTIFS(BD!O4:O1338,"&gt;=01/01/2017",BD!O4:O1338,"&lt;31/12/2017",BD!C4:C1338,"=400")</f>
        <v>98</v>
      </c>
      <c r="C55" s="228"/>
    </row>
    <row r="56" spans="1:3" x14ac:dyDescent="0.25">
      <c r="A56" s="92" t="s">
        <v>3645</v>
      </c>
      <c r="B56" s="94">
        <f>800*B54+400*B55</f>
        <v>70400</v>
      </c>
      <c r="C56" s="228"/>
    </row>
    <row r="57" spans="1:3" x14ac:dyDescent="0.25">
      <c r="A57" s="92" t="s">
        <v>6</v>
      </c>
      <c r="B57" s="94">
        <f>COUNTIFS(BD!D4:D1338,"&gt;=01/01/2017",BD!D4:D1338,"&lt;31/12/2017",BD!C4:C1338,"=800?")</f>
        <v>0</v>
      </c>
      <c r="C57" s="228"/>
    </row>
    <row r="58" spans="1:3" x14ac:dyDescent="0.25">
      <c r="A58" s="92" t="s">
        <v>3</v>
      </c>
      <c r="B58" s="94">
        <f>COUNTIFS(BD!D4:D1338,"&gt;=01/01/2017",BD!D4:D1338,"&lt;31/12/2017",BD!C4:C1338,"=400?")</f>
        <v>0</v>
      </c>
      <c r="C58" s="228"/>
    </row>
    <row r="59" spans="1:3" x14ac:dyDescent="0.25">
      <c r="A59" s="92" t="s">
        <v>3646</v>
      </c>
      <c r="B59" s="94">
        <f>800*B57+400*B58</f>
        <v>0</v>
      </c>
      <c r="C59" s="228"/>
    </row>
    <row r="60" spans="1:3" x14ac:dyDescent="0.25">
      <c r="A60" s="92" t="s">
        <v>3650</v>
      </c>
      <c r="B60" s="94">
        <f>B56+B59</f>
        <v>70400</v>
      </c>
      <c r="C60" s="228"/>
    </row>
    <row r="61" spans="1:3" x14ac:dyDescent="0.25">
      <c r="A61" s="92" t="s">
        <v>3648</v>
      </c>
      <c r="B61" s="94">
        <f>SUMIFS(BD!C4:C1338,BD!Q4:Q1338,"&gt;=01/01/2017",BD!Q4:Q1338,"&lt;31/12/2017",BD!C4:C1338,"800")</f>
        <v>32000</v>
      </c>
      <c r="C61" s="228"/>
    </row>
    <row r="62" spans="1:3" x14ac:dyDescent="0.25">
      <c r="A62" s="92" t="s">
        <v>3649</v>
      </c>
      <c r="B62" s="94">
        <f>SUMIFS(BD!C4:C1338,BD!Q4:Q1338,"&gt;=01/01/2017",BD!Q4:Q1338,"&lt;31/12/2017",BD!C4:C1338,"400")</f>
        <v>36800</v>
      </c>
      <c r="C62" s="228"/>
    </row>
    <row r="63" spans="1:3" x14ac:dyDescent="0.25">
      <c r="A63" s="92" t="s">
        <v>3647</v>
      </c>
      <c r="B63" s="94">
        <f>B61+B62</f>
        <v>68800</v>
      </c>
      <c r="C63" s="228"/>
    </row>
    <row r="64" spans="1:3" ht="15.75" thickBot="1" x14ac:dyDescent="0.3">
      <c r="A64" s="166"/>
      <c r="B64" s="167"/>
      <c r="C64" s="229"/>
    </row>
    <row r="65" spans="1:3" ht="15.75" thickBot="1" x14ac:dyDescent="0.3"/>
    <row r="66" spans="1:3" ht="26.25" x14ac:dyDescent="0.4">
      <c r="A66" s="266" t="s">
        <v>3894</v>
      </c>
      <c r="B66" s="267"/>
      <c r="C66" s="268"/>
    </row>
    <row r="67" spans="1:3" x14ac:dyDescent="0.25">
      <c r="A67" s="92" t="s">
        <v>3629</v>
      </c>
      <c r="B67" s="94">
        <f>COUNTIFS(BD!BS4:BS1338,2018)</f>
        <v>158</v>
      </c>
      <c r="C67" s="231" t="s">
        <v>3891</v>
      </c>
    </row>
    <row r="68" spans="1:3" x14ac:dyDescent="0.25">
      <c r="A68" s="92" t="s">
        <v>3630</v>
      </c>
      <c r="B68" s="94">
        <f>COUNTIFS(BD!I4:I1338,"&gt;=01/01/2016",BD!I4:I1338,"&lt;31/12/2020",BD!BS4:BS1338,2018)</f>
        <v>146</v>
      </c>
      <c r="C68" s="231" t="s">
        <v>3891</v>
      </c>
    </row>
    <row r="69" spans="1:3" x14ac:dyDescent="0.25">
      <c r="A69" s="92" t="s">
        <v>8</v>
      </c>
      <c r="B69" s="94">
        <f>COUNTIFS(BD!S4:S1338,"&gt;=01/01/2016",BD!S4:S1338,"&lt;31/12/2020",BD!BS4:BS1338,2018)</f>
        <v>17</v>
      </c>
      <c r="C69" s="231" t="s">
        <v>3891</v>
      </c>
    </row>
    <row r="70" spans="1:3" x14ac:dyDescent="0.25">
      <c r="A70" s="92" t="s">
        <v>3633</v>
      </c>
      <c r="B70" s="94">
        <f>COUNTIFS(BD!P4:P1338,"&gt;=01/01/2016",BD!P4:P1338,"&lt;31/12/2020",BD!BS4:BS1338,2018)</f>
        <v>141</v>
      </c>
      <c r="C70" s="228" t="s">
        <v>3891</v>
      </c>
    </row>
    <row r="71" spans="1:3" x14ac:dyDescent="0.25">
      <c r="A71" s="168" t="s">
        <v>3670</v>
      </c>
      <c r="B71" s="94">
        <f>COUNTIFS(BD!Q4:Q1338,"&gt;=01/01/2016",BD!Q4:Q1338,"&lt;31/12/2020",BD!BS4:BS1338,2018)</f>
        <v>141</v>
      </c>
      <c r="C71" s="228" t="s">
        <v>3891</v>
      </c>
    </row>
    <row r="72" spans="1:3" x14ac:dyDescent="0.25">
      <c r="A72" s="171" t="s">
        <v>3673</v>
      </c>
      <c r="B72" s="173">
        <f>B67-B71-B69</f>
        <v>0</v>
      </c>
      <c r="C72" s="228" t="s">
        <v>3891</v>
      </c>
    </row>
    <row r="73" spans="1:3" x14ac:dyDescent="0.25">
      <c r="A73" s="172" t="s">
        <v>3674</v>
      </c>
      <c r="B73" s="94">
        <f>SUMIFS(BD!C4:C1338,BD!D4:D1338,"&gt;=01/01/2018",BD!D4:D1338,"&lt;31/12/2018",BD!Q4:Q1338,"")+(COUNTIFS(BD!D4:D1338,"&gt;=01/01/2018",BD!D4:D1338,"&lt;31/12/2018",BD!C4:C1338,"=(400)")*400)+(COUNTIFS(BD!D4:D1338,"&gt;=01/01/2018",BD!D4:D1338,"&lt;31/12/2018",BD!C4:C1338,"=(800)")*800)</f>
        <v>800</v>
      </c>
      <c r="C73" s="228"/>
    </row>
    <row r="74" spans="1:3" x14ac:dyDescent="0.25">
      <c r="A74" s="92" t="s">
        <v>5</v>
      </c>
      <c r="B74" s="94">
        <f>COUNTIFS(BD!O4:O1338,"&gt;=01/01/2018",BD!O4:O1338,"&lt;31/12/2018",BD!C4:C1338,"=800")</f>
        <v>26</v>
      </c>
      <c r="C74" s="228"/>
    </row>
    <row r="75" spans="1:3" x14ac:dyDescent="0.25">
      <c r="A75" s="92" t="s">
        <v>2</v>
      </c>
      <c r="B75" s="94">
        <f>COUNTIFS(BD!O4:O1338,"&gt;=01/01/2018",BD!O4:O1338,"&lt;31/12/2018",BD!C4:C1338,"=400")</f>
        <v>92</v>
      </c>
      <c r="C75" s="228"/>
    </row>
    <row r="76" spans="1:3" x14ac:dyDescent="0.25">
      <c r="A76" s="92" t="s">
        <v>3645</v>
      </c>
      <c r="B76" s="94">
        <f>800*B74+400*B75</f>
        <v>57600</v>
      </c>
      <c r="C76" s="228"/>
    </row>
    <row r="77" spans="1:3" x14ac:dyDescent="0.25">
      <c r="A77" s="92" t="s">
        <v>6</v>
      </c>
      <c r="B77" s="173">
        <f>COUNTIFS(BD!D4:D1338,"&gt;=01/01/2018",BD!D4:D1338,"&lt;31/12/2018",BD!C4:C1338,"=800?")</f>
        <v>0</v>
      </c>
      <c r="C77" s="228"/>
    </row>
    <row r="78" spans="1:3" x14ac:dyDescent="0.25">
      <c r="A78" s="92" t="s">
        <v>3</v>
      </c>
      <c r="B78" s="173">
        <f>COUNTIFS(BD!D4:D1338,"&gt;=01/01/2018",BD!D4:D1338,"&lt;31/12/2018",BD!C4:C1338,"=400?")</f>
        <v>0</v>
      </c>
      <c r="C78" s="228"/>
    </row>
    <row r="79" spans="1:3" x14ac:dyDescent="0.25">
      <c r="A79" s="92" t="s">
        <v>3646</v>
      </c>
      <c r="B79" s="94">
        <f>800*B77+400*B78</f>
        <v>0</v>
      </c>
      <c r="C79" s="228"/>
    </row>
    <row r="80" spans="1:3" x14ac:dyDescent="0.25">
      <c r="A80" s="92" t="s">
        <v>3650</v>
      </c>
      <c r="B80" s="94">
        <f>B76+B79</f>
        <v>57600</v>
      </c>
      <c r="C80" s="228"/>
    </row>
    <row r="81" spans="1:3" x14ac:dyDescent="0.25">
      <c r="A81" s="92" t="s">
        <v>3648</v>
      </c>
      <c r="B81" s="94">
        <f>SUMIFS(BD!C4:C1338,BD!Q4:Q1338,"&gt;=01/01/2018",BD!Q4:Q1338,"&lt;31/12/2018",BD!C4:C1338,"800")</f>
        <v>21600</v>
      </c>
      <c r="C81" s="228"/>
    </row>
    <row r="82" spans="1:3" x14ac:dyDescent="0.25">
      <c r="A82" s="92" t="s">
        <v>3649</v>
      </c>
      <c r="B82" s="94">
        <f>SUMIFS(BD!C4:C1338,BD!Q4:Q1338,"&gt;=01/01/2018",BD!Q4:Q1338,"&lt;31/12/2018",BD!C4:C1338,"400")</f>
        <v>36400</v>
      </c>
      <c r="C82" s="228"/>
    </row>
    <row r="83" spans="1:3" x14ac:dyDescent="0.25">
      <c r="A83" s="92" t="s">
        <v>3647</v>
      </c>
      <c r="B83" s="94">
        <f>B81+B82</f>
        <v>58000</v>
      </c>
      <c r="C83" s="228"/>
    </row>
    <row r="84" spans="1:3" ht="15.75" thickBot="1" x14ac:dyDescent="0.3">
      <c r="A84" s="166"/>
      <c r="B84" s="167"/>
      <c r="C84" s="229"/>
    </row>
    <row r="85" spans="1:3" ht="15.75" thickBot="1" x14ac:dyDescent="0.3"/>
    <row r="86" spans="1:3" ht="26.25" x14ac:dyDescent="0.4">
      <c r="A86" s="266" t="s">
        <v>3895</v>
      </c>
      <c r="B86" s="267"/>
      <c r="C86" s="268"/>
    </row>
    <row r="87" spans="1:3" x14ac:dyDescent="0.25">
      <c r="A87" s="92" t="s">
        <v>3629</v>
      </c>
      <c r="B87" s="94">
        <f>COUNTIFS(BD!BS4:BS1338,2019)</f>
        <v>209</v>
      </c>
      <c r="C87" s="231" t="s">
        <v>3891</v>
      </c>
    </row>
    <row r="88" spans="1:3" x14ac:dyDescent="0.25">
      <c r="A88" s="92" t="s">
        <v>3630</v>
      </c>
      <c r="B88" s="94">
        <f>COUNTIFS(BD!I4:I1338,"&gt;=01/01/2016",BD!I4:I1338,"&lt;31/12/2020",BD!BS4:BS1338,2019)</f>
        <v>193</v>
      </c>
      <c r="C88" s="231" t="s">
        <v>3891</v>
      </c>
    </row>
    <row r="89" spans="1:3" x14ac:dyDescent="0.25">
      <c r="A89" s="92" t="s">
        <v>8</v>
      </c>
      <c r="B89" s="94">
        <f>COUNTIFS(BD!S4:S1338,"&gt;=01/01/2016",BD!S4:S1338,"&lt;31/12/2020",BD!BS4:BS1338,2019)</f>
        <v>23</v>
      </c>
      <c r="C89" s="231" t="s">
        <v>3891</v>
      </c>
    </row>
    <row r="90" spans="1:3" x14ac:dyDescent="0.25">
      <c r="A90" s="92" t="s">
        <v>3633</v>
      </c>
      <c r="B90" s="94">
        <f>COUNTIFS(BD!P4:P1338,"&gt;=01/01/2016",BD!P4:P1338,"&lt;31/12/2020",BD!BS4:BS1338,2019)</f>
        <v>178</v>
      </c>
      <c r="C90" s="228" t="s">
        <v>3891</v>
      </c>
    </row>
    <row r="91" spans="1:3" x14ac:dyDescent="0.25">
      <c r="A91" s="168" t="s">
        <v>3670</v>
      </c>
      <c r="B91" s="94">
        <f>COUNTIFS(BD!Q4:Q1338,"&gt;=01/01/2016",BD!Q4:Q1338,"&lt;31/12/2020",BD!BS4:BS1338,2019)</f>
        <v>182</v>
      </c>
      <c r="C91" s="228" t="s">
        <v>3891</v>
      </c>
    </row>
    <row r="92" spans="1:3" x14ac:dyDescent="0.25">
      <c r="A92" s="171" t="s">
        <v>3673</v>
      </c>
      <c r="B92" s="173">
        <f>B87-B91-B89</f>
        <v>4</v>
      </c>
      <c r="C92" s="228" t="s">
        <v>3891</v>
      </c>
    </row>
    <row r="93" spans="1:3" x14ac:dyDescent="0.25">
      <c r="A93" s="172" t="s">
        <v>3674</v>
      </c>
      <c r="B93" s="94">
        <f>SUMIFS(BD!C4:C1338,BD!D4:D1338,"&gt;=01/01/2019",BD!D4:D1338,"&lt;31/12/2019",BD!Q4:Q1338,"")+(COUNTIFS(BD!D4:D1338,"&gt;=01/01/2019",BD!D4:D1338,"&lt;31/12/2019",BD!C4:C1338,"=(400)")*400)+(COUNTIFS(BD!D4:D1338,"&gt;=01/01/2019",BD!D4:D1338,"&lt;31/12/2019",BD!C4:C1338,"=(800)")*800)</f>
        <v>3200</v>
      </c>
      <c r="C93" s="228"/>
    </row>
    <row r="94" spans="1:3" x14ac:dyDescent="0.25">
      <c r="A94" s="92" t="s">
        <v>5</v>
      </c>
      <c r="B94" s="94">
        <f>COUNTIFS(BD!O4:O1338,"&gt;=01/01/2019",BD!O4:O1338,"&lt;31/12/2019",BD!C4:C1338,"=800")</f>
        <v>30</v>
      </c>
      <c r="C94" s="228"/>
    </row>
    <row r="95" spans="1:3" x14ac:dyDescent="0.25">
      <c r="A95" s="92" t="s">
        <v>2</v>
      </c>
      <c r="B95" s="94">
        <f>COUNTIFS(BD!O4:O1338,"&gt;=01/01/2019",BD!O4:O1338,"&lt;31/12/2019",BD!C4:C1338,"=400")</f>
        <v>130</v>
      </c>
      <c r="C95" s="228"/>
    </row>
    <row r="96" spans="1:3" x14ac:dyDescent="0.25">
      <c r="A96" s="92" t="s">
        <v>3645</v>
      </c>
      <c r="B96" s="94">
        <f>800*B94+400*B95</f>
        <v>76000</v>
      </c>
      <c r="C96" s="228"/>
    </row>
    <row r="97" spans="1:3" x14ac:dyDescent="0.25">
      <c r="A97" s="92" t="s">
        <v>6</v>
      </c>
      <c r="B97" s="94">
        <f>COUNTIFS(BD!D4:D1338,"&gt;=01/01/2019",BD!D4:D1338,"&lt;31/12/2019",BD!C4:C1338,"=800?")</f>
        <v>0</v>
      </c>
      <c r="C97" s="228"/>
    </row>
    <row r="98" spans="1:3" x14ac:dyDescent="0.25">
      <c r="A98" s="92" t="s">
        <v>3</v>
      </c>
      <c r="B98" s="94">
        <f>COUNTIFS(BD!D4:D1338,"&gt;=01/01/2019",BD!D4:D1338,"&lt;31/12/2019",BD!C4:C1338,"=400?")</f>
        <v>0</v>
      </c>
      <c r="C98" s="228"/>
    </row>
    <row r="99" spans="1:3" x14ac:dyDescent="0.25">
      <c r="A99" s="92" t="s">
        <v>3646</v>
      </c>
      <c r="B99" s="94">
        <f>800*B97+400*B98</f>
        <v>0</v>
      </c>
      <c r="C99" s="228"/>
    </row>
    <row r="100" spans="1:3" x14ac:dyDescent="0.25">
      <c r="A100" s="92" t="s">
        <v>3650</v>
      </c>
      <c r="B100" s="94">
        <f>B96+B99</f>
        <v>76000</v>
      </c>
      <c r="C100" s="228"/>
    </row>
    <row r="101" spans="1:3" x14ac:dyDescent="0.25">
      <c r="A101" s="92" t="s">
        <v>3648</v>
      </c>
      <c r="B101" s="94">
        <f>SUMIFS(BD!C4:C1338,BD!Q4:Q1338,"&gt;=01/01/2019",BD!Q4:Q1338,"&lt;31/12/2019",BD!C4:C1338,"800")</f>
        <v>24000</v>
      </c>
      <c r="C101" s="228"/>
    </row>
    <row r="102" spans="1:3" x14ac:dyDescent="0.25">
      <c r="A102" s="92" t="s">
        <v>3649</v>
      </c>
      <c r="B102" s="94">
        <f>SUMIFS(BD!C4:C1338,BD!Q4:Q1338,"&gt;=01/01/2019",BD!Q4:Q1338,"&lt;31/12/2019",BD!C4:C1338,"400")</f>
        <v>54400</v>
      </c>
      <c r="C102" s="228"/>
    </row>
    <row r="103" spans="1:3" x14ac:dyDescent="0.25">
      <c r="A103" s="92" t="s">
        <v>3647</v>
      </c>
      <c r="B103" s="94">
        <f>B101+B102</f>
        <v>78400</v>
      </c>
      <c r="C103" s="228"/>
    </row>
    <row r="104" spans="1:3" ht="15.75" thickBot="1" x14ac:dyDescent="0.3">
      <c r="A104" s="166"/>
      <c r="B104" s="167"/>
      <c r="C104" s="229"/>
    </row>
    <row r="105" spans="1:3" ht="15.75" thickBot="1" x14ac:dyDescent="0.3"/>
    <row r="106" spans="1:3" ht="26.25" x14ac:dyDescent="0.4">
      <c r="A106" s="266">
        <v>2020</v>
      </c>
      <c r="B106" s="267"/>
      <c r="C106" s="268"/>
    </row>
    <row r="107" spans="1:3" x14ac:dyDescent="0.25">
      <c r="A107" s="92" t="s">
        <v>3629</v>
      </c>
      <c r="B107" s="94">
        <f>COUNTIFS(BD!BS4:BS1338,2020)</f>
        <v>37</v>
      </c>
      <c r="C107" s="231" t="s">
        <v>3891</v>
      </c>
    </row>
    <row r="108" spans="1:3" x14ac:dyDescent="0.25">
      <c r="A108" s="92" t="s">
        <v>3630</v>
      </c>
      <c r="B108" s="94">
        <f>COUNTIFS(BD!I4:I1338,"&gt;=01/01/2016",BD!I4:I1338,"&lt;31/12/2020",BD!BS4:BS1338,2020)</f>
        <v>31</v>
      </c>
      <c r="C108" s="231" t="s">
        <v>3891</v>
      </c>
    </row>
    <row r="109" spans="1:3" x14ac:dyDescent="0.25">
      <c r="A109" s="92" t="s">
        <v>8</v>
      </c>
      <c r="B109" s="94">
        <f>COUNTIFS(BD!S4:S1338,"&gt;=01/01/2016",BD!S4:S1338,"&lt;31/12/2020",BD!BS4:BS1338,2020)</f>
        <v>6</v>
      </c>
      <c r="C109" s="231" t="s">
        <v>3891</v>
      </c>
    </row>
    <row r="110" spans="1:3" x14ac:dyDescent="0.25">
      <c r="A110" s="92" t="s">
        <v>3633</v>
      </c>
      <c r="B110" s="94">
        <f>COUNTIFS(BD!P4:P1338,"&gt;=01/01/2016",BD!P4:P1338,"&lt;31/12/2020",BD!BS4:BS1338,2020)</f>
        <v>27</v>
      </c>
      <c r="C110" s="228" t="s">
        <v>3891</v>
      </c>
    </row>
    <row r="111" spans="1:3" x14ac:dyDescent="0.25">
      <c r="A111" s="168" t="s">
        <v>3670</v>
      </c>
      <c r="B111" s="94">
        <f>COUNTIFS(BD!Q4:Q1338,"&gt;=01/01/2016",BD!Q4:Q1338,"&lt;31/12/2020",BD!BS4:BS1338,2020)</f>
        <v>27</v>
      </c>
      <c r="C111" s="228" t="s">
        <v>3891</v>
      </c>
    </row>
    <row r="112" spans="1:3" x14ac:dyDescent="0.25">
      <c r="A112" s="171" t="s">
        <v>3673</v>
      </c>
      <c r="B112" s="173">
        <f>B107-B111-B109</f>
        <v>4</v>
      </c>
      <c r="C112" s="228" t="s">
        <v>3891</v>
      </c>
    </row>
    <row r="113" spans="1:3" x14ac:dyDescent="0.25">
      <c r="A113" s="172" t="s">
        <v>3674</v>
      </c>
      <c r="B113" s="94">
        <f>SUMIFS(BD!C4:C1338,BD!D4:D1338,"&gt;=01/01/2020",BD!D4:D1338,"&lt;31/12/2020",BD!Q4:Q1338,"")+(COUNTIFS(BD!D4:D1338,"&gt;=01/01/2020",BD!D4:D1338,"&lt;31/12/2020",BD!C4:C1338,"=(400)")*400)+(COUNTIFS(BD!D4:D1338,"&gt;=01/01/2020",BD!D4:D1338,"&lt;31/12/2020",BD!C4:C1338,"=(800)")*800)</f>
        <v>400</v>
      </c>
      <c r="C113" s="228"/>
    </row>
    <row r="114" spans="1:3" x14ac:dyDescent="0.25">
      <c r="A114" s="92" t="s">
        <v>5</v>
      </c>
      <c r="B114" s="94">
        <f>COUNTIFS(BD!O4:O1338,"&gt;=01/01/2020",BD!O4:O1338,"&lt;31/12/2020",BD!C4:C1338,"=800")</f>
        <v>19</v>
      </c>
      <c r="C114" s="228"/>
    </row>
    <row r="115" spans="1:3" x14ac:dyDescent="0.25">
      <c r="A115" s="92" t="s">
        <v>2</v>
      </c>
      <c r="B115" s="94">
        <f>COUNTIFS(BD!O4:O1338,"&gt;=01/01/2020",BD!O4:O1338,"&lt;31/12/2020",BD!C4:C1338,"=400")</f>
        <v>68</v>
      </c>
      <c r="C115" s="228"/>
    </row>
    <row r="116" spans="1:3" x14ac:dyDescent="0.25">
      <c r="A116" s="92" t="s">
        <v>3645</v>
      </c>
      <c r="B116" s="94">
        <f>800*B114+400*B115</f>
        <v>42400</v>
      </c>
      <c r="C116" s="228"/>
    </row>
    <row r="117" spans="1:3" x14ac:dyDescent="0.25">
      <c r="A117" s="92" t="s">
        <v>6</v>
      </c>
      <c r="B117" s="94">
        <f>COUNTIFS(BD!D4:D1338,"&gt;=01/01/2020",BD!D4:D1338,"&lt;31/12/2020",BD!C4:C1338,"=800?")</f>
        <v>0</v>
      </c>
      <c r="C117" s="228"/>
    </row>
    <row r="118" spans="1:3" x14ac:dyDescent="0.25">
      <c r="A118" s="92" t="s">
        <v>3</v>
      </c>
      <c r="B118" s="94">
        <f>COUNTIFS(BD!D4:D1338,"&gt;=01/01/2020",BD!D4:D1338,"&lt;31/12/2020",BD!C4:C1338,"=400?")</f>
        <v>0</v>
      </c>
      <c r="C118" s="228"/>
    </row>
    <row r="119" spans="1:3" x14ac:dyDescent="0.25">
      <c r="A119" s="92" t="s">
        <v>3646</v>
      </c>
      <c r="B119" s="94">
        <f>800*B117+400*B118</f>
        <v>0</v>
      </c>
      <c r="C119" s="228"/>
    </row>
    <row r="120" spans="1:3" x14ac:dyDescent="0.25">
      <c r="A120" s="92" t="s">
        <v>3650</v>
      </c>
      <c r="B120" s="94">
        <f>B116+B119</f>
        <v>42400</v>
      </c>
      <c r="C120" s="228"/>
    </row>
    <row r="121" spans="1:3" x14ac:dyDescent="0.25">
      <c r="A121" s="92" t="s">
        <v>3648</v>
      </c>
      <c r="B121" s="94">
        <f>SUMIFS(BD!C4:C1338,BD!Q4:Q1338,"&gt;=01/01/2020",BD!Q4:Q1338,"&lt;31/12/2020",BD!C4:C1338,"800")</f>
        <v>17600</v>
      </c>
      <c r="C121" s="228"/>
    </row>
    <row r="122" spans="1:3" x14ac:dyDescent="0.25">
      <c r="A122" s="92" t="s">
        <v>3649</v>
      </c>
      <c r="B122" s="94">
        <f>SUMIFS(BD!C4:C1338,BD!Q4:Q1338,"&gt;=01/01/2020",BD!Q4:Q1338,"&lt;31/12/2020",BD!C4:C1338,"400")</f>
        <v>30800</v>
      </c>
      <c r="C122" s="228"/>
    </row>
    <row r="123" spans="1:3" x14ac:dyDescent="0.25">
      <c r="A123" s="92" t="s">
        <v>3647</v>
      </c>
      <c r="B123" s="94">
        <f>B121+B122</f>
        <v>48400</v>
      </c>
      <c r="C123" s="228"/>
    </row>
    <row r="124" spans="1:3" ht="15.75" thickBot="1" x14ac:dyDescent="0.3">
      <c r="A124" s="166"/>
      <c r="B124" s="167"/>
      <c r="C124" s="229"/>
    </row>
  </sheetData>
  <mergeCells count="7">
    <mergeCell ref="A106:C106"/>
    <mergeCell ref="A1:C1"/>
    <mergeCell ref="F1:L1"/>
    <mergeCell ref="A26:C26"/>
    <mergeCell ref="A46:C46"/>
    <mergeCell ref="A66:C66"/>
    <mergeCell ref="A86:C86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4"/>
  <sheetViews>
    <sheetView workbookViewId="0">
      <selection activeCell="N8" sqref="N8"/>
    </sheetView>
  </sheetViews>
  <sheetFormatPr baseColWidth="10" defaultColWidth="9.140625" defaultRowHeight="15" x14ac:dyDescent="0.25"/>
  <cols>
    <col min="1" max="1" width="4.7109375" customWidth="1"/>
    <col min="2" max="1025" width="10.5703125" customWidth="1"/>
  </cols>
  <sheetData>
    <row r="1" spans="1:10" ht="19.5" thickBot="1" x14ac:dyDescent="0.3">
      <c r="A1" s="57"/>
      <c r="B1" s="72"/>
      <c r="C1" s="57"/>
      <c r="D1" s="57"/>
      <c r="E1" s="57"/>
      <c r="F1" s="57"/>
      <c r="G1" s="57"/>
      <c r="H1" s="57"/>
      <c r="I1" s="57"/>
      <c r="J1" s="57"/>
    </row>
    <row r="2" spans="1:10" ht="18.75" x14ac:dyDescent="0.3">
      <c r="A2" s="57"/>
      <c r="B2" s="57"/>
      <c r="C2" s="57"/>
      <c r="D2" s="274" t="s">
        <v>3168</v>
      </c>
      <c r="E2" s="275"/>
      <c r="F2" s="276"/>
      <c r="G2" s="57"/>
      <c r="H2" s="57"/>
      <c r="I2" s="57"/>
      <c r="J2" s="57"/>
    </row>
    <row r="3" spans="1:10" ht="19.5" thickBot="1" x14ac:dyDescent="0.3">
      <c r="A3" s="57"/>
      <c r="B3" s="57"/>
      <c r="C3" s="57"/>
      <c r="D3" s="269" t="s">
        <v>3167</v>
      </c>
      <c r="E3" s="270"/>
      <c r="F3" s="271"/>
      <c r="G3" s="57"/>
      <c r="H3" s="57"/>
      <c r="I3" s="57"/>
      <c r="J3" s="57"/>
    </row>
    <row r="4" spans="1:10" ht="16.5" thickBot="1" x14ac:dyDescent="0.3">
      <c r="A4" s="57"/>
      <c r="B4" s="71"/>
      <c r="C4" s="57"/>
      <c r="D4" s="57"/>
      <c r="E4" s="57"/>
      <c r="F4" s="57"/>
      <c r="G4" s="57"/>
      <c r="H4" s="57"/>
      <c r="I4" s="57"/>
      <c r="J4" s="57"/>
    </row>
    <row r="5" spans="1:10" ht="27" customHeight="1" thickBot="1" x14ac:dyDescent="0.3">
      <c r="A5" s="57"/>
      <c r="B5" s="57"/>
      <c r="C5" s="57"/>
      <c r="D5" s="272" t="s">
        <v>3166</v>
      </c>
      <c r="E5" s="272"/>
      <c r="F5" s="272"/>
      <c r="G5" s="57"/>
      <c r="H5" s="57"/>
      <c r="I5" s="57"/>
      <c r="J5" s="57"/>
    </row>
    <row r="6" spans="1:10" ht="12.6" customHeight="1" x14ac:dyDescent="0.25">
      <c r="A6" s="57"/>
      <c r="B6" s="57"/>
      <c r="C6" s="57"/>
      <c r="D6" s="57"/>
      <c r="E6" s="66"/>
      <c r="F6" s="57"/>
      <c r="G6" s="57"/>
      <c r="H6" s="67" t="s">
        <v>3165</v>
      </c>
      <c r="I6" s="69"/>
      <c r="J6" s="69"/>
    </row>
    <row r="7" spans="1:10" ht="15" customHeight="1" x14ac:dyDescent="0.25">
      <c r="A7" s="57"/>
      <c r="B7" s="273"/>
      <c r="C7" s="273"/>
      <c r="D7" s="273"/>
      <c r="E7" s="273"/>
      <c r="F7" s="273"/>
      <c r="G7" s="273"/>
      <c r="I7" s="70"/>
      <c r="J7" s="69"/>
    </row>
    <row r="8" spans="1:10" x14ac:dyDescent="0.25">
      <c r="A8" s="57"/>
      <c r="B8" s="68"/>
      <c r="C8" s="68"/>
      <c r="D8" s="68"/>
      <c r="E8" s="68"/>
      <c r="F8" s="68"/>
      <c r="G8" s="68"/>
      <c r="H8" s="67" t="s">
        <v>3164</v>
      </c>
      <c r="I8" s="65" t="s">
        <v>3163</v>
      </c>
      <c r="J8" s="57"/>
    </row>
    <row r="9" spans="1:10" ht="19.5" x14ac:dyDescent="0.25">
      <c r="A9" s="62" t="s">
        <v>3162</v>
      </c>
      <c r="B9" s="57"/>
      <c r="C9" s="57"/>
      <c r="D9" s="57"/>
      <c r="E9" s="66"/>
      <c r="F9" s="57"/>
      <c r="G9" s="57"/>
      <c r="H9" s="57"/>
      <c r="I9" s="65" t="s">
        <v>3161</v>
      </c>
      <c r="J9" s="57"/>
    </row>
    <row r="10" spans="1:10" x14ac:dyDescent="0.25">
      <c r="A10" s="57"/>
      <c r="B10" s="58"/>
      <c r="C10" s="57"/>
      <c r="D10" s="57"/>
      <c r="E10" s="57"/>
      <c r="F10" s="57"/>
      <c r="G10" s="57"/>
      <c r="H10" s="57"/>
      <c r="I10" s="65" t="s">
        <v>3160</v>
      </c>
      <c r="J10" s="57"/>
    </row>
    <row r="11" spans="1:10" x14ac:dyDescent="0.25">
      <c r="A11" s="57"/>
      <c r="B11" s="58" t="s">
        <v>3154</v>
      </c>
      <c r="C11" s="57"/>
      <c r="D11" s="57"/>
      <c r="E11" s="57"/>
      <c r="F11" s="57"/>
      <c r="G11" s="57"/>
      <c r="H11" s="57"/>
      <c r="I11" s="57"/>
      <c r="J11" s="57"/>
    </row>
    <row r="12" spans="1:10" x14ac:dyDescent="0.25">
      <c r="A12" s="57"/>
      <c r="B12" s="58"/>
      <c r="C12" s="57"/>
      <c r="D12" s="57"/>
      <c r="E12" s="57"/>
      <c r="F12" s="57"/>
      <c r="G12" s="57"/>
      <c r="H12" s="57"/>
      <c r="I12" s="57"/>
      <c r="J12" s="57"/>
    </row>
    <row r="13" spans="1:10" x14ac:dyDescent="0.25">
      <c r="A13" s="57"/>
      <c r="B13" s="58" t="s">
        <v>3159</v>
      </c>
      <c r="C13" s="57"/>
      <c r="D13" s="57"/>
      <c r="E13" s="57"/>
      <c r="F13" s="57"/>
      <c r="G13" s="57"/>
      <c r="H13" s="57"/>
      <c r="I13" s="57"/>
      <c r="J13" s="57"/>
    </row>
    <row r="14" spans="1:10" x14ac:dyDescent="0.25">
      <c r="A14" s="57"/>
      <c r="B14" s="58"/>
      <c r="C14" s="57"/>
      <c r="D14" s="57"/>
      <c r="E14" s="57"/>
      <c r="F14" s="57"/>
      <c r="G14" s="57"/>
      <c r="H14" s="57"/>
      <c r="I14" s="57"/>
      <c r="J14" s="57"/>
    </row>
    <row r="15" spans="1:10" x14ac:dyDescent="0.25">
      <c r="A15" s="57"/>
      <c r="B15" s="58" t="s">
        <v>4285</v>
      </c>
      <c r="C15" s="57"/>
      <c r="D15" s="57"/>
      <c r="E15" s="57"/>
      <c r="F15" s="57"/>
      <c r="G15" s="57"/>
      <c r="H15" s="57"/>
      <c r="I15" s="57"/>
      <c r="J15" s="57"/>
    </row>
    <row r="16" spans="1:10" x14ac:dyDescent="0.25">
      <c r="A16" s="57"/>
      <c r="B16" s="58"/>
      <c r="C16" s="57"/>
      <c r="D16" s="57"/>
      <c r="E16" s="57"/>
      <c r="F16" s="57"/>
      <c r="G16" s="57"/>
      <c r="H16" s="57"/>
      <c r="I16" s="57"/>
      <c r="J16" s="57"/>
    </row>
    <row r="17" spans="1:10" x14ac:dyDescent="0.25">
      <c r="A17" s="57"/>
      <c r="B17" s="58" t="s">
        <v>4286</v>
      </c>
      <c r="C17" s="57"/>
      <c r="D17" s="57"/>
      <c r="E17" s="57"/>
      <c r="F17" s="57"/>
      <c r="G17" s="57"/>
      <c r="H17" s="57"/>
      <c r="I17" s="57"/>
      <c r="J17" s="57"/>
    </row>
    <row r="18" spans="1:10" x14ac:dyDescent="0.25">
      <c r="A18" s="57"/>
      <c r="B18" s="58"/>
      <c r="C18" s="57"/>
      <c r="D18" s="57"/>
      <c r="E18" s="57"/>
      <c r="F18" s="57"/>
      <c r="G18" s="57"/>
      <c r="H18" s="57"/>
      <c r="I18" s="57"/>
      <c r="J18" s="57"/>
    </row>
    <row r="19" spans="1:10" x14ac:dyDescent="0.25">
      <c r="A19" s="57"/>
      <c r="B19" s="58" t="s">
        <v>4284</v>
      </c>
      <c r="C19" s="57"/>
      <c r="D19" s="57"/>
      <c r="E19" s="57"/>
      <c r="F19" s="57"/>
      <c r="G19" s="57"/>
      <c r="H19" s="57"/>
      <c r="I19" s="57"/>
      <c r="J19" s="57"/>
    </row>
    <row r="20" spans="1:10" x14ac:dyDescent="0.25">
      <c r="A20" s="57"/>
      <c r="B20" s="64"/>
      <c r="C20" s="63" t="s">
        <v>3158</v>
      </c>
      <c r="D20" s="57"/>
      <c r="E20" s="57"/>
      <c r="F20" s="57"/>
      <c r="G20" s="57"/>
      <c r="H20" s="57"/>
      <c r="I20" s="57"/>
      <c r="J20" s="57"/>
    </row>
    <row r="21" spans="1:10" x14ac:dyDescent="0.25">
      <c r="A21" s="57"/>
      <c r="B21" s="64"/>
      <c r="C21" s="63" t="s">
        <v>3157</v>
      </c>
      <c r="D21" s="57"/>
      <c r="E21" s="57"/>
      <c r="F21" s="57"/>
      <c r="G21" s="57"/>
      <c r="H21" s="57"/>
      <c r="I21" s="57"/>
      <c r="J21" s="57"/>
    </row>
    <row r="22" spans="1:10" x14ac:dyDescent="0.25">
      <c r="A22" s="57"/>
      <c r="B22" s="64"/>
      <c r="C22" s="63" t="s">
        <v>3156</v>
      </c>
      <c r="D22" s="57"/>
      <c r="E22" s="57"/>
      <c r="F22" s="57"/>
      <c r="G22" s="57"/>
      <c r="H22" s="57"/>
      <c r="I22" s="57"/>
      <c r="J22" s="57"/>
    </row>
    <row r="23" spans="1:10" x14ac:dyDescent="0.25">
      <c r="A23" s="57"/>
      <c r="B23" s="58"/>
      <c r="C23" s="57"/>
      <c r="D23" s="57"/>
      <c r="E23" s="57"/>
      <c r="F23" s="57"/>
      <c r="G23" s="57"/>
      <c r="H23" s="57"/>
      <c r="I23" s="57"/>
      <c r="J23" s="57"/>
    </row>
    <row r="24" spans="1:10" x14ac:dyDescent="0.25">
      <c r="A24" s="57"/>
      <c r="B24" s="58" t="s">
        <v>3155</v>
      </c>
      <c r="C24" s="57"/>
      <c r="D24" s="57"/>
      <c r="E24" s="57"/>
      <c r="F24" s="57"/>
      <c r="G24" s="57"/>
      <c r="H24" s="57"/>
      <c r="I24" s="57"/>
      <c r="J24" s="57"/>
    </row>
    <row r="25" spans="1:10" x14ac:dyDescent="0.25">
      <c r="A25" s="57"/>
      <c r="B25" s="58"/>
      <c r="C25" s="57"/>
      <c r="D25" s="57"/>
      <c r="E25" s="57"/>
      <c r="F25" s="57"/>
      <c r="G25" s="57"/>
      <c r="H25" s="57"/>
      <c r="I25" s="57"/>
      <c r="J25" s="57"/>
    </row>
    <row r="26" spans="1:10" x14ac:dyDescent="0.25">
      <c r="A26" s="57"/>
      <c r="B26" s="58" t="s">
        <v>1180</v>
      </c>
      <c r="C26" s="57"/>
      <c r="D26" s="57"/>
      <c r="E26" s="57"/>
      <c r="F26" s="57"/>
      <c r="G26" s="57"/>
      <c r="H26" s="57"/>
      <c r="I26" s="57"/>
      <c r="J26" s="57"/>
    </row>
    <row r="27" spans="1:10" x14ac:dyDescent="0.25">
      <c r="A27" s="57"/>
      <c r="B27" s="58"/>
      <c r="C27" s="57"/>
      <c r="D27" s="57"/>
      <c r="E27" s="57"/>
      <c r="F27" s="57"/>
      <c r="G27" s="57"/>
      <c r="H27" s="57"/>
      <c r="I27" s="57"/>
      <c r="J27" s="57"/>
    </row>
    <row r="28" spans="1:10" x14ac:dyDescent="0.25">
      <c r="A28" s="57"/>
      <c r="B28" s="58" t="s">
        <v>3153</v>
      </c>
      <c r="C28" s="57"/>
      <c r="D28" s="57"/>
      <c r="E28" s="57"/>
      <c r="F28" s="57"/>
      <c r="G28" s="57"/>
      <c r="H28" s="57"/>
      <c r="I28" s="57"/>
      <c r="J28" s="57"/>
    </row>
    <row r="29" spans="1:10" x14ac:dyDescent="0.25">
      <c r="A29" s="57"/>
      <c r="B29" s="57"/>
      <c r="C29" s="57"/>
      <c r="D29" s="57"/>
      <c r="E29" s="57"/>
      <c r="F29" s="57"/>
      <c r="G29" s="57"/>
      <c r="H29" s="57"/>
      <c r="I29" s="57"/>
      <c r="J29" s="57"/>
    </row>
    <row r="30" spans="1:10" x14ac:dyDescent="0.25">
      <c r="A30" s="57"/>
      <c r="B30" s="63" t="s">
        <v>1880</v>
      </c>
      <c r="C30" s="57"/>
      <c r="D30" s="57"/>
      <c r="E30" s="57"/>
      <c r="F30" s="57"/>
      <c r="G30" s="57"/>
      <c r="H30" s="57"/>
      <c r="I30" s="57"/>
      <c r="J30" s="57"/>
    </row>
    <row r="31" spans="1:10" x14ac:dyDescent="0.25">
      <c r="A31" s="57"/>
      <c r="B31" s="59"/>
      <c r="C31" s="57"/>
      <c r="D31" s="57"/>
      <c r="E31" s="57"/>
      <c r="F31" s="57"/>
      <c r="G31" s="57"/>
      <c r="H31" s="57"/>
      <c r="I31" s="57"/>
      <c r="J31" s="57"/>
    </row>
    <row r="32" spans="1:10" x14ac:dyDescent="0.25">
      <c r="A32" s="62" t="s">
        <v>3152</v>
      </c>
      <c r="B32" s="57"/>
      <c r="C32" s="57"/>
      <c r="D32" s="57"/>
      <c r="E32" s="57"/>
      <c r="F32" s="57"/>
      <c r="G32" s="57"/>
      <c r="H32" s="57"/>
      <c r="I32" s="57"/>
      <c r="J32" s="57"/>
    </row>
    <row r="33" spans="1:10" x14ac:dyDescent="0.25">
      <c r="A33" s="57"/>
      <c r="B33" s="62"/>
      <c r="C33" s="57"/>
      <c r="D33" s="57"/>
      <c r="E33" s="57"/>
      <c r="F33" s="57"/>
      <c r="G33" s="57"/>
      <c r="H33" s="57"/>
      <c r="I33" s="57"/>
      <c r="J33" s="57"/>
    </row>
    <row r="34" spans="1:10" x14ac:dyDescent="0.25">
      <c r="A34" s="57"/>
      <c r="B34" s="58" t="s">
        <v>3151</v>
      </c>
      <c r="C34" s="57"/>
      <c r="D34" s="57"/>
      <c r="E34" s="59"/>
      <c r="F34" s="57"/>
      <c r="G34" s="57"/>
      <c r="H34" s="57"/>
      <c r="I34" s="57"/>
      <c r="J34" s="57"/>
    </row>
    <row r="35" spans="1:10" x14ac:dyDescent="0.25">
      <c r="A35" s="57"/>
      <c r="B35" s="59"/>
      <c r="C35" s="57"/>
      <c r="D35" s="57"/>
      <c r="E35" s="60"/>
      <c r="F35" s="57"/>
      <c r="G35" s="57"/>
      <c r="H35" s="57"/>
      <c r="I35" s="57"/>
      <c r="J35" s="57"/>
    </row>
    <row r="36" spans="1:10" x14ac:dyDescent="0.25">
      <c r="A36" s="57"/>
      <c r="B36" s="58" t="s">
        <v>3145</v>
      </c>
      <c r="C36" s="57"/>
      <c r="D36" s="57"/>
      <c r="E36" s="59"/>
      <c r="F36" s="57"/>
      <c r="G36" s="57"/>
      <c r="H36" s="57"/>
      <c r="I36" s="57"/>
      <c r="J36" s="57"/>
    </row>
    <row r="37" spans="1:10" x14ac:dyDescent="0.25">
      <c r="A37" s="57"/>
      <c r="B37" s="59"/>
      <c r="C37" s="57"/>
      <c r="D37" s="57"/>
      <c r="E37" s="59"/>
      <c r="F37" s="57"/>
      <c r="G37" s="57"/>
      <c r="H37" s="57"/>
      <c r="I37" s="57"/>
      <c r="J37" s="57"/>
    </row>
    <row r="38" spans="1:10" x14ac:dyDescent="0.25">
      <c r="A38" s="57"/>
      <c r="B38" s="58" t="s">
        <v>3144</v>
      </c>
      <c r="C38" s="57"/>
      <c r="D38" s="57"/>
      <c r="E38" s="57"/>
      <c r="F38" s="57"/>
      <c r="G38" s="57"/>
      <c r="H38" s="57"/>
      <c r="I38" s="57"/>
      <c r="J38" s="57"/>
    </row>
    <row r="39" spans="1:10" x14ac:dyDescent="0.25">
      <c r="A39" s="57"/>
      <c r="B39" s="58"/>
      <c r="C39" s="57"/>
      <c r="D39" s="57"/>
      <c r="E39" s="57"/>
      <c r="F39" s="57"/>
      <c r="G39" s="57"/>
      <c r="H39" s="57"/>
      <c r="I39" s="57"/>
      <c r="J39" s="57"/>
    </row>
    <row r="40" spans="1:10" x14ac:dyDescent="0.25">
      <c r="A40" s="62" t="s">
        <v>3150</v>
      </c>
      <c r="B40" s="57"/>
      <c r="C40" s="57"/>
      <c r="D40" s="57"/>
      <c r="E40" s="57"/>
      <c r="F40" s="57"/>
      <c r="G40" s="57"/>
      <c r="H40" s="57"/>
      <c r="I40" s="57"/>
      <c r="J40" s="57"/>
    </row>
    <row r="41" spans="1:10" x14ac:dyDescent="0.25">
      <c r="A41" s="57"/>
      <c r="B41" s="59"/>
      <c r="C41" s="57"/>
      <c r="D41" s="57"/>
      <c r="E41" s="60"/>
      <c r="F41" s="57"/>
      <c r="G41" s="57"/>
      <c r="H41" s="57"/>
      <c r="I41" s="57"/>
      <c r="J41" s="57"/>
    </row>
    <row r="42" spans="1:10" x14ac:dyDescent="0.25">
      <c r="A42" s="57"/>
      <c r="B42" s="58" t="s">
        <v>3149</v>
      </c>
      <c r="C42" s="57"/>
      <c r="D42" s="57"/>
      <c r="E42" s="60"/>
      <c r="F42" s="57"/>
      <c r="G42" s="57"/>
      <c r="H42" s="57"/>
      <c r="I42" s="57"/>
      <c r="J42" s="57"/>
    </row>
    <row r="43" spans="1:10" x14ac:dyDescent="0.25">
      <c r="A43" s="57"/>
      <c r="B43" s="59"/>
      <c r="C43" s="57"/>
      <c r="D43" s="57"/>
      <c r="E43" s="60"/>
      <c r="F43" s="57"/>
      <c r="G43" s="57"/>
      <c r="H43" s="57"/>
      <c r="I43" s="57"/>
      <c r="J43" s="57"/>
    </row>
    <row r="44" spans="1:10" x14ac:dyDescent="0.25">
      <c r="A44" s="57"/>
      <c r="B44" s="58" t="s">
        <v>3148</v>
      </c>
      <c r="C44" s="57"/>
      <c r="D44" s="57"/>
      <c r="E44" s="60"/>
      <c r="F44" s="57"/>
      <c r="G44" s="57"/>
      <c r="H44" s="57"/>
      <c r="I44" s="57"/>
      <c r="J44" s="57"/>
    </row>
    <row r="45" spans="1:10" x14ac:dyDescent="0.25">
      <c r="A45" s="57"/>
      <c r="B45" s="59"/>
      <c r="C45" s="57"/>
      <c r="D45" s="57"/>
      <c r="E45" s="60"/>
      <c r="F45" s="57"/>
      <c r="G45" s="57"/>
      <c r="H45" s="57"/>
      <c r="I45" s="57"/>
      <c r="J45" s="57"/>
    </row>
    <row r="46" spans="1:10" x14ac:dyDescent="0.25">
      <c r="A46" s="57"/>
      <c r="B46" s="58" t="s">
        <v>3147</v>
      </c>
      <c r="C46" s="61"/>
      <c r="D46" s="57"/>
      <c r="E46" s="60"/>
      <c r="F46" s="57"/>
      <c r="G46" s="57"/>
      <c r="H46" s="57"/>
      <c r="I46" s="57"/>
      <c r="J46" s="57"/>
    </row>
    <row r="47" spans="1:10" x14ac:dyDescent="0.25">
      <c r="A47" s="57"/>
      <c r="B47" s="59"/>
      <c r="C47" s="57"/>
      <c r="D47" s="57"/>
      <c r="E47" s="60"/>
      <c r="F47" s="57"/>
      <c r="G47" s="57"/>
      <c r="H47" s="57"/>
      <c r="I47" s="57"/>
      <c r="J47" s="57"/>
    </row>
    <row r="48" spans="1:10" x14ac:dyDescent="0.25">
      <c r="A48" s="57"/>
      <c r="B48" s="58" t="s">
        <v>3146</v>
      </c>
      <c r="C48" s="57"/>
      <c r="D48" s="57"/>
      <c r="E48" s="60"/>
      <c r="F48" s="57"/>
      <c r="G48" s="57"/>
      <c r="H48" s="57"/>
      <c r="I48" s="57"/>
      <c r="J48" s="57"/>
    </row>
    <row r="49" spans="1:10" x14ac:dyDescent="0.25">
      <c r="A49" s="57"/>
      <c r="B49" s="59"/>
      <c r="C49" s="57"/>
      <c r="D49" s="57"/>
      <c r="E49" s="57"/>
      <c r="F49" s="57"/>
      <c r="G49" s="57"/>
      <c r="H49" s="57"/>
      <c r="I49" s="57"/>
      <c r="J49" s="57"/>
    </row>
    <row r="50" spans="1:10" x14ac:dyDescent="0.25">
      <c r="A50" s="57"/>
      <c r="B50" s="58" t="s">
        <v>3145</v>
      </c>
      <c r="C50" s="57"/>
      <c r="D50" s="57"/>
      <c r="E50" s="59"/>
      <c r="F50" s="57"/>
      <c r="G50" s="57"/>
      <c r="H50" s="57"/>
      <c r="I50" s="57"/>
      <c r="J50" s="57"/>
    </row>
    <row r="51" spans="1:10" x14ac:dyDescent="0.25">
      <c r="A51" s="57"/>
      <c r="B51" s="59"/>
      <c r="C51" s="57"/>
      <c r="D51" s="57"/>
      <c r="E51" s="57"/>
      <c r="F51" s="57"/>
      <c r="G51" s="57"/>
      <c r="H51" s="57"/>
      <c r="I51" s="57"/>
      <c r="J51" s="57"/>
    </row>
    <row r="52" spans="1:10" x14ac:dyDescent="0.25">
      <c r="A52" s="57"/>
      <c r="B52" s="58" t="s">
        <v>3144</v>
      </c>
      <c r="C52" s="57"/>
      <c r="D52" s="57"/>
      <c r="E52" s="57"/>
      <c r="F52" s="57"/>
      <c r="G52" s="57"/>
      <c r="H52" s="57"/>
      <c r="I52" s="57"/>
      <c r="J52" s="57"/>
    </row>
    <row r="53" spans="1:10" x14ac:dyDescent="0.25">
      <c r="A53" s="57"/>
      <c r="B53" s="57"/>
      <c r="C53" s="57"/>
      <c r="D53" s="57"/>
      <c r="E53" s="57"/>
      <c r="F53" s="57"/>
      <c r="G53" s="57"/>
      <c r="H53" s="57"/>
      <c r="I53" s="57"/>
      <c r="J53" s="57"/>
    </row>
    <row r="54" spans="1:10" x14ac:dyDescent="0.25">
      <c r="A54" s="57"/>
      <c r="B54" s="57"/>
      <c r="C54" s="57"/>
      <c r="D54" s="57"/>
      <c r="E54" s="57"/>
      <c r="F54" s="57"/>
      <c r="G54" s="57"/>
      <c r="H54" s="57"/>
      <c r="I54" s="57"/>
      <c r="J54" s="57"/>
    </row>
  </sheetData>
  <mergeCells count="4">
    <mergeCell ref="D3:F3"/>
    <mergeCell ref="D5:F5"/>
    <mergeCell ref="B7:G7"/>
    <mergeCell ref="D2:F2"/>
  </mergeCells>
  <pageMargins left="0.7" right="0.7" top="0.75" bottom="0.75" header="0.51180555555555496" footer="0.51180555555555496"/>
  <pageSetup paperSize="9" scale="87" firstPageNumber="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M403"/>
  <sheetViews>
    <sheetView workbookViewId="0">
      <selection sqref="A1:M403"/>
    </sheetView>
  </sheetViews>
  <sheetFormatPr baseColWidth="10" defaultColWidth="9.140625" defaultRowHeight="15" x14ac:dyDescent="0.25"/>
  <cols>
    <col min="1" max="1" width="19.42578125" customWidth="1"/>
    <col min="2" max="2" width="9.28515625" customWidth="1"/>
    <col min="3" max="3" width="41" customWidth="1"/>
    <col min="4" max="4" width="9.28515625" customWidth="1"/>
    <col min="5" max="5" width="33.28515625" customWidth="1"/>
    <col min="6" max="6" width="9.28515625" customWidth="1"/>
    <col min="7" max="8" width="9.28515625" hidden="1" customWidth="1"/>
    <col min="9" max="9" width="9.28515625" customWidth="1"/>
    <col min="10" max="10" width="10.7109375" customWidth="1"/>
    <col min="11" max="11" width="19.28515625" customWidth="1"/>
    <col min="12" max="12" width="9.28515625" style="35" customWidth="1"/>
    <col min="13" max="1025" width="9.28515625" customWidth="1"/>
  </cols>
  <sheetData>
    <row r="1" spans="1:12" ht="57" customHeight="1" x14ac:dyDescent="0.25">
      <c r="A1" s="18" t="s">
        <v>31</v>
      </c>
      <c r="B1" s="18" t="s">
        <v>32</v>
      </c>
      <c r="C1" s="18" t="s">
        <v>35</v>
      </c>
      <c r="D1" s="18" t="s">
        <v>37</v>
      </c>
      <c r="E1" s="18" t="s">
        <v>38</v>
      </c>
      <c r="F1" s="21" t="s">
        <v>58</v>
      </c>
      <c r="G1" s="21"/>
      <c r="H1" s="21"/>
      <c r="I1" s="24" t="s">
        <v>74</v>
      </c>
      <c r="J1" s="25" t="s">
        <v>75</v>
      </c>
      <c r="K1" s="20" t="s">
        <v>39</v>
      </c>
      <c r="L1" s="56" t="s">
        <v>40</v>
      </c>
    </row>
    <row r="2" spans="1:12" x14ac:dyDescent="0.25">
      <c r="A2" s="54" t="s">
        <v>721</v>
      </c>
      <c r="B2" s="54"/>
      <c r="C2" s="54" t="s">
        <v>3143</v>
      </c>
      <c r="D2" s="54">
        <v>38500</v>
      </c>
      <c r="E2" s="54" t="s">
        <v>2977</v>
      </c>
      <c r="F2" s="34" t="s">
        <v>112</v>
      </c>
      <c r="I2" t="s">
        <v>2591</v>
      </c>
    </row>
    <row r="3" spans="1:12" x14ac:dyDescent="0.25">
      <c r="A3" s="54" t="s">
        <v>3142</v>
      </c>
      <c r="B3" s="54" t="s">
        <v>3141</v>
      </c>
      <c r="C3" s="54" t="s">
        <v>3140</v>
      </c>
      <c r="D3" s="54">
        <v>38430</v>
      </c>
      <c r="E3" s="54" t="s">
        <v>217</v>
      </c>
      <c r="F3" s="34" t="s">
        <v>112</v>
      </c>
      <c r="I3" t="s">
        <v>2591</v>
      </c>
    </row>
    <row r="4" spans="1:12" x14ac:dyDescent="0.25">
      <c r="A4" s="54" t="s">
        <v>3139</v>
      </c>
      <c r="B4" s="54"/>
      <c r="C4" s="54" t="s">
        <v>3138</v>
      </c>
      <c r="D4" s="54">
        <v>38340</v>
      </c>
      <c r="E4" s="54" t="s">
        <v>108</v>
      </c>
      <c r="F4" s="34" t="s">
        <v>112</v>
      </c>
      <c r="I4" t="s">
        <v>2591</v>
      </c>
    </row>
    <row r="5" spans="1:12" x14ac:dyDescent="0.25">
      <c r="A5" s="54" t="s">
        <v>3137</v>
      </c>
      <c r="B5" s="54"/>
      <c r="C5" s="54" t="s">
        <v>3136</v>
      </c>
      <c r="D5" s="54">
        <v>38960</v>
      </c>
      <c r="E5" s="54" t="s">
        <v>3135</v>
      </c>
      <c r="F5" s="34" t="s">
        <v>112</v>
      </c>
      <c r="I5" t="s">
        <v>2591</v>
      </c>
    </row>
    <row r="6" spans="1:12" x14ac:dyDescent="0.25">
      <c r="A6" s="54" t="s">
        <v>3134</v>
      </c>
      <c r="B6" s="54" t="s">
        <v>708</v>
      </c>
      <c r="C6" s="54" t="s">
        <v>3133</v>
      </c>
      <c r="D6" s="54">
        <v>38140</v>
      </c>
      <c r="E6" s="54" t="s">
        <v>3132</v>
      </c>
      <c r="F6" s="34" t="s">
        <v>112</v>
      </c>
      <c r="J6" s="52">
        <v>42635</v>
      </c>
    </row>
    <row r="7" spans="1:12" hidden="1" x14ac:dyDescent="0.25">
      <c r="A7" s="54" t="s">
        <v>3131</v>
      </c>
      <c r="B7" s="54" t="s">
        <v>160</v>
      </c>
      <c r="C7" s="54" t="s">
        <v>3130</v>
      </c>
      <c r="D7" s="54">
        <v>38340</v>
      </c>
      <c r="E7" s="54" t="s">
        <v>3129</v>
      </c>
      <c r="F7" s="33" t="s">
        <v>101</v>
      </c>
    </row>
    <row r="8" spans="1:12" x14ac:dyDescent="0.25">
      <c r="A8" s="54" t="s">
        <v>302</v>
      </c>
      <c r="B8" s="54" t="s">
        <v>561</v>
      </c>
      <c r="C8" s="54" t="s">
        <v>3128</v>
      </c>
      <c r="D8" s="54">
        <v>38960</v>
      </c>
      <c r="E8" s="54" t="s">
        <v>2842</v>
      </c>
      <c r="F8" s="34" t="s">
        <v>112</v>
      </c>
      <c r="I8" t="s">
        <v>2591</v>
      </c>
    </row>
    <row r="9" spans="1:12" x14ac:dyDescent="0.25">
      <c r="A9" s="54" t="s">
        <v>443</v>
      </c>
      <c r="B9" s="54" t="s">
        <v>3127</v>
      </c>
      <c r="C9" s="54" t="s">
        <v>3126</v>
      </c>
      <c r="D9" s="54">
        <v>38850</v>
      </c>
      <c r="E9" s="54" t="s">
        <v>242</v>
      </c>
      <c r="F9" s="34" t="s">
        <v>112</v>
      </c>
      <c r="I9" t="s">
        <v>2591</v>
      </c>
    </row>
    <row r="10" spans="1:12" x14ac:dyDescent="0.25">
      <c r="A10" s="54" t="s">
        <v>3125</v>
      </c>
      <c r="B10" s="54" t="s">
        <v>1185</v>
      </c>
      <c r="C10" s="54" t="s">
        <v>3124</v>
      </c>
      <c r="D10" s="54">
        <v>38500</v>
      </c>
      <c r="E10" s="54" t="s">
        <v>118</v>
      </c>
      <c r="F10" s="34" t="s">
        <v>112</v>
      </c>
      <c r="I10" t="s">
        <v>2591</v>
      </c>
    </row>
    <row r="11" spans="1:12" x14ac:dyDescent="0.25">
      <c r="A11" s="54" t="s">
        <v>3123</v>
      </c>
      <c r="B11" s="54" t="s">
        <v>591</v>
      </c>
      <c r="C11" s="54" t="s">
        <v>3122</v>
      </c>
      <c r="D11" s="54">
        <v>38500</v>
      </c>
      <c r="E11" s="54" t="s">
        <v>3056</v>
      </c>
      <c r="F11" s="34" t="s">
        <v>112</v>
      </c>
      <c r="I11" t="s">
        <v>2591</v>
      </c>
    </row>
    <row r="12" spans="1:12" x14ac:dyDescent="0.25">
      <c r="A12" s="54" t="s">
        <v>3121</v>
      </c>
      <c r="B12" s="54" t="s">
        <v>1118</v>
      </c>
      <c r="C12" s="54" t="s">
        <v>3120</v>
      </c>
      <c r="D12" s="54">
        <v>38500</v>
      </c>
      <c r="E12" s="54" t="s">
        <v>96</v>
      </c>
      <c r="F12" s="34" t="s">
        <v>112</v>
      </c>
      <c r="J12" s="52">
        <v>42635</v>
      </c>
    </row>
    <row r="13" spans="1:12" x14ac:dyDescent="0.25">
      <c r="A13" s="54" t="s">
        <v>3119</v>
      </c>
      <c r="B13" s="54" t="s">
        <v>915</v>
      </c>
      <c r="C13" s="54" t="s">
        <v>3118</v>
      </c>
      <c r="D13" s="54">
        <v>38490</v>
      </c>
      <c r="E13" s="54" t="s">
        <v>2825</v>
      </c>
      <c r="F13" s="34" t="s">
        <v>112</v>
      </c>
      <c r="I13" t="s">
        <v>2591</v>
      </c>
    </row>
    <row r="14" spans="1:12" hidden="1" x14ac:dyDescent="0.25">
      <c r="A14" s="54" t="s">
        <v>3117</v>
      </c>
      <c r="B14" s="54" t="s">
        <v>3116</v>
      </c>
      <c r="C14" s="54" t="s">
        <v>3115</v>
      </c>
      <c r="D14" s="54">
        <v>38140</v>
      </c>
      <c r="E14" s="54" t="s">
        <v>321</v>
      </c>
      <c r="F14" s="33" t="s">
        <v>101</v>
      </c>
    </row>
    <row r="15" spans="1:12" hidden="1" x14ac:dyDescent="0.25">
      <c r="A15" s="54" t="s">
        <v>3114</v>
      </c>
      <c r="B15" s="54" t="s">
        <v>3113</v>
      </c>
      <c r="C15" s="54" t="s">
        <v>3112</v>
      </c>
      <c r="D15" s="54">
        <v>38500</v>
      </c>
      <c r="E15" s="54" t="s">
        <v>96</v>
      </c>
      <c r="F15" s="33" t="s">
        <v>101</v>
      </c>
    </row>
    <row r="16" spans="1:12" x14ac:dyDescent="0.25">
      <c r="A16" s="54" t="s">
        <v>3111</v>
      </c>
      <c r="B16" s="54" t="s">
        <v>737</v>
      </c>
      <c r="C16" s="54" t="s">
        <v>3110</v>
      </c>
      <c r="D16" s="54">
        <v>38850</v>
      </c>
      <c r="E16" s="54" t="s">
        <v>148</v>
      </c>
      <c r="F16" s="34" t="s">
        <v>112</v>
      </c>
      <c r="J16" s="52">
        <v>42635</v>
      </c>
    </row>
    <row r="17" spans="1:10" x14ac:dyDescent="0.25">
      <c r="A17" s="54" t="s">
        <v>3109</v>
      </c>
      <c r="B17" s="54"/>
      <c r="C17" s="54" t="s">
        <v>3108</v>
      </c>
      <c r="D17" s="54">
        <v>38500</v>
      </c>
      <c r="E17" s="54" t="s">
        <v>118</v>
      </c>
      <c r="F17" s="34" t="s">
        <v>112</v>
      </c>
      <c r="I17" t="s">
        <v>2591</v>
      </c>
    </row>
    <row r="18" spans="1:10" x14ac:dyDescent="0.25">
      <c r="A18" s="54" t="s">
        <v>3107</v>
      </c>
      <c r="B18" s="54"/>
      <c r="C18" s="54" t="s">
        <v>3106</v>
      </c>
      <c r="D18" s="54">
        <v>38960</v>
      </c>
      <c r="E18" s="54" t="s">
        <v>2842</v>
      </c>
      <c r="F18" s="34" t="s">
        <v>112</v>
      </c>
      <c r="I18" t="s">
        <v>2591</v>
      </c>
    </row>
    <row r="19" spans="1:10" ht="26.25" x14ac:dyDescent="0.25">
      <c r="A19" s="54" t="s">
        <v>3105</v>
      </c>
      <c r="B19" s="54" t="s">
        <v>208</v>
      </c>
      <c r="C19" s="55" t="s">
        <v>3104</v>
      </c>
      <c r="D19" s="54">
        <v>38340</v>
      </c>
      <c r="E19" s="54" t="s">
        <v>108</v>
      </c>
      <c r="F19" s="34" t="s">
        <v>112</v>
      </c>
      <c r="I19" t="s">
        <v>2591</v>
      </c>
    </row>
    <row r="20" spans="1:10" x14ac:dyDescent="0.25">
      <c r="A20" s="54" t="s">
        <v>637</v>
      </c>
      <c r="B20" s="54" t="s">
        <v>403</v>
      </c>
      <c r="C20" s="54" t="s">
        <v>3103</v>
      </c>
      <c r="D20" s="54">
        <v>38730</v>
      </c>
      <c r="E20" s="54" t="s">
        <v>2947</v>
      </c>
      <c r="F20" s="34" t="s">
        <v>112</v>
      </c>
      <c r="I20" t="s">
        <v>2591</v>
      </c>
    </row>
    <row r="21" spans="1:10" x14ac:dyDescent="0.25">
      <c r="A21" s="54" t="s">
        <v>3102</v>
      </c>
      <c r="B21" s="54" t="s">
        <v>905</v>
      </c>
      <c r="C21" s="54" t="s">
        <v>3101</v>
      </c>
      <c r="D21" s="54">
        <v>38340</v>
      </c>
      <c r="E21" s="54" t="s">
        <v>108</v>
      </c>
      <c r="F21" s="34" t="s">
        <v>112</v>
      </c>
      <c r="I21" t="s">
        <v>2591</v>
      </c>
    </row>
    <row r="22" spans="1:10" x14ac:dyDescent="0.25">
      <c r="A22" s="54" t="s">
        <v>3099</v>
      </c>
      <c r="B22" s="54" t="s">
        <v>484</v>
      </c>
      <c r="C22" s="54" t="s">
        <v>3100</v>
      </c>
      <c r="D22" s="54">
        <v>38140</v>
      </c>
      <c r="E22" s="54" t="s">
        <v>363</v>
      </c>
      <c r="F22" s="34" t="s">
        <v>112</v>
      </c>
      <c r="I22" t="s">
        <v>2591</v>
      </c>
    </row>
    <row r="23" spans="1:10" x14ac:dyDescent="0.25">
      <c r="A23" s="54" t="s">
        <v>3099</v>
      </c>
      <c r="B23" s="54" t="s">
        <v>2254</v>
      </c>
      <c r="C23" s="54" t="s">
        <v>3098</v>
      </c>
      <c r="D23" s="54">
        <v>38620</v>
      </c>
      <c r="E23" s="54" t="s">
        <v>3097</v>
      </c>
      <c r="F23" s="34" t="s">
        <v>112</v>
      </c>
      <c r="I23" t="s">
        <v>2591</v>
      </c>
    </row>
    <row r="24" spans="1:10" hidden="1" x14ac:dyDescent="0.25">
      <c r="A24" s="54" t="s">
        <v>3096</v>
      </c>
      <c r="B24" s="54" t="s">
        <v>837</v>
      </c>
      <c r="C24" s="54" t="s">
        <v>3095</v>
      </c>
      <c r="D24" s="54">
        <v>38430</v>
      </c>
      <c r="E24" s="54" t="s">
        <v>2869</v>
      </c>
      <c r="F24" s="33" t="s">
        <v>101</v>
      </c>
    </row>
    <row r="25" spans="1:10" x14ac:dyDescent="0.25">
      <c r="A25" s="54" t="s">
        <v>3094</v>
      </c>
      <c r="B25" s="54"/>
      <c r="C25" s="54" t="s">
        <v>3093</v>
      </c>
      <c r="D25" s="54">
        <v>38500</v>
      </c>
      <c r="E25" s="54" t="s">
        <v>118</v>
      </c>
      <c r="F25" s="34" t="s">
        <v>112</v>
      </c>
      <c r="J25" s="52">
        <v>42635</v>
      </c>
    </row>
    <row r="26" spans="1:10" x14ac:dyDescent="0.25">
      <c r="A26" s="54" t="s">
        <v>3092</v>
      </c>
      <c r="B26" s="54"/>
      <c r="C26" s="54" t="s">
        <v>3091</v>
      </c>
      <c r="D26" s="54">
        <v>38500</v>
      </c>
      <c r="E26" s="54" t="s">
        <v>118</v>
      </c>
      <c r="F26" s="34" t="s">
        <v>112</v>
      </c>
      <c r="I26" t="s">
        <v>2591</v>
      </c>
    </row>
    <row r="27" spans="1:10" x14ac:dyDescent="0.25">
      <c r="A27" s="54" t="s">
        <v>3090</v>
      </c>
      <c r="B27" s="54" t="s">
        <v>380</v>
      </c>
      <c r="C27" s="54" t="s">
        <v>3089</v>
      </c>
      <c r="D27" s="54">
        <v>38500</v>
      </c>
      <c r="E27" s="54" t="s">
        <v>2977</v>
      </c>
      <c r="F27" s="34" t="s">
        <v>112</v>
      </c>
      <c r="I27" t="s">
        <v>2591</v>
      </c>
    </row>
    <row r="28" spans="1:10" x14ac:dyDescent="0.25">
      <c r="A28" s="54" t="s">
        <v>3088</v>
      </c>
      <c r="B28" s="54"/>
      <c r="C28" s="54" t="s">
        <v>3087</v>
      </c>
      <c r="D28" s="54">
        <v>38500</v>
      </c>
      <c r="E28" s="54" t="s">
        <v>96</v>
      </c>
      <c r="F28" s="34" t="s">
        <v>112</v>
      </c>
      <c r="I28" t="s">
        <v>2591</v>
      </c>
    </row>
    <row r="29" spans="1:10" hidden="1" x14ac:dyDescent="0.25">
      <c r="A29" s="54" t="s">
        <v>3086</v>
      </c>
      <c r="B29" s="54" t="s">
        <v>188</v>
      </c>
      <c r="C29" s="54" t="s">
        <v>3085</v>
      </c>
      <c r="D29" s="54">
        <v>38620</v>
      </c>
      <c r="E29" s="54" t="s">
        <v>3084</v>
      </c>
      <c r="F29" s="33" t="s">
        <v>101</v>
      </c>
    </row>
    <row r="30" spans="1:10" x14ac:dyDescent="0.25">
      <c r="A30" s="54" t="s">
        <v>3083</v>
      </c>
      <c r="B30" s="54" t="s">
        <v>403</v>
      </c>
      <c r="C30" s="54" t="s">
        <v>3082</v>
      </c>
      <c r="D30" s="54">
        <v>38430</v>
      </c>
      <c r="E30" s="54" t="s">
        <v>217</v>
      </c>
      <c r="F30" s="34" t="s">
        <v>112</v>
      </c>
      <c r="I30" t="s">
        <v>2591</v>
      </c>
    </row>
    <row r="31" spans="1:10" x14ac:dyDescent="0.25">
      <c r="A31" s="54" t="s">
        <v>3081</v>
      </c>
      <c r="B31" s="54" t="s">
        <v>837</v>
      </c>
      <c r="C31" s="54" t="s">
        <v>3080</v>
      </c>
      <c r="D31" s="54">
        <v>38850</v>
      </c>
      <c r="E31" s="54" t="s">
        <v>148</v>
      </c>
      <c r="F31" s="34" t="s">
        <v>112</v>
      </c>
      <c r="I31" t="s">
        <v>2591</v>
      </c>
    </row>
    <row r="32" spans="1:10" x14ac:dyDescent="0.25">
      <c r="A32" s="54" t="s">
        <v>3079</v>
      </c>
      <c r="B32" s="54" t="s">
        <v>249</v>
      </c>
      <c r="C32" s="54" t="s">
        <v>3078</v>
      </c>
      <c r="D32" s="54">
        <v>38500</v>
      </c>
      <c r="E32" s="54" t="s">
        <v>96</v>
      </c>
      <c r="F32" s="34" t="s">
        <v>112</v>
      </c>
      <c r="I32" t="s">
        <v>2591</v>
      </c>
    </row>
    <row r="33" spans="1:10" x14ac:dyDescent="0.25">
      <c r="A33" s="54" t="s">
        <v>3077</v>
      </c>
      <c r="B33" s="54" t="s">
        <v>824</v>
      </c>
      <c r="C33" s="54" t="s">
        <v>3076</v>
      </c>
      <c r="D33" s="54">
        <v>38210</v>
      </c>
      <c r="E33" s="54" t="s">
        <v>195</v>
      </c>
      <c r="F33" s="34" t="s">
        <v>112</v>
      </c>
      <c r="I33" t="s">
        <v>2591</v>
      </c>
    </row>
    <row r="34" spans="1:10" x14ac:dyDescent="0.25">
      <c r="A34" s="54" t="s">
        <v>3075</v>
      </c>
      <c r="B34" s="54" t="s">
        <v>532</v>
      </c>
      <c r="C34" s="54" t="s">
        <v>3074</v>
      </c>
      <c r="D34" s="54">
        <v>38140</v>
      </c>
      <c r="E34" s="54" t="s">
        <v>237</v>
      </c>
      <c r="F34" s="34" t="s">
        <v>112</v>
      </c>
      <c r="J34" s="52">
        <v>42635</v>
      </c>
    </row>
    <row r="35" spans="1:10" x14ac:dyDescent="0.25">
      <c r="A35" s="54" t="s">
        <v>3073</v>
      </c>
      <c r="B35" s="54"/>
      <c r="C35" s="54" t="s">
        <v>3072</v>
      </c>
      <c r="D35" s="54">
        <v>38210</v>
      </c>
      <c r="E35" s="54" t="s">
        <v>445</v>
      </c>
      <c r="F35" s="34" t="s">
        <v>112</v>
      </c>
      <c r="I35" t="s">
        <v>2591</v>
      </c>
    </row>
    <row r="36" spans="1:10" x14ac:dyDescent="0.25">
      <c r="A36" s="54" t="s">
        <v>3071</v>
      </c>
      <c r="B36" s="54" t="s">
        <v>1476</v>
      </c>
      <c r="C36" s="54" t="s">
        <v>3070</v>
      </c>
      <c r="D36" s="54">
        <v>38140</v>
      </c>
      <c r="E36" s="54" t="s">
        <v>237</v>
      </c>
      <c r="F36" s="34" t="s">
        <v>112</v>
      </c>
      <c r="I36" t="s">
        <v>2591</v>
      </c>
    </row>
    <row r="37" spans="1:10" hidden="1" x14ac:dyDescent="0.25">
      <c r="A37" s="54" t="s">
        <v>3069</v>
      </c>
      <c r="B37" s="54" t="s">
        <v>3068</v>
      </c>
      <c r="C37" s="54" t="s">
        <v>3067</v>
      </c>
      <c r="D37" s="54">
        <v>38850</v>
      </c>
      <c r="E37" s="54" t="s">
        <v>170</v>
      </c>
      <c r="F37" s="33" t="s">
        <v>101</v>
      </c>
    </row>
    <row r="38" spans="1:10" x14ac:dyDescent="0.25">
      <c r="A38" s="54" t="s">
        <v>3066</v>
      </c>
      <c r="B38" s="54"/>
      <c r="C38" s="54" t="s">
        <v>3065</v>
      </c>
      <c r="D38" s="54">
        <v>38500</v>
      </c>
      <c r="E38" s="54" t="s">
        <v>96</v>
      </c>
      <c r="F38" s="34" t="s">
        <v>112</v>
      </c>
      <c r="I38" t="s">
        <v>2591</v>
      </c>
    </row>
    <row r="39" spans="1:10" x14ac:dyDescent="0.25">
      <c r="A39" s="54" t="s">
        <v>3064</v>
      </c>
      <c r="B39" s="54" t="s">
        <v>308</v>
      </c>
      <c r="C39" s="54" t="s">
        <v>3063</v>
      </c>
      <c r="D39" s="54">
        <v>38430</v>
      </c>
      <c r="E39" s="54" t="s">
        <v>108</v>
      </c>
      <c r="F39" s="34" t="s">
        <v>112</v>
      </c>
      <c r="I39" t="s">
        <v>2591</v>
      </c>
    </row>
    <row r="40" spans="1:10" x14ac:dyDescent="0.25">
      <c r="A40" s="54" t="s">
        <v>3062</v>
      </c>
      <c r="B40" s="54" t="s">
        <v>3061</v>
      </c>
      <c r="C40" s="54" t="s">
        <v>3060</v>
      </c>
      <c r="D40" s="54">
        <v>38620</v>
      </c>
      <c r="E40" s="54" t="s">
        <v>3059</v>
      </c>
      <c r="F40" s="34" t="s">
        <v>112</v>
      </c>
      <c r="I40" t="s">
        <v>2591</v>
      </c>
    </row>
    <row r="41" spans="1:10" x14ac:dyDescent="0.25">
      <c r="A41" s="54" t="s">
        <v>3058</v>
      </c>
      <c r="B41" s="54" t="s">
        <v>289</v>
      </c>
      <c r="C41" s="54" t="s">
        <v>3057</v>
      </c>
      <c r="D41" s="54">
        <v>38500</v>
      </c>
      <c r="E41" s="54" t="s">
        <v>3056</v>
      </c>
      <c r="F41" s="34" t="s">
        <v>112</v>
      </c>
      <c r="I41" t="s">
        <v>2591</v>
      </c>
    </row>
    <row r="42" spans="1:10" ht="26.25" hidden="1" x14ac:dyDescent="0.25">
      <c r="A42" s="54" t="s">
        <v>3055</v>
      </c>
      <c r="B42" s="54"/>
      <c r="C42" s="55" t="s">
        <v>3054</v>
      </c>
      <c r="D42" s="54">
        <v>38620</v>
      </c>
      <c r="E42" s="54" t="s">
        <v>1386</v>
      </c>
      <c r="F42" s="33" t="s">
        <v>101</v>
      </c>
    </row>
    <row r="43" spans="1:10" hidden="1" x14ac:dyDescent="0.25">
      <c r="A43" s="54" t="s">
        <v>3053</v>
      </c>
      <c r="B43" s="54" t="s">
        <v>3052</v>
      </c>
      <c r="C43" s="54" t="s">
        <v>3051</v>
      </c>
      <c r="D43" s="54">
        <v>38140</v>
      </c>
      <c r="E43" s="54" t="s">
        <v>3048</v>
      </c>
      <c r="F43" s="33" t="s">
        <v>101</v>
      </c>
    </row>
    <row r="44" spans="1:10" x14ac:dyDescent="0.25">
      <c r="A44" s="54" t="s">
        <v>3050</v>
      </c>
      <c r="B44" s="54" t="s">
        <v>561</v>
      </c>
      <c r="C44" s="54" t="s">
        <v>3049</v>
      </c>
      <c r="D44" s="54">
        <v>38140</v>
      </c>
      <c r="E44" s="54" t="s">
        <v>3048</v>
      </c>
      <c r="F44" s="34" t="s">
        <v>112</v>
      </c>
      <c r="I44" t="s">
        <v>2591</v>
      </c>
    </row>
    <row r="45" spans="1:10" hidden="1" x14ac:dyDescent="0.25">
      <c r="A45" s="54" t="s">
        <v>3047</v>
      </c>
      <c r="B45" s="54" t="s">
        <v>1978</v>
      </c>
      <c r="C45" s="54" t="s">
        <v>3046</v>
      </c>
      <c r="D45" s="54">
        <v>38340</v>
      </c>
      <c r="E45" s="54" t="s">
        <v>108</v>
      </c>
      <c r="F45" s="33" t="s">
        <v>101</v>
      </c>
    </row>
    <row r="46" spans="1:10" x14ac:dyDescent="0.25">
      <c r="A46" s="54" t="s">
        <v>3045</v>
      </c>
      <c r="B46" s="54" t="s">
        <v>177</v>
      </c>
      <c r="C46" s="54" t="s">
        <v>3044</v>
      </c>
      <c r="D46" s="54">
        <v>38620</v>
      </c>
      <c r="E46" s="54" t="s">
        <v>2103</v>
      </c>
      <c r="F46" s="34" t="s">
        <v>112</v>
      </c>
      <c r="I46" t="s">
        <v>2591</v>
      </c>
    </row>
    <row r="47" spans="1:10" hidden="1" x14ac:dyDescent="0.25">
      <c r="A47" s="54" t="s">
        <v>3043</v>
      </c>
      <c r="B47" s="54" t="s">
        <v>283</v>
      </c>
      <c r="C47" s="54" t="s">
        <v>3042</v>
      </c>
      <c r="D47" s="54">
        <v>38850</v>
      </c>
      <c r="E47" s="54" t="s">
        <v>148</v>
      </c>
      <c r="F47" s="33" t="s">
        <v>101</v>
      </c>
    </row>
    <row r="48" spans="1:10" x14ac:dyDescent="0.25">
      <c r="A48" s="54" t="s">
        <v>3041</v>
      </c>
      <c r="B48" s="54"/>
      <c r="C48" s="54" t="s">
        <v>3040</v>
      </c>
      <c r="D48" s="54">
        <v>38500</v>
      </c>
      <c r="E48" s="54" t="s">
        <v>2873</v>
      </c>
      <c r="F48" s="34" t="s">
        <v>112</v>
      </c>
      <c r="I48" t="s">
        <v>2591</v>
      </c>
    </row>
    <row r="49" spans="1:10" x14ac:dyDescent="0.25">
      <c r="A49" s="54" t="s">
        <v>3039</v>
      </c>
      <c r="B49" s="54" t="s">
        <v>477</v>
      </c>
      <c r="C49" s="54" t="s">
        <v>3038</v>
      </c>
      <c r="D49" s="54">
        <v>38340</v>
      </c>
      <c r="E49" s="54" t="s">
        <v>108</v>
      </c>
      <c r="F49" s="34" t="s">
        <v>112</v>
      </c>
      <c r="I49" t="s">
        <v>2591</v>
      </c>
    </row>
    <row r="50" spans="1:10" x14ac:dyDescent="0.25">
      <c r="A50" s="54" t="s">
        <v>3037</v>
      </c>
      <c r="B50" s="54" t="s">
        <v>703</v>
      </c>
      <c r="C50" s="54" t="s">
        <v>3036</v>
      </c>
      <c r="D50" s="54">
        <v>38500</v>
      </c>
      <c r="E50" s="54" t="s">
        <v>3035</v>
      </c>
      <c r="F50" s="34" t="s">
        <v>112</v>
      </c>
      <c r="I50" t="s">
        <v>2591</v>
      </c>
    </row>
    <row r="51" spans="1:10" x14ac:dyDescent="0.25">
      <c r="A51" s="54" t="s">
        <v>3034</v>
      </c>
      <c r="B51" s="54" t="s">
        <v>3033</v>
      </c>
      <c r="C51" s="54" t="s">
        <v>3032</v>
      </c>
      <c r="D51" s="54">
        <v>38340</v>
      </c>
      <c r="E51" s="54" t="s">
        <v>3031</v>
      </c>
      <c r="F51" s="34" t="s">
        <v>112</v>
      </c>
      <c r="I51" t="s">
        <v>2591</v>
      </c>
    </row>
    <row r="52" spans="1:10" x14ac:dyDescent="0.25">
      <c r="A52" s="54" t="s">
        <v>3030</v>
      </c>
      <c r="B52" s="54"/>
      <c r="C52" s="54" t="s">
        <v>3029</v>
      </c>
      <c r="D52" s="54">
        <v>38500</v>
      </c>
      <c r="E52" s="54" t="s">
        <v>96</v>
      </c>
      <c r="F52" s="34" t="s">
        <v>112</v>
      </c>
      <c r="J52" s="52">
        <v>42635</v>
      </c>
    </row>
    <row r="53" spans="1:10" hidden="1" x14ac:dyDescent="0.25">
      <c r="A53" s="54" t="s">
        <v>3028</v>
      </c>
      <c r="B53" s="54"/>
      <c r="C53" s="54" t="s">
        <v>3027</v>
      </c>
      <c r="D53" s="54">
        <v>38850</v>
      </c>
      <c r="E53" s="54" t="s">
        <v>170</v>
      </c>
      <c r="F53" s="33" t="s">
        <v>101</v>
      </c>
    </row>
    <row r="54" spans="1:10" x14ac:dyDescent="0.25">
      <c r="A54" s="54" t="s">
        <v>3026</v>
      </c>
      <c r="B54" s="54" t="s">
        <v>3025</v>
      </c>
      <c r="C54" s="54" t="s">
        <v>3024</v>
      </c>
      <c r="D54" s="54">
        <v>38620</v>
      </c>
      <c r="E54" s="54" t="s">
        <v>857</v>
      </c>
      <c r="F54" s="34" t="s">
        <v>112</v>
      </c>
      <c r="I54" t="s">
        <v>2591</v>
      </c>
    </row>
    <row r="55" spans="1:10" x14ac:dyDescent="0.25">
      <c r="A55" s="54" t="s">
        <v>3023</v>
      </c>
      <c r="B55" s="54" t="s">
        <v>641</v>
      </c>
      <c r="C55" s="54" t="s">
        <v>3022</v>
      </c>
      <c r="D55" s="54">
        <v>38140</v>
      </c>
      <c r="E55" s="54" t="s">
        <v>2357</v>
      </c>
      <c r="F55" s="34" t="s">
        <v>112</v>
      </c>
      <c r="I55" t="s">
        <v>2591</v>
      </c>
    </row>
    <row r="56" spans="1:10" x14ac:dyDescent="0.25">
      <c r="A56" s="54" t="s">
        <v>3021</v>
      </c>
      <c r="B56" s="54" t="s">
        <v>160</v>
      </c>
      <c r="C56" s="54" t="s">
        <v>3020</v>
      </c>
      <c r="D56" s="54">
        <v>38960</v>
      </c>
      <c r="E56" s="54" t="s">
        <v>2403</v>
      </c>
      <c r="F56" s="34" t="s">
        <v>112</v>
      </c>
      <c r="I56" t="s">
        <v>2591</v>
      </c>
    </row>
    <row r="57" spans="1:10" hidden="1" x14ac:dyDescent="0.25">
      <c r="A57" s="54" t="s">
        <v>3019</v>
      </c>
      <c r="B57" s="54" t="s">
        <v>591</v>
      </c>
      <c r="C57" s="54" t="s">
        <v>3018</v>
      </c>
      <c r="D57" s="54">
        <v>38210</v>
      </c>
      <c r="E57" s="54" t="s">
        <v>3017</v>
      </c>
      <c r="F57" s="33" t="s">
        <v>101</v>
      </c>
    </row>
    <row r="58" spans="1:10" x14ac:dyDescent="0.25">
      <c r="A58" s="54" t="s">
        <v>3016</v>
      </c>
      <c r="B58" s="54" t="s">
        <v>249</v>
      </c>
      <c r="C58" s="54" t="s">
        <v>3015</v>
      </c>
      <c r="D58" s="54">
        <v>38210</v>
      </c>
      <c r="E58" s="54" t="s">
        <v>195</v>
      </c>
      <c r="F58" s="34" t="s">
        <v>112</v>
      </c>
      <c r="I58" t="s">
        <v>2591</v>
      </c>
    </row>
    <row r="59" spans="1:10" x14ac:dyDescent="0.25">
      <c r="A59" s="54" t="s">
        <v>3014</v>
      </c>
      <c r="B59" s="54" t="s">
        <v>477</v>
      </c>
      <c r="C59" s="54" t="s">
        <v>3013</v>
      </c>
      <c r="D59" s="54">
        <v>38500</v>
      </c>
      <c r="E59" s="54" t="s">
        <v>96</v>
      </c>
      <c r="F59" s="34" t="s">
        <v>112</v>
      </c>
      <c r="I59" t="s">
        <v>2591</v>
      </c>
    </row>
    <row r="60" spans="1:10" x14ac:dyDescent="0.25">
      <c r="A60" s="54" t="s">
        <v>3012</v>
      </c>
      <c r="B60" s="54" t="s">
        <v>1997</v>
      </c>
      <c r="C60" s="54" t="s">
        <v>3011</v>
      </c>
      <c r="D60" s="54">
        <v>38850</v>
      </c>
      <c r="E60" s="54" t="s">
        <v>438</v>
      </c>
      <c r="F60" s="34" t="s">
        <v>112</v>
      </c>
      <c r="I60" t="s">
        <v>2591</v>
      </c>
    </row>
    <row r="61" spans="1:10" x14ac:dyDescent="0.25">
      <c r="A61" s="54" t="s">
        <v>3010</v>
      </c>
      <c r="B61" s="54"/>
      <c r="C61" s="54" t="s">
        <v>3009</v>
      </c>
      <c r="D61" s="54">
        <v>38960</v>
      </c>
      <c r="E61" s="54" t="s">
        <v>3008</v>
      </c>
      <c r="F61" s="34" t="s">
        <v>112</v>
      </c>
      <c r="I61" t="s">
        <v>2591</v>
      </c>
    </row>
    <row r="62" spans="1:10" x14ac:dyDescent="0.25">
      <c r="A62" s="54" t="s">
        <v>3007</v>
      </c>
      <c r="B62" s="54" t="s">
        <v>2216</v>
      </c>
      <c r="C62" s="54" t="s">
        <v>3006</v>
      </c>
      <c r="D62" s="54">
        <v>38620</v>
      </c>
      <c r="E62" s="54" t="s">
        <v>534</v>
      </c>
      <c r="F62" s="34" t="s">
        <v>112</v>
      </c>
      <c r="I62" t="s">
        <v>2591</v>
      </c>
    </row>
    <row r="63" spans="1:10" x14ac:dyDescent="0.25">
      <c r="A63" s="54" t="s">
        <v>2512</v>
      </c>
      <c r="B63" s="54" t="s">
        <v>477</v>
      </c>
      <c r="C63" s="54" t="s">
        <v>3005</v>
      </c>
      <c r="D63" s="54">
        <v>38500</v>
      </c>
      <c r="E63" s="54" t="s">
        <v>118</v>
      </c>
      <c r="F63" s="34" t="s">
        <v>112</v>
      </c>
      <c r="I63" t="s">
        <v>2591</v>
      </c>
    </row>
    <row r="64" spans="1:10" x14ac:dyDescent="0.25">
      <c r="A64" s="54" t="s">
        <v>2512</v>
      </c>
      <c r="B64" s="54" t="s">
        <v>939</v>
      </c>
      <c r="C64" s="54" t="s">
        <v>3004</v>
      </c>
      <c r="D64" s="54">
        <v>38210</v>
      </c>
      <c r="E64" s="54" t="s">
        <v>445</v>
      </c>
      <c r="F64" s="34" t="s">
        <v>112</v>
      </c>
      <c r="J64" s="52">
        <v>42635</v>
      </c>
    </row>
    <row r="65" spans="1:10" x14ac:dyDescent="0.25">
      <c r="A65" s="54" t="s">
        <v>3003</v>
      </c>
      <c r="B65" s="54" t="s">
        <v>532</v>
      </c>
      <c r="C65" s="54" t="s">
        <v>3002</v>
      </c>
      <c r="D65" s="54">
        <v>38620</v>
      </c>
      <c r="E65" s="54" t="s">
        <v>857</v>
      </c>
      <c r="F65" s="34" t="s">
        <v>112</v>
      </c>
      <c r="I65" t="s">
        <v>2591</v>
      </c>
    </row>
    <row r="66" spans="1:10" hidden="1" x14ac:dyDescent="0.25">
      <c r="A66" s="54" t="s">
        <v>3001</v>
      </c>
      <c r="B66" s="54" t="s">
        <v>1967</v>
      </c>
      <c r="C66" s="54" t="s">
        <v>3000</v>
      </c>
      <c r="D66" s="54">
        <v>38500</v>
      </c>
      <c r="E66" s="54" t="s">
        <v>118</v>
      </c>
      <c r="F66" s="33" t="s">
        <v>101</v>
      </c>
    </row>
    <row r="67" spans="1:10" x14ac:dyDescent="0.25">
      <c r="A67" s="54" t="s">
        <v>1429</v>
      </c>
      <c r="B67" s="54" t="s">
        <v>2999</v>
      </c>
      <c r="C67" s="54" t="s">
        <v>2998</v>
      </c>
      <c r="D67" s="54">
        <v>38620</v>
      </c>
      <c r="E67" s="54" t="s">
        <v>2911</v>
      </c>
      <c r="F67" s="34" t="s">
        <v>112</v>
      </c>
      <c r="I67" t="s">
        <v>2591</v>
      </c>
    </row>
    <row r="68" spans="1:10" x14ac:dyDescent="0.25">
      <c r="A68" s="54" t="s">
        <v>1429</v>
      </c>
      <c r="B68" s="54" t="s">
        <v>2997</v>
      </c>
      <c r="C68" s="54" t="s">
        <v>2996</v>
      </c>
      <c r="D68" s="54">
        <v>38210</v>
      </c>
      <c r="E68" s="54" t="s">
        <v>445</v>
      </c>
      <c r="F68" s="34" t="s">
        <v>112</v>
      </c>
      <c r="I68" t="s">
        <v>2591</v>
      </c>
    </row>
    <row r="69" spans="1:10" x14ac:dyDescent="0.25">
      <c r="A69" s="54" t="s">
        <v>2995</v>
      </c>
      <c r="B69" s="54"/>
      <c r="C69" s="54" t="s">
        <v>2994</v>
      </c>
      <c r="D69" s="54">
        <v>38210</v>
      </c>
      <c r="E69" s="54" t="s">
        <v>445</v>
      </c>
      <c r="F69" s="34" t="s">
        <v>112</v>
      </c>
      <c r="I69" t="s">
        <v>2591</v>
      </c>
    </row>
    <row r="70" spans="1:10" hidden="1" x14ac:dyDescent="0.25">
      <c r="A70" s="54" t="s">
        <v>2993</v>
      </c>
      <c r="B70" s="54" t="s">
        <v>939</v>
      </c>
      <c r="C70" s="54" t="s">
        <v>2992</v>
      </c>
      <c r="D70" s="54">
        <v>38730</v>
      </c>
      <c r="E70" s="54" t="s">
        <v>2947</v>
      </c>
      <c r="F70" s="33" t="s">
        <v>101</v>
      </c>
    </row>
    <row r="71" spans="1:10" x14ac:dyDescent="0.25">
      <c r="A71" s="54" t="s">
        <v>2991</v>
      </c>
      <c r="B71" s="54" t="s">
        <v>708</v>
      </c>
      <c r="C71" s="54" t="s">
        <v>2990</v>
      </c>
      <c r="D71" s="54">
        <v>38140</v>
      </c>
      <c r="E71" s="54" t="s">
        <v>2357</v>
      </c>
      <c r="F71" s="34" t="s">
        <v>112</v>
      </c>
      <c r="I71" t="s">
        <v>2591</v>
      </c>
    </row>
    <row r="72" spans="1:10" x14ac:dyDescent="0.25">
      <c r="A72" s="54" t="s">
        <v>2989</v>
      </c>
      <c r="B72" s="54" t="s">
        <v>2988</v>
      </c>
      <c r="C72" s="54" t="s">
        <v>2987</v>
      </c>
      <c r="D72" s="54">
        <v>38430</v>
      </c>
      <c r="E72" s="54" t="s">
        <v>108</v>
      </c>
      <c r="F72" s="34" t="s">
        <v>112</v>
      </c>
      <c r="I72" t="s">
        <v>2591</v>
      </c>
    </row>
    <row r="73" spans="1:10" x14ac:dyDescent="0.25">
      <c r="A73" s="54" t="s">
        <v>2986</v>
      </c>
      <c r="B73" s="54"/>
      <c r="C73" s="54" t="s">
        <v>2985</v>
      </c>
      <c r="D73" s="54">
        <v>38960</v>
      </c>
      <c r="E73" s="54" t="s">
        <v>2842</v>
      </c>
      <c r="F73" s="34" t="s">
        <v>112</v>
      </c>
      <c r="I73" t="s">
        <v>2591</v>
      </c>
    </row>
    <row r="74" spans="1:10" hidden="1" x14ac:dyDescent="0.25">
      <c r="A74" s="54" t="s">
        <v>2984</v>
      </c>
      <c r="B74" s="54"/>
      <c r="C74" s="54" t="s">
        <v>2983</v>
      </c>
      <c r="D74" s="54">
        <v>38620</v>
      </c>
      <c r="E74" s="54" t="s">
        <v>857</v>
      </c>
      <c r="F74" s="33" t="s">
        <v>101</v>
      </c>
    </row>
    <row r="75" spans="1:10" x14ac:dyDescent="0.25">
      <c r="A75" s="54" t="s">
        <v>2982</v>
      </c>
      <c r="B75" s="54" t="s">
        <v>2981</v>
      </c>
      <c r="C75" s="54" t="s">
        <v>2980</v>
      </c>
      <c r="D75" s="54">
        <v>38960</v>
      </c>
      <c r="E75" s="54" t="s">
        <v>2923</v>
      </c>
      <c r="F75" s="34" t="s">
        <v>112</v>
      </c>
      <c r="J75" s="52">
        <v>42635</v>
      </c>
    </row>
    <row r="76" spans="1:10" x14ac:dyDescent="0.25">
      <c r="A76" s="54" t="s">
        <v>2979</v>
      </c>
      <c r="B76" s="54" t="s">
        <v>303</v>
      </c>
      <c r="C76" s="54" t="s">
        <v>2978</v>
      </c>
      <c r="D76" s="54">
        <v>38500</v>
      </c>
      <c r="E76" s="54" t="s">
        <v>2977</v>
      </c>
      <c r="F76" s="34" t="s">
        <v>112</v>
      </c>
      <c r="I76" t="s">
        <v>2591</v>
      </c>
    </row>
    <row r="77" spans="1:10" x14ac:dyDescent="0.25">
      <c r="A77" s="54" t="s">
        <v>1802</v>
      </c>
      <c r="B77" s="54"/>
      <c r="C77" s="54" t="s">
        <v>2976</v>
      </c>
      <c r="D77" s="54">
        <v>38730</v>
      </c>
      <c r="E77" s="54" t="s">
        <v>2947</v>
      </c>
      <c r="F77" s="34" t="s">
        <v>112</v>
      </c>
      <c r="I77" t="s">
        <v>2591</v>
      </c>
    </row>
    <row r="78" spans="1:10" x14ac:dyDescent="0.25">
      <c r="A78" s="54" t="s">
        <v>2975</v>
      </c>
      <c r="B78" s="54"/>
      <c r="C78" s="54" t="s">
        <v>2974</v>
      </c>
      <c r="D78" s="54">
        <v>38140</v>
      </c>
      <c r="E78" s="54" t="s">
        <v>363</v>
      </c>
      <c r="F78" s="34" t="s">
        <v>112</v>
      </c>
      <c r="I78" t="s">
        <v>2591</v>
      </c>
    </row>
    <row r="79" spans="1:10" hidden="1" x14ac:dyDescent="0.25">
      <c r="A79" s="54" t="s">
        <v>2973</v>
      </c>
      <c r="B79" s="54" t="s">
        <v>2972</v>
      </c>
      <c r="C79" s="54" t="s">
        <v>2971</v>
      </c>
      <c r="D79" s="54">
        <v>38430</v>
      </c>
      <c r="E79" s="54" t="s">
        <v>217</v>
      </c>
      <c r="F79" s="33" t="s">
        <v>101</v>
      </c>
    </row>
    <row r="80" spans="1:10" hidden="1" x14ac:dyDescent="0.25">
      <c r="A80" s="54" t="s">
        <v>2970</v>
      </c>
      <c r="B80" s="54" t="s">
        <v>641</v>
      </c>
      <c r="C80" s="54" t="s">
        <v>2969</v>
      </c>
      <c r="D80" s="54">
        <v>38500</v>
      </c>
      <c r="E80" s="54" t="s">
        <v>118</v>
      </c>
      <c r="F80" s="33" t="s">
        <v>101</v>
      </c>
    </row>
    <row r="81" spans="1:10" x14ac:dyDescent="0.25">
      <c r="A81" s="54" t="s">
        <v>2968</v>
      </c>
      <c r="B81" s="54"/>
      <c r="C81" s="54" t="s">
        <v>2967</v>
      </c>
      <c r="D81" s="54">
        <v>38730</v>
      </c>
      <c r="E81" s="54" t="s">
        <v>2947</v>
      </c>
      <c r="F81" s="34" t="s">
        <v>112</v>
      </c>
      <c r="I81" t="s">
        <v>2591</v>
      </c>
    </row>
    <row r="82" spans="1:10" ht="26.25" x14ac:dyDescent="0.25">
      <c r="A82" s="54" t="s">
        <v>2966</v>
      </c>
      <c r="B82" s="54" t="s">
        <v>2965</v>
      </c>
      <c r="C82" s="55" t="s">
        <v>2964</v>
      </c>
      <c r="D82" s="54">
        <v>38960</v>
      </c>
      <c r="E82" s="54" t="s">
        <v>2963</v>
      </c>
      <c r="F82" s="34" t="s">
        <v>112</v>
      </c>
      <c r="I82" t="s">
        <v>2591</v>
      </c>
    </row>
    <row r="83" spans="1:10" x14ac:dyDescent="0.25">
      <c r="A83" s="54" t="s">
        <v>2962</v>
      </c>
      <c r="B83" s="54" t="s">
        <v>2882</v>
      </c>
      <c r="C83" s="54" t="s">
        <v>2961</v>
      </c>
      <c r="D83" s="54">
        <v>38140</v>
      </c>
      <c r="E83" s="54" t="s">
        <v>363</v>
      </c>
      <c r="F83" s="34" t="s">
        <v>112</v>
      </c>
      <c r="J83" s="52">
        <v>42635</v>
      </c>
    </row>
    <row r="84" spans="1:10" x14ac:dyDescent="0.25">
      <c r="A84" s="54" t="s">
        <v>2960</v>
      </c>
      <c r="B84" s="54" t="s">
        <v>410</v>
      </c>
      <c r="C84" s="54" t="s">
        <v>2959</v>
      </c>
      <c r="D84" s="54">
        <v>38500</v>
      </c>
      <c r="E84" s="54" t="s">
        <v>96</v>
      </c>
      <c r="F84" s="34" t="s">
        <v>112</v>
      </c>
      <c r="I84" t="s">
        <v>2591</v>
      </c>
    </row>
    <row r="85" spans="1:10" x14ac:dyDescent="0.25">
      <c r="A85" s="54" t="s">
        <v>2958</v>
      </c>
      <c r="B85" s="54" t="s">
        <v>2957</v>
      </c>
      <c r="C85" s="54" t="s">
        <v>2956</v>
      </c>
      <c r="D85" s="54">
        <v>38430</v>
      </c>
      <c r="E85" s="54" t="s">
        <v>2914</v>
      </c>
      <c r="F85" s="34" t="s">
        <v>112</v>
      </c>
      <c r="I85" t="s">
        <v>2591</v>
      </c>
    </row>
    <row r="86" spans="1:10" x14ac:dyDescent="0.25">
      <c r="A86" s="54" t="s">
        <v>2955</v>
      </c>
      <c r="B86" s="54" t="s">
        <v>1028</v>
      </c>
      <c r="C86" s="54" t="s">
        <v>2954</v>
      </c>
      <c r="D86" s="54">
        <v>38500</v>
      </c>
      <c r="E86" s="54" t="s">
        <v>118</v>
      </c>
      <c r="F86" s="34" t="s">
        <v>112</v>
      </c>
      <c r="I86" t="s">
        <v>2591</v>
      </c>
    </row>
    <row r="87" spans="1:10" x14ac:dyDescent="0.25">
      <c r="A87" s="54" t="s">
        <v>2953</v>
      </c>
      <c r="B87" s="54" t="s">
        <v>160</v>
      </c>
      <c r="C87" s="54" t="s">
        <v>2952</v>
      </c>
      <c r="D87" s="54">
        <v>38210</v>
      </c>
      <c r="E87" s="54" t="s">
        <v>445</v>
      </c>
      <c r="F87" s="34" t="s">
        <v>112</v>
      </c>
      <c r="J87" s="52">
        <v>42635</v>
      </c>
    </row>
    <row r="88" spans="1:10" x14ac:dyDescent="0.25">
      <c r="A88" s="54" t="s">
        <v>2951</v>
      </c>
      <c r="B88" s="54" t="s">
        <v>266</v>
      </c>
      <c r="C88" s="54" t="s">
        <v>2950</v>
      </c>
      <c r="D88" s="54">
        <v>38620</v>
      </c>
      <c r="E88" s="54" t="s">
        <v>857</v>
      </c>
      <c r="F88" s="34" t="s">
        <v>112</v>
      </c>
      <c r="I88" t="s">
        <v>2591</v>
      </c>
    </row>
    <row r="89" spans="1:10" x14ac:dyDescent="0.25">
      <c r="A89" s="54" t="s">
        <v>2949</v>
      </c>
      <c r="B89" s="54"/>
      <c r="C89" s="54" t="s">
        <v>2948</v>
      </c>
      <c r="D89" s="54">
        <v>38730</v>
      </c>
      <c r="E89" s="54" t="s">
        <v>2947</v>
      </c>
      <c r="F89" s="34" t="s">
        <v>112</v>
      </c>
      <c r="I89" t="s">
        <v>2591</v>
      </c>
    </row>
    <row r="90" spans="1:10" x14ac:dyDescent="0.25">
      <c r="A90" s="54" t="s">
        <v>2946</v>
      </c>
      <c r="B90" s="54" t="s">
        <v>837</v>
      </c>
      <c r="C90" s="54" t="s">
        <v>2945</v>
      </c>
      <c r="D90" s="54">
        <v>38500</v>
      </c>
      <c r="E90" s="54" t="s">
        <v>2873</v>
      </c>
      <c r="F90" s="34" t="s">
        <v>112</v>
      </c>
      <c r="I90" t="s">
        <v>2591</v>
      </c>
    </row>
    <row r="91" spans="1:10" x14ac:dyDescent="0.25">
      <c r="A91" s="54" t="s">
        <v>2944</v>
      </c>
      <c r="B91" s="54" t="s">
        <v>2943</v>
      </c>
      <c r="C91" s="54" t="s">
        <v>2942</v>
      </c>
      <c r="D91" s="54">
        <v>38960</v>
      </c>
      <c r="E91" s="54" t="s">
        <v>2923</v>
      </c>
      <c r="F91" s="34" t="s">
        <v>112</v>
      </c>
      <c r="I91" t="s">
        <v>2591</v>
      </c>
    </row>
    <row r="92" spans="1:10" ht="26.25" x14ac:dyDescent="0.25">
      <c r="A92" s="54" t="s">
        <v>2941</v>
      </c>
      <c r="B92" s="54"/>
      <c r="C92" s="55" t="s">
        <v>2940</v>
      </c>
      <c r="D92" s="54">
        <v>38960</v>
      </c>
      <c r="E92" s="54" t="s">
        <v>2923</v>
      </c>
      <c r="F92" s="34" t="s">
        <v>112</v>
      </c>
      <c r="I92" t="s">
        <v>2591</v>
      </c>
    </row>
    <row r="93" spans="1:10" x14ac:dyDescent="0.25">
      <c r="A93" s="54" t="s">
        <v>2939</v>
      </c>
      <c r="B93" s="54" t="s">
        <v>283</v>
      </c>
      <c r="C93" s="54" t="s">
        <v>2938</v>
      </c>
      <c r="D93" s="54">
        <v>38500</v>
      </c>
      <c r="E93" s="54" t="s">
        <v>96</v>
      </c>
      <c r="F93" s="34" t="s">
        <v>112</v>
      </c>
      <c r="I93" t="s">
        <v>2591</v>
      </c>
    </row>
    <row r="94" spans="1:10" hidden="1" x14ac:dyDescent="0.25">
      <c r="A94" s="54" t="s">
        <v>2937</v>
      </c>
      <c r="B94" s="54" t="s">
        <v>969</v>
      </c>
      <c r="C94" s="54" t="s">
        <v>2936</v>
      </c>
      <c r="D94" s="54">
        <v>38140</v>
      </c>
      <c r="E94" s="54" t="s">
        <v>237</v>
      </c>
      <c r="F94" s="33" t="s">
        <v>101</v>
      </c>
    </row>
    <row r="95" spans="1:10" ht="26.25" x14ac:dyDescent="0.25">
      <c r="A95" s="54" t="s">
        <v>2935</v>
      </c>
      <c r="B95" s="54" t="s">
        <v>319</v>
      </c>
      <c r="C95" s="55" t="s">
        <v>2934</v>
      </c>
      <c r="D95" s="54">
        <v>38850</v>
      </c>
      <c r="E95" s="54" t="s">
        <v>148</v>
      </c>
      <c r="F95" s="34" t="s">
        <v>112</v>
      </c>
      <c r="I95" t="s">
        <v>2591</v>
      </c>
    </row>
    <row r="96" spans="1:10" x14ac:dyDescent="0.25">
      <c r="A96" s="54" t="s">
        <v>2933</v>
      </c>
      <c r="B96" s="54" t="s">
        <v>2932</v>
      </c>
      <c r="C96" s="54" t="s">
        <v>2931</v>
      </c>
      <c r="D96" s="54">
        <v>38500</v>
      </c>
      <c r="E96" s="54" t="s">
        <v>118</v>
      </c>
      <c r="F96" s="34" t="s">
        <v>112</v>
      </c>
      <c r="I96" t="s">
        <v>2591</v>
      </c>
    </row>
    <row r="97" spans="1:10" x14ac:dyDescent="0.25">
      <c r="A97" s="54" t="s">
        <v>2930</v>
      </c>
      <c r="B97" s="54" t="s">
        <v>939</v>
      </c>
      <c r="C97" s="54" t="s">
        <v>2929</v>
      </c>
      <c r="D97" s="54">
        <v>38430</v>
      </c>
      <c r="E97" s="54" t="s">
        <v>217</v>
      </c>
      <c r="F97" s="34" t="s">
        <v>112</v>
      </c>
      <c r="J97" s="52">
        <v>42635</v>
      </c>
    </row>
    <row r="98" spans="1:10" x14ac:dyDescent="0.25">
      <c r="A98" s="54" t="s">
        <v>2928</v>
      </c>
      <c r="B98" s="54"/>
      <c r="C98" s="54" t="s">
        <v>2927</v>
      </c>
      <c r="D98" s="54">
        <v>38140</v>
      </c>
      <c r="E98" s="54" t="s">
        <v>363</v>
      </c>
      <c r="F98" s="34" t="s">
        <v>112</v>
      </c>
      <c r="I98" t="s">
        <v>2591</v>
      </c>
    </row>
    <row r="99" spans="1:10" x14ac:dyDescent="0.25">
      <c r="A99" s="54" t="s">
        <v>2926</v>
      </c>
      <c r="B99" s="54" t="s">
        <v>2925</v>
      </c>
      <c r="C99" s="54" t="s">
        <v>2924</v>
      </c>
      <c r="D99" s="54">
        <v>38960</v>
      </c>
      <c r="E99" s="54" t="s">
        <v>2923</v>
      </c>
      <c r="F99" s="34" t="s">
        <v>112</v>
      </c>
      <c r="I99" t="s">
        <v>2591</v>
      </c>
    </row>
    <row r="100" spans="1:10" x14ac:dyDescent="0.25">
      <c r="A100" s="54" t="s">
        <v>2922</v>
      </c>
      <c r="B100" s="54" t="s">
        <v>2921</v>
      </c>
      <c r="C100" s="54" t="s">
        <v>2920</v>
      </c>
      <c r="D100" s="54">
        <v>38500</v>
      </c>
      <c r="E100" s="54" t="s">
        <v>118</v>
      </c>
      <c r="F100" s="34" t="s">
        <v>112</v>
      </c>
      <c r="I100" t="s">
        <v>2591</v>
      </c>
    </row>
    <row r="101" spans="1:10" hidden="1" x14ac:dyDescent="0.25">
      <c r="A101" s="54" t="s">
        <v>2919</v>
      </c>
      <c r="B101" s="54" t="s">
        <v>737</v>
      </c>
      <c r="C101" s="54" t="s">
        <v>2918</v>
      </c>
      <c r="D101" s="54">
        <v>38850</v>
      </c>
      <c r="E101" s="54" t="s">
        <v>148</v>
      </c>
      <c r="F101" s="33" t="s">
        <v>101</v>
      </c>
    </row>
    <row r="102" spans="1:10" ht="15.75" x14ac:dyDescent="0.25">
      <c r="A102" s="54" t="s">
        <v>2917</v>
      </c>
      <c r="B102" s="54" t="s">
        <v>380</v>
      </c>
      <c r="C102" s="54" t="s">
        <v>2916</v>
      </c>
      <c r="D102" s="54" t="s">
        <v>2915</v>
      </c>
      <c r="E102" s="54" t="s">
        <v>2914</v>
      </c>
      <c r="F102" s="34" t="s">
        <v>112</v>
      </c>
      <c r="I102" t="s">
        <v>2591</v>
      </c>
    </row>
    <row r="103" spans="1:10" hidden="1" x14ac:dyDescent="0.25">
      <c r="A103" s="54" t="s">
        <v>2913</v>
      </c>
      <c r="B103" s="54"/>
      <c r="C103" s="54" t="s">
        <v>2912</v>
      </c>
      <c r="D103" s="54">
        <v>38620</v>
      </c>
      <c r="E103" s="54" t="s">
        <v>2911</v>
      </c>
      <c r="F103" s="33" t="s">
        <v>101</v>
      </c>
    </row>
    <row r="104" spans="1:10" hidden="1" x14ac:dyDescent="0.25">
      <c r="A104" s="54" t="s">
        <v>2910</v>
      </c>
      <c r="B104" s="54" t="s">
        <v>605</v>
      </c>
      <c r="C104" s="54" t="s">
        <v>2909</v>
      </c>
      <c r="D104" s="54">
        <v>38620</v>
      </c>
      <c r="E104" s="54" t="s">
        <v>783</v>
      </c>
      <c r="F104" s="33" t="s">
        <v>101</v>
      </c>
    </row>
    <row r="105" spans="1:10" x14ac:dyDescent="0.25">
      <c r="A105" s="54" t="s">
        <v>2908</v>
      </c>
      <c r="B105" s="54" t="s">
        <v>2907</v>
      </c>
      <c r="C105" s="54" t="s">
        <v>2906</v>
      </c>
      <c r="D105" s="54">
        <v>38210</v>
      </c>
      <c r="E105" s="54" t="s">
        <v>445</v>
      </c>
      <c r="F105" s="34" t="s">
        <v>112</v>
      </c>
      <c r="J105" s="52">
        <v>42635</v>
      </c>
    </row>
    <row r="106" spans="1:10" x14ac:dyDescent="0.25">
      <c r="A106" s="54" t="s">
        <v>2905</v>
      </c>
      <c r="B106" s="54" t="s">
        <v>361</v>
      </c>
      <c r="C106" s="54" t="s">
        <v>2904</v>
      </c>
      <c r="D106" s="54">
        <v>38140</v>
      </c>
      <c r="E106" s="54" t="s">
        <v>363</v>
      </c>
      <c r="F106" s="34" t="s">
        <v>112</v>
      </c>
      <c r="I106" t="s">
        <v>2591</v>
      </c>
    </row>
    <row r="107" spans="1:10" x14ac:dyDescent="0.25">
      <c r="A107" s="54" t="s">
        <v>2903</v>
      </c>
      <c r="B107" s="54" t="s">
        <v>1967</v>
      </c>
      <c r="C107" s="54" t="s">
        <v>2902</v>
      </c>
      <c r="D107" s="54">
        <v>38960</v>
      </c>
      <c r="E107" s="54" t="s">
        <v>2842</v>
      </c>
      <c r="F107" s="34" t="s">
        <v>112</v>
      </c>
      <c r="I107" t="s">
        <v>2591</v>
      </c>
    </row>
    <row r="108" spans="1:10" x14ac:dyDescent="0.25">
      <c r="A108" s="54" t="s">
        <v>2901</v>
      </c>
      <c r="B108" s="54" t="s">
        <v>2900</v>
      </c>
      <c r="C108" s="54" t="s">
        <v>2899</v>
      </c>
      <c r="D108" s="54">
        <v>38620</v>
      </c>
      <c r="E108" s="54" t="s">
        <v>857</v>
      </c>
      <c r="F108" s="34" t="s">
        <v>112</v>
      </c>
      <c r="I108" t="s">
        <v>2591</v>
      </c>
    </row>
    <row r="109" spans="1:10" x14ac:dyDescent="0.25">
      <c r="A109" s="54" t="s">
        <v>2898</v>
      </c>
      <c r="B109" s="54" t="s">
        <v>1853</v>
      </c>
      <c r="C109" s="54" t="s">
        <v>2897</v>
      </c>
      <c r="D109" s="54">
        <v>38500</v>
      </c>
      <c r="E109" s="54" t="s">
        <v>96</v>
      </c>
      <c r="F109" s="34" t="s">
        <v>112</v>
      </c>
      <c r="I109" t="s">
        <v>2591</v>
      </c>
    </row>
    <row r="110" spans="1:10" x14ac:dyDescent="0.25">
      <c r="A110" s="54" t="s">
        <v>2896</v>
      </c>
      <c r="B110" s="54" t="s">
        <v>514</v>
      </c>
      <c r="C110" s="54" t="s">
        <v>2895</v>
      </c>
      <c r="D110" s="54">
        <v>38430</v>
      </c>
      <c r="E110" s="54" t="s">
        <v>217</v>
      </c>
      <c r="F110" s="34" t="s">
        <v>112</v>
      </c>
      <c r="J110" s="52">
        <v>42635</v>
      </c>
    </row>
    <row r="111" spans="1:10" x14ac:dyDescent="0.25">
      <c r="A111" s="54" t="s">
        <v>623</v>
      </c>
      <c r="B111" s="54" t="s">
        <v>2894</v>
      </c>
      <c r="C111" s="54" t="s">
        <v>2893</v>
      </c>
      <c r="D111" s="54">
        <v>38960</v>
      </c>
      <c r="E111" s="54" t="s">
        <v>2842</v>
      </c>
      <c r="F111" s="34" t="s">
        <v>112</v>
      </c>
      <c r="I111" t="s">
        <v>2591</v>
      </c>
    </row>
    <row r="112" spans="1:10" hidden="1" x14ac:dyDescent="0.25">
      <c r="A112" s="54" t="s">
        <v>2892</v>
      </c>
      <c r="B112" s="54" t="s">
        <v>2891</v>
      </c>
      <c r="C112" s="54" t="s">
        <v>2890</v>
      </c>
      <c r="D112" s="54">
        <v>38210</v>
      </c>
      <c r="E112" s="54" t="s">
        <v>195</v>
      </c>
      <c r="F112" s="33" t="s">
        <v>101</v>
      </c>
    </row>
    <row r="113" spans="1:9" x14ac:dyDescent="0.25">
      <c r="A113" s="54" t="s">
        <v>2889</v>
      </c>
      <c r="B113" s="54" t="s">
        <v>2179</v>
      </c>
      <c r="C113" s="54" t="s">
        <v>2888</v>
      </c>
      <c r="D113" s="54">
        <v>38850</v>
      </c>
      <c r="E113" s="54" t="s">
        <v>170</v>
      </c>
      <c r="F113" s="34" t="s">
        <v>112</v>
      </c>
      <c r="I113" t="s">
        <v>2591</v>
      </c>
    </row>
    <row r="114" spans="1:9" x14ac:dyDescent="0.25">
      <c r="A114" s="54" t="s">
        <v>2887</v>
      </c>
      <c r="B114" s="54" t="s">
        <v>394</v>
      </c>
      <c r="C114" s="54" t="s">
        <v>2886</v>
      </c>
      <c r="D114" s="54">
        <v>38210</v>
      </c>
      <c r="E114" s="54" t="s">
        <v>195</v>
      </c>
      <c r="F114" s="34" t="s">
        <v>112</v>
      </c>
      <c r="I114" t="s">
        <v>2591</v>
      </c>
    </row>
    <row r="115" spans="1:9" x14ac:dyDescent="0.25">
      <c r="A115" s="54" t="s">
        <v>2885</v>
      </c>
      <c r="B115" s="54" t="s">
        <v>348</v>
      </c>
      <c r="C115" s="54" t="s">
        <v>2884</v>
      </c>
      <c r="D115" s="54">
        <v>38340</v>
      </c>
      <c r="E115" s="54" t="s">
        <v>108</v>
      </c>
      <c r="F115" s="34" t="s">
        <v>112</v>
      </c>
      <c r="I115" t="s">
        <v>2591</v>
      </c>
    </row>
    <row r="116" spans="1:9" x14ac:dyDescent="0.25">
      <c r="A116" s="54" t="s">
        <v>2883</v>
      </c>
      <c r="B116" s="54" t="s">
        <v>2882</v>
      </c>
      <c r="C116" s="54" t="s">
        <v>2881</v>
      </c>
      <c r="D116" s="54">
        <v>38500</v>
      </c>
      <c r="E116" s="54" t="s">
        <v>96</v>
      </c>
      <c r="F116" s="34" t="s">
        <v>112</v>
      </c>
      <c r="I116" t="s">
        <v>2591</v>
      </c>
    </row>
    <row r="117" spans="1:9" x14ac:dyDescent="0.25">
      <c r="A117" s="54" t="s">
        <v>2880</v>
      </c>
      <c r="B117" s="54" t="s">
        <v>2879</v>
      </c>
      <c r="C117" s="54" t="s">
        <v>2878</v>
      </c>
      <c r="D117" s="54">
        <v>38430</v>
      </c>
      <c r="E117" s="54" t="s">
        <v>2877</v>
      </c>
      <c r="F117" s="34" t="s">
        <v>112</v>
      </c>
      <c r="I117" t="s">
        <v>2591</v>
      </c>
    </row>
    <row r="118" spans="1:9" hidden="1" x14ac:dyDescent="0.25">
      <c r="A118" s="54" t="s">
        <v>2876</v>
      </c>
      <c r="B118" s="54" t="s">
        <v>671</v>
      </c>
      <c r="C118" s="54" t="s">
        <v>2875</v>
      </c>
      <c r="D118" s="54">
        <v>38960</v>
      </c>
      <c r="E118" s="54" t="s">
        <v>2842</v>
      </c>
      <c r="F118" s="33" t="s">
        <v>101</v>
      </c>
    </row>
    <row r="119" spans="1:9" x14ac:dyDescent="0.25">
      <c r="A119" s="54" t="s">
        <v>2067</v>
      </c>
      <c r="B119" s="54" t="s">
        <v>910</v>
      </c>
      <c r="C119" s="54" t="s">
        <v>2874</v>
      </c>
      <c r="D119" s="54">
        <v>38500</v>
      </c>
      <c r="E119" s="54" t="s">
        <v>2873</v>
      </c>
      <c r="F119" s="34" t="s">
        <v>112</v>
      </c>
      <c r="I119" t="s">
        <v>2591</v>
      </c>
    </row>
    <row r="120" spans="1:9" x14ac:dyDescent="0.25">
      <c r="A120" s="54" t="s">
        <v>2872</v>
      </c>
      <c r="B120" s="54" t="s">
        <v>403</v>
      </c>
      <c r="C120" s="54" t="s">
        <v>2871</v>
      </c>
      <c r="D120" s="54">
        <v>38140</v>
      </c>
      <c r="E120" s="54" t="s">
        <v>363</v>
      </c>
      <c r="F120" s="34" t="s">
        <v>112</v>
      </c>
      <c r="I120" t="s">
        <v>2591</v>
      </c>
    </row>
    <row r="121" spans="1:9" x14ac:dyDescent="0.25">
      <c r="A121" s="54" t="s">
        <v>899</v>
      </c>
      <c r="B121" s="54" t="s">
        <v>129</v>
      </c>
      <c r="C121" s="54" t="s">
        <v>2870</v>
      </c>
      <c r="D121" s="54">
        <v>38430</v>
      </c>
      <c r="E121" s="54" t="s">
        <v>2869</v>
      </c>
      <c r="F121" s="34" t="s">
        <v>112</v>
      </c>
      <c r="I121" t="s">
        <v>2591</v>
      </c>
    </row>
    <row r="122" spans="1:9" ht="26.25" x14ac:dyDescent="0.25">
      <c r="A122" s="54" t="s">
        <v>2868</v>
      </c>
      <c r="B122" s="54"/>
      <c r="C122" s="55" t="s">
        <v>2867</v>
      </c>
      <c r="D122" s="54">
        <v>38620</v>
      </c>
      <c r="E122" s="54" t="s">
        <v>783</v>
      </c>
      <c r="F122" s="34" t="s">
        <v>112</v>
      </c>
      <c r="I122" t="s">
        <v>2591</v>
      </c>
    </row>
    <row r="123" spans="1:9" x14ac:dyDescent="0.25">
      <c r="A123" s="54" t="s">
        <v>1034</v>
      </c>
      <c r="B123" s="54" t="s">
        <v>1516</v>
      </c>
      <c r="C123" s="54" t="s">
        <v>2866</v>
      </c>
      <c r="D123" s="54">
        <v>38140</v>
      </c>
      <c r="E123" s="54" t="s">
        <v>363</v>
      </c>
      <c r="F123" s="34" t="s">
        <v>112</v>
      </c>
      <c r="I123" t="s">
        <v>2591</v>
      </c>
    </row>
    <row r="124" spans="1:9" x14ac:dyDescent="0.25">
      <c r="A124" s="54" t="s">
        <v>2865</v>
      </c>
      <c r="B124" s="54" t="s">
        <v>1185</v>
      </c>
      <c r="C124" s="54" t="s">
        <v>2864</v>
      </c>
      <c r="D124" s="54">
        <v>38500</v>
      </c>
      <c r="E124" s="54" t="s">
        <v>96</v>
      </c>
      <c r="F124" s="34" t="s">
        <v>112</v>
      </c>
      <c r="I124" t="s">
        <v>2591</v>
      </c>
    </row>
    <row r="125" spans="1:9" x14ac:dyDescent="0.25">
      <c r="A125" s="54" t="s">
        <v>2863</v>
      </c>
      <c r="B125" s="54" t="s">
        <v>129</v>
      </c>
      <c r="C125" s="54" t="s">
        <v>2862</v>
      </c>
      <c r="D125" s="54">
        <v>38500</v>
      </c>
      <c r="E125" s="54" t="s">
        <v>96</v>
      </c>
      <c r="F125" s="34" t="s">
        <v>112</v>
      </c>
      <c r="I125" t="s">
        <v>2591</v>
      </c>
    </row>
    <row r="126" spans="1:9" x14ac:dyDescent="0.25">
      <c r="A126" s="54" t="s">
        <v>2861</v>
      </c>
      <c r="B126" s="54" t="s">
        <v>2540</v>
      </c>
      <c r="C126" s="54" t="s">
        <v>2860</v>
      </c>
      <c r="D126" s="54">
        <v>38960</v>
      </c>
      <c r="E126" s="54" t="s">
        <v>2842</v>
      </c>
      <c r="F126" s="34" t="s">
        <v>112</v>
      </c>
      <c r="I126" t="s">
        <v>2591</v>
      </c>
    </row>
    <row r="127" spans="1:9" x14ac:dyDescent="0.25">
      <c r="A127" s="54" t="s">
        <v>2859</v>
      </c>
      <c r="B127" s="54" t="s">
        <v>323</v>
      </c>
      <c r="C127" s="54" t="s">
        <v>2858</v>
      </c>
      <c r="D127" s="54">
        <v>38430</v>
      </c>
      <c r="E127" s="54" t="s">
        <v>217</v>
      </c>
      <c r="F127" s="34" t="s">
        <v>112</v>
      </c>
      <c r="I127" t="s">
        <v>2591</v>
      </c>
    </row>
    <row r="128" spans="1:9" x14ac:dyDescent="0.25">
      <c r="A128" s="54" t="s">
        <v>2857</v>
      </c>
      <c r="B128" s="54" t="s">
        <v>361</v>
      </c>
      <c r="C128" s="54" t="s">
        <v>2856</v>
      </c>
      <c r="D128" s="54">
        <v>38500</v>
      </c>
      <c r="E128" s="54" t="s">
        <v>118</v>
      </c>
      <c r="F128" s="34" t="s">
        <v>112</v>
      </c>
      <c r="I128" t="s">
        <v>2591</v>
      </c>
    </row>
    <row r="129" spans="1:12" x14ac:dyDescent="0.25">
      <c r="A129" s="54" t="s">
        <v>2855</v>
      </c>
      <c r="B129" s="54" t="s">
        <v>2854</v>
      </c>
      <c r="C129" s="54" t="s">
        <v>2853</v>
      </c>
      <c r="D129" s="54">
        <v>38850</v>
      </c>
      <c r="E129" s="54" t="s">
        <v>438</v>
      </c>
      <c r="F129" s="34" t="s">
        <v>112</v>
      </c>
      <c r="I129" t="s">
        <v>2591</v>
      </c>
    </row>
    <row r="130" spans="1:12" x14ac:dyDescent="0.25">
      <c r="A130" s="54" t="s">
        <v>2852</v>
      </c>
      <c r="B130" s="54" t="s">
        <v>2548</v>
      </c>
      <c r="C130" s="54" t="s">
        <v>2851</v>
      </c>
      <c r="D130" s="54">
        <v>38340</v>
      </c>
      <c r="E130" s="54" t="s">
        <v>108</v>
      </c>
      <c r="F130" s="34" t="s">
        <v>112</v>
      </c>
      <c r="I130" t="s">
        <v>2591</v>
      </c>
    </row>
    <row r="131" spans="1:12" x14ac:dyDescent="0.25">
      <c r="A131" s="54" t="s">
        <v>2850</v>
      </c>
      <c r="B131" s="54" t="s">
        <v>448</v>
      </c>
      <c r="C131" s="54" t="s">
        <v>2849</v>
      </c>
      <c r="D131" s="54">
        <v>38500</v>
      </c>
      <c r="E131" s="54" t="s">
        <v>2848</v>
      </c>
      <c r="F131" s="34" t="s">
        <v>112</v>
      </c>
      <c r="J131" s="52">
        <v>42635</v>
      </c>
    </row>
    <row r="132" spans="1:12" x14ac:dyDescent="0.25">
      <c r="A132" s="54" t="s">
        <v>2847</v>
      </c>
      <c r="B132" s="54" t="s">
        <v>671</v>
      </c>
      <c r="C132" s="54" t="s">
        <v>2846</v>
      </c>
      <c r="D132" s="54">
        <v>38850</v>
      </c>
      <c r="E132" s="54" t="s">
        <v>170</v>
      </c>
      <c r="F132" s="34" t="s">
        <v>112</v>
      </c>
      <c r="I132" t="s">
        <v>2591</v>
      </c>
      <c r="J132" s="52"/>
    </row>
    <row r="133" spans="1:12" ht="26.25" x14ac:dyDescent="0.25">
      <c r="A133" s="54" t="s">
        <v>2845</v>
      </c>
      <c r="B133" s="54" t="s">
        <v>774</v>
      </c>
      <c r="C133" s="55" t="s">
        <v>2844</v>
      </c>
      <c r="D133" s="54">
        <v>38850</v>
      </c>
      <c r="E133" s="54" t="s">
        <v>148</v>
      </c>
      <c r="F133" s="34" t="s">
        <v>112</v>
      </c>
      <c r="I133" t="s">
        <v>2591</v>
      </c>
      <c r="J133" s="52"/>
    </row>
    <row r="134" spans="1:12" x14ac:dyDescent="0.25">
      <c r="A134" s="54" t="s">
        <v>633</v>
      </c>
      <c r="B134" s="54"/>
      <c r="C134" s="54" t="s">
        <v>2843</v>
      </c>
      <c r="D134" s="54">
        <v>38960</v>
      </c>
      <c r="E134" s="54" t="s">
        <v>2842</v>
      </c>
      <c r="F134" s="34" t="s">
        <v>112</v>
      </c>
      <c r="I134" t="s">
        <v>2591</v>
      </c>
      <c r="J134" s="52"/>
    </row>
    <row r="135" spans="1:12" x14ac:dyDescent="0.25">
      <c r="A135" s="54" t="s">
        <v>2841</v>
      </c>
      <c r="B135" s="54" t="s">
        <v>859</v>
      </c>
      <c r="C135" s="54" t="s">
        <v>2840</v>
      </c>
      <c r="D135" s="54">
        <v>38620</v>
      </c>
      <c r="E135" s="54" t="s">
        <v>1386</v>
      </c>
      <c r="F135" s="34" t="s">
        <v>112</v>
      </c>
      <c r="I135" t="s">
        <v>2591</v>
      </c>
      <c r="J135" s="52"/>
    </row>
    <row r="136" spans="1:12" x14ac:dyDescent="0.25">
      <c r="A136" s="54" t="s">
        <v>2839</v>
      </c>
      <c r="B136" s="54" t="s">
        <v>2838</v>
      </c>
      <c r="C136" s="54" t="s">
        <v>2837</v>
      </c>
      <c r="D136" s="54">
        <v>38430</v>
      </c>
      <c r="E136" s="54" t="s">
        <v>217</v>
      </c>
      <c r="F136" s="34" t="s">
        <v>112</v>
      </c>
      <c r="I136" t="s">
        <v>2591</v>
      </c>
      <c r="J136" s="52"/>
    </row>
    <row r="137" spans="1:12" x14ac:dyDescent="0.25">
      <c r="A137" s="54" t="s">
        <v>2836</v>
      </c>
      <c r="B137" s="54"/>
      <c r="C137" s="54" t="s">
        <v>2835</v>
      </c>
      <c r="D137" s="54">
        <v>38430</v>
      </c>
      <c r="E137" s="54" t="s">
        <v>2834</v>
      </c>
      <c r="F137" s="34" t="s">
        <v>112</v>
      </c>
      <c r="I137" t="s">
        <v>2591</v>
      </c>
      <c r="J137" s="52"/>
    </row>
    <row r="138" spans="1:12" hidden="1" x14ac:dyDescent="0.25">
      <c r="A138" s="54" t="s">
        <v>2833</v>
      </c>
      <c r="B138" s="54" t="s">
        <v>532</v>
      </c>
      <c r="C138" s="54" t="s">
        <v>2832</v>
      </c>
      <c r="D138" s="54">
        <v>38850</v>
      </c>
      <c r="E138" s="54" t="s">
        <v>148</v>
      </c>
      <c r="F138" s="33" t="s">
        <v>101</v>
      </c>
      <c r="J138" s="52"/>
    </row>
    <row r="139" spans="1:12" x14ac:dyDescent="0.25">
      <c r="A139" s="54" t="s">
        <v>2831</v>
      </c>
      <c r="B139" s="54" t="s">
        <v>1997</v>
      </c>
      <c r="C139" s="54" t="s">
        <v>2830</v>
      </c>
      <c r="D139" s="54">
        <v>38140</v>
      </c>
      <c r="E139" s="54" t="s">
        <v>2357</v>
      </c>
      <c r="F139" s="34" t="s">
        <v>112</v>
      </c>
      <c r="I139" t="s">
        <v>2591</v>
      </c>
      <c r="J139" s="52"/>
    </row>
    <row r="140" spans="1:12" x14ac:dyDescent="0.25">
      <c r="A140" s="54" t="s">
        <v>2829</v>
      </c>
      <c r="B140" s="54" t="s">
        <v>1853</v>
      </c>
      <c r="C140" s="54" t="s">
        <v>2828</v>
      </c>
      <c r="D140" s="54">
        <v>38500</v>
      </c>
      <c r="E140" s="54" t="s">
        <v>118</v>
      </c>
      <c r="F140" s="34" t="s">
        <v>112</v>
      </c>
      <c r="I140" t="s">
        <v>2591</v>
      </c>
      <c r="J140" s="52"/>
    </row>
    <row r="141" spans="1:12" hidden="1" x14ac:dyDescent="0.25">
      <c r="A141" s="54" t="s">
        <v>2827</v>
      </c>
      <c r="B141" s="54" t="s">
        <v>1013</v>
      </c>
      <c r="C141" s="54" t="s">
        <v>2826</v>
      </c>
      <c r="D141" s="54">
        <v>38490</v>
      </c>
      <c r="E141" s="54" t="s">
        <v>2825</v>
      </c>
      <c r="F141" s="33" t="s">
        <v>101</v>
      </c>
      <c r="J141" s="52"/>
    </row>
    <row r="142" spans="1:12" hidden="1" x14ac:dyDescent="0.25">
      <c r="A142" s="54" t="s">
        <v>2589</v>
      </c>
      <c r="B142" s="54" t="s">
        <v>969</v>
      </c>
      <c r="C142" s="54" t="s">
        <v>2824</v>
      </c>
      <c r="D142" s="54">
        <v>38210</v>
      </c>
      <c r="E142" s="54" t="s">
        <v>445</v>
      </c>
      <c r="F142" s="33" t="s">
        <v>101</v>
      </c>
      <c r="J142" s="52"/>
      <c r="K142">
        <v>476078247</v>
      </c>
      <c r="L142" s="35" t="s">
        <v>2587</v>
      </c>
    </row>
    <row r="143" spans="1:12" x14ac:dyDescent="0.25">
      <c r="A143" s="54" t="s">
        <v>2583</v>
      </c>
      <c r="B143" s="54" t="s">
        <v>641</v>
      </c>
      <c r="C143" s="54" t="s">
        <v>2823</v>
      </c>
      <c r="D143" s="54">
        <v>38500</v>
      </c>
      <c r="E143" s="54" t="s">
        <v>96</v>
      </c>
      <c r="F143" s="33" t="s">
        <v>112</v>
      </c>
      <c r="I143" t="s">
        <v>2591</v>
      </c>
      <c r="J143" s="52"/>
      <c r="K143">
        <v>675629555</v>
      </c>
      <c r="L143" s="35" t="s">
        <v>2581</v>
      </c>
    </row>
    <row r="144" spans="1:12" x14ac:dyDescent="0.25">
      <c r="A144" s="54" t="s">
        <v>2579</v>
      </c>
      <c r="B144" s="54" t="s">
        <v>2578</v>
      </c>
      <c r="C144" s="54" t="s">
        <v>2822</v>
      </c>
      <c r="D144" s="54">
        <v>38850</v>
      </c>
      <c r="E144" s="54" t="s">
        <v>148</v>
      </c>
      <c r="F144" s="33" t="s">
        <v>112</v>
      </c>
      <c r="I144" t="s">
        <v>2591</v>
      </c>
      <c r="J144" s="52"/>
      <c r="K144">
        <v>680471233</v>
      </c>
      <c r="L144" s="35" t="s">
        <v>2577</v>
      </c>
    </row>
    <row r="145" spans="1:12" x14ac:dyDescent="0.25">
      <c r="A145" s="54" t="s">
        <v>2575</v>
      </c>
      <c r="B145" s="54" t="s">
        <v>2574</v>
      </c>
      <c r="C145" s="54" t="s">
        <v>2821</v>
      </c>
      <c r="D145" s="54">
        <v>38500</v>
      </c>
      <c r="E145" s="54" t="s">
        <v>2572</v>
      </c>
      <c r="F145" s="33" t="s">
        <v>112</v>
      </c>
      <c r="I145" t="s">
        <v>2591</v>
      </c>
      <c r="J145" s="52"/>
      <c r="K145">
        <v>476553570</v>
      </c>
      <c r="L145" s="35" t="s">
        <v>2571</v>
      </c>
    </row>
    <row r="146" spans="1:12" x14ac:dyDescent="0.25">
      <c r="A146" s="54" t="s">
        <v>2568</v>
      </c>
      <c r="B146" s="54" t="s">
        <v>1112</v>
      </c>
      <c r="C146" s="54" t="s">
        <v>2820</v>
      </c>
      <c r="D146" s="54">
        <v>38500</v>
      </c>
      <c r="E146" s="54" t="s">
        <v>262</v>
      </c>
      <c r="F146" s="33" t="s">
        <v>112</v>
      </c>
      <c r="I146" t="s">
        <v>2591</v>
      </c>
      <c r="J146" s="52"/>
      <c r="K146">
        <v>476061257</v>
      </c>
      <c r="L146" s="35" t="s">
        <v>2566</v>
      </c>
    </row>
    <row r="147" spans="1:12" x14ac:dyDescent="0.25">
      <c r="A147" s="54" t="s">
        <v>2559</v>
      </c>
      <c r="B147" s="54" t="s">
        <v>2558</v>
      </c>
      <c r="C147" s="54" t="s">
        <v>2819</v>
      </c>
      <c r="D147" s="54">
        <v>38620</v>
      </c>
      <c r="E147" s="54" t="s">
        <v>851</v>
      </c>
      <c r="F147" s="33" t="s">
        <v>112</v>
      </c>
      <c r="I147" t="s">
        <v>2591</v>
      </c>
      <c r="J147" s="52"/>
      <c r="K147">
        <v>476066286</v>
      </c>
      <c r="L147" s="35" t="s">
        <v>2556</v>
      </c>
    </row>
    <row r="148" spans="1:12" x14ac:dyDescent="0.25">
      <c r="A148" s="54" t="s">
        <v>2553</v>
      </c>
      <c r="B148" s="54" t="s">
        <v>208</v>
      </c>
      <c r="C148" s="54" t="s">
        <v>2818</v>
      </c>
      <c r="D148" s="54">
        <v>38500</v>
      </c>
      <c r="E148" s="54" t="s">
        <v>96</v>
      </c>
      <c r="F148" s="33" t="s">
        <v>112</v>
      </c>
      <c r="I148" t="s">
        <v>2591</v>
      </c>
      <c r="J148" s="52"/>
      <c r="K148">
        <v>689863723</v>
      </c>
      <c r="L148" s="35" t="s">
        <v>2551</v>
      </c>
    </row>
    <row r="149" spans="1:12" x14ac:dyDescent="0.25">
      <c r="A149" s="54" t="s">
        <v>2549</v>
      </c>
      <c r="B149" s="54" t="s">
        <v>2548</v>
      </c>
      <c r="C149" s="54" t="s">
        <v>2817</v>
      </c>
      <c r="D149" s="54">
        <v>38340</v>
      </c>
      <c r="E149" s="54" t="s">
        <v>1006</v>
      </c>
      <c r="F149" s="33" t="s">
        <v>112</v>
      </c>
      <c r="I149" t="s">
        <v>2591</v>
      </c>
      <c r="J149" s="52"/>
      <c r="K149">
        <v>674361620</v>
      </c>
      <c r="L149" s="35" t="s">
        <v>2546</v>
      </c>
    </row>
    <row r="150" spans="1:12" x14ac:dyDescent="0.25">
      <c r="A150" s="54" t="s">
        <v>2541</v>
      </c>
      <c r="B150" s="54" t="s">
        <v>2540</v>
      </c>
      <c r="C150" s="54" t="s">
        <v>2816</v>
      </c>
      <c r="D150" s="54">
        <v>38850</v>
      </c>
      <c r="E150" s="54" t="s">
        <v>242</v>
      </c>
      <c r="F150" s="33" t="s">
        <v>112</v>
      </c>
      <c r="I150" t="s">
        <v>2591</v>
      </c>
      <c r="J150" s="52"/>
      <c r="K150">
        <v>476557308</v>
      </c>
      <c r="L150" s="35" t="s">
        <v>2538</v>
      </c>
    </row>
    <row r="151" spans="1:12" hidden="1" x14ac:dyDescent="0.25">
      <c r="A151" s="54" t="s">
        <v>2535</v>
      </c>
      <c r="B151" s="54" t="s">
        <v>266</v>
      </c>
      <c r="C151" s="54" t="s">
        <v>2815</v>
      </c>
      <c r="D151" s="54">
        <v>38850</v>
      </c>
      <c r="E151" s="54" t="s">
        <v>148</v>
      </c>
      <c r="F151" s="33" t="s">
        <v>101</v>
      </c>
      <c r="J151" s="52"/>
      <c r="K151">
        <v>476352123</v>
      </c>
      <c r="L151" s="35" t="s">
        <v>2533</v>
      </c>
    </row>
    <row r="152" spans="1:12" hidden="1" x14ac:dyDescent="0.25">
      <c r="A152" s="54" t="s">
        <v>2530</v>
      </c>
      <c r="B152" s="54" t="s">
        <v>283</v>
      </c>
      <c r="C152" s="54" t="s">
        <v>2814</v>
      </c>
      <c r="D152" s="54">
        <v>38140</v>
      </c>
      <c r="E152" s="54" t="s">
        <v>450</v>
      </c>
      <c r="F152" s="33" t="s">
        <v>101</v>
      </c>
      <c r="J152" s="52"/>
      <c r="K152">
        <v>476058812</v>
      </c>
      <c r="L152" s="35" t="s">
        <v>2528</v>
      </c>
    </row>
    <row r="153" spans="1:12" x14ac:dyDescent="0.25">
      <c r="A153" s="54" t="s">
        <v>2524</v>
      </c>
      <c r="B153" s="54" t="s">
        <v>969</v>
      </c>
      <c r="C153" s="54" t="s">
        <v>2813</v>
      </c>
      <c r="D153" s="54">
        <v>38850</v>
      </c>
      <c r="E153" s="54" t="s">
        <v>242</v>
      </c>
      <c r="F153" s="33" t="s">
        <v>112</v>
      </c>
      <c r="I153" t="s">
        <v>2591</v>
      </c>
      <c r="J153" s="52"/>
      <c r="K153">
        <v>476066425</v>
      </c>
      <c r="L153" s="35" t="s">
        <v>2522</v>
      </c>
    </row>
    <row r="154" spans="1:12" x14ac:dyDescent="0.25">
      <c r="A154" s="54" t="s">
        <v>2518</v>
      </c>
      <c r="B154" s="54" t="s">
        <v>591</v>
      </c>
      <c r="C154" s="54" t="s">
        <v>2812</v>
      </c>
      <c r="D154" s="54">
        <v>38850</v>
      </c>
      <c r="E154" s="54" t="s">
        <v>148</v>
      </c>
      <c r="F154" s="33" t="s">
        <v>112</v>
      </c>
      <c r="I154" t="s">
        <v>2591</v>
      </c>
      <c r="J154" s="52"/>
      <c r="K154">
        <v>687828423</v>
      </c>
      <c r="L154" s="35" t="s">
        <v>2516</v>
      </c>
    </row>
    <row r="155" spans="1:12" x14ac:dyDescent="0.25">
      <c r="A155" s="54" t="s">
        <v>2503</v>
      </c>
      <c r="B155" s="54" t="s">
        <v>137</v>
      </c>
      <c r="C155" s="54" t="s">
        <v>2811</v>
      </c>
      <c r="D155" s="54">
        <v>38140</v>
      </c>
      <c r="E155" s="54" t="s">
        <v>321</v>
      </c>
      <c r="F155" s="33" t="s">
        <v>112</v>
      </c>
      <c r="I155" t="s">
        <v>2591</v>
      </c>
      <c r="J155" s="52"/>
      <c r="K155">
        <v>476650482</v>
      </c>
      <c r="L155" s="35" t="s">
        <v>2501</v>
      </c>
    </row>
    <row r="156" spans="1:12" x14ac:dyDescent="0.25">
      <c r="A156" s="54" t="s">
        <v>2495</v>
      </c>
      <c r="B156" s="54" t="s">
        <v>837</v>
      </c>
      <c r="C156" s="54" t="s">
        <v>2810</v>
      </c>
      <c r="D156" s="54">
        <v>38960</v>
      </c>
      <c r="E156" s="54" t="s">
        <v>2403</v>
      </c>
      <c r="F156" s="33" t="s">
        <v>112</v>
      </c>
      <c r="I156" t="s">
        <v>2591</v>
      </c>
      <c r="J156" s="52"/>
      <c r="K156">
        <v>670502579</v>
      </c>
      <c r="L156" s="35" t="s">
        <v>2493</v>
      </c>
    </row>
    <row r="157" spans="1:12" x14ac:dyDescent="0.25">
      <c r="A157" s="54" t="s">
        <v>2489</v>
      </c>
      <c r="B157" s="54" t="s">
        <v>168</v>
      </c>
      <c r="C157" s="54" t="s">
        <v>2809</v>
      </c>
      <c r="D157" s="54">
        <v>38340</v>
      </c>
      <c r="E157" s="54" t="s">
        <v>108</v>
      </c>
      <c r="F157" s="33" t="s">
        <v>112</v>
      </c>
      <c r="I157" t="s">
        <v>2591</v>
      </c>
      <c r="J157" s="52"/>
      <c r="K157">
        <v>685732349</v>
      </c>
      <c r="L157" s="35" t="s">
        <v>2487</v>
      </c>
    </row>
    <row r="158" spans="1:12" x14ac:dyDescent="0.25">
      <c r="A158" s="54" t="s">
        <v>2483</v>
      </c>
      <c r="B158" s="54" t="s">
        <v>1245</v>
      </c>
      <c r="C158" s="54" t="s">
        <v>2808</v>
      </c>
      <c r="D158" s="54">
        <v>38140</v>
      </c>
      <c r="E158" s="54" t="s">
        <v>2481</v>
      </c>
      <c r="F158" s="33" t="s">
        <v>112</v>
      </c>
      <c r="I158" t="s">
        <v>2591</v>
      </c>
      <c r="J158" s="52"/>
      <c r="K158">
        <v>476056265</v>
      </c>
      <c r="L158" s="35" t="s">
        <v>2480</v>
      </c>
    </row>
    <row r="159" spans="1:12" hidden="1" x14ac:dyDescent="0.25">
      <c r="A159" s="54" t="s">
        <v>2477</v>
      </c>
      <c r="B159" s="54" t="s">
        <v>289</v>
      </c>
      <c r="C159" s="54" t="s">
        <v>2807</v>
      </c>
      <c r="D159" s="54">
        <v>38430</v>
      </c>
      <c r="E159" s="54" t="s">
        <v>217</v>
      </c>
      <c r="F159" s="33" t="s">
        <v>101</v>
      </c>
      <c r="J159" s="52"/>
      <c r="K159">
        <v>476350217</v>
      </c>
      <c r="L159" s="35" t="s">
        <v>2475</v>
      </c>
    </row>
    <row r="160" spans="1:12" x14ac:dyDescent="0.25">
      <c r="A160" s="54" t="s">
        <v>2472</v>
      </c>
      <c r="B160" s="54" t="s">
        <v>448</v>
      </c>
      <c r="C160" s="54" t="s">
        <v>2806</v>
      </c>
      <c r="D160" s="54">
        <v>38340</v>
      </c>
      <c r="E160" s="54" t="s">
        <v>108</v>
      </c>
      <c r="F160" s="33" t="s">
        <v>112</v>
      </c>
      <c r="J160" s="52">
        <v>42635</v>
      </c>
      <c r="K160">
        <v>684951717</v>
      </c>
      <c r="L160" s="35" t="s">
        <v>2470</v>
      </c>
    </row>
    <row r="161" spans="1:12" x14ac:dyDescent="0.25">
      <c r="A161" s="54" t="s">
        <v>2467</v>
      </c>
      <c r="B161" s="54" t="s">
        <v>561</v>
      </c>
      <c r="C161" s="54" t="s">
        <v>2805</v>
      </c>
      <c r="D161" s="54">
        <v>38340</v>
      </c>
      <c r="E161" s="54" t="s">
        <v>108</v>
      </c>
      <c r="F161" s="33" t="s">
        <v>112</v>
      </c>
      <c r="J161" s="52">
        <v>42635</v>
      </c>
      <c r="K161">
        <v>673083806</v>
      </c>
      <c r="L161" s="35" t="s">
        <v>2465</v>
      </c>
    </row>
    <row r="162" spans="1:12" hidden="1" x14ac:dyDescent="0.25">
      <c r="A162" s="54" t="s">
        <v>2462</v>
      </c>
      <c r="B162" s="54" t="s">
        <v>116</v>
      </c>
      <c r="C162" s="54" t="s">
        <v>2804</v>
      </c>
      <c r="D162" s="54">
        <v>38620</v>
      </c>
      <c r="E162" s="54" t="s">
        <v>857</v>
      </c>
      <c r="F162" s="33" t="s">
        <v>101</v>
      </c>
      <c r="J162" s="52"/>
      <c r="K162">
        <v>476323312</v>
      </c>
      <c r="L162" s="35" t="s">
        <v>2460</v>
      </c>
    </row>
    <row r="163" spans="1:12" x14ac:dyDescent="0.25">
      <c r="A163" s="54" t="s">
        <v>2450</v>
      </c>
      <c r="B163" s="54" t="s">
        <v>2449</v>
      </c>
      <c r="C163" s="54" t="s">
        <v>2803</v>
      </c>
      <c r="D163" s="54">
        <v>38500</v>
      </c>
      <c r="E163" s="54" t="s">
        <v>96</v>
      </c>
      <c r="F163" s="33" t="s">
        <v>112</v>
      </c>
      <c r="J163" s="52">
        <v>42635</v>
      </c>
      <c r="K163">
        <v>646405463</v>
      </c>
      <c r="L163" s="35" t="s">
        <v>2447</v>
      </c>
    </row>
    <row r="164" spans="1:12" x14ac:dyDescent="0.25">
      <c r="A164" s="54" t="s">
        <v>2432</v>
      </c>
      <c r="B164" s="54" t="s">
        <v>106</v>
      </c>
      <c r="C164" s="54" t="s">
        <v>2802</v>
      </c>
      <c r="D164" s="54">
        <v>38210</v>
      </c>
      <c r="E164" s="54" t="s">
        <v>195</v>
      </c>
      <c r="F164" s="33" t="s">
        <v>112</v>
      </c>
      <c r="I164" t="s">
        <v>2591</v>
      </c>
      <c r="J164" s="52"/>
      <c r="K164">
        <v>608287337</v>
      </c>
      <c r="L164" s="35" t="s">
        <v>2431</v>
      </c>
    </row>
    <row r="165" spans="1:12" x14ac:dyDescent="0.25">
      <c r="A165" s="54" t="s">
        <v>2426</v>
      </c>
      <c r="B165" s="54" t="s">
        <v>2425</v>
      </c>
      <c r="C165" s="54" t="s">
        <v>2801</v>
      </c>
      <c r="D165" s="54">
        <v>38210</v>
      </c>
      <c r="E165" s="54" t="s">
        <v>445</v>
      </c>
      <c r="F165" s="33" t="s">
        <v>112</v>
      </c>
      <c r="I165" t="s">
        <v>2591</v>
      </c>
      <c r="J165" s="52"/>
      <c r="K165">
        <v>674280602</v>
      </c>
      <c r="L165" s="35" t="s">
        <v>2423</v>
      </c>
    </row>
    <row r="166" spans="1:12" x14ac:dyDescent="0.25">
      <c r="A166" s="54" t="s">
        <v>2421</v>
      </c>
      <c r="B166" s="54" t="s">
        <v>561</v>
      </c>
      <c r="C166" s="54" t="s">
        <v>2800</v>
      </c>
      <c r="D166" s="54">
        <v>38340</v>
      </c>
      <c r="E166" s="54" t="s">
        <v>108</v>
      </c>
      <c r="F166" s="33" t="s">
        <v>112</v>
      </c>
      <c r="I166" t="s">
        <v>2591</v>
      </c>
      <c r="J166" s="52"/>
      <c r="K166">
        <v>476501972</v>
      </c>
      <c r="L166" s="35" t="s">
        <v>2419</v>
      </c>
    </row>
    <row r="167" spans="1:12" x14ac:dyDescent="0.25">
      <c r="A167" s="54" t="s">
        <v>2416</v>
      </c>
      <c r="B167" s="54" t="s">
        <v>283</v>
      </c>
      <c r="C167" s="54" t="s">
        <v>2799</v>
      </c>
      <c r="D167" s="54">
        <v>38340</v>
      </c>
      <c r="E167" s="54" t="s">
        <v>108</v>
      </c>
      <c r="F167" s="33" t="s">
        <v>112</v>
      </c>
      <c r="I167" t="s">
        <v>2591</v>
      </c>
      <c r="J167" s="52"/>
      <c r="K167">
        <v>476500514</v>
      </c>
      <c r="L167" s="35" t="s">
        <v>2414</v>
      </c>
    </row>
    <row r="168" spans="1:12" hidden="1" x14ac:dyDescent="0.25">
      <c r="A168" s="54" t="s">
        <v>2411</v>
      </c>
      <c r="B168" s="54" t="s">
        <v>2410</v>
      </c>
      <c r="C168" s="54" t="s">
        <v>2798</v>
      </c>
      <c r="D168" s="54">
        <v>38140</v>
      </c>
      <c r="E168" s="54" t="s">
        <v>450</v>
      </c>
      <c r="F168" s="33" t="s">
        <v>101</v>
      </c>
      <c r="J168" s="52"/>
      <c r="K168">
        <v>671242060</v>
      </c>
      <c r="L168" s="35" t="s">
        <v>2408</v>
      </c>
    </row>
    <row r="169" spans="1:12" hidden="1" x14ac:dyDescent="0.25">
      <c r="A169" s="54" t="s">
        <v>2406</v>
      </c>
      <c r="B169" s="54" t="s">
        <v>2405</v>
      </c>
      <c r="C169" s="54" t="s">
        <v>2797</v>
      </c>
      <c r="D169" s="54">
        <v>38690</v>
      </c>
      <c r="E169" s="54" t="s">
        <v>2403</v>
      </c>
      <c r="F169" s="33" t="s">
        <v>101</v>
      </c>
      <c r="J169" s="52"/>
      <c r="K169">
        <v>476553858</v>
      </c>
    </row>
    <row r="170" spans="1:12" x14ac:dyDescent="0.25">
      <c r="A170" s="54" t="s">
        <v>2400</v>
      </c>
      <c r="B170" s="54" t="s">
        <v>2399</v>
      </c>
      <c r="C170" s="54" t="s">
        <v>2796</v>
      </c>
      <c r="D170" s="54">
        <v>38500</v>
      </c>
      <c r="E170" s="54" t="s">
        <v>118</v>
      </c>
      <c r="F170" s="33" t="s">
        <v>112</v>
      </c>
      <c r="I170" t="s">
        <v>2591</v>
      </c>
      <c r="J170" s="52"/>
      <c r="K170">
        <v>608223880</v>
      </c>
      <c r="L170" s="35" t="s">
        <v>2398</v>
      </c>
    </row>
    <row r="171" spans="1:12" x14ac:dyDescent="0.25">
      <c r="A171" s="54" t="s">
        <v>2395</v>
      </c>
      <c r="B171" s="54" t="s">
        <v>484</v>
      </c>
      <c r="C171" s="54" t="s">
        <v>2795</v>
      </c>
      <c r="D171" s="54">
        <v>38850</v>
      </c>
      <c r="E171" s="54" t="s">
        <v>148</v>
      </c>
      <c r="F171" s="33" t="s">
        <v>112</v>
      </c>
      <c r="I171" t="s">
        <v>2591</v>
      </c>
      <c r="J171" s="52"/>
      <c r="K171">
        <v>687372784</v>
      </c>
      <c r="L171" s="35" t="s">
        <v>2393</v>
      </c>
    </row>
    <row r="172" spans="1:12" hidden="1" x14ac:dyDescent="0.25">
      <c r="A172" s="54" t="s">
        <v>2389</v>
      </c>
      <c r="B172" s="54" t="s">
        <v>2388</v>
      </c>
      <c r="C172" s="54" t="s">
        <v>2794</v>
      </c>
      <c r="D172" s="54">
        <v>38210</v>
      </c>
      <c r="E172" s="54" t="s">
        <v>195</v>
      </c>
      <c r="F172" s="33" t="s">
        <v>101</v>
      </c>
      <c r="J172" s="52"/>
      <c r="K172">
        <v>623255340</v>
      </c>
      <c r="L172" s="35" t="s">
        <v>2386</v>
      </c>
    </row>
    <row r="173" spans="1:12" x14ac:dyDescent="0.25">
      <c r="A173" s="54" t="s">
        <v>1127</v>
      </c>
      <c r="B173" s="54" t="s">
        <v>235</v>
      </c>
      <c r="C173" s="54" t="s">
        <v>2793</v>
      </c>
      <c r="D173" s="54">
        <v>38210</v>
      </c>
      <c r="E173" s="54" t="s">
        <v>445</v>
      </c>
      <c r="F173" s="33" t="s">
        <v>112</v>
      </c>
      <c r="I173" t="s">
        <v>2591</v>
      </c>
      <c r="J173" s="52"/>
      <c r="K173">
        <v>622355242</v>
      </c>
    </row>
    <row r="174" spans="1:12" x14ac:dyDescent="0.25">
      <c r="A174" s="54" t="s">
        <v>2380</v>
      </c>
      <c r="B174" s="54" t="s">
        <v>969</v>
      </c>
      <c r="C174" s="54" t="s">
        <v>2792</v>
      </c>
      <c r="D174" s="54">
        <v>38960</v>
      </c>
      <c r="E174" s="54" t="s">
        <v>2378</v>
      </c>
      <c r="F174" s="33" t="s">
        <v>112</v>
      </c>
      <c r="I174" t="s">
        <v>2591</v>
      </c>
      <c r="J174" s="52"/>
      <c r="K174">
        <v>781892899</v>
      </c>
      <c r="L174" s="35" t="s">
        <v>2377</v>
      </c>
    </row>
    <row r="175" spans="1:12" x14ac:dyDescent="0.25">
      <c r="A175" s="54" t="s">
        <v>2373</v>
      </c>
      <c r="B175" s="54" t="s">
        <v>708</v>
      </c>
      <c r="C175" s="54" t="s">
        <v>2791</v>
      </c>
      <c r="D175" s="54">
        <v>38500</v>
      </c>
      <c r="E175" s="54" t="s">
        <v>96</v>
      </c>
      <c r="F175" s="33" t="s">
        <v>112</v>
      </c>
      <c r="I175" t="s">
        <v>2591</v>
      </c>
      <c r="J175" s="52"/>
      <c r="K175">
        <v>476059121</v>
      </c>
      <c r="L175" s="35" t="s">
        <v>2371</v>
      </c>
    </row>
    <row r="176" spans="1:12" hidden="1" x14ac:dyDescent="0.25">
      <c r="A176" s="54" t="s">
        <v>2366</v>
      </c>
      <c r="B176" s="54" t="s">
        <v>129</v>
      </c>
      <c r="C176" s="54" t="s">
        <v>2790</v>
      </c>
      <c r="D176" s="54">
        <v>38500</v>
      </c>
      <c r="E176" s="54" t="s">
        <v>118</v>
      </c>
      <c r="F176" s="33" t="s">
        <v>101</v>
      </c>
      <c r="J176" s="52"/>
      <c r="K176">
        <v>476661696</v>
      </c>
      <c r="L176" s="35" t="s">
        <v>2364</v>
      </c>
    </row>
    <row r="177" spans="1:12" hidden="1" x14ac:dyDescent="0.25">
      <c r="A177" s="54" t="s">
        <v>2360</v>
      </c>
      <c r="B177" s="54" t="s">
        <v>2359</v>
      </c>
      <c r="C177" s="54" t="s">
        <v>2789</v>
      </c>
      <c r="D177" s="54">
        <v>38140</v>
      </c>
      <c r="E177" s="54" t="s">
        <v>2357</v>
      </c>
      <c r="F177" s="33" t="s">
        <v>101</v>
      </c>
      <c r="J177" s="52"/>
      <c r="K177">
        <v>476659047</v>
      </c>
    </row>
    <row r="178" spans="1:12" x14ac:dyDescent="0.25">
      <c r="A178" s="54" t="s">
        <v>2355</v>
      </c>
      <c r="B178" s="54" t="s">
        <v>116</v>
      </c>
      <c r="C178" s="54" t="s">
        <v>2788</v>
      </c>
      <c r="D178" s="54">
        <v>38850</v>
      </c>
      <c r="E178" s="54" t="s">
        <v>148</v>
      </c>
      <c r="F178" s="33" t="s">
        <v>112</v>
      </c>
      <c r="I178" t="s">
        <v>2591</v>
      </c>
      <c r="J178" s="52"/>
      <c r="K178">
        <v>476352706</v>
      </c>
      <c r="L178" s="35" t="s">
        <v>2353</v>
      </c>
    </row>
    <row r="179" spans="1:12" x14ac:dyDescent="0.25">
      <c r="A179" s="54" t="s">
        <v>2351</v>
      </c>
      <c r="B179" s="54" t="s">
        <v>129</v>
      </c>
      <c r="C179" s="54" t="s">
        <v>2787</v>
      </c>
      <c r="D179" s="54">
        <v>38140</v>
      </c>
      <c r="E179" s="54" t="s">
        <v>321</v>
      </c>
      <c r="F179" s="33" t="s">
        <v>112</v>
      </c>
      <c r="I179" t="s">
        <v>2591</v>
      </c>
      <c r="J179" s="52"/>
      <c r="K179">
        <v>614512953</v>
      </c>
      <c r="L179" s="35" t="s">
        <v>2349</v>
      </c>
    </row>
    <row r="180" spans="1:12" hidden="1" x14ac:dyDescent="0.25">
      <c r="A180" s="54" t="s">
        <v>2344</v>
      </c>
      <c r="B180" s="54" t="s">
        <v>1632</v>
      </c>
      <c r="C180" s="54" t="s">
        <v>2786</v>
      </c>
      <c r="D180" s="54">
        <v>38430</v>
      </c>
      <c r="E180" s="54" t="s">
        <v>2048</v>
      </c>
      <c r="F180" s="33" t="s">
        <v>101</v>
      </c>
      <c r="J180" s="52"/>
      <c r="K180">
        <v>651977708</v>
      </c>
      <c r="L180" s="35" t="s">
        <v>2342</v>
      </c>
    </row>
    <row r="181" spans="1:12" hidden="1" x14ac:dyDescent="0.25">
      <c r="A181" s="54" t="s">
        <v>2336</v>
      </c>
      <c r="B181" s="54" t="s">
        <v>628</v>
      </c>
      <c r="C181" s="54" t="s">
        <v>2785</v>
      </c>
      <c r="D181" s="54">
        <v>38850</v>
      </c>
      <c r="E181" s="54" t="s">
        <v>242</v>
      </c>
      <c r="F181" s="33" t="s">
        <v>101</v>
      </c>
      <c r="J181" s="52"/>
      <c r="K181">
        <v>685013489</v>
      </c>
      <c r="L181" s="35" t="s">
        <v>2334</v>
      </c>
    </row>
    <row r="182" spans="1:12" x14ac:dyDescent="0.25">
      <c r="A182" s="54" t="s">
        <v>2332</v>
      </c>
      <c r="B182" s="54" t="s">
        <v>2331</v>
      </c>
      <c r="C182" s="54" t="s">
        <v>2784</v>
      </c>
      <c r="D182" s="54">
        <v>38210</v>
      </c>
      <c r="E182" s="54" t="s">
        <v>195</v>
      </c>
      <c r="F182" s="33" t="s">
        <v>112</v>
      </c>
      <c r="J182" s="52">
        <v>42635</v>
      </c>
      <c r="K182">
        <v>476078623</v>
      </c>
      <c r="L182" s="35" t="s">
        <v>2329</v>
      </c>
    </row>
    <row r="183" spans="1:12" hidden="1" x14ac:dyDescent="0.25">
      <c r="A183" s="54" t="s">
        <v>2324</v>
      </c>
      <c r="B183" s="54" t="s">
        <v>2323</v>
      </c>
      <c r="C183" s="54" t="s">
        <v>2783</v>
      </c>
      <c r="D183" s="54">
        <v>38140</v>
      </c>
      <c r="E183" s="54" t="s">
        <v>321</v>
      </c>
      <c r="F183" s="33" t="s">
        <v>101</v>
      </c>
      <c r="J183" s="52"/>
      <c r="K183">
        <v>476652234</v>
      </c>
      <c r="L183" s="35" t="s">
        <v>2321</v>
      </c>
    </row>
    <row r="184" spans="1:12" x14ac:dyDescent="0.25">
      <c r="A184" s="54" t="s">
        <v>2314</v>
      </c>
      <c r="B184" s="54" t="s">
        <v>1001</v>
      </c>
      <c r="C184" s="54" t="s">
        <v>2782</v>
      </c>
      <c r="D184" s="54">
        <v>38500</v>
      </c>
      <c r="E184" s="54" t="s">
        <v>96</v>
      </c>
      <c r="F184" s="33" t="s">
        <v>112</v>
      </c>
      <c r="J184" s="52">
        <v>42635</v>
      </c>
      <c r="K184">
        <v>476057040</v>
      </c>
    </row>
    <row r="185" spans="1:12" x14ac:dyDescent="0.25">
      <c r="A185" s="54" t="s">
        <v>2307</v>
      </c>
      <c r="B185" s="54" t="s">
        <v>1013</v>
      </c>
      <c r="C185" s="54" t="s">
        <v>2781</v>
      </c>
      <c r="D185" s="54">
        <v>38140</v>
      </c>
      <c r="E185" s="54" t="s">
        <v>363</v>
      </c>
      <c r="F185" s="33" t="s">
        <v>112</v>
      </c>
      <c r="I185" t="s">
        <v>2591</v>
      </c>
      <c r="J185" s="52"/>
      <c r="K185">
        <v>476914884</v>
      </c>
      <c r="L185" s="35" t="s">
        <v>2305</v>
      </c>
    </row>
    <row r="186" spans="1:12" hidden="1" x14ac:dyDescent="0.25">
      <c r="A186" s="54" t="s">
        <v>2302</v>
      </c>
      <c r="B186" s="54" t="s">
        <v>2301</v>
      </c>
      <c r="C186" s="54" t="s">
        <v>2780</v>
      </c>
      <c r="D186" s="54">
        <v>38490</v>
      </c>
      <c r="E186" s="54" t="s">
        <v>2299</v>
      </c>
      <c r="F186" s="33" t="s">
        <v>101</v>
      </c>
      <c r="J186" s="52"/>
      <c r="K186">
        <v>476374281</v>
      </c>
      <c r="L186" s="35" t="s">
        <v>2298</v>
      </c>
    </row>
    <row r="187" spans="1:12" hidden="1" x14ac:dyDescent="0.25">
      <c r="A187" s="54" t="s">
        <v>2295</v>
      </c>
      <c r="B187" s="54" t="s">
        <v>591</v>
      </c>
      <c r="C187" s="54" t="s">
        <v>2779</v>
      </c>
      <c r="D187" s="54">
        <v>38500</v>
      </c>
      <c r="E187" s="54" t="s">
        <v>118</v>
      </c>
      <c r="F187" s="33" t="s">
        <v>101</v>
      </c>
      <c r="J187" s="52"/>
      <c r="K187">
        <v>476658731</v>
      </c>
      <c r="L187" s="35" t="s">
        <v>2293</v>
      </c>
    </row>
    <row r="188" spans="1:12" x14ac:dyDescent="0.25">
      <c r="A188" s="54" t="s">
        <v>2287</v>
      </c>
      <c r="B188" s="54" t="s">
        <v>2286</v>
      </c>
      <c r="C188" s="54" t="s">
        <v>2778</v>
      </c>
      <c r="D188" s="54">
        <v>38850</v>
      </c>
      <c r="E188" s="54" t="s">
        <v>170</v>
      </c>
      <c r="F188" s="33" t="s">
        <v>112</v>
      </c>
      <c r="I188" t="s">
        <v>2591</v>
      </c>
      <c r="J188" s="52"/>
      <c r="K188">
        <v>633586175</v>
      </c>
      <c r="L188" s="35" t="s">
        <v>2284</v>
      </c>
    </row>
    <row r="189" spans="1:12" x14ac:dyDescent="0.25">
      <c r="A189" s="54" t="s">
        <v>2281</v>
      </c>
      <c r="B189" s="54" t="s">
        <v>641</v>
      </c>
      <c r="C189" s="54" t="s">
        <v>2777</v>
      </c>
      <c r="D189" s="54">
        <v>38850</v>
      </c>
      <c r="E189" s="54" t="s">
        <v>170</v>
      </c>
      <c r="F189" s="33" t="s">
        <v>112</v>
      </c>
      <c r="I189" t="s">
        <v>2591</v>
      </c>
      <c r="J189" s="52"/>
      <c r="K189">
        <v>603770393</v>
      </c>
      <c r="L189" s="35" t="s">
        <v>2279</v>
      </c>
    </row>
    <row r="190" spans="1:12" hidden="1" x14ac:dyDescent="0.25">
      <c r="A190" s="54" t="s">
        <v>379</v>
      </c>
      <c r="B190" s="54" t="s">
        <v>2274</v>
      </c>
      <c r="C190" s="54" t="s">
        <v>2776</v>
      </c>
      <c r="D190" s="54">
        <v>38620</v>
      </c>
      <c r="E190" s="54" t="s">
        <v>783</v>
      </c>
      <c r="F190" s="33" t="s">
        <v>101</v>
      </c>
      <c r="J190" s="52"/>
      <c r="K190">
        <v>610199032</v>
      </c>
      <c r="L190" s="35" t="s">
        <v>2272</v>
      </c>
    </row>
    <row r="191" spans="1:12" x14ac:dyDescent="0.25">
      <c r="A191" s="54" t="s">
        <v>2268</v>
      </c>
      <c r="B191" s="54" t="s">
        <v>2267</v>
      </c>
      <c r="C191" s="54" t="s">
        <v>2775</v>
      </c>
      <c r="D191" s="54">
        <v>38500</v>
      </c>
      <c r="E191" s="54" t="s">
        <v>262</v>
      </c>
      <c r="F191" s="33" t="s">
        <v>112</v>
      </c>
      <c r="I191" t="s">
        <v>2591</v>
      </c>
      <c r="J191" s="52"/>
      <c r="K191">
        <v>476061464</v>
      </c>
      <c r="L191" s="35" t="s">
        <v>2265</v>
      </c>
    </row>
    <row r="192" spans="1:12" x14ac:dyDescent="0.25">
      <c r="A192" s="54" t="s">
        <v>2260</v>
      </c>
      <c r="B192" s="54" t="s">
        <v>1978</v>
      </c>
      <c r="C192" s="54" t="s">
        <v>2774</v>
      </c>
      <c r="D192" s="54">
        <v>38500</v>
      </c>
      <c r="E192" s="54" t="s">
        <v>96</v>
      </c>
      <c r="F192" s="33" t="s">
        <v>112</v>
      </c>
      <c r="I192" t="s">
        <v>2591</v>
      </c>
      <c r="J192" s="52"/>
      <c r="K192">
        <v>683548190</v>
      </c>
      <c r="L192" s="35" t="s">
        <v>2258</v>
      </c>
    </row>
    <row r="193" spans="1:12" x14ac:dyDescent="0.25">
      <c r="A193" s="54" t="s">
        <v>2255</v>
      </c>
      <c r="B193" s="54" t="s">
        <v>2254</v>
      </c>
      <c r="C193" s="54" t="s">
        <v>2773</v>
      </c>
      <c r="D193" s="54">
        <v>38850</v>
      </c>
      <c r="E193" s="54" t="s">
        <v>438</v>
      </c>
      <c r="F193" s="33" t="s">
        <v>112</v>
      </c>
      <c r="I193" t="s">
        <v>2591</v>
      </c>
      <c r="J193" s="52"/>
      <c r="K193">
        <v>617522530</v>
      </c>
      <c r="L193" s="35" t="s">
        <v>2252</v>
      </c>
    </row>
    <row r="194" spans="1:12" x14ac:dyDescent="0.25">
      <c r="A194" s="54" t="s">
        <v>2249</v>
      </c>
      <c r="B194" s="54" t="s">
        <v>403</v>
      </c>
      <c r="C194" s="54" t="s">
        <v>2772</v>
      </c>
      <c r="D194" s="54">
        <v>38850</v>
      </c>
      <c r="E194" s="54" t="s">
        <v>148</v>
      </c>
      <c r="F194" s="33" t="s">
        <v>112</v>
      </c>
      <c r="I194" t="s">
        <v>2591</v>
      </c>
      <c r="J194" s="52"/>
      <c r="K194">
        <v>671731133</v>
      </c>
      <c r="L194" s="35" t="s">
        <v>2247</v>
      </c>
    </row>
    <row r="195" spans="1:12" x14ac:dyDescent="0.25">
      <c r="A195" s="54" t="s">
        <v>2242</v>
      </c>
      <c r="B195" s="54" t="s">
        <v>2241</v>
      </c>
      <c r="C195" s="54" t="s">
        <v>2771</v>
      </c>
      <c r="D195" s="54">
        <v>38620</v>
      </c>
      <c r="E195" s="54" t="s">
        <v>857</v>
      </c>
      <c r="F195" s="33" t="s">
        <v>112</v>
      </c>
      <c r="I195" t="s">
        <v>2591</v>
      </c>
      <c r="J195" s="52"/>
      <c r="K195">
        <v>682827107</v>
      </c>
      <c r="L195" s="35" t="s">
        <v>2240</v>
      </c>
    </row>
    <row r="196" spans="1:12" hidden="1" x14ac:dyDescent="0.25">
      <c r="A196" s="54" t="s">
        <v>2233</v>
      </c>
      <c r="B196" s="54" t="s">
        <v>1853</v>
      </c>
      <c r="C196" s="54" t="s">
        <v>2770</v>
      </c>
      <c r="D196" s="54">
        <v>38210</v>
      </c>
      <c r="E196" s="54" t="s">
        <v>445</v>
      </c>
      <c r="F196" s="33" t="s">
        <v>101</v>
      </c>
      <c r="J196" s="52"/>
      <c r="K196">
        <v>607108393</v>
      </c>
      <c r="L196" s="35" t="s">
        <v>2231</v>
      </c>
    </row>
    <row r="197" spans="1:12" hidden="1" x14ac:dyDescent="0.25">
      <c r="A197" s="54" t="s">
        <v>2228</v>
      </c>
      <c r="B197" s="54" t="s">
        <v>915</v>
      </c>
      <c r="C197" s="54" t="s">
        <v>2769</v>
      </c>
      <c r="D197" s="54">
        <v>38960</v>
      </c>
      <c r="E197" s="54" t="s">
        <v>139</v>
      </c>
      <c r="F197" s="33" t="s">
        <v>101</v>
      </c>
      <c r="J197" s="52"/>
      <c r="K197">
        <v>685085880</v>
      </c>
      <c r="L197" s="35" t="s">
        <v>2226</v>
      </c>
    </row>
    <row r="198" spans="1:12" x14ac:dyDescent="0.25">
      <c r="A198" s="54" t="s">
        <v>2223</v>
      </c>
      <c r="B198" s="54" t="s">
        <v>2222</v>
      </c>
      <c r="C198" s="54" t="s">
        <v>2768</v>
      </c>
      <c r="D198" s="54">
        <v>38960</v>
      </c>
      <c r="E198" s="54" t="s">
        <v>912</v>
      </c>
      <c r="F198" s="33" t="s">
        <v>112</v>
      </c>
      <c r="I198" t="s">
        <v>2591</v>
      </c>
      <c r="J198" s="52"/>
      <c r="K198">
        <v>683225502</v>
      </c>
      <c r="L198" s="35" t="s">
        <v>2220</v>
      </c>
    </row>
    <row r="199" spans="1:12" hidden="1" x14ac:dyDescent="0.25">
      <c r="A199" s="54" t="s">
        <v>2217</v>
      </c>
      <c r="B199" s="54" t="s">
        <v>2216</v>
      </c>
      <c r="C199" s="54" t="s">
        <v>2767</v>
      </c>
      <c r="D199" s="54">
        <v>38340</v>
      </c>
      <c r="E199" s="54" t="s">
        <v>108</v>
      </c>
      <c r="F199" s="33" t="s">
        <v>101</v>
      </c>
      <c r="J199" s="52"/>
      <c r="K199">
        <v>699709081</v>
      </c>
      <c r="L199" s="35" t="s">
        <v>2214</v>
      </c>
    </row>
    <row r="200" spans="1:12" hidden="1" x14ac:dyDescent="0.25">
      <c r="A200" s="54" t="s">
        <v>2211</v>
      </c>
      <c r="B200" s="54" t="s">
        <v>240</v>
      </c>
      <c r="C200" s="54" t="s">
        <v>2766</v>
      </c>
      <c r="D200" s="54">
        <v>38340</v>
      </c>
      <c r="E200" s="54" t="s">
        <v>108</v>
      </c>
      <c r="F200" s="33" t="s">
        <v>101</v>
      </c>
      <c r="J200" s="52"/>
      <c r="K200">
        <v>636279555</v>
      </c>
      <c r="L200" s="35" t="s">
        <v>2210</v>
      </c>
    </row>
    <row r="201" spans="1:12" x14ac:dyDescent="0.25">
      <c r="A201" s="54" t="s">
        <v>2207</v>
      </c>
      <c r="B201" s="54" t="s">
        <v>2206</v>
      </c>
      <c r="C201" s="54" t="s">
        <v>2765</v>
      </c>
      <c r="D201" s="54">
        <v>38210</v>
      </c>
      <c r="E201" s="54" t="s">
        <v>195</v>
      </c>
      <c r="F201" s="33" t="s">
        <v>112</v>
      </c>
      <c r="I201" t="s">
        <v>2591</v>
      </c>
      <c r="J201" s="52"/>
      <c r="K201">
        <v>750212511</v>
      </c>
      <c r="L201" s="35" t="s">
        <v>2204</v>
      </c>
    </row>
    <row r="202" spans="1:12" x14ac:dyDescent="0.25">
      <c r="A202" s="54" t="s">
        <v>2201</v>
      </c>
      <c r="B202" s="54" t="s">
        <v>348</v>
      </c>
      <c r="C202" s="54" t="s">
        <v>2764</v>
      </c>
      <c r="D202" s="54">
        <v>38960</v>
      </c>
      <c r="E202" s="54" t="s">
        <v>139</v>
      </c>
      <c r="F202" s="33" t="s">
        <v>112</v>
      </c>
      <c r="I202" t="s">
        <v>2591</v>
      </c>
      <c r="J202" s="52"/>
      <c r="K202">
        <v>476553177</v>
      </c>
      <c r="L202" s="35" t="s">
        <v>2199</v>
      </c>
    </row>
    <row r="203" spans="1:12" hidden="1" x14ac:dyDescent="0.25">
      <c r="A203" s="54" t="s">
        <v>2195</v>
      </c>
      <c r="B203" s="54" t="s">
        <v>177</v>
      </c>
      <c r="C203" s="54" t="s">
        <v>2763</v>
      </c>
      <c r="D203" s="54">
        <v>38500</v>
      </c>
      <c r="E203" s="54" t="s">
        <v>96</v>
      </c>
      <c r="F203" s="33" t="s">
        <v>101</v>
      </c>
      <c r="J203" s="52"/>
      <c r="K203">
        <v>698033600</v>
      </c>
      <c r="L203" s="35" t="s">
        <v>2194</v>
      </c>
    </row>
    <row r="204" spans="1:12" x14ac:dyDescent="0.25">
      <c r="A204" s="54" t="s">
        <v>2184</v>
      </c>
      <c r="B204" s="54" t="s">
        <v>380</v>
      </c>
      <c r="C204" s="54" t="s">
        <v>2762</v>
      </c>
      <c r="D204" s="54">
        <v>38500</v>
      </c>
      <c r="E204" s="54" t="s">
        <v>118</v>
      </c>
      <c r="F204" s="33" t="s">
        <v>112</v>
      </c>
      <c r="I204" t="s">
        <v>2591</v>
      </c>
      <c r="J204" s="52"/>
      <c r="K204">
        <v>476052110</v>
      </c>
    </row>
    <row r="205" spans="1:12" hidden="1" x14ac:dyDescent="0.25">
      <c r="A205" s="54" t="s">
        <v>2172</v>
      </c>
      <c r="B205" s="54" t="s">
        <v>921</v>
      </c>
      <c r="C205" s="54" t="s">
        <v>2761</v>
      </c>
      <c r="D205" s="54">
        <v>38500</v>
      </c>
      <c r="E205" s="54" t="s">
        <v>96</v>
      </c>
      <c r="F205" s="33" t="s">
        <v>101</v>
      </c>
      <c r="J205" s="52"/>
      <c r="K205">
        <v>476053186</v>
      </c>
      <c r="L205" s="35" t="s">
        <v>2170</v>
      </c>
    </row>
    <row r="206" spans="1:12" hidden="1" x14ac:dyDescent="0.25">
      <c r="A206" s="54" t="s">
        <v>2166</v>
      </c>
      <c r="B206" s="54" t="s">
        <v>2165</v>
      </c>
      <c r="C206" s="54" t="s">
        <v>2760</v>
      </c>
      <c r="D206" s="54">
        <v>38140</v>
      </c>
      <c r="E206" s="54" t="s">
        <v>363</v>
      </c>
      <c r="F206" s="33" t="s">
        <v>101</v>
      </c>
      <c r="J206" s="52"/>
      <c r="K206">
        <v>476911563</v>
      </c>
      <c r="L206" s="35" t="s">
        <v>2164</v>
      </c>
    </row>
    <row r="207" spans="1:12" x14ac:dyDescent="0.25">
      <c r="A207" s="54" t="s">
        <v>2162</v>
      </c>
      <c r="B207" s="54" t="s">
        <v>939</v>
      </c>
      <c r="C207" s="54" t="s">
        <v>2759</v>
      </c>
      <c r="D207" s="54">
        <v>38340</v>
      </c>
      <c r="E207" s="54" t="s">
        <v>108</v>
      </c>
      <c r="F207" s="33" t="s">
        <v>112</v>
      </c>
      <c r="I207" t="s">
        <v>2591</v>
      </c>
      <c r="J207" s="52"/>
      <c r="K207">
        <v>625992604</v>
      </c>
      <c r="L207" s="35" t="s">
        <v>2160</v>
      </c>
    </row>
    <row r="208" spans="1:12" x14ac:dyDescent="0.25">
      <c r="A208" s="54" t="s">
        <v>2157</v>
      </c>
      <c r="B208" s="54" t="s">
        <v>671</v>
      </c>
      <c r="C208" s="54" t="s">
        <v>2758</v>
      </c>
      <c r="D208" s="54">
        <v>38430</v>
      </c>
      <c r="E208" s="54" t="s">
        <v>217</v>
      </c>
      <c r="F208" s="33" t="s">
        <v>112</v>
      </c>
      <c r="I208" t="s">
        <v>2591</v>
      </c>
      <c r="J208" s="52"/>
      <c r="K208">
        <v>476354652</v>
      </c>
    </row>
    <row r="209" spans="1:12" x14ac:dyDescent="0.25">
      <c r="A209" s="54" t="s">
        <v>2153</v>
      </c>
      <c r="B209" s="54" t="s">
        <v>2152</v>
      </c>
      <c r="C209" s="54" t="s">
        <v>2757</v>
      </c>
      <c r="D209" s="54">
        <v>38430</v>
      </c>
      <c r="E209" s="54" t="s">
        <v>108</v>
      </c>
      <c r="F209" s="33" t="s">
        <v>112</v>
      </c>
      <c r="I209" t="s">
        <v>2591</v>
      </c>
      <c r="J209" s="52"/>
      <c r="K209">
        <v>629880180</v>
      </c>
      <c r="L209" s="35" t="s">
        <v>2150</v>
      </c>
    </row>
    <row r="210" spans="1:12" x14ac:dyDescent="0.25">
      <c r="A210" s="54" t="s">
        <v>2147</v>
      </c>
      <c r="B210" s="54" t="s">
        <v>921</v>
      </c>
      <c r="C210" s="54" t="s">
        <v>2756</v>
      </c>
      <c r="D210" s="54">
        <v>38340</v>
      </c>
      <c r="E210" s="54" t="s">
        <v>1006</v>
      </c>
      <c r="F210" s="33" t="s">
        <v>112</v>
      </c>
      <c r="I210" t="s">
        <v>2591</v>
      </c>
      <c r="J210" s="52"/>
      <c r="K210">
        <v>476563347</v>
      </c>
      <c r="L210" s="35" t="s">
        <v>2145</v>
      </c>
    </row>
    <row r="211" spans="1:12" hidden="1" x14ac:dyDescent="0.25">
      <c r="A211" s="54" t="s">
        <v>2142</v>
      </c>
      <c r="B211" s="54" t="s">
        <v>2141</v>
      </c>
      <c r="C211" s="54" t="s">
        <v>2755</v>
      </c>
      <c r="D211" s="54">
        <v>38490</v>
      </c>
      <c r="E211" s="54" t="s">
        <v>1133</v>
      </c>
      <c r="F211" s="33" t="s">
        <v>101</v>
      </c>
      <c r="J211" s="52"/>
      <c r="K211">
        <v>476321712</v>
      </c>
      <c r="L211" s="35" t="s">
        <v>2139</v>
      </c>
    </row>
    <row r="212" spans="1:12" x14ac:dyDescent="0.25">
      <c r="A212" s="54" t="s">
        <v>2135</v>
      </c>
      <c r="B212" s="54" t="s">
        <v>129</v>
      </c>
      <c r="C212" s="54" t="s">
        <v>2754</v>
      </c>
      <c r="D212" s="54">
        <v>38500</v>
      </c>
      <c r="E212" s="54" t="s">
        <v>96</v>
      </c>
      <c r="F212" s="33" t="s">
        <v>112</v>
      </c>
      <c r="I212" t="s">
        <v>2591</v>
      </c>
      <c r="J212" s="52"/>
      <c r="K212">
        <v>683191174</v>
      </c>
      <c r="L212" s="35" t="s">
        <v>2133</v>
      </c>
    </row>
    <row r="213" spans="1:12" x14ac:dyDescent="0.25">
      <c r="A213" s="54" t="s">
        <v>2129</v>
      </c>
      <c r="B213" s="54" t="s">
        <v>2128</v>
      </c>
      <c r="C213" s="54" t="s">
        <v>2753</v>
      </c>
      <c r="D213" s="54">
        <v>38340</v>
      </c>
      <c r="E213" s="54" t="s">
        <v>108</v>
      </c>
      <c r="F213" s="33" t="s">
        <v>112</v>
      </c>
      <c r="I213" t="s">
        <v>2591</v>
      </c>
      <c r="J213" s="52"/>
      <c r="K213">
        <v>476566881</v>
      </c>
      <c r="L213" s="35" t="s">
        <v>2126</v>
      </c>
    </row>
    <row r="214" spans="1:12" hidden="1" x14ac:dyDescent="0.25">
      <c r="A214" s="54" t="s">
        <v>2122</v>
      </c>
      <c r="B214" s="54" t="s">
        <v>949</v>
      </c>
      <c r="C214" s="54" t="s">
        <v>2752</v>
      </c>
      <c r="D214" s="54">
        <v>38210</v>
      </c>
      <c r="E214" s="54" t="s">
        <v>195</v>
      </c>
      <c r="F214" s="33" t="s">
        <v>101</v>
      </c>
      <c r="J214" s="52"/>
      <c r="K214">
        <v>677762921</v>
      </c>
      <c r="L214" s="35" t="s">
        <v>2120</v>
      </c>
    </row>
    <row r="215" spans="1:12" x14ac:dyDescent="0.25">
      <c r="A215" s="54" t="s">
        <v>414</v>
      </c>
      <c r="B215" s="54" t="s">
        <v>403</v>
      </c>
      <c r="C215" s="54" t="s">
        <v>2751</v>
      </c>
      <c r="D215" s="54">
        <v>38500</v>
      </c>
      <c r="E215" s="54" t="s">
        <v>96</v>
      </c>
      <c r="F215" s="33" t="s">
        <v>112</v>
      </c>
      <c r="I215" t="s">
        <v>2591</v>
      </c>
      <c r="J215" s="52"/>
      <c r="K215">
        <v>781882033</v>
      </c>
      <c r="L215" s="35" t="s">
        <v>2113</v>
      </c>
    </row>
    <row r="216" spans="1:12" hidden="1" x14ac:dyDescent="0.25">
      <c r="A216" s="54" t="s">
        <v>2110</v>
      </c>
      <c r="B216" s="54" t="s">
        <v>116</v>
      </c>
      <c r="C216" s="54" t="s">
        <v>2750</v>
      </c>
      <c r="D216" s="54">
        <v>38500</v>
      </c>
      <c r="E216" s="54" t="s">
        <v>96</v>
      </c>
      <c r="F216" s="33" t="s">
        <v>101</v>
      </c>
      <c r="J216" s="52"/>
      <c r="K216">
        <v>476053820</v>
      </c>
      <c r="L216" s="35" t="s">
        <v>2108</v>
      </c>
    </row>
    <row r="217" spans="1:12" hidden="1" x14ac:dyDescent="0.25">
      <c r="A217" s="54" t="s">
        <v>2105</v>
      </c>
      <c r="B217" s="54" t="s">
        <v>703</v>
      </c>
      <c r="C217" s="54" t="s">
        <v>2749</v>
      </c>
      <c r="D217" s="54">
        <v>38620</v>
      </c>
      <c r="E217" s="54" t="s">
        <v>2103</v>
      </c>
      <c r="F217" s="33" t="s">
        <v>101</v>
      </c>
      <c r="J217" s="52"/>
      <c r="K217">
        <v>622442668</v>
      </c>
    </row>
    <row r="218" spans="1:12" hidden="1" x14ac:dyDescent="0.25">
      <c r="A218" s="54" t="s">
        <v>2100</v>
      </c>
      <c r="B218" s="54" t="s">
        <v>1599</v>
      </c>
      <c r="C218" s="54" t="s">
        <v>2748</v>
      </c>
      <c r="D218" s="54">
        <v>38500</v>
      </c>
      <c r="E218" s="54" t="s">
        <v>118</v>
      </c>
      <c r="F218" s="33" t="s">
        <v>101</v>
      </c>
      <c r="J218" s="52"/>
      <c r="K218">
        <v>685767442</v>
      </c>
      <c r="L218" s="35" t="s">
        <v>2099</v>
      </c>
    </row>
    <row r="219" spans="1:12" x14ac:dyDescent="0.25">
      <c r="A219" s="54" t="s">
        <v>2095</v>
      </c>
      <c r="B219" s="54" t="s">
        <v>2094</v>
      </c>
      <c r="C219" s="54" t="s">
        <v>2747</v>
      </c>
      <c r="D219" s="54">
        <v>38430</v>
      </c>
      <c r="E219" s="54" t="s">
        <v>217</v>
      </c>
      <c r="F219" s="33" t="s">
        <v>112</v>
      </c>
      <c r="I219" t="s">
        <v>2591</v>
      </c>
      <c r="J219" s="52"/>
      <c r="K219">
        <v>637750217</v>
      </c>
      <c r="L219" s="35" t="s">
        <v>2092</v>
      </c>
    </row>
    <row r="220" spans="1:12" hidden="1" x14ac:dyDescent="0.25">
      <c r="A220" s="54" t="s">
        <v>2088</v>
      </c>
      <c r="B220" s="54" t="s">
        <v>1733</v>
      </c>
      <c r="C220" s="54" t="s">
        <v>2746</v>
      </c>
      <c r="D220" s="54">
        <v>38850</v>
      </c>
      <c r="E220" s="54" t="s">
        <v>148</v>
      </c>
      <c r="F220" s="33" t="s">
        <v>101</v>
      </c>
      <c r="J220" s="52"/>
      <c r="K220">
        <v>476352860</v>
      </c>
    </row>
    <row r="221" spans="1:12" x14ac:dyDescent="0.25">
      <c r="A221" s="54" t="s">
        <v>2083</v>
      </c>
      <c r="B221" s="54" t="s">
        <v>578</v>
      </c>
      <c r="C221" s="54" t="s">
        <v>2745</v>
      </c>
      <c r="D221" s="54">
        <v>38730</v>
      </c>
      <c r="E221" s="54" t="s">
        <v>291</v>
      </c>
      <c r="F221" s="33" t="s">
        <v>112</v>
      </c>
      <c r="I221" t="s">
        <v>2591</v>
      </c>
      <c r="J221" s="52"/>
      <c r="K221">
        <v>476556139</v>
      </c>
    </row>
    <row r="222" spans="1:12" hidden="1" x14ac:dyDescent="0.25">
      <c r="A222" s="54" t="s">
        <v>2074</v>
      </c>
      <c r="B222" s="54" t="s">
        <v>427</v>
      </c>
      <c r="C222" s="54" t="s">
        <v>2744</v>
      </c>
      <c r="D222" s="54">
        <v>38850</v>
      </c>
      <c r="E222" s="54" t="s">
        <v>148</v>
      </c>
      <c r="F222" s="33" t="s">
        <v>101</v>
      </c>
      <c r="J222" s="52"/>
      <c r="K222">
        <v>662185843</v>
      </c>
      <c r="L222" s="35" t="s">
        <v>2072</v>
      </c>
    </row>
    <row r="223" spans="1:12" x14ac:dyDescent="0.25">
      <c r="A223" s="54" t="s">
        <v>2067</v>
      </c>
      <c r="B223" s="54" t="s">
        <v>2066</v>
      </c>
      <c r="C223" s="54" t="s">
        <v>2743</v>
      </c>
      <c r="D223" s="54">
        <v>38140</v>
      </c>
      <c r="E223" s="54" t="s">
        <v>363</v>
      </c>
      <c r="F223" s="33" t="s">
        <v>112</v>
      </c>
      <c r="J223" s="52">
        <v>42635</v>
      </c>
      <c r="K223">
        <v>672457397</v>
      </c>
      <c r="L223" s="35" t="s">
        <v>2065</v>
      </c>
    </row>
    <row r="224" spans="1:12" x14ac:dyDescent="0.25">
      <c r="A224" s="54" t="s">
        <v>2059</v>
      </c>
      <c r="B224" s="54" t="s">
        <v>561</v>
      </c>
      <c r="C224" s="54" t="s">
        <v>2742</v>
      </c>
      <c r="D224" s="54">
        <v>38850</v>
      </c>
      <c r="E224" s="54" t="s">
        <v>242</v>
      </c>
      <c r="F224" s="33" t="s">
        <v>112</v>
      </c>
      <c r="I224" t="s">
        <v>2591</v>
      </c>
      <c r="J224" s="52"/>
      <c r="K224">
        <v>476556956</v>
      </c>
      <c r="L224" s="35" t="s">
        <v>2057</v>
      </c>
    </row>
    <row r="225" spans="1:12" hidden="1" x14ac:dyDescent="0.25">
      <c r="A225" s="54" t="s">
        <v>2055</v>
      </c>
      <c r="B225" s="54" t="s">
        <v>2054</v>
      </c>
      <c r="C225" s="54" t="s">
        <v>2741</v>
      </c>
      <c r="D225" s="54">
        <v>38500</v>
      </c>
      <c r="E225" s="54" t="s">
        <v>153</v>
      </c>
      <c r="F225" s="33" t="s">
        <v>101</v>
      </c>
      <c r="J225" s="52"/>
      <c r="K225">
        <v>681719769</v>
      </c>
    </row>
    <row r="226" spans="1:12" x14ac:dyDescent="0.25">
      <c r="A226" s="54" t="s">
        <v>2051</v>
      </c>
      <c r="B226" s="54" t="s">
        <v>2050</v>
      </c>
      <c r="C226" s="54" t="s">
        <v>2740</v>
      </c>
      <c r="D226" s="54">
        <v>38430</v>
      </c>
      <c r="E226" s="54" t="s">
        <v>2048</v>
      </c>
      <c r="F226" s="33" t="s">
        <v>112</v>
      </c>
      <c r="I226" t="s">
        <v>2591</v>
      </c>
      <c r="J226" s="52"/>
      <c r="K226">
        <v>476355302</v>
      </c>
      <c r="L226" s="35" t="s">
        <v>2047</v>
      </c>
    </row>
    <row r="227" spans="1:12" hidden="1" x14ac:dyDescent="0.25">
      <c r="A227" s="54" t="s">
        <v>2043</v>
      </c>
      <c r="B227" s="54" t="s">
        <v>303</v>
      </c>
      <c r="C227" s="54" t="s">
        <v>2739</v>
      </c>
      <c r="D227" s="54">
        <v>38500</v>
      </c>
      <c r="E227" s="54" t="s">
        <v>96</v>
      </c>
      <c r="F227" s="33" t="s">
        <v>101</v>
      </c>
      <c r="J227" s="52"/>
      <c r="K227">
        <v>610960857</v>
      </c>
    </row>
    <row r="228" spans="1:12" hidden="1" x14ac:dyDescent="0.25">
      <c r="A228" s="54" t="s">
        <v>2038</v>
      </c>
      <c r="B228" s="54" t="s">
        <v>2037</v>
      </c>
      <c r="C228" s="54" t="s">
        <v>2738</v>
      </c>
      <c r="D228" s="54">
        <v>38340</v>
      </c>
      <c r="E228" s="54" t="s">
        <v>108</v>
      </c>
      <c r="F228" s="33" t="s">
        <v>101</v>
      </c>
      <c r="J228" s="52"/>
      <c r="K228">
        <v>687031669</v>
      </c>
      <c r="L228" s="35" t="s">
        <v>2036</v>
      </c>
    </row>
    <row r="229" spans="1:12" x14ac:dyDescent="0.25">
      <c r="A229" s="54" t="s">
        <v>2033</v>
      </c>
      <c r="B229" s="54" t="s">
        <v>116</v>
      </c>
      <c r="C229" s="54" t="s">
        <v>2737</v>
      </c>
      <c r="D229" s="54">
        <v>38500</v>
      </c>
      <c r="E229" s="54" t="s">
        <v>262</v>
      </c>
      <c r="F229" s="33" t="s">
        <v>112</v>
      </c>
      <c r="I229" t="s">
        <v>2591</v>
      </c>
      <c r="J229" s="52"/>
      <c r="K229">
        <v>685457190</v>
      </c>
      <c r="L229" s="35" t="s">
        <v>2031</v>
      </c>
    </row>
    <row r="230" spans="1:12" hidden="1" x14ac:dyDescent="0.25">
      <c r="A230" s="54" t="s">
        <v>2028</v>
      </c>
      <c r="B230" s="54" t="s">
        <v>1967</v>
      </c>
      <c r="C230" s="54" t="s">
        <v>2736</v>
      </c>
      <c r="D230" s="54">
        <v>38850</v>
      </c>
      <c r="E230" s="54" t="s">
        <v>148</v>
      </c>
      <c r="F230" s="33" t="s">
        <v>101</v>
      </c>
      <c r="J230" s="52"/>
      <c r="K230">
        <v>476352325</v>
      </c>
      <c r="L230" s="35" t="s">
        <v>2027</v>
      </c>
    </row>
    <row r="231" spans="1:12" hidden="1" x14ac:dyDescent="0.25">
      <c r="A231" s="54" t="s">
        <v>2023</v>
      </c>
      <c r="B231" s="54" t="s">
        <v>905</v>
      </c>
      <c r="C231" s="54" t="s">
        <v>2735</v>
      </c>
      <c r="D231" s="54">
        <v>38620</v>
      </c>
      <c r="E231" s="54" t="s">
        <v>783</v>
      </c>
      <c r="F231" s="33" t="s">
        <v>101</v>
      </c>
      <c r="J231" s="52"/>
      <c r="K231">
        <v>678386204</v>
      </c>
      <c r="L231" s="35" t="s">
        <v>2021</v>
      </c>
    </row>
    <row r="232" spans="1:12" hidden="1" x14ac:dyDescent="0.25">
      <c r="A232" s="54" t="s">
        <v>2018</v>
      </c>
      <c r="B232" s="54" t="s">
        <v>380</v>
      </c>
      <c r="C232" s="54" t="s">
        <v>2734</v>
      </c>
      <c r="D232" s="54">
        <v>38960</v>
      </c>
      <c r="E232" s="54" t="s">
        <v>139</v>
      </c>
      <c r="F232" s="33" t="s">
        <v>101</v>
      </c>
      <c r="J232" s="52"/>
      <c r="K232">
        <v>642991596</v>
      </c>
    </row>
    <row r="233" spans="1:12" hidden="1" x14ac:dyDescent="0.25">
      <c r="A233" s="54" t="s">
        <v>2010</v>
      </c>
      <c r="B233" s="54" t="s">
        <v>215</v>
      </c>
      <c r="C233" s="54" t="s">
        <v>2733</v>
      </c>
      <c r="D233" s="54">
        <v>38850</v>
      </c>
      <c r="E233" s="54" t="s">
        <v>438</v>
      </c>
      <c r="F233" s="33" t="s">
        <v>101</v>
      </c>
      <c r="J233" s="52"/>
      <c r="K233">
        <v>623397692</v>
      </c>
      <c r="L233" s="35" t="s">
        <v>2009</v>
      </c>
    </row>
    <row r="234" spans="1:12" x14ac:dyDescent="0.25">
      <c r="A234" s="54" t="s">
        <v>2004</v>
      </c>
      <c r="B234" s="54" t="s">
        <v>2003</v>
      </c>
      <c r="C234" s="54" t="s">
        <v>2732</v>
      </c>
      <c r="D234" s="54">
        <v>38960</v>
      </c>
      <c r="E234" s="54" t="s">
        <v>139</v>
      </c>
      <c r="F234" s="33" t="s">
        <v>112</v>
      </c>
      <c r="I234" t="s">
        <v>2591</v>
      </c>
      <c r="J234" s="52"/>
      <c r="K234">
        <v>684131228</v>
      </c>
      <c r="L234" s="35" t="s">
        <v>2001</v>
      </c>
    </row>
    <row r="235" spans="1:12" hidden="1" x14ac:dyDescent="0.25">
      <c r="A235" s="54" t="s">
        <v>1992</v>
      </c>
      <c r="B235" s="54" t="s">
        <v>1293</v>
      </c>
      <c r="C235" s="54" t="s">
        <v>2731</v>
      </c>
      <c r="D235" s="54">
        <v>38340</v>
      </c>
      <c r="E235" s="54" t="s">
        <v>108</v>
      </c>
      <c r="F235" s="33" t="s">
        <v>101</v>
      </c>
      <c r="J235" s="52"/>
      <c r="K235">
        <v>760491088</v>
      </c>
      <c r="L235" s="35" t="s">
        <v>1990</v>
      </c>
    </row>
    <row r="236" spans="1:12" x14ac:dyDescent="0.25">
      <c r="A236" s="54" t="s">
        <v>1985</v>
      </c>
      <c r="B236" s="54" t="s">
        <v>1984</v>
      </c>
      <c r="C236" s="54" t="s">
        <v>2730</v>
      </c>
      <c r="D236" s="54">
        <v>38500</v>
      </c>
      <c r="E236" s="54" t="s">
        <v>727</v>
      </c>
      <c r="F236" s="33" t="s">
        <v>112</v>
      </c>
      <c r="I236" t="s">
        <v>2591</v>
      </c>
      <c r="J236" s="52"/>
      <c r="K236">
        <v>682118100</v>
      </c>
      <c r="L236" s="35" t="s">
        <v>1982</v>
      </c>
    </row>
    <row r="237" spans="1:12" x14ac:dyDescent="0.25">
      <c r="A237" s="54" t="s">
        <v>1979</v>
      </c>
      <c r="B237" s="54" t="s">
        <v>1978</v>
      </c>
      <c r="C237" s="54" t="s">
        <v>2729</v>
      </c>
      <c r="D237" s="54">
        <v>38620</v>
      </c>
      <c r="E237" s="54" t="s">
        <v>534</v>
      </c>
      <c r="F237" s="33" t="s">
        <v>112</v>
      </c>
      <c r="I237" t="s">
        <v>2591</v>
      </c>
      <c r="J237" s="52"/>
      <c r="K237">
        <v>607100015</v>
      </c>
      <c r="L237" s="35" t="s">
        <v>1976</v>
      </c>
    </row>
    <row r="238" spans="1:12" hidden="1" x14ac:dyDescent="0.25">
      <c r="A238" s="54" t="s">
        <v>1973</v>
      </c>
      <c r="B238" s="54" t="s">
        <v>1972</v>
      </c>
      <c r="C238" s="54" t="s">
        <v>2728</v>
      </c>
      <c r="D238" s="54">
        <v>38850</v>
      </c>
      <c r="E238" s="54" t="s">
        <v>438</v>
      </c>
      <c r="F238" s="33" t="s">
        <v>101</v>
      </c>
      <c r="J238" s="52"/>
      <c r="K238">
        <v>476556404</v>
      </c>
      <c r="L238" s="35" t="s">
        <v>1970</v>
      </c>
    </row>
    <row r="239" spans="1:12" x14ac:dyDescent="0.25">
      <c r="A239" s="54" t="s">
        <v>1962</v>
      </c>
      <c r="B239" s="54" t="s">
        <v>1961</v>
      </c>
      <c r="C239" s="54" t="s">
        <v>2727</v>
      </c>
      <c r="D239" s="54">
        <v>38340</v>
      </c>
      <c r="E239" s="54" t="s">
        <v>108</v>
      </c>
      <c r="F239" s="33" t="s">
        <v>112</v>
      </c>
      <c r="I239" t="s">
        <v>2591</v>
      </c>
      <c r="J239" s="52"/>
      <c r="K239">
        <v>476502484</v>
      </c>
      <c r="L239" s="35" t="s">
        <v>1959</v>
      </c>
    </row>
    <row r="240" spans="1:12" hidden="1" x14ac:dyDescent="0.25">
      <c r="A240" s="54" t="s">
        <v>1955</v>
      </c>
      <c r="B240" s="54" t="s">
        <v>1118</v>
      </c>
      <c r="C240" s="54" t="s">
        <v>2726</v>
      </c>
      <c r="D240" s="54">
        <v>38140</v>
      </c>
      <c r="E240" s="54" t="s">
        <v>321</v>
      </c>
      <c r="F240" s="33" t="s">
        <v>101</v>
      </c>
      <c r="J240" s="52"/>
      <c r="K240">
        <v>676259225</v>
      </c>
      <c r="L240" s="35" t="s">
        <v>1953</v>
      </c>
    </row>
    <row r="241" spans="1:12" x14ac:dyDescent="0.25">
      <c r="A241" s="54" t="s">
        <v>1262</v>
      </c>
      <c r="B241" s="54" t="s">
        <v>1950</v>
      </c>
      <c r="C241" s="54" t="s">
        <v>2725</v>
      </c>
      <c r="D241" s="54">
        <v>38620</v>
      </c>
      <c r="E241" s="54" t="s">
        <v>607</v>
      </c>
      <c r="F241" s="33" t="s">
        <v>112</v>
      </c>
      <c r="I241" t="s">
        <v>2591</v>
      </c>
      <c r="J241" s="52"/>
      <c r="K241">
        <v>476075425</v>
      </c>
    </row>
    <row r="242" spans="1:12" x14ac:dyDescent="0.25">
      <c r="A242" s="54" t="s">
        <v>1946</v>
      </c>
      <c r="B242" s="54" t="s">
        <v>477</v>
      </c>
      <c r="C242" s="54" t="s">
        <v>2724</v>
      </c>
      <c r="D242" s="54">
        <v>38340</v>
      </c>
      <c r="E242" s="54" t="s">
        <v>108</v>
      </c>
      <c r="F242" s="33" t="s">
        <v>112</v>
      </c>
      <c r="I242" t="s">
        <v>2591</v>
      </c>
      <c r="J242" s="52"/>
      <c r="K242">
        <v>651867386</v>
      </c>
      <c r="L242" s="35" t="s">
        <v>1944</v>
      </c>
    </row>
    <row r="243" spans="1:12" x14ac:dyDescent="0.25">
      <c r="A243" s="54" t="s">
        <v>1942</v>
      </c>
      <c r="B243" s="54" t="s">
        <v>208</v>
      </c>
      <c r="C243" s="54" t="s">
        <v>2723</v>
      </c>
      <c r="D243" s="54">
        <v>38430</v>
      </c>
      <c r="E243" s="54" t="s">
        <v>217</v>
      </c>
      <c r="F243" s="33" t="s">
        <v>112</v>
      </c>
      <c r="I243" t="s">
        <v>2591</v>
      </c>
      <c r="J243" s="52"/>
      <c r="K243">
        <v>614401279</v>
      </c>
      <c r="L243" s="35" t="s">
        <v>1940</v>
      </c>
    </row>
    <row r="244" spans="1:12" x14ac:dyDescent="0.25">
      <c r="A244" s="54" t="s">
        <v>1937</v>
      </c>
      <c r="B244" s="54" t="s">
        <v>1936</v>
      </c>
      <c r="C244" s="54" t="s">
        <v>2722</v>
      </c>
      <c r="D244" s="54">
        <v>38340</v>
      </c>
      <c r="E244" s="54" t="s">
        <v>108</v>
      </c>
      <c r="F244" s="33" t="s">
        <v>112</v>
      </c>
      <c r="I244" t="s">
        <v>2591</v>
      </c>
      <c r="J244" s="52"/>
      <c r="K244">
        <v>603444901</v>
      </c>
      <c r="L244" s="35" t="s">
        <v>1934</v>
      </c>
    </row>
    <row r="245" spans="1:12" hidden="1" x14ac:dyDescent="0.25">
      <c r="A245" s="54" t="s">
        <v>1929</v>
      </c>
      <c r="B245" s="54" t="s">
        <v>1084</v>
      </c>
      <c r="C245" s="54" t="s">
        <v>2721</v>
      </c>
      <c r="D245" s="54">
        <v>38850</v>
      </c>
      <c r="E245" s="54" t="s">
        <v>148</v>
      </c>
      <c r="F245" s="33" t="s">
        <v>101</v>
      </c>
      <c r="J245" s="52"/>
      <c r="K245">
        <v>611227732</v>
      </c>
      <c r="L245" s="35" t="s">
        <v>1927</v>
      </c>
    </row>
    <row r="246" spans="1:12" x14ac:dyDescent="0.25">
      <c r="A246" s="54" t="s">
        <v>1924</v>
      </c>
      <c r="B246" s="54" t="s">
        <v>708</v>
      </c>
      <c r="C246" s="54" t="s">
        <v>2720</v>
      </c>
      <c r="D246" s="54">
        <v>38500</v>
      </c>
      <c r="E246" s="54" t="s">
        <v>96</v>
      </c>
      <c r="F246" s="33" t="s">
        <v>112</v>
      </c>
      <c r="I246" t="s">
        <v>2591</v>
      </c>
      <c r="J246" s="52"/>
      <c r="K246">
        <v>476053342</v>
      </c>
      <c r="L246" s="35" t="s">
        <v>1922</v>
      </c>
    </row>
    <row r="247" spans="1:12" hidden="1" x14ac:dyDescent="0.25">
      <c r="A247" s="54" t="s">
        <v>1918</v>
      </c>
      <c r="B247" s="54" t="s">
        <v>591</v>
      </c>
      <c r="C247" s="54" t="s">
        <v>2719</v>
      </c>
      <c r="D247" s="54">
        <v>38730</v>
      </c>
      <c r="E247" s="54" t="s">
        <v>291</v>
      </c>
      <c r="F247" s="33" t="s">
        <v>101</v>
      </c>
      <c r="J247" s="52"/>
      <c r="K247">
        <v>476556324</v>
      </c>
      <c r="L247" s="35" t="s">
        <v>1916</v>
      </c>
    </row>
    <row r="248" spans="1:12" x14ac:dyDescent="0.25">
      <c r="A248" s="54" t="s">
        <v>1913</v>
      </c>
      <c r="B248" s="54" t="s">
        <v>116</v>
      </c>
      <c r="C248" s="54" t="s">
        <v>2718</v>
      </c>
      <c r="D248" s="54">
        <v>38500</v>
      </c>
      <c r="E248" s="54" t="s">
        <v>153</v>
      </c>
      <c r="F248" s="33" t="s">
        <v>112</v>
      </c>
      <c r="I248" t="s">
        <v>2591</v>
      </c>
      <c r="J248" s="52"/>
      <c r="K248">
        <v>476661208</v>
      </c>
      <c r="L248" s="35" t="s">
        <v>1911</v>
      </c>
    </row>
    <row r="249" spans="1:12" hidden="1" x14ac:dyDescent="0.25">
      <c r="A249" s="54" t="s">
        <v>1908</v>
      </c>
      <c r="B249" s="54" t="s">
        <v>1907</v>
      </c>
      <c r="C249" s="54" t="s">
        <v>2717</v>
      </c>
      <c r="D249" s="54">
        <v>38140</v>
      </c>
      <c r="E249" s="54" t="s">
        <v>450</v>
      </c>
      <c r="F249" s="33" t="s">
        <v>101</v>
      </c>
      <c r="J249" s="52"/>
      <c r="K249">
        <v>476064870</v>
      </c>
      <c r="L249" s="35" t="s">
        <v>1905</v>
      </c>
    </row>
    <row r="250" spans="1:12" x14ac:dyDescent="0.25">
      <c r="A250" s="54" t="s">
        <v>1900</v>
      </c>
      <c r="B250" s="54" t="s">
        <v>1899</v>
      </c>
      <c r="C250" s="54" t="s">
        <v>2716</v>
      </c>
      <c r="D250" s="54">
        <v>38140</v>
      </c>
      <c r="E250" s="54" t="s">
        <v>321</v>
      </c>
      <c r="F250" s="33" t="s">
        <v>112</v>
      </c>
      <c r="I250" t="s">
        <v>2591</v>
      </c>
      <c r="J250" s="52"/>
      <c r="K250">
        <v>608902372</v>
      </c>
      <c r="L250" s="35" t="s">
        <v>1897</v>
      </c>
    </row>
    <row r="251" spans="1:12" hidden="1" x14ac:dyDescent="0.25">
      <c r="A251" s="54" t="s">
        <v>1008</v>
      </c>
      <c r="B251" s="54" t="s">
        <v>949</v>
      </c>
      <c r="C251" s="54" t="s">
        <v>2715</v>
      </c>
      <c r="D251" s="54">
        <v>38140</v>
      </c>
      <c r="E251" s="54" t="s">
        <v>237</v>
      </c>
      <c r="F251" s="33" t="s">
        <v>101</v>
      </c>
      <c r="J251" s="52"/>
      <c r="K251">
        <v>681011678</v>
      </c>
      <c r="L251" s="35" t="s">
        <v>1892</v>
      </c>
    </row>
    <row r="252" spans="1:12" hidden="1" x14ac:dyDescent="0.25">
      <c r="A252" s="54" t="s">
        <v>1889</v>
      </c>
      <c r="B252" s="54" t="s">
        <v>208</v>
      </c>
      <c r="C252" s="54" t="s">
        <v>2714</v>
      </c>
      <c r="D252" s="54">
        <v>38210</v>
      </c>
      <c r="E252" s="54" t="s">
        <v>195</v>
      </c>
      <c r="F252" s="33" t="s">
        <v>101</v>
      </c>
      <c r="J252" s="52"/>
      <c r="K252">
        <v>476070401</v>
      </c>
      <c r="L252" s="35" t="s">
        <v>1887</v>
      </c>
    </row>
    <row r="253" spans="1:12" hidden="1" x14ac:dyDescent="0.25">
      <c r="A253" s="54" t="s">
        <v>1878</v>
      </c>
      <c r="B253" s="54" t="s">
        <v>1877</v>
      </c>
      <c r="C253" s="54" t="s">
        <v>2713</v>
      </c>
      <c r="D253" s="54">
        <v>38500</v>
      </c>
      <c r="E253" s="54" t="s">
        <v>96</v>
      </c>
      <c r="F253" s="33" t="s">
        <v>101</v>
      </c>
      <c r="J253" s="52"/>
      <c r="K253">
        <v>625656779</v>
      </c>
      <c r="L253" s="35" t="s">
        <v>1875</v>
      </c>
    </row>
    <row r="254" spans="1:12" x14ac:dyDescent="0.25">
      <c r="A254" s="54" t="s">
        <v>1872</v>
      </c>
      <c r="B254" s="54" t="s">
        <v>1871</v>
      </c>
      <c r="C254" s="54" t="s">
        <v>2712</v>
      </c>
      <c r="D254" s="54">
        <v>38260</v>
      </c>
      <c r="E254" s="54" t="s">
        <v>1870</v>
      </c>
      <c r="F254" s="33" t="s">
        <v>112</v>
      </c>
      <c r="I254" t="s">
        <v>2591</v>
      </c>
      <c r="J254" s="52"/>
      <c r="K254">
        <v>672262425</v>
      </c>
      <c r="L254" s="35" t="s">
        <v>1869</v>
      </c>
    </row>
    <row r="255" spans="1:12" x14ac:dyDescent="0.25">
      <c r="A255" s="54" t="s">
        <v>1862</v>
      </c>
      <c r="B255" s="54" t="s">
        <v>116</v>
      </c>
      <c r="C255" s="54" t="s">
        <v>2711</v>
      </c>
      <c r="D255" s="54">
        <v>38380</v>
      </c>
      <c r="E255" s="54" t="s">
        <v>203</v>
      </c>
      <c r="F255" s="33" t="s">
        <v>112</v>
      </c>
      <c r="I255" t="s">
        <v>2591</v>
      </c>
      <c r="J255" s="52"/>
      <c r="K255">
        <v>608848462</v>
      </c>
      <c r="L255" s="35" t="s">
        <v>1860</v>
      </c>
    </row>
    <row r="256" spans="1:12" x14ac:dyDescent="0.25">
      <c r="A256" s="54" t="s">
        <v>1854</v>
      </c>
      <c r="B256" s="54" t="s">
        <v>1853</v>
      </c>
      <c r="C256" s="54" t="s">
        <v>2710</v>
      </c>
      <c r="D256" s="54">
        <v>38210</v>
      </c>
      <c r="E256" s="54" t="s">
        <v>195</v>
      </c>
      <c r="F256" s="33" t="s">
        <v>112</v>
      </c>
      <c r="I256" t="s">
        <v>2591</v>
      </c>
      <c r="J256" s="52"/>
      <c r="K256">
        <v>601645701</v>
      </c>
      <c r="L256" s="35" t="s">
        <v>1851</v>
      </c>
    </row>
    <row r="257" spans="1:12" hidden="1" x14ac:dyDescent="0.25">
      <c r="A257" s="54" t="s">
        <v>310</v>
      </c>
      <c r="B257" s="54" t="s">
        <v>1842</v>
      </c>
      <c r="C257" s="54" t="s">
        <v>2709</v>
      </c>
      <c r="D257" s="54">
        <v>38430</v>
      </c>
      <c r="E257" s="54" t="s">
        <v>217</v>
      </c>
      <c r="F257" s="33" t="s">
        <v>101</v>
      </c>
      <c r="J257" s="52"/>
      <c r="K257">
        <v>476079568</v>
      </c>
      <c r="L257" s="35" t="s">
        <v>9</v>
      </c>
    </row>
    <row r="258" spans="1:12" x14ac:dyDescent="0.25">
      <c r="A258" s="54" t="s">
        <v>1836</v>
      </c>
      <c r="B258" s="54" t="s">
        <v>1835</v>
      </c>
      <c r="C258" s="54" t="s">
        <v>2708</v>
      </c>
      <c r="D258" s="54">
        <v>38500</v>
      </c>
      <c r="E258" s="54" t="s">
        <v>118</v>
      </c>
      <c r="F258" s="33" t="s">
        <v>112</v>
      </c>
      <c r="I258" t="s">
        <v>2591</v>
      </c>
      <c r="J258" s="52"/>
      <c r="K258">
        <v>633958735</v>
      </c>
      <c r="L258" s="35" t="s">
        <v>1833</v>
      </c>
    </row>
    <row r="259" spans="1:12" hidden="1" x14ac:dyDescent="0.25">
      <c r="A259" s="54" t="s">
        <v>1830</v>
      </c>
      <c r="B259" s="54" t="s">
        <v>1829</v>
      </c>
      <c r="C259" s="54" t="s">
        <v>2707</v>
      </c>
      <c r="D259" s="54">
        <v>38430</v>
      </c>
      <c r="E259" s="54" t="s">
        <v>217</v>
      </c>
      <c r="F259" s="33" t="s">
        <v>101</v>
      </c>
      <c r="J259" s="52"/>
      <c r="K259">
        <v>665316080</v>
      </c>
      <c r="L259" s="35" t="s">
        <v>1827</v>
      </c>
    </row>
    <row r="260" spans="1:12" hidden="1" x14ac:dyDescent="0.25">
      <c r="A260" s="54" t="s">
        <v>1787</v>
      </c>
      <c r="B260" s="54" t="s">
        <v>1786</v>
      </c>
      <c r="C260" s="54" t="s">
        <v>2706</v>
      </c>
      <c r="D260" s="54">
        <v>38140</v>
      </c>
      <c r="E260" s="54" t="s">
        <v>937</v>
      </c>
      <c r="F260" s="33" t="s">
        <v>101</v>
      </c>
      <c r="J260" s="52"/>
      <c r="K260">
        <v>476653995</v>
      </c>
      <c r="L260" s="35" t="s">
        <v>1785</v>
      </c>
    </row>
    <row r="261" spans="1:12" x14ac:dyDescent="0.25">
      <c r="A261" s="54" t="s">
        <v>1779</v>
      </c>
      <c r="B261" s="54" t="s">
        <v>348</v>
      </c>
      <c r="C261" s="54" t="s">
        <v>2705</v>
      </c>
      <c r="D261" s="54">
        <v>38730</v>
      </c>
      <c r="E261" s="54" t="s">
        <v>291</v>
      </c>
      <c r="F261" s="33" t="s">
        <v>112</v>
      </c>
      <c r="I261" t="s">
        <v>2591</v>
      </c>
      <c r="J261" s="52"/>
      <c r="K261">
        <v>768600443</v>
      </c>
      <c r="L261" s="35" t="s">
        <v>1778</v>
      </c>
    </row>
    <row r="262" spans="1:12" hidden="1" x14ac:dyDescent="0.25">
      <c r="A262" s="54" t="s">
        <v>1776</v>
      </c>
      <c r="B262" s="54" t="s">
        <v>1775</v>
      </c>
      <c r="C262" s="54" t="s">
        <v>2704</v>
      </c>
      <c r="D262" s="54">
        <v>38500</v>
      </c>
      <c r="E262" s="54" t="s">
        <v>96</v>
      </c>
      <c r="F262" s="33" t="s">
        <v>101</v>
      </c>
      <c r="J262" s="52"/>
      <c r="K262">
        <v>622242201</v>
      </c>
      <c r="L262" s="35" t="s">
        <v>1773</v>
      </c>
    </row>
    <row r="263" spans="1:12" x14ac:dyDescent="0.25">
      <c r="A263" s="54" t="s">
        <v>1769</v>
      </c>
      <c r="B263" s="54" t="s">
        <v>256</v>
      </c>
      <c r="C263" s="54" t="s">
        <v>2703</v>
      </c>
      <c r="D263" s="54">
        <v>38140</v>
      </c>
      <c r="E263" s="54" t="s">
        <v>742</v>
      </c>
      <c r="F263" s="33" t="s">
        <v>112</v>
      </c>
      <c r="I263" t="s">
        <v>2591</v>
      </c>
      <c r="J263" s="52"/>
      <c r="K263">
        <v>672043256</v>
      </c>
      <c r="L263" s="35" t="s">
        <v>1767</v>
      </c>
    </row>
    <row r="264" spans="1:12" x14ac:dyDescent="0.25">
      <c r="A264" s="54" t="s">
        <v>1763</v>
      </c>
      <c r="B264" s="54" t="s">
        <v>1516</v>
      </c>
      <c r="C264" s="54" t="s">
        <v>2702</v>
      </c>
      <c r="D264" s="54">
        <v>38620</v>
      </c>
      <c r="E264" s="54" t="s">
        <v>162</v>
      </c>
      <c r="F264" s="33" t="s">
        <v>112</v>
      </c>
      <c r="I264" t="s">
        <v>2591</v>
      </c>
      <c r="J264" s="52"/>
      <c r="K264">
        <v>476674120</v>
      </c>
      <c r="L264" s="35" t="s">
        <v>1761</v>
      </c>
    </row>
    <row r="265" spans="1:12" x14ac:dyDescent="0.25">
      <c r="A265" s="54" t="s">
        <v>1749</v>
      </c>
      <c r="B265" s="54" t="s">
        <v>1748</v>
      </c>
      <c r="C265" s="54" t="s">
        <v>2701</v>
      </c>
      <c r="D265" s="54">
        <v>38340</v>
      </c>
      <c r="E265" s="54" t="s">
        <v>108</v>
      </c>
      <c r="F265" s="33" t="s">
        <v>112</v>
      </c>
      <c r="I265" t="s">
        <v>2591</v>
      </c>
      <c r="J265" s="52"/>
      <c r="K265">
        <v>476567066</v>
      </c>
      <c r="L265" s="35" t="s">
        <v>1746</v>
      </c>
    </row>
    <row r="266" spans="1:12" x14ac:dyDescent="0.25">
      <c r="A266" s="54" t="s">
        <v>1741</v>
      </c>
      <c r="B266" s="54" t="s">
        <v>1740</v>
      </c>
      <c r="C266" s="54" t="s">
        <v>2700</v>
      </c>
      <c r="D266" s="54">
        <v>38500</v>
      </c>
      <c r="E266" s="54" t="s">
        <v>118</v>
      </c>
      <c r="F266" s="33" t="s">
        <v>112</v>
      </c>
      <c r="I266" t="s">
        <v>2591</v>
      </c>
      <c r="J266" s="52"/>
      <c r="K266">
        <v>689846987</v>
      </c>
      <c r="L266" s="35" t="s">
        <v>1738</v>
      </c>
    </row>
    <row r="267" spans="1:12" hidden="1" x14ac:dyDescent="0.25">
      <c r="A267" s="54" t="s">
        <v>637</v>
      </c>
      <c r="B267" s="54" t="s">
        <v>1726</v>
      </c>
      <c r="C267" s="54" t="s">
        <v>2699</v>
      </c>
      <c r="D267" s="54">
        <v>38620</v>
      </c>
      <c r="E267" s="54" t="s">
        <v>857</v>
      </c>
      <c r="F267" s="33" t="s">
        <v>101</v>
      </c>
      <c r="J267" s="52"/>
      <c r="K267">
        <v>476323091</v>
      </c>
      <c r="L267" s="35" t="s">
        <v>1724</v>
      </c>
    </row>
    <row r="268" spans="1:12" x14ac:dyDescent="0.25">
      <c r="A268" s="54" t="s">
        <v>1721</v>
      </c>
      <c r="B268" s="54" t="s">
        <v>1720</v>
      </c>
      <c r="C268" s="54" t="s">
        <v>2698</v>
      </c>
      <c r="D268" s="54">
        <v>38500</v>
      </c>
      <c r="E268" s="54" t="s">
        <v>96</v>
      </c>
      <c r="F268" s="33" t="s">
        <v>112</v>
      </c>
      <c r="I268" t="s">
        <v>2591</v>
      </c>
      <c r="J268" s="52"/>
      <c r="K268">
        <v>670852759</v>
      </c>
      <c r="L268" s="35" t="s">
        <v>1718</v>
      </c>
    </row>
    <row r="269" spans="1:12" hidden="1" x14ac:dyDescent="0.25">
      <c r="A269" s="54" t="s">
        <v>1713</v>
      </c>
      <c r="B269" s="54" t="s">
        <v>469</v>
      </c>
      <c r="C269" s="54" t="s">
        <v>2697</v>
      </c>
      <c r="D269" s="54">
        <v>38000</v>
      </c>
      <c r="E269" s="54" t="s">
        <v>598</v>
      </c>
      <c r="F269" s="33" t="s">
        <v>101</v>
      </c>
      <c r="J269" s="52"/>
      <c r="K269">
        <v>659610012</v>
      </c>
      <c r="L269" s="35" t="s">
        <v>1711</v>
      </c>
    </row>
    <row r="270" spans="1:12" x14ac:dyDescent="0.25">
      <c r="A270" s="54" t="s">
        <v>1699</v>
      </c>
      <c r="B270" s="54" t="s">
        <v>208</v>
      </c>
      <c r="C270" s="54" t="s">
        <v>2696</v>
      </c>
      <c r="D270" s="54">
        <v>38500</v>
      </c>
      <c r="E270" s="54" t="s">
        <v>96</v>
      </c>
      <c r="F270" s="33" t="s">
        <v>112</v>
      </c>
      <c r="I270" t="s">
        <v>2591</v>
      </c>
      <c r="J270" s="52"/>
      <c r="K270">
        <v>476661777</v>
      </c>
      <c r="L270" s="35" t="s">
        <v>1697</v>
      </c>
    </row>
    <row r="271" spans="1:12" hidden="1" x14ac:dyDescent="0.25">
      <c r="A271" s="54" t="s">
        <v>1691</v>
      </c>
      <c r="B271" s="54" t="s">
        <v>1690</v>
      </c>
      <c r="C271" s="54" t="s">
        <v>2695</v>
      </c>
      <c r="D271" s="54">
        <v>38500</v>
      </c>
      <c r="E271" s="54" t="s">
        <v>96</v>
      </c>
      <c r="F271" s="33" t="s">
        <v>101</v>
      </c>
      <c r="J271" s="52"/>
      <c r="K271">
        <v>68658187</v>
      </c>
      <c r="L271" s="35" t="s">
        <v>1688</v>
      </c>
    </row>
    <row r="272" spans="1:12" x14ac:dyDescent="0.25">
      <c r="A272" s="54" t="s">
        <v>1681</v>
      </c>
      <c r="B272" s="54" t="s">
        <v>545</v>
      </c>
      <c r="C272" s="54" t="s">
        <v>2694</v>
      </c>
      <c r="D272" s="54">
        <v>38850</v>
      </c>
      <c r="E272" s="54" t="s">
        <v>170</v>
      </c>
      <c r="F272" s="33" t="s">
        <v>112</v>
      </c>
      <c r="I272" t="s">
        <v>2591</v>
      </c>
      <c r="J272" s="52"/>
      <c r="K272">
        <v>476324662</v>
      </c>
      <c r="L272" s="35" t="s">
        <v>1679</v>
      </c>
    </row>
    <row r="273" spans="1:12" x14ac:dyDescent="0.25">
      <c r="A273" s="54" t="s">
        <v>1675</v>
      </c>
      <c r="B273" s="54" t="s">
        <v>641</v>
      </c>
      <c r="C273" s="54" t="s">
        <v>2693</v>
      </c>
      <c r="D273" s="54">
        <v>38210</v>
      </c>
      <c r="E273" s="54" t="s">
        <v>195</v>
      </c>
      <c r="F273" s="33" t="s">
        <v>112</v>
      </c>
      <c r="I273" t="s">
        <v>2591</v>
      </c>
      <c r="J273" s="52"/>
      <c r="K273">
        <v>674881307</v>
      </c>
      <c r="L273" s="35" t="s">
        <v>1674</v>
      </c>
    </row>
    <row r="274" spans="1:12" x14ac:dyDescent="0.25">
      <c r="A274" s="54" t="s">
        <v>1669</v>
      </c>
      <c r="B274" s="54" t="s">
        <v>1668</v>
      </c>
      <c r="C274" s="54" t="s">
        <v>2692</v>
      </c>
      <c r="D274" s="54">
        <v>38340</v>
      </c>
      <c r="E274" s="54" t="s">
        <v>108</v>
      </c>
      <c r="F274" s="33" t="s">
        <v>112</v>
      </c>
      <c r="I274" t="s">
        <v>2591</v>
      </c>
      <c r="J274" s="52"/>
      <c r="K274">
        <v>630077277</v>
      </c>
      <c r="L274" s="35" t="s">
        <v>1667</v>
      </c>
    </row>
    <row r="275" spans="1:12" hidden="1" x14ac:dyDescent="0.25">
      <c r="A275" s="54" t="s">
        <v>1664</v>
      </c>
      <c r="B275" s="54" t="s">
        <v>1663</v>
      </c>
      <c r="C275" s="54" t="s">
        <v>2691</v>
      </c>
      <c r="D275" s="54">
        <v>38850</v>
      </c>
      <c r="E275" s="54" t="s">
        <v>242</v>
      </c>
      <c r="F275" s="33" t="s">
        <v>101</v>
      </c>
      <c r="J275" s="52"/>
      <c r="K275">
        <v>476557769</v>
      </c>
      <c r="L275" s="35" t="s">
        <v>1661</v>
      </c>
    </row>
    <row r="276" spans="1:12" x14ac:dyDescent="0.25">
      <c r="A276" s="54" t="s">
        <v>1656</v>
      </c>
      <c r="B276" s="54" t="s">
        <v>1655</v>
      </c>
      <c r="C276" s="54" t="s">
        <v>2690</v>
      </c>
      <c r="D276" s="54">
        <v>38500</v>
      </c>
      <c r="E276" s="54" t="s">
        <v>153</v>
      </c>
      <c r="F276" s="33" t="s">
        <v>112</v>
      </c>
      <c r="I276" t="s">
        <v>2591</v>
      </c>
      <c r="J276" s="52"/>
      <c r="K276">
        <v>670458960</v>
      </c>
      <c r="L276" s="35" t="s">
        <v>1654</v>
      </c>
    </row>
    <row r="277" spans="1:12" x14ac:dyDescent="0.25">
      <c r="A277" s="54" t="s">
        <v>1646</v>
      </c>
      <c r="B277" s="54" t="s">
        <v>1645</v>
      </c>
      <c r="C277" s="54" t="s">
        <v>2689</v>
      </c>
      <c r="D277" s="54">
        <v>38140</v>
      </c>
      <c r="E277" s="54" t="s">
        <v>450</v>
      </c>
      <c r="F277" s="33" t="s">
        <v>112</v>
      </c>
      <c r="I277" t="s">
        <v>2591</v>
      </c>
      <c r="J277" s="52"/>
      <c r="K277">
        <v>660289570</v>
      </c>
      <c r="L277" s="35" t="s">
        <v>1644</v>
      </c>
    </row>
    <row r="278" spans="1:12" x14ac:dyDescent="0.25">
      <c r="A278" s="54" t="s">
        <v>1638</v>
      </c>
      <c r="B278" s="54" t="s">
        <v>129</v>
      </c>
      <c r="C278" s="54" t="s">
        <v>2688</v>
      </c>
      <c r="D278" s="54">
        <v>38430</v>
      </c>
      <c r="E278" s="54" t="s">
        <v>520</v>
      </c>
      <c r="F278" s="33" t="s">
        <v>112</v>
      </c>
      <c r="I278" t="s">
        <v>2591</v>
      </c>
      <c r="J278" s="52"/>
      <c r="K278">
        <v>621833975</v>
      </c>
      <c r="L278" s="35" t="s">
        <v>1636</v>
      </c>
    </row>
    <row r="279" spans="1:12" x14ac:dyDescent="0.25">
      <c r="A279" s="54" t="s">
        <v>1633</v>
      </c>
      <c r="B279" s="54" t="s">
        <v>1632</v>
      </c>
      <c r="C279" s="54" t="s">
        <v>2687</v>
      </c>
      <c r="D279" s="54">
        <v>38500</v>
      </c>
      <c r="E279" s="54" t="s">
        <v>118</v>
      </c>
      <c r="F279" s="33" t="s">
        <v>112</v>
      </c>
      <c r="I279" t="s">
        <v>2591</v>
      </c>
      <c r="J279" s="52"/>
      <c r="K279">
        <v>688568316</v>
      </c>
      <c r="L279" s="35" t="s">
        <v>1630</v>
      </c>
    </row>
    <row r="280" spans="1:12" hidden="1" x14ac:dyDescent="0.25">
      <c r="A280" s="54" t="s">
        <v>1624</v>
      </c>
      <c r="B280" s="54" t="s">
        <v>177</v>
      </c>
      <c r="C280" s="54" t="s">
        <v>2686</v>
      </c>
      <c r="D280" s="54">
        <v>38500</v>
      </c>
      <c r="E280" s="54" t="s">
        <v>96</v>
      </c>
      <c r="F280" s="33" t="s">
        <v>101</v>
      </c>
      <c r="J280" s="52"/>
      <c r="K280">
        <v>476660384</v>
      </c>
      <c r="L280" s="35" t="s">
        <v>1622</v>
      </c>
    </row>
    <row r="281" spans="1:12" x14ac:dyDescent="0.25">
      <c r="A281" s="54" t="s">
        <v>1614</v>
      </c>
      <c r="B281" s="54" t="s">
        <v>939</v>
      </c>
      <c r="C281" s="54" t="s">
        <v>2685</v>
      </c>
      <c r="D281" s="54">
        <v>38140</v>
      </c>
      <c r="E281" s="54" t="s">
        <v>237</v>
      </c>
      <c r="F281" s="33" t="s">
        <v>112</v>
      </c>
      <c r="I281" t="s">
        <v>2591</v>
      </c>
      <c r="J281" s="52"/>
      <c r="K281">
        <v>476914817</v>
      </c>
      <c r="L281" s="35" t="s">
        <v>1612</v>
      </c>
    </row>
    <row r="282" spans="1:12" hidden="1" x14ac:dyDescent="0.25">
      <c r="A282" s="54" t="s">
        <v>1607</v>
      </c>
      <c r="B282" s="54" t="s">
        <v>1606</v>
      </c>
      <c r="C282" s="54" t="s">
        <v>2684</v>
      </c>
      <c r="D282" s="54">
        <v>38620</v>
      </c>
      <c r="E282" s="54" t="s">
        <v>732</v>
      </c>
      <c r="F282" s="33" t="s">
        <v>101</v>
      </c>
      <c r="J282" s="52"/>
      <c r="K282">
        <v>677602985</v>
      </c>
      <c r="L282" s="35" t="s">
        <v>1604</v>
      </c>
    </row>
    <row r="283" spans="1:12" x14ac:dyDescent="0.25">
      <c r="A283" s="54" t="s">
        <v>1594</v>
      </c>
      <c r="B283" s="54" t="s">
        <v>1593</v>
      </c>
      <c r="C283" s="54" t="s">
        <v>2683</v>
      </c>
      <c r="D283" s="54">
        <v>38620</v>
      </c>
      <c r="E283" s="54" t="s">
        <v>857</v>
      </c>
      <c r="F283" s="33" t="s">
        <v>112</v>
      </c>
      <c r="I283" t="s">
        <v>2591</v>
      </c>
      <c r="J283" s="52"/>
      <c r="K283">
        <v>665677820</v>
      </c>
    </row>
    <row r="284" spans="1:12" x14ac:dyDescent="0.25">
      <c r="A284" s="54" t="s">
        <v>1589</v>
      </c>
      <c r="B284" s="54" t="s">
        <v>1588</v>
      </c>
      <c r="C284" s="54" t="s">
        <v>2682</v>
      </c>
      <c r="D284" s="54">
        <v>38850</v>
      </c>
      <c r="E284" s="54" t="s">
        <v>242</v>
      </c>
      <c r="F284" s="33" t="s">
        <v>112</v>
      </c>
      <c r="I284" t="s">
        <v>2591</v>
      </c>
      <c r="J284" s="52"/>
      <c r="K284">
        <v>476066772</v>
      </c>
      <c r="L284" s="35" t="s">
        <v>1586</v>
      </c>
    </row>
    <row r="285" spans="1:12" x14ac:dyDescent="0.25">
      <c r="A285" s="54" t="s">
        <v>1583</v>
      </c>
      <c r="B285" s="54" t="s">
        <v>1582</v>
      </c>
      <c r="C285" s="54" t="s">
        <v>2681</v>
      </c>
      <c r="D285" s="54">
        <v>38140</v>
      </c>
      <c r="E285" s="54" t="s">
        <v>363</v>
      </c>
      <c r="F285" s="33" t="s">
        <v>112</v>
      </c>
      <c r="I285" t="s">
        <v>2591</v>
      </c>
      <c r="J285" s="52"/>
      <c r="K285">
        <v>785610787</v>
      </c>
      <c r="L285" s="35" t="s">
        <v>1581</v>
      </c>
    </row>
    <row r="286" spans="1:12" x14ac:dyDescent="0.25">
      <c r="A286" s="54" t="s">
        <v>1578</v>
      </c>
      <c r="B286" s="54" t="s">
        <v>208</v>
      </c>
      <c r="C286" s="54" t="s">
        <v>2680</v>
      </c>
      <c r="D286" s="54">
        <v>38340</v>
      </c>
      <c r="E286" s="54" t="s">
        <v>108</v>
      </c>
      <c r="F286" s="33" t="s">
        <v>112</v>
      </c>
      <c r="I286" t="s">
        <v>2591</v>
      </c>
      <c r="J286" s="52"/>
      <c r="K286">
        <v>476502181</v>
      </c>
      <c r="L286" s="35" t="s">
        <v>1577</v>
      </c>
    </row>
    <row r="287" spans="1:12" x14ac:dyDescent="0.25">
      <c r="A287" s="54" t="s">
        <v>1575</v>
      </c>
      <c r="B287" s="54" t="s">
        <v>1574</v>
      </c>
      <c r="C287" s="54" t="s">
        <v>2679</v>
      </c>
      <c r="D287" s="54">
        <v>38620</v>
      </c>
      <c r="E287" s="54" t="s">
        <v>607</v>
      </c>
      <c r="F287" s="33" t="s">
        <v>112</v>
      </c>
      <c r="I287" t="s">
        <v>2591</v>
      </c>
      <c r="J287" s="52"/>
      <c r="K287" t="s">
        <v>9</v>
      </c>
      <c r="L287" s="35" t="s">
        <v>1572</v>
      </c>
    </row>
    <row r="288" spans="1:12" x14ac:dyDescent="0.25">
      <c r="A288" s="54" t="s">
        <v>1566</v>
      </c>
      <c r="B288" s="54" t="s">
        <v>92</v>
      </c>
      <c r="C288" s="54" t="s">
        <v>2678</v>
      </c>
      <c r="D288" s="54">
        <v>38960</v>
      </c>
      <c r="E288" s="54" t="s">
        <v>139</v>
      </c>
      <c r="F288" s="33" t="s">
        <v>112</v>
      </c>
      <c r="I288" t="s">
        <v>2591</v>
      </c>
      <c r="J288" s="52"/>
      <c r="K288">
        <v>642720119</v>
      </c>
      <c r="L288" s="35" t="s">
        <v>1564</v>
      </c>
    </row>
    <row r="289" spans="1:12" hidden="1" x14ac:dyDescent="0.25">
      <c r="A289" s="54" t="s">
        <v>1561</v>
      </c>
      <c r="B289" s="54" t="s">
        <v>394</v>
      </c>
      <c r="C289" s="54" t="s">
        <v>2677</v>
      </c>
      <c r="D289" s="54">
        <v>38730</v>
      </c>
      <c r="E289" s="54" t="s">
        <v>1058</v>
      </c>
      <c r="F289" s="33" t="s">
        <v>101</v>
      </c>
      <c r="J289" s="52"/>
      <c r="K289">
        <v>626902864</v>
      </c>
      <c r="L289" s="35" t="s">
        <v>1559</v>
      </c>
    </row>
    <row r="290" spans="1:12" hidden="1" x14ac:dyDescent="0.25">
      <c r="A290" s="54" t="s">
        <v>1557</v>
      </c>
      <c r="B290" s="54" t="s">
        <v>578</v>
      </c>
      <c r="C290" s="54" t="s">
        <v>2676</v>
      </c>
      <c r="D290" s="54">
        <v>38960</v>
      </c>
      <c r="E290" s="54" t="s">
        <v>139</v>
      </c>
      <c r="F290" s="33" t="s">
        <v>101</v>
      </c>
      <c r="J290" s="52"/>
      <c r="K290">
        <v>951589866</v>
      </c>
      <c r="L290" s="35" t="s">
        <v>1555</v>
      </c>
    </row>
    <row r="291" spans="1:12" hidden="1" x14ac:dyDescent="0.25">
      <c r="A291" s="54" t="s">
        <v>1553</v>
      </c>
      <c r="B291" s="54" t="s">
        <v>796</v>
      </c>
      <c r="C291" s="54" t="s">
        <v>2675</v>
      </c>
      <c r="D291" s="54">
        <v>38500</v>
      </c>
      <c r="E291" s="54" t="s">
        <v>153</v>
      </c>
      <c r="F291" s="33" t="s">
        <v>101</v>
      </c>
      <c r="J291" s="52"/>
      <c r="K291">
        <v>642800317</v>
      </c>
      <c r="L291" s="35" t="s">
        <v>1551</v>
      </c>
    </row>
    <row r="292" spans="1:12" hidden="1" x14ac:dyDescent="0.25">
      <c r="A292" s="54" t="s">
        <v>1548</v>
      </c>
      <c r="B292" s="54" t="s">
        <v>357</v>
      </c>
      <c r="C292" s="54" t="s">
        <v>2674</v>
      </c>
      <c r="D292" s="54">
        <v>38210</v>
      </c>
      <c r="E292" s="54" t="s">
        <v>195</v>
      </c>
      <c r="F292" s="33" t="s">
        <v>101</v>
      </c>
      <c r="J292" s="52"/>
      <c r="K292">
        <v>476070900</v>
      </c>
      <c r="L292" s="35" t="s">
        <v>1546</v>
      </c>
    </row>
    <row r="293" spans="1:12" hidden="1" x14ac:dyDescent="0.25">
      <c r="A293" s="54" t="s">
        <v>1541</v>
      </c>
      <c r="B293" s="54" t="s">
        <v>1540</v>
      </c>
      <c r="C293" s="54" t="s">
        <v>2673</v>
      </c>
      <c r="D293" s="54">
        <v>38620</v>
      </c>
      <c r="E293" s="54" t="s">
        <v>732</v>
      </c>
      <c r="F293" s="33" t="s">
        <v>101</v>
      </c>
      <c r="J293" s="52"/>
      <c r="K293">
        <v>687744445</v>
      </c>
      <c r="L293" s="35" t="s">
        <v>1538</v>
      </c>
    </row>
    <row r="294" spans="1:12" hidden="1" x14ac:dyDescent="0.25">
      <c r="A294" s="54" t="s">
        <v>1533</v>
      </c>
      <c r="B294" s="54" t="s">
        <v>448</v>
      </c>
      <c r="C294" s="54" t="s">
        <v>2672</v>
      </c>
      <c r="D294" s="54">
        <v>38340</v>
      </c>
      <c r="E294" s="54" t="s">
        <v>108</v>
      </c>
      <c r="F294" s="33" t="s">
        <v>101</v>
      </c>
      <c r="J294" s="52"/>
      <c r="K294">
        <v>672801223</v>
      </c>
      <c r="L294" s="35" t="s">
        <v>1532</v>
      </c>
    </row>
    <row r="295" spans="1:12" x14ac:dyDescent="0.25">
      <c r="A295" s="54" t="s">
        <v>1529</v>
      </c>
      <c r="B295" s="54" t="s">
        <v>1528</v>
      </c>
      <c r="C295" s="54" t="s">
        <v>2671</v>
      </c>
      <c r="D295" s="54">
        <v>38430</v>
      </c>
      <c r="E295" s="54" t="s">
        <v>217</v>
      </c>
      <c r="F295" s="33" t="s">
        <v>112</v>
      </c>
      <c r="I295" t="s">
        <v>2591</v>
      </c>
      <c r="J295" s="52"/>
      <c r="K295">
        <v>687594016</v>
      </c>
      <c r="L295" s="35" t="s">
        <v>1526</v>
      </c>
    </row>
    <row r="296" spans="1:12" x14ac:dyDescent="0.25">
      <c r="A296" s="54" t="s">
        <v>1522</v>
      </c>
      <c r="B296" s="54" t="s">
        <v>410</v>
      </c>
      <c r="C296" s="54" t="s">
        <v>2670</v>
      </c>
      <c r="D296" s="54">
        <v>38140</v>
      </c>
      <c r="E296" s="54" t="s">
        <v>363</v>
      </c>
      <c r="F296" s="33" t="s">
        <v>112</v>
      </c>
      <c r="I296" t="s">
        <v>2591</v>
      </c>
      <c r="J296" s="52"/>
      <c r="K296">
        <v>664574431</v>
      </c>
      <c r="L296" s="35" t="s">
        <v>1520</v>
      </c>
    </row>
    <row r="297" spans="1:12" x14ac:dyDescent="0.25">
      <c r="A297" s="54" t="s">
        <v>1517</v>
      </c>
      <c r="B297" s="54" t="s">
        <v>1516</v>
      </c>
      <c r="C297" s="54" t="s">
        <v>2669</v>
      </c>
      <c r="D297" s="54">
        <v>38500</v>
      </c>
      <c r="E297" s="54" t="s">
        <v>118</v>
      </c>
      <c r="F297" s="33" t="s">
        <v>112</v>
      </c>
      <c r="I297" t="s">
        <v>2591</v>
      </c>
      <c r="J297" s="52"/>
      <c r="K297">
        <v>476056605</v>
      </c>
      <c r="L297" s="35" t="s">
        <v>1514</v>
      </c>
    </row>
    <row r="298" spans="1:12" hidden="1" x14ac:dyDescent="0.25">
      <c r="A298" s="54" t="s">
        <v>1508</v>
      </c>
      <c r="B298" s="54" t="s">
        <v>1507</v>
      </c>
      <c r="C298" s="54" t="s">
        <v>2668</v>
      </c>
      <c r="D298" s="54">
        <v>38340</v>
      </c>
      <c r="E298" s="54" t="s">
        <v>108</v>
      </c>
      <c r="F298" s="33" t="s">
        <v>101</v>
      </c>
      <c r="J298" s="52"/>
      <c r="K298">
        <v>476502974</v>
      </c>
    </row>
    <row r="299" spans="1:12" x14ac:dyDescent="0.25">
      <c r="A299" s="54" t="s">
        <v>1502</v>
      </c>
      <c r="B299" s="54" t="s">
        <v>1501</v>
      </c>
      <c r="C299" s="54" t="s">
        <v>2667</v>
      </c>
      <c r="D299" s="54">
        <v>38960</v>
      </c>
      <c r="E299" s="54" t="s">
        <v>139</v>
      </c>
      <c r="F299" s="33" t="s">
        <v>112</v>
      </c>
      <c r="I299" t="s">
        <v>2591</v>
      </c>
      <c r="J299" s="52"/>
      <c r="K299">
        <v>685636933</v>
      </c>
      <c r="L299" s="35" t="s">
        <v>1499</v>
      </c>
    </row>
    <row r="300" spans="1:12" x14ac:dyDescent="0.25">
      <c r="A300" s="54" t="s">
        <v>1497</v>
      </c>
      <c r="B300" s="54" t="s">
        <v>410</v>
      </c>
      <c r="C300" s="54" t="s">
        <v>2666</v>
      </c>
      <c r="D300" s="54">
        <v>38500</v>
      </c>
      <c r="E300" s="54" t="s">
        <v>153</v>
      </c>
      <c r="F300" s="33" t="s">
        <v>112</v>
      </c>
      <c r="I300" t="s">
        <v>2591</v>
      </c>
      <c r="J300" s="52"/>
      <c r="K300">
        <v>662832672</v>
      </c>
      <c r="L300" s="35" t="s">
        <v>1495</v>
      </c>
    </row>
    <row r="301" spans="1:12" x14ac:dyDescent="0.25">
      <c r="A301" s="54" t="s">
        <v>1492</v>
      </c>
      <c r="B301" s="54" t="s">
        <v>1491</v>
      </c>
      <c r="C301" s="54" t="s">
        <v>2665</v>
      </c>
      <c r="D301" s="54">
        <v>38500</v>
      </c>
      <c r="E301" s="54" t="s">
        <v>118</v>
      </c>
      <c r="F301" s="33" t="s">
        <v>112</v>
      </c>
      <c r="I301" t="s">
        <v>2591</v>
      </c>
      <c r="J301" s="52"/>
      <c r="K301">
        <v>632329669</v>
      </c>
      <c r="L301" s="35" t="s">
        <v>1489</v>
      </c>
    </row>
    <row r="302" spans="1:12" x14ac:dyDescent="0.25">
      <c r="A302" s="54" t="s">
        <v>1487</v>
      </c>
      <c r="B302" s="54" t="s">
        <v>982</v>
      </c>
      <c r="C302" s="54" t="s">
        <v>2664</v>
      </c>
      <c r="D302" s="54">
        <v>38500</v>
      </c>
      <c r="E302" s="54" t="s">
        <v>118</v>
      </c>
      <c r="F302" s="33" t="s">
        <v>112</v>
      </c>
      <c r="I302" t="s">
        <v>2591</v>
      </c>
      <c r="J302" s="52"/>
      <c r="K302">
        <v>476932222</v>
      </c>
      <c r="L302" s="35" t="s">
        <v>1485</v>
      </c>
    </row>
    <row r="303" spans="1:12" x14ac:dyDescent="0.25">
      <c r="A303" s="54" t="s">
        <v>1482</v>
      </c>
      <c r="B303" s="54" t="s">
        <v>249</v>
      </c>
      <c r="C303" s="54" t="s">
        <v>2663</v>
      </c>
      <c r="D303" s="54">
        <v>38140</v>
      </c>
      <c r="E303" s="54" t="s">
        <v>450</v>
      </c>
      <c r="F303" s="33" t="s">
        <v>112</v>
      </c>
      <c r="I303" t="s">
        <v>2591</v>
      </c>
      <c r="J303" s="52"/>
      <c r="K303">
        <v>979362509</v>
      </c>
      <c r="L303" s="35" t="s">
        <v>1480</v>
      </c>
    </row>
    <row r="304" spans="1:12" x14ac:dyDescent="0.25">
      <c r="A304" s="54" t="s">
        <v>1477</v>
      </c>
      <c r="B304" s="54" t="s">
        <v>1476</v>
      </c>
      <c r="C304" s="54" t="s">
        <v>2662</v>
      </c>
      <c r="D304" s="54">
        <v>38140</v>
      </c>
      <c r="E304" s="54" t="s">
        <v>237</v>
      </c>
      <c r="F304" s="33" t="s">
        <v>112</v>
      </c>
      <c r="I304" t="s">
        <v>2591</v>
      </c>
      <c r="J304" s="52"/>
      <c r="K304">
        <v>665418619</v>
      </c>
      <c r="L304" s="35" t="s">
        <v>1474</v>
      </c>
    </row>
    <row r="305" spans="1:12" x14ac:dyDescent="0.25">
      <c r="A305" s="54" t="s">
        <v>1470</v>
      </c>
      <c r="B305" s="54" t="s">
        <v>503</v>
      </c>
      <c r="C305" s="54" t="s">
        <v>2661</v>
      </c>
      <c r="D305" s="54">
        <v>38340</v>
      </c>
      <c r="E305" s="54" t="s">
        <v>2660</v>
      </c>
      <c r="F305" s="33" t="s">
        <v>112</v>
      </c>
      <c r="I305" t="s">
        <v>2591</v>
      </c>
      <c r="J305" s="52"/>
      <c r="K305">
        <v>601648058</v>
      </c>
      <c r="L305" s="35" t="s">
        <v>1468</v>
      </c>
    </row>
    <row r="306" spans="1:12" x14ac:dyDescent="0.25">
      <c r="A306" s="54" t="s">
        <v>1466</v>
      </c>
      <c r="B306" s="54" t="s">
        <v>484</v>
      </c>
      <c r="C306" s="54" t="s">
        <v>2659</v>
      </c>
      <c r="D306" s="54">
        <v>38340</v>
      </c>
      <c r="E306" s="54" t="s">
        <v>108</v>
      </c>
      <c r="F306" s="33" t="s">
        <v>112</v>
      </c>
      <c r="I306" t="s">
        <v>2591</v>
      </c>
      <c r="J306" s="52"/>
      <c r="K306">
        <v>476500676</v>
      </c>
    </row>
    <row r="307" spans="1:12" x14ac:dyDescent="0.25">
      <c r="A307" s="54" t="s">
        <v>1461</v>
      </c>
      <c r="B307" s="54" t="s">
        <v>975</v>
      </c>
      <c r="C307" s="54" t="s">
        <v>2658</v>
      </c>
      <c r="D307" s="54">
        <v>38500</v>
      </c>
      <c r="E307" s="54" t="s">
        <v>727</v>
      </c>
      <c r="F307" s="33" t="s">
        <v>112</v>
      </c>
      <c r="I307" t="s">
        <v>2591</v>
      </c>
      <c r="J307" s="52"/>
      <c r="K307">
        <v>476553011</v>
      </c>
      <c r="L307" s="35" t="s">
        <v>1459</v>
      </c>
    </row>
    <row r="308" spans="1:12" x14ac:dyDescent="0.25">
      <c r="A308" s="54" t="s">
        <v>1457</v>
      </c>
      <c r="B308" s="54" t="s">
        <v>1118</v>
      </c>
      <c r="C308" s="54" t="s">
        <v>2657</v>
      </c>
      <c r="D308" s="54">
        <v>38500</v>
      </c>
      <c r="E308" s="54" t="s">
        <v>153</v>
      </c>
      <c r="F308" s="33" t="s">
        <v>112</v>
      </c>
      <c r="I308" t="s">
        <v>2591</v>
      </c>
      <c r="J308" s="52"/>
      <c r="K308">
        <v>476355345</v>
      </c>
      <c r="L308" s="35" t="s">
        <v>1455</v>
      </c>
    </row>
    <row r="309" spans="1:12" x14ac:dyDescent="0.25">
      <c r="A309" s="54" t="s">
        <v>356</v>
      </c>
      <c r="B309" s="54" t="s">
        <v>289</v>
      </c>
      <c r="C309" s="54" t="s">
        <v>2656</v>
      </c>
      <c r="D309" s="54">
        <v>38430</v>
      </c>
      <c r="E309" s="54" t="s">
        <v>217</v>
      </c>
      <c r="F309" s="33" t="s">
        <v>112</v>
      </c>
      <c r="I309" t="s">
        <v>2591</v>
      </c>
      <c r="J309" s="52"/>
      <c r="K309">
        <v>671276832</v>
      </c>
      <c r="L309" s="35" t="s">
        <v>1449</v>
      </c>
    </row>
    <row r="310" spans="1:12" hidden="1" x14ac:dyDescent="0.25">
      <c r="A310" s="54" t="s">
        <v>1444</v>
      </c>
      <c r="B310" s="54" t="s">
        <v>249</v>
      </c>
      <c r="C310" s="54" t="s">
        <v>2655</v>
      </c>
      <c r="D310" s="54">
        <v>38134</v>
      </c>
      <c r="E310" s="54" t="s">
        <v>429</v>
      </c>
      <c r="F310" s="33" t="s">
        <v>101</v>
      </c>
      <c r="J310" s="52"/>
      <c r="K310">
        <v>628955806</v>
      </c>
      <c r="L310" s="35" t="s">
        <v>1442</v>
      </c>
    </row>
    <row r="311" spans="1:12" hidden="1" x14ac:dyDescent="0.25">
      <c r="A311" s="54" t="s">
        <v>1440</v>
      </c>
      <c r="B311" s="54" t="s">
        <v>591</v>
      </c>
      <c r="C311" s="54" t="s">
        <v>2654</v>
      </c>
      <c r="D311" s="54">
        <v>38340</v>
      </c>
      <c r="E311" s="54" t="s">
        <v>108</v>
      </c>
      <c r="F311" s="33" t="s">
        <v>101</v>
      </c>
      <c r="J311" s="52"/>
      <c r="K311">
        <v>476567427</v>
      </c>
      <c r="L311" s="35" t="s">
        <v>1438</v>
      </c>
    </row>
    <row r="312" spans="1:12" x14ac:dyDescent="0.25">
      <c r="A312" s="54" t="s">
        <v>1429</v>
      </c>
      <c r="B312" s="54" t="s">
        <v>235</v>
      </c>
      <c r="C312" s="54" t="s">
        <v>2653</v>
      </c>
      <c r="D312" s="54">
        <v>38500</v>
      </c>
      <c r="E312" s="54" t="s">
        <v>96</v>
      </c>
      <c r="F312" s="33" t="s">
        <v>112</v>
      </c>
      <c r="I312" t="s">
        <v>2591</v>
      </c>
      <c r="J312" s="52"/>
      <c r="K312">
        <v>476657377</v>
      </c>
      <c r="L312" s="35" t="s">
        <v>1427</v>
      </c>
    </row>
    <row r="313" spans="1:12" hidden="1" x14ac:dyDescent="0.25">
      <c r="A313" s="54" t="s">
        <v>1422</v>
      </c>
      <c r="B313" s="54" t="s">
        <v>1421</v>
      </c>
      <c r="C313" s="54" t="s">
        <v>2652</v>
      </c>
      <c r="D313" s="54">
        <v>38210</v>
      </c>
      <c r="E313" s="54" t="s">
        <v>195</v>
      </c>
      <c r="F313" s="33" t="s">
        <v>101</v>
      </c>
      <c r="J313" s="52"/>
      <c r="K313">
        <v>645829413</v>
      </c>
      <c r="L313" s="35" t="s">
        <v>1419</v>
      </c>
    </row>
    <row r="314" spans="1:12" hidden="1" x14ac:dyDescent="0.25">
      <c r="A314" s="54" t="s">
        <v>1414</v>
      </c>
      <c r="B314" s="54" t="s">
        <v>1413</v>
      </c>
      <c r="C314" s="54" t="s">
        <v>2651</v>
      </c>
      <c r="D314" s="54">
        <v>38630</v>
      </c>
      <c r="E314" s="54" t="s">
        <v>1058</v>
      </c>
      <c r="F314" s="33" t="s">
        <v>101</v>
      </c>
      <c r="J314" s="52"/>
      <c r="K314">
        <v>476062464</v>
      </c>
    </row>
    <row r="315" spans="1:12" hidden="1" x14ac:dyDescent="0.25">
      <c r="A315" s="54" t="s">
        <v>1407</v>
      </c>
      <c r="B315" s="54" t="s">
        <v>578</v>
      </c>
      <c r="C315" s="54" t="s">
        <v>2650</v>
      </c>
      <c r="D315" s="54">
        <v>38620</v>
      </c>
      <c r="E315" s="54" t="s">
        <v>607</v>
      </c>
      <c r="F315" s="33" t="s">
        <v>101</v>
      </c>
      <c r="J315" s="52"/>
      <c r="K315">
        <v>633740411</v>
      </c>
    </row>
    <row r="316" spans="1:12" x14ac:dyDescent="0.25">
      <c r="A316" s="54" t="s">
        <v>1401</v>
      </c>
      <c r="B316" s="54" t="s">
        <v>703</v>
      </c>
      <c r="C316" s="54" t="s">
        <v>2649</v>
      </c>
      <c r="D316" s="54">
        <v>38140</v>
      </c>
      <c r="E316" s="54" t="s">
        <v>363</v>
      </c>
      <c r="F316" s="33" t="s">
        <v>112</v>
      </c>
      <c r="I316" t="s">
        <v>2591</v>
      </c>
      <c r="J316" s="52"/>
      <c r="K316">
        <v>672552541</v>
      </c>
      <c r="L316" s="35" t="s">
        <v>1399</v>
      </c>
    </row>
    <row r="317" spans="1:12" hidden="1" x14ac:dyDescent="0.25">
      <c r="A317" s="54" t="s">
        <v>1396</v>
      </c>
      <c r="B317" s="54" t="s">
        <v>1395</v>
      </c>
      <c r="C317" s="54" t="s">
        <v>2648</v>
      </c>
      <c r="D317" s="54">
        <v>38340</v>
      </c>
      <c r="E317" s="54" t="s">
        <v>108</v>
      </c>
      <c r="F317" s="33" t="s">
        <v>101</v>
      </c>
      <c r="J317" s="52"/>
      <c r="K317">
        <v>643457723</v>
      </c>
      <c r="L317" s="35" t="s">
        <v>1393</v>
      </c>
    </row>
    <row r="318" spans="1:12" x14ac:dyDescent="0.25">
      <c r="A318" s="54" t="s">
        <v>1388</v>
      </c>
      <c r="B318" s="54" t="s">
        <v>591</v>
      </c>
      <c r="C318" s="54" t="s">
        <v>2647</v>
      </c>
      <c r="D318" s="54">
        <v>38620</v>
      </c>
      <c r="E318" s="54" t="s">
        <v>1386</v>
      </c>
      <c r="F318" s="33" t="s">
        <v>112</v>
      </c>
      <c r="I318" t="s">
        <v>2591</v>
      </c>
      <c r="J318" s="52"/>
      <c r="K318">
        <v>634252068</v>
      </c>
      <c r="L318" s="35" t="s">
        <v>1385</v>
      </c>
    </row>
    <row r="319" spans="1:12" x14ac:dyDescent="0.25">
      <c r="A319" s="54" t="s">
        <v>1381</v>
      </c>
      <c r="B319" s="54" t="s">
        <v>932</v>
      </c>
      <c r="C319" s="54" t="s">
        <v>2646</v>
      </c>
      <c r="D319" s="54">
        <v>38140</v>
      </c>
      <c r="E319" s="54" t="s">
        <v>450</v>
      </c>
      <c r="F319" s="33" t="s">
        <v>112</v>
      </c>
      <c r="I319" t="s">
        <v>2591</v>
      </c>
      <c r="J319" s="52"/>
      <c r="K319">
        <v>674344229</v>
      </c>
      <c r="L319" s="35" t="s">
        <v>1379</v>
      </c>
    </row>
    <row r="320" spans="1:12" x14ac:dyDescent="0.25">
      <c r="A320" s="54" t="s">
        <v>1377</v>
      </c>
      <c r="B320" s="54" t="s">
        <v>708</v>
      </c>
      <c r="C320" s="54" t="s">
        <v>2645</v>
      </c>
      <c r="D320" s="54">
        <v>38140</v>
      </c>
      <c r="E320" s="54" t="s">
        <v>363</v>
      </c>
      <c r="F320" s="33" t="s">
        <v>112</v>
      </c>
      <c r="I320" t="s">
        <v>2591</v>
      </c>
      <c r="J320" s="52"/>
      <c r="K320">
        <v>684558939</v>
      </c>
      <c r="L320" s="35" t="s">
        <v>1375</v>
      </c>
    </row>
    <row r="321" spans="1:12" x14ac:dyDescent="0.25">
      <c r="A321" s="54" t="s">
        <v>1372</v>
      </c>
      <c r="B321" s="54" t="s">
        <v>1371</v>
      </c>
      <c r="C321" s="54" t="s">
        <v>2644</v>
      </c>
      <c r="D321" s="54">
        <v>38620</v>
      </c>
      <c r="E321" s="54" t="s">
        <v>732</v>
      </c>
      <c r="F321" s="33" t="s">
        <v>112</v>
      </c>
      <c r="I321" t="s">
        <v>2591</v>
      </c>
      <c r="J321" s="52"/>
      <c r="K321">
        <v>632473641</v>
      </c>
      <c r="L321" s="35" t="s">
        <v>1369</v>
      </c>
    </row>
    <row r="322" spans="1:12" x14ac:dyDescent="0.25">
      <c r="A322" s="54" t="s">
        <v>1365</v>
      </c>
      <c r="B322" s="54" t="s">
        <v>448</v>
      </c>
      <c r="C322" s="54" t="s">
        <v>2643</v>
      </c>
      <c r="D322" s="54">
        <v>38500</v>
      </c>
      <c r="E322" s="54" t="s">
        <v>96</v>
      </c>
      <c r="F322" s="33" t="s">
        <v>112</v>
      </c>
      <c r="I322" t="s">
        <v>2591</v>
      </c>
      <c r="J322" s="52"/>
      <c r="K322">
        <v>476058301</v>
      </c>
      <c r="L322" s="35" t="s">
        <v>1363</v>
      </c>
    </row>
    <row r="323" spans="1:12" x14ac:dyDescent="0.25">
      <c r="A323" s="54" t="s">
        <v>1359</v>
      </c>
      <c r="B323" s="54" t="s">
        <v>484</v>
      </c>
      <c r="C323" s="54" t="s">
        <v>2642</v>
      </c>
      <c r="D323" s="54">
        <v>38500</v>
      </c>
      <c r="E323" s="54" t="s">
        <v>96</v>
      </c>
      <c r="F323" s="33" t="s">
        <v>112</v>
      </c>
      <c r="I323" t="s">
        <v>2591</v>
      </c>
      <c r="J323" s="52"/>
      <c r="K323">
        <v>675488670</v>
      </c>
      <c r="L323" s="35" t="s">
        <v>1357</v>
      </c>
    </row>
    <row r="324" spans="1:12" hidden="1" x14ac:dyDescent="0.25">
      <c r="A324" s="54" t="s">
        <v>1353</v>
      </c>
      <c r="B324" s="54" t="s">
        <v>708</v>
      </c>
      <c r="C324" s="54" t="s">
        <v>2641</v>
      </c>
      <c r="D324" s="54">
        <v>38430</v>
      </c>
      <c r="E324" s="54" t="s">
        <v>520</v>
      </c>
      <c r="F324" s="33" t="s">
        <v>101</v>
      </c>
      <c r="J324" s="52"/>
      <c r="K324">
        <v>476354709</v>
      </c>
      <c r="L324" s="35" t="s">
        <v>1351</v>
      </c>
    </row>
    <row r="325" spans="1:12" x14ac:dyDescent="0.25">
      <c r="A325" s="54" t="s">
        <v>1345</v>
      </c>
      <c r="B325" s="54" t="s">
        <v>1344</v>
      </c>
      <c r="C325" s="54" t="s">
        <v>2640</v>
      </c>
      <c r="D325" s="54">
        <v>38140</v>
      </c>
      <c r="E325" s="54" t="s">
        <v>237</v>
      </c>
      <c r="F325" s="33" t="s">
        <v>112</v>
      </c>
      <c r="I325" t="s">
        <v>2591</v>
      </c>
      <c r="J325" s="52"/>
      <c r="K325">
        <v>983845151</v>
      </c>
      <c r="L325" s="35" t="s">
        <v>1342</v>
      </c>
    </row>
    <row r="326" spans="1:12" hidden="1" x14ac:dyDescent="0.25">
      <c r="A326" s="54" t="s">
        <v>1338</v>
      </c>
      <c r="B326" s="54" t="s">
        <v>477</v>
      </c>
      <c r="C326" s="54" t="s">
        <v>2639</v>
      </c>
      <c r="D326" s="54">
        <v>38850</v>
      </c>
      <c r="E326" s="54" t="s">
        <v>148</v>
      </c>
      <c r="F326" s="33" t="s">
        <v>101</v>
      </c>
      <c r="J326" s="52"/>
      <c r="K326">
        <v>695576380</v>
      </c>
      <c r="L326" s="35" t="s">
        <v>1336</v>
      </c>
    </row>
    <row r="327" spans="1:12" hidden="1" x14ac:dyDescent="0.25">
      <c r="A327" s="54" t="s">
        <v>1327</v>
      </c>
      <c r="B327" s="54" t="s">
        <v>1326</v>
      </c>
      <c r="C327" s="54" t="s">
        <v>2638</v>
      </c>
      <c r="D327" s="54">
        <v>38340</v>
      </c>
      <c r="E327" s="54" t="s">
        <v>108</v>
      </c>
      <c r="F327" s="33" t="s">
        <v>101</v>
      </c>
      <c r="J327" s="52"/>
      <c r="K327">
        <v>675596984</v>
      </c>
      <c r="L327" s="35" t="s">
        <v>1324</v>
      </c>
    </row>
    <row r="328" spans="1:12" x14ac:dyDescent="0.25">
      <c r="A328" s="54" t="s">
        <v>1320</v>
      </c>
      <c r="B328" s="54" t="s">
        <v>410</v>
      </c>
      <c r="C328" s="54" t="s">
        <v>2637</v>
      </c>
      <c r="D328" s="54">
        <v>38620</v>
      </c>
      <c r="E328" s="54" t="s">
        <v>1318</v>
      </c>
      <c r="F328" s="33" t="s">
        <v>112</v>
      </c>
      <c r="I328" t="s">
        <v>2591</v>
      </c>
      <c r="J328" s="52"/>
      <c r="K328">
        <v>621870803</v>
      </c>
      <c r="L328" s="35" t="s">
        <v>1317</v>
      </c>
    </row>
    <row r="329" spans="1:12" hidden="1" x14ac:dyDescent="0.25">
      <c r="A329" s="54" t="s">
        <v>1312</v>
      </c>
      <c r="B329" s="54" t="s">
        <v>503</v>
      </c>
      <c r="C329" s="54" t="s">
        <v>2636</v>
      </c>
      <c r="D329" s="54">
        <v>38620</v>
      </c>
      <c r="E329" s="54" t="s">
        <v>783</v>
      </c>
      <c r="F329" s="33" t="s">
        <v>101</v>
      </c>
      <c r="J329" s="52"/>
      <c r="K329">
        <v>669575414</v>
      </c>
      <c r="L329" s="35" t="s">
        <v>1310</v>
      </c>
    </row>
    <row r="330" spans="1:12" hidden="1" x14ac:dyDescent="0.25">
      <c r="A330" s="54" t="s">
        <v>1301</v>
      </c>
      <c r="B330" s="54" t="s">
        <v>514</v>
      </c>
      <c r="C330" s="54" t="s">
        <v>2635</v>
      </c>
      <c r="D330" s="54">
        <v>38850</v>
      </c>
      <c r="E330" s="54" t="s">
        <v>438</v>
      </c>
      <c r="F330" s="33" t="s">
        <v>101</v>
      </c>
      <c r="J330" s="52"/>
      <c r="K330">
        <v>624424593</v>
      </c>
      <c r="L330" s="35" t="s">
        <v>1299</v>
      </c>
    </row>
    <row r="331" spans="1:12" x14ac:dyDescent="0.25">
      <c r="A331" s="54" t="s">
        <v>1294</v>
      </c>
      <c r="B331" s="54" t="s">
        <v>1293</v>
      </c>
      <c r="C331" s="54" t="s">
        <v>2634</v>
      </c>
      <c r="D331" s="54">
        <v>38210</v>
      </c>
      <c r="E331" s="54" t="s">
        <v>445</v>
      </c>
      <c r="F331" s="33" t="s">
        <v>112</v>
      </c>
      <c r="I331" s="48" t="s">
        <v>2591</v>
      </c>
      <c r="J331" s="52"/>
      <c r="K331">
        <v>642903632</v>
      </c>
      <c r="L331" s="35" t="s">
        <v>1291</v>
      </c>
    </row>
    <row r="332" spans="1:12" x14ac:dyDescent="0.25">
      <c r="A332" s="54" t="s">
        <v>1286</v>
      </c>
      <c r="B332" s="54" t="s">
        <v>1285</v>
      </c>
      <c r="C332" s="54" t="s">
        <v>2633</v>
      </c>
      <c r="D332" s="54">
        <v>38340</v>
      </c>
      <c r="E332" s="54" t="s">
        <v>108</v>
      </c>
      <c r="F332" s="33" t="s">
        <v>112</v>
      </c>
      <c r="I332" s="48" t="s">
        <v>2591</v>
      </c>
      <c r="J332" s="52"/>
      <c r="K332">
        <v>683178801</v>
      </c>
      <c r="L332" s="35" t="s">
        <v>1283</v>
      </c>
    </row>
    <row r="333" spans="1:12" x14ac:dyDescent="0.25">
      <c r="A333" s="54" t="s">
        <v>1275</v>
      </c>
      <c r="B333" s="54" t="s">
        <v>1274</v>
      </c>
      <c r="C333" s="54" t="s">
        <v>2632</v>
      </c>
      <c r="D333" s="54">
        <v>38850</v>
      </c>
      <c r="E333" s="54" t="s">
        <v>242</v>
      </c>
      <c r="F333" s="33" t="s">
        <v>112</v>
      </c>
      <c r="I333" s="48" t="s">
        <v>2591</v>
      </c>
      <c r="J333" s="52"/>
      <c r="K333">
        <v>781033709</v>
      </c>
      <c r="L333" s="35" t="s">
        <v>1272</v>
      </c>
    </row>
    <row r="334" spans="1:12" x14ac:dyDescent="0.25">
      <c r="A334" s="54" t="s">
        <v>1268</v>
      </c>
      <c r="B334" s="54" t="s">
        <v>939</v>
      </c>
      <c r="C334" s="54" t="s">
        <v>2631</v>
      </c>
      <c r="D334" s="54">
        <v>38340</v>
      </c>
      <c r="E334" s="54" t="s">
        <v>108</v>
      </c>
      <c r="F334" s="33" t="s">
        <v>112</v>
      </c>
      <c r="I334" s="48" t="s">
        <v>2591</v>
      </c>
      <c r="J334" s="52"/>
      <c r="K334">
        <v>476500903</v>
      </c>
      <c r="L334" s="35" t="s">
        <v>1266</v>
      </c>
    </row>
    <row r="335" spans="1:12" x14ac:dyDescent="0.25">
      <c r="A335" s="54" t="s">
        <v>1262</v>
      </c>
      <c r="B335" s="54" t="s">
        <v>249</v>
      </c>
      <c r="C335" s="54" t="s">
        <v>2630</v>
      </c>
      <c r="D335" s="54">
        <v>38340</v>
      </c>
      <c r="E335" s="54" t="s">
        <v>108</v>
      </c>
      <c r="F335" s="33" t="s">
        <v>112</v>
      </c>
      <c r="I335" s="48" t="s">
        <v>2591</v>
      </c>
      <c r="J335" s="52"/>
      <c r="K335">
        <v>760593224</v>
      </c>
      <c r="L335" s="35" t="s">
        <v>1260</v>
      </c>
    </row>
    <row r="336" spans="1:12" x14ac:dyDescent="0.25">
      <c r="A336" s="54" t="s">
        <v>1254</v>
      </c>
      <c r="B336" s="54" t="s">
        <v>1253</v>
      </c>
      <c r="C336" s="54" t="s">
        <v>2629</v>
      </c>
      <c r="D336" s="54">
        <v>38140</v>
      </c>
      <c r="E336" s="54" t="s">
        <v>363</v>
      </c>
      <c r="F336" s="33" t="s">
        <v>112</v>
      </c>
      <c r="I336" s="48" t="s">
        <v>2591</v>
      </c>
      <c r="J336" s="52"/>
      <c r="K336">
        <v>612654221</v>
      </c>
      <c r="L336" s="35" t="s">
        <v>1251</v>
      </c>
    </row>
    <row r="337" spans="1:12" x14ac:dyDescent="0.25">
      <c r="A337" s="54" t="s">
        <v>1246</v>
      </c>
      <c r="B337" s="54" t="s">
        <v>1245</v>
      </c>
      <c r="C337" s="54" t="s">
        <v>2628</v>
      </c>
      <c r="D337" s="54">
        <v>38210</v>
      </c>
      <c r="E337" s="54" t="s">
        <v>195</v>
      </c>
      <c r="F337" s="33" t="s">
        <v>112</v>
      </c>
      <c r="I337" s="48" t="s">
        <v>2591</v>
      </c>
      <c r="J337" s="52"/>
      <c r="K337">
        <v>476072474</v>
      </c>
      <c r="L337" s="35" t="s">
        <v>9</v>
      </c>
    </row>
    <row r="338" spans="1:12" hidden="1" x14ac:dyDescent="0.25">
      <c r="A338" s="54" t="s">
        <v>1239</v>
      </c>
      <c r="B338" s="54" t="s">
        <v>939</v>
      </c>
      <c r="C338" s="54" t="s">
        <v>2627</v>
      </c>
      <c r="D338" s="54">
        <v>38140</v>
      </c>
      <c r="E338" s="54" t="s">
        <v>937</v>
      </c>
      <c r="F338" s="33" t="s">
        <v>101</v>
      </c>
      <c r="J338" s="52"/>
      <c r="K338">
        <v>645619561</v>
      </c>
      <c r="L338" s="35" t="s">
        <v>1237</v>
      </c>
    </row>
    <row r="339" spans="1:12" hidden="1" x14ac:dyDescent="0.25">
      <c r="A339" s="54" t="s">
        <v>1231</v>
      </c>
      <c r="B339" s="54" t="s">
        <v>289</v>
      </c>
      <c r="C339" s="54" t="s">
        <v>2626</v>
      </c>
      <c r="D339" s="54">
        <v>38960</v>
      </c>
      <c r="E339" s="54" t="s">
        <v>139</v>
      </c>
      <c r="F339" s="33" t="s">
        <v>101</v>
      </c>
      <c r="J339" s="52"/>
      <c r="K339">
        <v>620641723</v>
      </c>
      <c r="L339" s="35" t="s">
        <v>1229</v>
      </c>
    </row>
    <row r="340" spans="1:12" x14ac:dyDescent="0.25">
      <c r="A340" s="54" t="s">
        <v>1225</v>
      </c>
      <c r="B340" s="54" t="s">
        <v>289</v>
      </c>
      <c r="C340" s="54" t="s">
        <v>2625</v>
      </c>
      <c r="D340" s="54">
        <v>38340</v>
      </c>
      <c r="E340" s="54" t="s">
        <v>108</v>
      </c>
      <c r="F340" s="33" t="s">
        <v>112</v>
      </c>
      <c r="I340" s="48" t="s">
        <v>2591</v>
      </c>
      <c r="J340" s="52"/>
      <c r="K340">
        <v>676505857</v>
      </c>
      <c r="L340" s="35" t="s">
        <v>1223</v>
      </c>
    </row>
    <row r="341" spans="1:12" hidden="1" x14ac:dyDescent="0.25">
      <c r="A341" s="54" t="s">
        <v>1219</v>
      </c>
      <c r="B341" s="54" t="s">
        <v>1218</v>
      </c>
      <c r="C341" s="54" t="s">
        <v>2624</v>
      </c>
      <c r="D341" s="54">
        <v>38140</v>
      </c>
      <c r="E341" s="54" t="s">
        <v>363</v>
      </c>
      <c r="F341" s="33" t="s">
        <v>101</v>
      </c>
      <c r="J341" s="52"/>
      <c r="K341">
        <v>689062568</v>
      </c>
      <c r="L341" s="35" t="s">
        <v>1216</v>
      </c>
    </row>
    <row r="342" spans="1:12" x14ac:dyDescent="0.25">
      <c r="A342" s="54" t="s">
        <v>1211</v>
      </c>
      <c r="B342" s="54" t="s">
        <v>177</v>
      </c>
      <c r="C342" s="54" t="s">
        <v>2623</v>
      </c>
      <c r="D342" s="54">
        <v>38140</v>
      </c>
      <c r="E342" s="54" t="s">
        <v>450</v>
      </c>
      <c r="F342" s="33" t="s">
        <v>112</v>
      </c>
      <c r="I342" s="48" t="s">
        <v>2591</v>
      </c>
      <c r="J342" s="52"/>
      <c r="K342">
        <v>676782120</v>
      </c>
      <c r="L342" s="35" t="s">
        <v>1210</v>
      </c>
    </row>
    <row r="343" spans="1:12" x14ac:dyDescent="0.25">
      <c r="A343" s="54" t="s">
        <v>1205</v>
      </c>
      <c r="B343" s="54"/>
      <c r="C343" s="54" t="s">
        <v>464</v>
      </c>
      <c r="D343" s="54"/>
      <c r="E343" s="54"/>
      <c r="F343" s="33" t="s">
        <v>112</v>
      </c>
      <c r="I343" s="48"/>
      <c r="J343" s="52"/>
    </row>
    <row r="344" spans="1:12" hidden="1" x14ac:dyDescent="0.25">
      <c r="A344" s="54" t="s">
        <v>1201</v>
      </c>
      <c r="B344" s="54" t="s">
        <v>1200</v>
      </c>
      <c r="C344" s="54" t="s">
        <v>2622</v>
      </c>
      <c r="D344" s="54">
        <v>38500</v>
      </c>
      <c r="E344" s="54" t="s">
        <v>96</v>
      </c>
      <c r="F344" s="33" t="s">
        <v>101</v>
      </c>
      <c r="J344" s="52"/>
      <c r="K344">
        <v>664925738</v>
      </c>
      <c r="L344" s="35" t="s">
        <v>1198</v>
      </c>
    </row>
    <row r="345" spans="1:12" hidden="1" x14ac:dyDescent="0.25">
      <c r="A345" s="54" t="s">
        <v>1194</v>
      </c>
      <c r="B345" s="54" t="s">
        <v>1193</v>
      </c>
      <c r="C345" s="54" t="s">
        <v>2621</v>
      </c>
      <c r="D345" s="54">
        <v>38430</v>
      </c>
      <c r="E345" s="54" t="s">
        <v>217</v>
      </c>
      <c r="F345" s="33" t="s">
        <v>101</v>
      </c>
      <c r="J345" s="52"/>
      <c r="K345">
        <v>672010057</v>
      </c>
      <c r="L345" s="35" t="s">
        <v>1191</v>
      </c>
    </row>
    <row r="346" spans="1:12" x14ac:dyDescent="0.25">
      <c r="A346" s="54" t="s">
        <v>1186</v>
      </c>
      <c r="B346" s="54" t="s">
        <v>1185</v>
      </c>
      <c r="C346" s="54" t="s">
        <v>2620</v>
      </c>
      <c r="D346" s="54">
        <v>38850</v>
      </c>
      <c r="E346" s="54" t="s">
        <v>438</v>
      </c>
      <c r="F346" s="33" t="s">
        <v>112</v>
      </c>
      <c r="I346" s="48" t="s">
        <v>2591</v>
      </c>
      <c r="J346" s="52"/>
      <c r="K346">
        <v>476933951</v>
      </c>
      <c r="L346" s="35" t="s">
        <v>1183</v>
      </c>
    </row>
    <row r="347" spans="1:12" x14ac:dyDescent="0.25">
      <c r="A347" s="54" t="s">
        <v>1179</v>
      </c>
      <c r="B347" s="54" t="s">
        <v>678</v>
      </c>
      <c r="C347" s="54" t="s">
        <v>2619</v>
      </c>
      <c r="D347" s="54">
        <v>38340</v>
      </c>
      <c r="E347" s="54" t="s">
        <v>108</v>
      </c>
      <c r="F347" s="33" t="s">
        <v>112</v>
      </c>
      <c r="I347" s="48" t="s">
        <v>2591</v>
      </c>
      <c r="J347" s="52"/>
      <c r="K347">
        <v>788630118</v>
      </c>
      <c r="L347" s="35" t="s">
        <v>1177</v>
      </c>
    </row>
    <row r="348" spans="1:12" x14ac:dyDescent="0.25">
      <c r="A348" s="54" t="s">
        <v>1173</v>
      </c>
      <c r="B348" s="54" t="s">
        <v>975</v>
      </c>
      <c r="C348" s="54" t="s">
        <v>2618</v>
      </c>
      <c r="D348" s="54">
        <v>38140</v>
      </c>
      <c r="E348" s="54" t="s">
        <v>363</v>
      </c>
      <c r="F348" s="33" t="s">
        <v>112</v>
      </c>
      <c r="I348" s="48" t="s">
        <v>2591</v>
      </c>
      <c r="J348" s="52"/>
      <c r="K348">
        <v>476666786</v>
      </c>
    </row>
    <row r="349" spans="1:12" x14ac:dyDescent="0.25">
      <c r="A349" s="54" t="s">
        <v>1168</v>
      </c>
      <c r="B349" s="54" t="s">
        <v>671</v>
      </c>
      <c r="C349" s="54" t="s">
        <v>2617</v>
      </c>
      <c r="D349" s="54">
        <v>38340</v>
      </c>
      <c r="E349" s="54" t="s">
        <v>108</v>
      </c>
      <c r="F349" s="33" t="s">
        <v>112</v>
      </c>
      <c r="I349" s="48" t="s">
        <v>2591</v>
      </c>
      <c r="J349" s="52"/>
      <c r="K349">
        <v>476502912</v>
      </c>
      <c r="L349" s="35" t="s">
        <v>1167</v>
      </c>
    </row>
    <row r="350" spans="1:12" hidden="1" x14ac:dyDescent="0.25">
      <c r="A350" s="54" t="s">
        <v>1162</v>
      </c>
      <c r="B350" s="54" t="s">
        <v>869</v>
      </c>
      <c r="C350" s="54" t="s">
        <v>2616</v>
      </c>
      <c r="D350" s="54">
        <v>38500</v>
      </c>
      <c r="E350" s="54" t="s">
        <v>96</v>
      </c>
      <c r="F350" s="33" t="s">
        <v>101</v>
      </c>
      <c r="J350" s="52"/>
      <c r="K350">
        <v>672815945</v>
      </c>
      <c r="L350" s="35" t="s">
        <v>1160</v>
      </c>
    </row>
    <row r="351" spans="1:12" x14ac:dyDescent="0.25">
      <c r="A351" s="54" t="s">
        <v>1157</v>
      </c>
      <c r="B351" s="54" t="s">
        <v>641</v>
      </c>
      <c r="C351" s="54" t="s">
        <v>2615</v>
      </c>
      <c r="D351" s="54">
        <v>38960</v>
      </c>
      <c r="E351" s="54" t="s">
        <v>912</v>
      </c>
      <c r="F351" s="33" t="s">
        <v>112</v>
      </c>
      <c r="I351" s="48" t="s">
        <v>2591</v>
      </c>
      <c r="J351" s="52"/>
      <c r="K351">
        <v>672868944</v>
      </c>
      <c r="L351" s="35" t="s">
        <v>1155</v>
      </c>
    </row>
    <row r="352" spans="1:12" x14ac:dyDescent="0.25">
      <c r="A352" s="54" t="s">
        <v>1151</v>
      </c>
      <c r="B352" s="54" t="s">
        <v>235</v>
      </c>
      <c r="C352" s="54" t="s">
        <v>2614</v>
      </c>
      <c r="D352" s="54">
        <v>38340</v>
      </c>
      <c r="E352" s="54" t="s">
        <v>108</v>
      </c>
      <c r="F352" s="33" t="s">
        <v>112</v>
      </c>
      <c r="I352" s="48" t="s">
        <v>2591</v>
      </c>
      <c r="J352" s="52"/>
      <c r="K352">
        <v>787068359</v>
      </c>
      <c r="L352" s="35" t="s">
        <v>1149</v>
      </c>
    </row>
    <row r="353" spans="1:12" hidden="1" x14ac:dyDescent="0.25">
      <c r="A353" s="54" t="s">
        <v>1144</v>
      </c>
      <c r="B353" s="54" t="s">
        <v>1143</v>
      </c>
      <c r="C353" s="54" t="s">
        <v>2613</v>
      </c>
      <c r="D353" s="54">
        <v>38340</v>
      </c>
      <c r="E353" s="54" t="s">
        <v>108</v>
      </c>
      <c r="F353" s="33" t="s">
        <v>101</v>
      </c>
      <c r="J353" s="52"/>
      <c r="K353">
        <v>659021720</v>
      </c>
      <c r="L353" s="35" t="s">
        <v>1141</v>
      </c>
    </row>
    <row r="354" spans="1:12" hidden="1" x14ac:dyDescent="0.25">
      <c r="A354" s="54" t="s">
        <v>1136</v>
      </c>
      <c r="B354" s="54" t="s">
        <v>1135</v>
      </c>
      <c r="C354" s="54" t="s">
        <v>2612</v>
      </c>
      <c r="D354" s="54">
        <v>38490</v>
      </c>
      <c r="E354" s="54" t="s">
        <v>1133</v>
      </c>
      <c r="F354" s="33" t="s">
        <v>101</v>
      </c>
      <c r="J354" s="52"/>
      <c r="K354">
        <v>635909540</v>
      </c>
      <c r="L354" s="35" t="s">
        <v>1132</v>
      </c>
    </row>
    <row r="355" spans="1:12" x14ac:dyDescent="0.25">
      <c r="A355" s="54" t="s">
        <v>1127</v>
      </c>
      <c r="B355" s="54" t="s">
        <v>561</v>
      </c>
      <c r="C355" s="54" t="s">
        <v>2611</v>
      </c>
      <c r="D355" s="54">
        <v>38850</v>
      </c>
      <c r="E355" s="54" t="s">
        <v>170</v>
      </c>
      <c r="F355" s="33" t="s">
        <v>112</v>
      </c>
      <c r="I355" s="48" t="s">
        <v>2591</v>
      </c>
      <c r="J355" s="52"/>
      <c r="K355">
        <v>476323850</v>
      </c>
      <c r="L355" s="35" t="s">
        <v>1125</v>
      </c>
    </row>
    <row r="356" spans="1:12" x14ac:dyDescent="0.25">
      <c r="A356" s="54" t="s">
        <v>1119</v>
      </c>
      <c r="B356" s="54" t="s">
        <v>1118</v>
      </c>
      <c r="C356" s="54" t="s">
        <v>2610</v>
      </c>
      <c r="D356" s="54">
        <v>38340</v>
      </c>
      <c r="E356" s="54" t="s">
        <v>108</v>
      </c>
      <c r="F356" s="33" t="s">
        <v>112</v>
      </c>
      <c r="I356" s="48" t="s">
        <v>2591</v>
      </c>
      <c r="J356" s="52"/>
      <c r="K356">
        <v>476508360</v>
      </c>
      <c r="L356" s="35" t="s">
        <v>1116</v>
      </c>
    </row>
    <row r="357" spans="1:12" hidden="1" x14ac:dyDescent="0.25">
      <c r="A357" s="54" t="s">
        <v>1113</v>
      </c>
      <c r="B357" s="54" t="s">
        <v>1112</v>
      </c>
      <c r="C357" s="54" t="s">
        <v>2609</v>
      </c>
      <c r="D357" s="54">
        <v>38210</v>
      </c>
      <c r="E357" s="54" t="s">
        <v>195</v>
      </c>
      <c r="F357" s="33" t="s">
        <v>101</v>
      </c>
      <c r="J357" s="52"/>
      <c r="K357">
        <v>476079800</v>
      </c>
      <c r="L357" s="35" t="s">
        <v>1110</v>
      </c>
    </row>
    <row r="358" spans="1:12" x14ac:dyDescent="0.25">
      <c r="A358" s="54" t="s">
        <v>302</v>
      </c>
      <c r="B358" s="54" t="s">
        <v>671</v>
      </c>
      <c r="C358" s="54" t="s">
        <v>2608</v>
      </c>
      <c r="D358" s="54">
        <v>38430</v>
      </c>
      <c r="E358" s="54" t="s">
        <v>520</v>
      </c>
      <c r="F358" s="33" t="s">
        <v>112</v>
      </c>
      <c r="I358" s="48" t="s">
        <v>2591</v>
      </c>
      <c r="J358" s="52"/>
      <c r="K358">
        <v>476353986</v>
      </c>
      <c r="L358" s="35" t="s">
        <v>1105</v>
      </c>
    </row>
    <row r="359" spans="1:12" x14ac:dyDescent="0.25">
      <c r="A359" s="54" t="s">
        <v>1101</v>
      </c>
      <c r="B359" s="54" t="s">
        <v>1028</v>
      </c>
      <c r="C359" s="54" t="s">
        <v>2607</v>
      </c>
      <c r="D359" s="54">
        <v>38140</v>
      </c>
      <c r="E359" s="54" t="s">
        <v>363</v>
      </c>
      <c r="F359" s="33" t="s">
        <v>112</v>
      </c>
      <c r="I359" s="48" t="s">
        <v>2591</v>
      </c>
      <c r="J359" s="52"/>
      <c r="K359">
        <v>476911676</v>
      </c>
      <c r="L359" s="35" t="s">
        <v>1099</v>
      </c>
    </row>
    <row r="360" spans="1:12" x14ac:dyDescent="0.25">
      <c r="A360" s="54" t="s">
        <v>1096</v>
      </c>
      <c r="B360" s="54" t="s">
        <v>915</v>
      </c>
      <c r="C360" s="54" t="s">
        <v>2606</v>
      </c>
      <c r="D360" s="54">
        <v>38340</v>
      </c>
      <c r="E360" s="54" t="s">
        <v>108</v>
      </c>
      <c r="F360" s="33" t="s">
        <v>112</v>
      </c>
      <c r="I360" s="48" t="s">
        <v>2591</v>
      </c>
      <c r="J360" s="52"/>
      <c r="K360">
        <v>695063943</v>
      </c>
      <c r="L360" s="35" t="s">
        <v>1094</v>
      </c>
    </row>
    <row r="361" spans="1:12" hidden="1" x14ac:dyDescent="0.25">
      <c r="A361" s="54" t="s">
        <v>1085</v>
      </c>
      <c r="B361" s="54" t="s">
        <v>1084</v>
      </c>
      <c r="C361" s="54" t="s">
        <v>2605</v>
      </c>
      <c r="D361" s="54">
        <v>38620</v>
      </c>
      <c r="E361" s="54" t="s">
        <v>783</v>
      </c>
      <c r="F361" s="33" t="s">
        <v>101</v>
      </c>
      <c r="J361" s="52"/>
      <c r="K361">
        <v>628255676</v>
      </c>
      <c r="L361" s="35" t="s">
        <v>1082</v>
      </c>
    </row>
    <row r="362" spans="1:12" x14ac:dyDescent="0.25">
      <c r="A362" s="54" t="s">
        <v>1077</v>
      </c>
      <c r="B362" s="54" t="s">
        <v>1076</v>
      </c>
      <c r="C362" s="54" t="s">
        <v>2604</v>
      </c>
      <c r="D362" s="54">
        <v>38620</v>
      </c>
      <c r="E362" s="54" t="s">
        <v>732</v>
      </c>
      <c r="F362" s="33" t="s">
        <v>112</v>
      </c>
      <c r="I362" s="48" t="s">
        <v>2591</v>
      </c>
      <c r="J362" s="52"/>
      <c r="K362">
        <v>426071992</v>
      </c>
      <c r="L362" s="35" t="s">
        <v>1074</v>
      </c>
    </row>
    <row r="363" spans="1:12" hidden="1" x14ac:dyDescent="0.25">
      <c r="A363" s="54" t="s">
        <v>1068</v>
      </c>
      <c r="B363" s="54" t="s">
        <v>1067</v>
      </c>
      <c r="C363" s="54" t="s">
        <v>2603</v>
      </c>
      <c r="D363" s="54">
        <v>38210</v>
      </c>
      <c r="E363" s="54" t="s">
        <v>195</v>
      </c>
      <c r="F363" s="33" t="s">
        <v>101</v>
      </c>
      <c r="J363" s="52"/>
      <c r="K363">
        <v>675610519</v>
      </c>
      <c r="L363" s="35" t="s">
        <v>1065</v>
      </c>
    </row>
    <row r="364" spans="1:12" x14ac:dyDescent="0.25">
      <c r="A364" s="54" t="s">
        <v>1061</v>
      </c>
      <c r="B364" s="54" t="s">
        <v>1060</v>
      </c>
      <c r="C364" s="54" t="s">
        <v>2602</v>
      </c>
      <c r="D364" s="54">
        <v>38850</v>
      </c>
      <c r="E364" s="54" t="s">
        <v>1058</v>
      </c>
      <c r="F364" s="33" t="s">
        <v>112</v>
      </c>
      <c r="I364" s="48" t="s">
        <v>2591</v>
      </c>
      <c r="J364" s="52"/>
      <c r="K364">
        <v>668883179</v>
      </c>
      <c r="L364" s="35" t="s">
        <v>1057</v>
      </c>
    </row>
    <row r="365" spans="1:12" hidden="1" x14ac:dyDescent="0.25">
      <c r="A365" s="54" t="s">
        <v>1051</v>
      </c>
      <c r="B365" s="54" t="s">
        <v>215</v>
      </c>
      <c r="C365" s="54" t="s">
        <v>2601</v>
      </c>
      <c r="D365" s="54">
        <v>38500</v>
      </c>
      <c r="E365" s="54" t="s">
        <v>96</v>
      </c>
      <c r="F365" s="33" t="s">
        <v>101</v>
      </c>
      <c r="J365" s="52"/>
      <c r="K365">
        <v>679629268</v>
      </c>
      <c r="L365" s="35" t="s">
        <v>1049</v>
      </c>
    </row>
    <row r="366" spans="1:12" x14ac:dyDescent="0.25">
      <c r="A366" s="54" t="s">
        <v>1045</v>
      </c>
      <c r="B366" s="54" t="s">
        <v>116</v>
      </c>
      <c r="C366" s="54" t="s">
        <v>2600</v>
      </c>
      <c r="D366" s="54">
        <v>38960</v>
      </c>
      <c r="E366" s="54" t="s">
        <v>912</v>
      </c>
      <c r="F366" s="33" t="s">
        <v>112</v>
      </c>
      <c r="I366" s="48" t="s">
        <v>2591</v>
      </c>
      <c r="J366" s="52"/>
      <c r="K366">
        <v>476554712</v>
      </c>
    </row>
    <row r="367" spans="1:12" x14ac:dyDescent="0.25">
      <c r="A367" s="54" t="s">
        <v>1042</v>
      </c>
      <c r="B367" s="54" t="s">
        <v>137</v>
      </c>
      <c r="C367" s="54" t="s">
        <v>2599</v>
      </c>
      <c r="D367" s="54">
        <v>38210</v>
      </c>
      <c r="E367" s="54" t="s">
        <v>195</v>
      </c>
      <c r="F367" s="33" t="s">
        <v>112</v>
      </c>
      <c r="I367" s="48" t="s">
        <v>2591</v>
      </c>
      <c r="J367" s="52"/>
      <c r="K367">
        <v>660676647</v>
      </c>
      <c r="L367" s="35" t="s">
        <v>1040</v>
      </c>
    </row>
    <row r="368" spans="1:12" x14ac:dyDescent="0.25">
      <c r="A368" s="54" t="s">
        <v>1034</v>
      </c>
      <c r="B368" s="54" t="s">
        <v>671</v>
      </c>
      <c r="C368" s="54" t="s">
        <v>2598</v>
      </c>
      <c r="D368" s="54">
        <v>38140</v>
      </c>
      <c r="E368" s="54" t="s">
        <v>937</v>
      </c>
      <c r="F368" s="33" t="s">
        <v>112</v>
      </c>
      <c r="I368" s="48" t="s">
        <v>2591</v>
      </c>
      <c r="J368" s="52"/>
      <c r="K368">
        <v>686551858</v>
      </c>
      <c r="L368" s="35" t="s">
        <v>1032</v>
      </c>
    </row>
    <row r="369" spans="1:13" hidden="1" x14ac:dyDescent="0.25">
      <c r="A369" s="54" t="s">
        <v>1029</v>
      </c>
      <c r="B369" s="54" t="s">
        <v>1028</v>
      </c>
      <c r="C369" s="54" t="s">
        <v>2597</v>
      </c>
      <c r="D369" s="54">
        <v>38140</v>
      </c>
      <c r="E369" s="54" t="s">
        <v>237</v>
      </c>
      <c r="F369" s="33" t="s">
        <v>101</v>
      </c>
      <c r="J369" s="52"/>
      <c r="K369">
        <v>606670324</v>
      </c>
      <c r="L369" s="35" t="s">
        <v>1026</v>
      </c>
    </row>
    <row r="370" spans="1:13" hidden="1" x14ac:dyDescent="0.25">
      <c r="A370" s="54" t="s">
        <v>1021</v>
      </c>
      <c r="B370" s="54" t="s">
        <v>1020</v>
      </c>
      <c r="C370" s="54" t="s">
        <v>2596</v>
      </c>
      <c r="D370" s="54">
        <v>38500</v>
      </c>
      <c r="E370" s="54" t="s">
        <v>727</v>
      </c>
      <c r="F370" s="33" t="s">
        <v>101</v>
      </c>
      <c r="J370" s="52"/>
      <c r="K370">
        <v>670798092</v>
      </c>
      <c r="L370" s="35" t="s">
        <v>1018</v>
      </c>
    </row>
    <row r="371" spans="1:13" x14ac:dyDescent="0.25">
      <c r="A371" s="54" t="s">
        <v>1014</v>
      </c>
      <c r="B371" s="54" t="s">
        <v>1013</v>
      </c>
      <c r="C371" s="54" t="s">
        <v>2595</v>
      </c>
      <c r="D371" s="54">
        <v>38620</v>
      </c>
      <c r="E371" s="54" t="s">
        <v>857</v>
      </c>
      <c r="F371" s="33" t="s">
        <v>112</v>
      </c>
      <c r="I371" s="48" t="s">
        <v>2591</v>
      </c>
      <c r="J371" s="52"/>
      <c r="K371">
        <v>615962089</v>
      </c>
      <c r="L371" s="35" t="s">
        <v>1012</v>
      </c>
    </row>
    <row r="372" spans="1:13" hidden="1" x14ac:dyDescent="0.25">
      <c r="A372" s="54" t="s">
        <v>1008</v>
      </c>
      <c r="B372" s="54" t="s">
        <v>403</v>
      </c>
      <c r="C372" s="54" t="s">
        <v>2594</v>
      </c>
      <c r="D372" s="54">
        <v>38340</v>
      </c>
      <c r="E372" s="54" t="s">
        <v>1006</v>
      </c>
      <c r="F372" s="33" t="s">
        <v>101</v>
      </c>
      <c r="J372" s="52"/>
      <c r="K372">
        <v>688311381</v>
      </c>
      <c r="L372" s="35" t="s">
        <v>1005</v>
      </c>
    </row>
    <row r="373" spans="1:13" x14ac:dyDescent="0.25">
      <c r="A373" s="54" t="s">
        <v>1002</v>
      </c>
      <c r="B373" s="54" t="s">
        <v>1001</v>
      </c>
      <c r="C373" s="54" t="s">
        <v>2593</v>
      </c>
      <c r="D373" s="54">
        <v>38400</v>
      </c>
      <c r="E373" s="54" t="s">
        <v>108</v>
      </c>
      <c r="F373" s="33" t="s">
        <v>112</v>
      </c>
      <c r="I373" s="48" t="s">
        <v>2591</v>
      </c>
      <c r="J373" s="52"/>
      <c r="K373">
        <v>476566128</v>
      </c>
      <c r="L373" s="35" t="s">
        <v>999</v>
      </c>
    </row>
    <row r="374" spans="1:13" hidden="1" x14ac:dyDescent="0.25">
      <c r="A374" s="54" t="s">
        <v>994</v>
      </c>
      <c r="B374" s="54" t="s">
        <v>921</v>
      </c>
      <c r="C374" s="54" t="s">
        <v>2592</v>
      </c>
      <c r="D374" s="54">
        <v>38960</v>
      </c>
      <c r="E374" s="54" t="s">
        <v>139</v>
      </c>
      <c r="F374" s="53" t="s">
        <v>101</v>
      </c>
      <c r="J374" s="52"/>
      <c r="K374">
        <v>476650635</v>
      </c>
      <c r="L374" s="51"/>
    </row>
    <row r="375" spans="1:13" ht="25.5" x14ac:dyDescent="0.25">
      <c r="A375" s="39" t="s">
        <v>991</v>
      </c>
      <c r="B375" s="39" t="s">
        <v>605</v>
      </c>
      <c r="C375" s="41"/>
      <c r="D375" s="39">
        <v>38850</v>
      </c>
      <c r="E375" s="39" t="s">
        <v>170</v>
      </c>
      <c r="F375" s="49" t="s">
        <v>112</v>
      </c>
      <c r="G375" s="39">
        <v>38210</v>
      </c>
      <c r="H375" s="39" t="s">
        <v>195</v>
      </c>
      <c r="I375" s="48" t="s">
        <v>2591</v>
      </c>
      <c r="J375" s="38"/>
      <c r="K375" s="38"/>
      <c r="L375" s="37" t="s">
        <v>989</v>
      </c>
      <c r="M375" s="50"/>
    </row>
    <row r="376" spans="1:13" ht="25.5" x14ac:dyDescent="0.25">
      <c r="A376" s="39" t="s">
        <v>983</v>
      </c>
      <c r="B376" s="39" t="s">
        <v>982</v>
      </c>
      <c r="C376" s="41"/>
      <c r="D376" s="39">
        <v>38210</v>
      </c>
      <c r="E376" s="39" t="s">
        <v>195</v>
      </c>
      <c r="F376" s="49" t="s">
        <v>112</v>
      </c>
      <c r="G376" s="39">
        <v>38140</v>
      </c>
      <c r="H376" s="39" t="s">
        <v>321</v>
      </c>
      <c r="I376" s="48" t="s">
        <v>2591</v>
      </c>
      <c r="J376" s="38"/>
      <c r="K376" s="38"/>
      <c r="L376" s="37" t="s">
        <v>980</v>
      </c>
      <c r="M376" s="36"/>
    </row>
    <row r="377" spans="1:13" hidden="1" x14ac:dyDescent="0.25">
      <c r="A377" s="39" t="s">
        <v>976</v>
      </c>
      <c r="B377" s="39" t="s">
        <v>975</v>
      </c>
      <c r="C377" s="48"/>
      <c r="D377" s="39">
        <v>38140</v>
      </c>
      <c r="E377" s="39" t="s">
        <v>237</v>
      </c>
      <c r="F377" s="49" t="s">
        <v>101</v>
      </c>
      <c r="G377" s="48"/>
      <c r="H377" s="48"/>
      <c r="I377" s="48"/>
      <c r="J377" s="48"/>
      <c r="K377" s="48"/>
      <c r="L377" s="37" t="s">
        <v>973</v>
      </c>
      <c r="M377" s="36"/>
    </row>
    <row r="378" spans="1:13" x14ac:dyDescent="0.25">
      <c r="A378" s="39" t="s">
        <v>965</v>
      </c>
      <c r="B378" s="39" t="s">
        <v>532</v>
      </c>
      <c r="C378" s="48"/>
      <c r="D378" s="39">
        <v>38430</v>
      </c>
      <c r="E378" s="39" t="s">
        <v>217</v>
      </c>
      <c r="F378" s="49" t="s">
        <v>112</v>
      </c>
      <c r="G378" s="48"/>
      <c r="H378" s="48"/>
      <c r="I378" s="48" t="s">
        <v>2591</v>
      </c>
      <c r="J378" s="48"/>
      <c r="K378" s="48"/>
      <c r="L378" s="37" t="s">
        <v>963</v>
      </c>
      <c r="M378" s="36"/>
    </row>
    <row r="379" spans="1:13" ht="25.5" x14ac:dyDescent="0.25">
      <c r="A379" s="39" t="s">
        <v>957</v>
      </c>
      <c r="B379" s="39" t="s">
        <v>956</v>
      </c>
      <c r="C379" s="48"/>
      <c r="D379" s="39">
        <v>38140</v>
      </c>
      <c r="E379" s="39" t="s">
        <v>321</v>
      </c>
      <c r="F379" s="49" t="s">
        <v>112</v>
      </c>
      <c r="G379" s="48"/>
      <c r="H379" s="48"/>
      <c r="I379" s="48" t="s">
        <v>2591</v>
      </c>
      <c r="J379" s="48"/>
      <c r="K379" s="48"/>
      <c r="L379" s="37" t="s">
        <v>955</v>
      </c>
      <c r="M379" s="36"/>
    </row>
    <row r="380" spans="1:13" x14ac:dyDescent="0.25">
      <c r="A380" s="39" t="s">
        <v>950</v>
      </c>
      <c r="B380" s="39" t="s">
        <v>949</v>
      </c>
      <c r="C380" s="48"/>
      <c r="D380" s="39">
        <v>38340</v>
      </c>
      <c r="E380" s="39" t="s">
        <v>202</v>
      </c>
      <c r="F380" s="49" t="s">
        <v>112</v>
      </c>
      <c r="G380" s="48"/>
      <c r="H380" s="48"/>
      <c r="I380" s="48" t="s">
        <v>2591</v>
      </c>
      <c r="J380" s="48"/>
      <c r="K380" s="48"/>
      <c r="L380" s="37" t="s">
        <v>947</v>
      </c>
      <c r="M380" s="36"/>
    </row>
    <row r="381" spans="1:13" hidden="1" x14ac:dyDescent="0.25">
      <c r="A381" s="39" t="s">
        <v>940</v>
      </c>
      <c r="B381" s="39" t="s">
        <v>939</v>
      </c>
      <c r="C381" s="48"/>
      <c r="D381" s="39">
        <v>38140</v>
      </c>
      <c r="E381" s="39" t="s">
        <v>937</v>
      </c>
      <c r="F381" s="49" t="s">
        <v>101</v>
      </c>
      <c r="G381" s="48"/>
      <c r="H381" s="48"/>
      <c r="I381" s="48"/>
      <c r="J381" s="48"/>
      <c r="K381" s="48"/>
      <c r="L381" s="37" t="s">
        <v>936</v>
      </c>
      <c r="M381" s="36"/>
    </row>
    <row r="382" spans="1:13" hidden="1" x14ac:dyDescent="0.25">
      <c r="A382" s="39" t="s">
        <v>933</v>
      </c>
      <c r="B382" s="39" t="s">
        <v>932</v>
      </c>
      <c r="C382" s="48"/>
      <c r="D382" s="39">
        <v>38340</v>
      </c>
      <c r="E382" s="39" t="s">
        <v>108</v>
      </c>
      <c r="F382" s="49" t="s">
        <v>101</v>
      </c>
      <c r="G382" s="48"/>
      <c r="H382" s="48"/>
      <c r="I382" s="48"/>
      <c r="J382" s="48"/>
      <c r="K382" s="48"/>
      <c r="L382" s="47" t="s">
        <v>930</v>
      </c>
      <c r="M382" s="36"/>
    </row>
    <row r="383" spans="1:13" hidden="1" x14ac:dyDescent="0.25">
      <c r="A383" s="39"/>
      <c r="B383" s="39"/>
      <c r="C383" s="41"/>
      <c r="D383" s="39"/>
      <c r="E383" s="39"/>
      <c r="F383" s="27"/>
      <c r="G383" s="39"/>
      <c r="H383" s="39"/>
      <c r="I383" s="38"/>
      <c r="J383" s="38"/>
      <c r="K383" s="43"/>
      <c r="L383" s="42"/>
      <c r="M383" s="36"/>
    </row>
    <row r="384" spans="1:13" hidden="1" x14ac:dyDescent="0.25">
      <c r="A384" s="39"/>
      <c r="B384" s="39"/>
      <c r="C384" s="41"/>
      <c r="D384" s="39"/>
      <c r="E384" s="39"/>
      <c r="F384" s="27"/>
      <c r="G384" s="39"/>
      <c r="H384" s="39"/>
      <c r="I384" s="38"/>
      <c r="J384" s="38"/>
      <c r="K384" s="43"/>
      <c r="L384" s="42"/>
      <c r="M384" s="36"/>
    </row>
    <row r="385" spans="1:13" hidden="1" x14ac:dyDescent="0.25">
      <c r="A385" s="39"/>
      <c r="B385" s="39"/>
      <c r="C385" s="41"/>
      <c r="D385" s="39"/>
      <c r="E385" s="39"/>
      <c r="F385" s="27"/>
      <c r="G385" s="39"/>
      <c r="H385" s="39"/>
      <c r="I385" s="38"/>
      <c r="J385" s="38"/>
      <c r="K385" s="43"/>
      <c r="L385" s="42"/>
      <c r="M385" s="36"/>
    </row>
    <row r="386" spans="1:13" hidden="1" x14ac:dyDescent="0.25">
      <c r="A386" s="39"/>
      <c r="B386" s="39"/>
      <c r="C386" s="41"/>
      <c r="D386" s="39"/>
      <c r="E386" s="39"/>
      <c r="F386" s="27"/>
      <c r="G386" s="39"/>
      <c r="H386" s="39"/>
      <c r="I386" s="38"/>
      <c r="J386" s="38"/>
      <c r="K386" s="43"/>
      <c r="L386" s="42"/>
      <c r="M386" s="36"/>
    </row>
    <row r="387" spans="1:13" hidden="1" x14ac:dyDescent="0.25">
      <c r="A387" s="39"/>
      <c r="B387" s="39"/>
      <c r="C387" s="41"/>
      <c r="D387" s="39"/>
      <c r="E387" s="39"/>
      <c r="F387" s="27"/>
      <c r="G387" s="39"/>
      <c r="H387" s="39"/>
      <c r="I387" s="38"/>
      <c r="J387" s="38"/>
      <c r="K387" s="43"/>
      <c r="L387" s="42"/>
      <c r="M387" s="36"/>
    </row>
    <row r="388" spans="1:13" hidden="1" x14ac:dyDescent="0.25">
      <c r="A388" s="39"/>
      <c r="B388" s="39"/>
      <c r="C388" s="41"/>
      <c r="D388" s="39"/>
      <c r="E388" s="39"/>
      <c r="F388" s="27"/>
      <c r="G388" s="39"/>
      <c r="H388" s="39"/>
      <c r="I388" s="38"/>
      <c r="J388" s="38"/>
      <c r="K388" s="43"/>
      <c r="L388" s="42"/>
      <c r="M388" s="36"/>
    </row>
    <row r="389" spans="1:13" hidden="1" x14ac:dyDescent="0.25">
      <c r="A389" s="39"/>
      <c r="B389" s="39"/>
      <c r="C389" s="41"/>
      <c r="D389" s="39"/>
      <c r="E389" s="39"/>
      <c r="F389" s="27"/>
      <c r="G389" s="39"/>
      <c r="H389" s="39"/>
      <c r="I389" s="38"/>
      <c r="J389" s="38"/>
      <c r="K389" s="43"/>
      <c r="L389" s="46"/>
      <c r="M389" s="36"/>
    </row>
    <row r="390" spans="1:13" hidden="1" x14ac:dyDescent="0.25">
      <c r="A390" s="39"/>
      <c r="B390" s="39"/>
      <c r="C390" s="41"/>
      <c r="D390" s="39"/>
      <c r="E390" s="39"/>
      <c r="F390" s="27"/>
      <c r="G390" s="39"/>
      <c r="H390" s="39"/>
      <c r="I390" s="38"/>
      <c r="J390" s="38"/>
      <c r="K390" s="43"/>
      <c r="L390" s="46"/>
      <c r="M390" s="36"/>
    </row>
    <row r="391" spans="1:13" hidden="1" x14ac:dyDescent="0.25">
      <c r="A391" s="39"/>
      <c r="B391" s="39"/>
      <c r="C391" s="41"/>
      <c r="D391" s="39"/>
      <c r="E391" s="39"/>
      <c r="F391" s="27"/>
      <c r="G391" s="39"/>
      <c r="H391" s="39"/>
      <c r="I391" s="38"/>
      <c r="J391" s="38"/>
      <c r="K391" s="43"/>
      <c r="L391" s="42"/>
      <c r="M391" s="36"/>
    </row>
    <row r="392" spans="1:13" hidden="1" x14ac:dyDescent="0.25">
      <c r="A392" s="39"/>
      <c r="B392" s="39"/>
      <c r="C392" s="41"/>
      <c r="D392" s="39"/>
      <c r="E392" s="39"/>
      <c r="F392" s="27"/>
      <c r="G392" s="39"/>
      <c r="H392" s="39"/>
      <c r="I392" s="38"/>
      <c r="J392" s="38"/>
      <c r="K392" s="43"/>
      <c r="L392" s="42"/>
      <c r="M392" s="36"/>
    </row>
    <row r="393" spans="1:13" hidden="1" x14ac:dyDescent="0.25">
      <c r="A393" s="39"/>
      <c r="B393" s="39"/>
      <c r="C393" s="41"/>
      <c r="D393" s="39"/>
      <c r="E393" s="39"/>
      <c r="F393" s="27"/>
      <c r="G393" s="39"/>
      <c r="H393" s="39"/>
      <c r="I393" s="38"/>
      <c r="J393" s="38"/>
      <c r="K393" s="43"/>
      <c r="L393" s="42"/>
      <c r="M393" s="36"/>
    </row>
    <row r="394" spans="1:13" hidden="1" x14ac:dyDescent="0.25">
      <c r="A394" s="39"/>
      <c r="B394" s="39"/>
      <c r="C394" s="41"/>
      <c r="D394" s="39"/>
      <c r="E394" s="39"/>
      <c r="F394" s="27"/>
      <c r="G394" s="39"/>
      <c r="H394" s="39"/>
      <c r="I394" s="38"/>
      <c r="J394" s="38"/>
      <c r="K394" s="43"/>
      <c r="L394" s="42"/>
      <c r="M394" s="36"/>
    </row>
    <row r="395" spans="1:13" hidden="1" x14ac:dyDescent="0.25">
      <c r="A395" s="39"/>
      <c r="B395" s="39"/>
      <c r="C395" s="41"/>
      <c r="D395" s="39"/>
      <c r="E395" s="39"/>
      <c r="F395" s="27"/>
      <c r="G395" s="39"/>
      <c r="H395" s="39"/>
      <c r="I395" s="38"/>
      <c r="J395" s="38"/>
      <c r="K395" s="43"/>
      <c r="L395" s="42"/>
      <c r="M395" s="36"/>
    </row>
    <row r="396" spans="1:13" hidden="1" x14ac:dyDescent="0.25">
      <c r="A396" s="39"/>
      <c r="B396" s="39"/>
      <c r="C396" s="41"/>
      <c r="D396" s="39"/>
      <c r="E396" s="39"/>
      <c r="F396" s="27"/>
      <c r="G396" s="39"/>
      <c r="H396" s="39"/>
      <c r="I396" s="38"/>
      <c r="J396" s="38"/>
      <c r="K396" s="43"/>
      <c r="L396" s="45"/>
      <c r="M396" s="36"/>
    </row>
    <row r="397" spans="1:13" hidden="1" x14ac:dyDescent="0.25">
      <c r="A397" s="39"/>
      <c r="B397" s="39"/>
      <c r="C397" s="41"/>
      <c r="D397" s="39"/>
      <c r="E397" s="39"/>
      <c r="F397" s="27"/>
      <c r="G397" s="39"/>
      <c r="H397" s="39"/>
      <c r="I397" s="38"/>
      <c r="J397" s="38"/>
      <c r="K397" s="43"/>
      <c r="L397" s="42"/>
      <c r="M397" s="36"/>
    </row>
    <row r="398" spans="1:13" hidden="1" x14ac:dyDescent="0.25">
      <c r="A398" s="39"/>
      <c r="B398" s="39"/>
      <c r="C398" s="41"/>
      <c r="D398" s="39"/>
      <c r="E398" s="39"/>
      <c r="F398" s="27"/>
      <c r="G398" s="39"/>
      <c r="H398" s="39"/>
      <c r="I398" s="38"/>
      <c r="J398" s="38"/>
      <c r="K398" s="43"/>
      <c r="L398" s="42"/>
      <c r="M398" s="36"/>
    </row>
    <row r="399" spans="1:13" hidden="1" x14ac:dyDescent="0.25">
      <c r="A399" s="39"/>
      <c r="B399" s="39"/>
      <c r="C399" s="41"/>
      <c r="D399" s="39"/>
      <c r="E399" s="39"/>
      <c r="F399" s="44"/>
      <c r="G399" s="39"/>
      <c r="H399" s="39"/>
      <c r="I399" s="38"/>
      <c r="J399" s="38"/>
      <c r="K399" s="43"/>
      <c r="L399" s="42"/>
      <c r="M399" s="36"/>
    </row>
    <row r="400" spans="1:13" hidden="1" x14ac:dyDescent="0.25">
      <c r="A400" s="39"/>
      <c r="B400" s="39"/>
      <c r="C400" s="41"/>
      <c r="D400" s="39"/>
      <c r="E400" s="39"/>
      <c r="F400" s="40"/>
      <c r="G400" s="39"/>
      <c r="H400" s="39"/>
      <c r="I400" s="38"/>
      <c r="J400" s="38"/>
      <c r="K400" s="38"/>
      <c r="L400" s="37"/>
      <c r="M400" s="36"/>
    </row>
    <row r="401" hidden="1" x14ac:dyDescent="0.25"/>
    <row r="402" hidden="1" x14ac:dyDescent="0.25"/>
    <row r="403" hidden="1" x14ac:dyDescent="0.25"/>
  </sheetData>
  <autoFilter ref="A1:AJU403">
    <filterColumn colId="5">
      <filters>
        <filter val="buche"/>
      </filters>
    </filterColumn>
  </autoFilter>
  <hyperlinks>
    <hyperlink ref="L163" r:id="rId1"/>
    <hyperlink ref="L166" r:id="rId2"/>
    <hyperlink ref="L180" r:id="rId3"/>
    <hyperlink ref="L188" r:id="rId4"/>
    <hyperlink ref="L190" r:id="rId5"/>
    <hyperlink ref="L192" r:id="rId6"/>
    <hyperlink ref="L195" r:id="rId7"/>
    <hyperlink ref="L213" r:id="rId8"/>
    <hyperlink ref="L215" r:id="rId9"/>
    <hyperlink ref="L222" r:id="rId10"/>
    <hyperlink ref="L234" r:id="rId11"/>
    <hyperlink ref="L235" r:id="rId12"/>
    <hyperlink ref="L236" r:id="rId13"/>
    <hyperlink ref="L237" r:id="rId14"/>
    <hyperlink ref="L238" r:id="rId15"/>
    <hyperlink ref="L239" r:id="rId16"/>
    <hyperlink ref="L240" r:id="rId17"/>
    <hyperlink ref="L242" r:id="rId18"/>
    <hyperlink ref="L243" r:id="rId19"/>
    <hyperlink ref="L246" r:id="rId20"/>
    <hyperlink ref="L249" r:id="rId21"/>
    <hyperlink ref="L250" r:id="rId22"/>
    <hyperlink ref="L251" r:id="rId23"/>
    <hyperlink ref="L252" r:id="rId24"/>
    <hyperlink ref="L254" r:id="rId25"/>
    <hyperlink ref="L255" r:id="rId26"/>
    <hyperlink ref="L256" r:id="rId27"/>
    <hyperlink ref="L258" r:id="rId28"/>
    <hyperlink ref="L259" r:id="rId29"/>
    <hyperlink ref="L260" r:id="rId30"/>
    <hyperlink ref="L261" r:id="rId31"/>
    <hyperlink ref="L262" r:id="rId32"/>
    <hyperlink ref="L263" r:id="rId33"/>
    <hyperlink ref="L264" r:id="rId34"/>
    <hyperlink ref="L265" r:id="rId35"/>
    <hyperlink ref="L266" r:id="rId36"/>
    <hyperlink ref="L267" r:id="rId37"/>
    <hyperlink ref="L268" r:id="rId38"/>
    <hyperlink ref="L269" r:id="rId39"/>
    <hyperlink ref="L270" r:id="rId40"/>
    <hyperlink ref="L271" r:id="rId41"/>
    <hyperlink ref="L272" r:id="rId42"/>
    <hyperlink ref="L273" r:id="rId43"/>
    <hyperlink ref="L274" r:id="rId44"/>
    <hyperlink ref="L275" r:id="rId45"/>
    <hyperlink ref="L276" r:id="rId46"/>
    <hyperlink ref="L277" r:id="rId47"/>
    <hyperlink ref="L278" r:id="rId48"/>
    <hyperlink ref="L279" r:id="rId49"/>
    <hyperlink ref="L280" r:id="rId50"/>
    <hyperlink ref="L281" r:id="rId51"/>
    <hyperlink ref="L282" r:id="rId52"/>
    <hyperlink ref="L284" r:id="rId53"/>
    <hyperlink ref="L285" r:id="rId54"/>
    <hyperlink ref="L286" r:id="rId55"/>
    <hyperlink ref="L287" r:id="rId56"/>
    <hyperlink ref="L288" r:id="rId57"/>
    <hyperlink ref="L289" r:id="rId58"/>
    <hyperlink ref="L290" r:id="rId59"/>
    <hyperlink ref="L291" r:id="rId60"/>
    <hyperlink ref="L292" r:id="rId61"/>
    <hyperlink ref="L293" r:id="rId62"/>
    <hyperlink ref="L294" r:id="rId63"/>
    <hyperlink ref="L295" r:id="rId64"/>
    <hyperlink ref="L296" r:id="rId65"/>
    <hyperlink ref="L297" r:id="rId66"/>
    <hyperlink ref="L299" r:id="rId67"/>
    <hyperlink ref="L300" r:id="rId68"/>
    <hyperlink ref="L301" r:id="rId69"/>
    <hyperlink ref="L302" r:id="rId70"/>
    <hyperlink ref="L303" r:id="rId71"/>
    <hyperlink ref="L304" r:id="rId72"/>
    <hyperlink ref="L305" r:id="rId73"/>
    <hyperlink ref="L307" r:id="rId74"/>
    <hyperlink ref="L308" r:id="rId75"/>
    <hyperlink ref="L309" r:id="rId76"/>
    <hyperlink ref="L310" r:id="rId77"/>
    <hyperlink ref="L311" r:id="rId78"/>
    <hyperlink ref="L312" r:id="rId79"/>
    <hyperlink ref="L313" r:id="rId80"/>
    <hyperlink ref="L317" r:id="rId81"/>
    <hyperlink ref="L318" r:id="rId82"/>
    <hyperlink ref="L319" r:id="rId83"/>
    <hyperlink ref="L320" r:id="rId84"/>
    <hyperlink ref="L321" r:id="rId85"/>
    <hyperlink ref="L322" r:id="rId86"/>
    <hyperlink ref="L323" r:id="rId87"/>
    <hyperlink ref="L324" r:id="rId88"/>
    <hyperlink ref="L325" r:id="rId89"/>
    <hyperlink ref="L326" r:id="rId90"/>
    <hyperlink ref="L327" r:id="rId91"/>
    <hyperlink ref="L328" r:id="rId92"/>
    <hyperlink ref="L329" r:id="rId93"/>
    <hyperlink ref="L330" r:id="rId94"/>
    <hyperlink ref="L331" r:id="rId95"/>
    <hyperlink ref="L332" r:id="rId96"/>
    <hyperlink ref="L333" r:id="rId97"/>
    <hyperlink ref="L334" r:id="rId98"/>
    <hyperlink ref="L335" r:id="rId99"/>
    <hyperlink ref="L336" r:id="rId100"/>
    <hyperlink ref="L338" r:id="rId101"/>
    <hyperlink ref="L339" r:id="rId102"/>
    <hyperlink ref="L340" r:id="rId103"/>
    <hyperlink ref="L341" r:id="rId104"/>
    <hyperlink ref="L342" r:id="rId105"/>
    <hyperlink ref="L344" r:id="rId106"/>
    <hyperlink ref="L345" r:id="rId107"/>
    <hyperlink ref="L346" r:id="rId108"/>
    <hyperlink ref="L347" r:id="rId109"/>
    <hyperlink ref="L349" r:id="rId110"/>
    <hyperlink ref="L350" r:id="rId111"/>
    <hyperlink ref="L351" r:id="rId112"/>
    <hyperlink ref="L352" r:id="rId113"/>
    <hyperlink ref="L353" r:id="rId114"/>
    <hyperlink ref="L354" r:id="rId115"/>
    <hyperlink ref="L355" r:id="rId116"/>
    <hyperlink ref="L356" r:id="rId117"/>
    <hyperlink ref="L357" r:id="rId118"/>
    <hyperlink ref="L358" r:id="rId119"/>
    <hyperlink ref="L359" r:id="rId120"/>
    <hyperlink ref="L360" r:id="rId121"/>
    <hyperlink ref="L361" r:id="rId122"/>
    <hyperlink ref="L362" r:id="rId123"/>
    <hyperlink ref="L363" r:id="rId124"/>
    <hyperlink ref="L364" r:id="rId125"/>
    <hyperlink ref="L365" r:id="rId126"/>
    <hyperlink ref="L367" r:id="rId127"/>
    <hyperlink ref="L368" r:id="rId128"/>
    <hyperlink ref="L369" r:id="rId129"/>
    <hyperlink ref="L370" r:id="rId130"/>
    <hyperlink ref="L371" r:id="rId131"/>
    <hyperlink ref="L372" r:id="rId132"/>
    <hyperlink ref="L373" r:id="rId133"/>
    <hyperlink ref="L375" r:id="rId134"/>
    <hyperlink ref="L376" r:id="rId135"/>
    <hyperlink ref="L377" r:id="rId136"/>
    <hyperlink ref="L378" r:id="rId137"/>
    <hyperlink ref="L379" r:id="rId138"/>
    <hyperlink ref="L380" r:id="rId139"/>
    <hyperlink ref="L381" r:id="rId140"/>
    <hyperlink ref="L382" r:id="rId141"/>
  </hyperlinks>
  <pageMargins left="0.7" right="0.7" top="0.75" bottom="0.75" header="0.51180555555555496" footer="0.51180555555555496"/>
  <pageSetup paperSize="9" firstPageNumber="0" orientation="portrait" horizontalDpi="300" verticalDpi="300"/>
  <drawing r:id="rId14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workbookViewId="0">
      <selection sqref="A1:C1"/>
    </sheetView>
  </sheetViews>
  <sheetFormatPr baseColWidth="10" defaultRowHeight="15" x14ac:dyDescent="0.25"/>
  <cols>
    <col min="2" max="3" width="8.140625" customWidth="1"/>
    <col min="4" max="4" width="2.28515625" customWidth="1"/>
    <col min="6" max="7" width="8.140625" customWidth="1"/>
    <col min="8" max="8" width="5.7109375" customWidth="1"/>
    <col min="10" max="11" width="8.140625" customWidth="1"/>
    <col min="12" max="12" width="2.28515625" customWidth="1"/>
    <col min="14" max="15" width="8.140625" customWidth="1"/>
  </cols>
  <sheetData>
    <row r="1" spans="1:15" x14ac:dyDescent="0.25">
      <c r="A1" s="277" t="s">
        <v>3684</v>
      </c>
      <c r="B1" s="278"/>
      <c r="C1" s="279"/>
      <c r="D1" s="177"/>
      <c r="E1" s="277" t="s">
        <v>3685</v>
      </c>
      <c r="F1" s="278"/>
      <c r="G1" s="279"/>
      <c r="H1" s="177"/>
      <c r="I1" s="277" t="s">
        <v>3684</v>
      </c>
      <c r="J1" s="278"/>
      <c r="K1" s="279"/>
      <c r="L1" s="177"/>
      <c r="M1" s="277" t="s">
        <v>3685</v>
      </c>
      <c r="N1" s="278"/>
      <c r="O1" s="279"/>
    </row>
    <row r="2" spans="1:15" x14ac:dyDescent="0.25">
      <c r="A2" s="181"/>
      <c r="B2" s="178" t="s">
        <v>3686</v>
      </c>
      <c r="C2" s="182" t="s">
        <v>3687</v>
      </c>
      <c r="D2" s="176"/>
      <c r="E2" s="181"/>
      <c r="F2" s="178" t="s">
        <v>3686</v>
      </c>
      <c r="G2" s="182" t="s">
        <v>3687</v>
      </c>
      <c r="H2" s="176"/>
      <c r="I2" s="181"/>
      <c r="J2" s="178" t="s">
        <v>3686</v>
      </c>
      <c r="K2" s="182" t="s">
        <v>3687</v>
      </c>
      <c r="L2" s="176"/>
      <c r="M2" s="181"/>
      <c r="N2" s="178" t="s">
        <v>3686</v>
      </c>
      <c r="O2" s="182" t="s">
        <v>3687</v>
      </c>
    </row>
    <row r="3" spans="1:15" x14ac:dyDescent="0.25">
      <c r="A3" s="280" t="s">
        <v>3688</v>
      </c>
      <c r="B3" s="281"/>
      <c r="C3" s="282"/>
      <c r="D3" s="180"/>
      <c r="E3" s="280" t="s">
        <v>3688</v>
      </c>
      <c r="F3" s="281"/>
      <c r="G3" s="282"/>
      <c r="H3" s="180"/>
      <c r="I3" s="280" t="s">
        <v>3688</v>
      </c>
      <c r="J3" s="281"/>
      <c r="K3" s="282"/>
      <c r="L3" s="180"/>
      <c r="M3" s="280" t="s">
        <v>3688</v>
      </c>
      <c r="N3" s="281"/>
      <c r="O3" s="282"/>
    </row>
    <row r="4" spans="1:15" x14ac:dyDescent="0.25">
      <c r="A4" s="183"/>
      <c r="B4" s="179"/>
      <c r="C4" s="184"/>
      <c r="D4" s="175"/>
      <c r="E4" s="183"/>
      <c r="F4" s="179"/>
      <c r="G4" s="184"/>
      <c r="H4" s="175"/>
      <c r="I4" s="183"/>
      <c r="J4" s="179"/>
      <c r="K4" s="184"/>
      <c r="L4" s="175"/>
      <c r="M4" s="183"/>
      <c r="N4" s="179"/>
      <c r="O4" s="184"/>
    </row>
    <row r="5" spans="1:15" x14ac:dyDescent="0.25">
      <c r="A5" s="183"/>
      <c r="B5" s="179"/>
      <c r="C5" s="184"/>
      <c r="D5" s="175"/>
      <c r="E5" s="183"/>
      <c r="F5" s="179"/>
      <c r="G5" s="184"/>
      <c r="H5" s="175"/>
      <c r="I5" s="183"/>
      <c r="J5" s="179"/>
      <c r="K5" s="184"/>
      <c r="L5" s="175"/>
      <c r="M5" s="183"/>
      <c r="N5" s="179"/>
      <c r="O5" s="184"/>
    </row>
    <row r="6" spans="1:15" x14ac:dyDescent="0.25">
      <c r="A6" s="183"/>
      <c r="B6" s="179"/>
      <c r="C6" s="184"/>
      <c r="D6" s="175"/>
      <c r="E6" s="183"/>
      <c r="F6" s="179"/>
      <c r="G6" s="184"/>
      <c r="H6" s="175"/>
      <c r="I6" s="183"/>
      <c r="J6" s="179"/>
      <c r="K6" s="184"/>
      <c r="L6" s="175"/>
      <c r="M6" s="183"/>
      <c r="N6" s="179"/>
      <c r="O6" s="184"/>
    </row>
    <row r="7" spans="1:15" x14ac:dyDescent="0.25">
      <c r="A7" s="183"/>
      <c r="B7" s="179"/>
      <c r="C7" s="184"/>
      <c r="D7" s="175"/>
      <c r="E7" s="183"/>
      <c r="F7" s="179"/>
      <c r="G7" s="184"/>
      <c r="H7" s="175"/>
      <c r="I7" s="183"/>
      <c r="J7" s="179"/>
      <c r="K7" s="184"/>
      <c r="L7" s="175"/>
      <c r="M7" s="183"/>
      <c r="N7" s="179"/>
      <c r="O7" s="184"/>
    </row>
    <row r="8" spans="1:15" x14ac:dyDescent="0.25">
      <c r="A8" s="183"/>
      <c r="B8" s="179"/>
      <c r="C8" s="184"/>
      <c r="D8" s="175"/>
      <c r="E8" s="183"/>
      <c r="F8" s="179"/>
      <c r="G8" s="184"/>
      <c r="H8" s="175"/>
      <c r="I8" s="183"/>
      <c r="J8" s="179"/>
      <c r="K8" s="184"/>
      <c r="L8" s="175"/>
      <c r="M8" s="183"/>
      <c r="N8" s="179"/>
      <c r="O8" s="184"/>
    </row>
    <row r="9" spans="1:15" x14ac:dyDescent="0.25">
      <c r="A9" s="183"/>
      <c r="B9" s="179"/>
      <c r="C9" s="184"/>
      <c r="D9" s="175"/>
      <c r="E9" s="183"/>
      <c r="F9" s="179"/>
      <c r="G9" s="184"/>
      <c r="H9" s="175"/>
      <c r="I9" s="183"/>
      <c r="J9" s="179"/>
      <c r="K9" s="184"/>
      <c r="L9" s="175"/>
      <c r="M9" s="183"/>
      <c r="N9" s="179"/>
      <c r="O9" s="184"/>
    </row>
    <row r="10" spans="1:15" x14ac:dyDescent="0.25">
      <c r="A10" s="183"/>
      <c r="B10" s="179"/>
      <c r="C10" s="184"/>
      <c r="D10" s="175"/>
      <c r="E10" s="183"/>
      <c r="F10" s="179"/>
      <c r="G10" s="184"/>
      <c r="H10" s="175"/>
      <c r="I10" s="183"/>
      <c r="J10" s="179"/>
      <c r="K10" s="184"/>
      <c r="L10" s="175"/>
      <c r="M10" s="183"/>
      <c r="N10" s="179"/>
      <c r="O10" s="184"/>
    </row>
    <row r="11" spans="1:15" x14ac:dyDescent="0.25">
      <c r="A11" s="183"/>
      <c r="B11" s="179"/>
      <c r="C11" s="184"/>
      <c r="D11" s="175"/>
      <c r="E11" s="183"/>
      <c r="F11" s="179"/>
      <c r="G11" s="184"/>
      <c r="H11" s="175"/>
      <c r="I11" s="183"/>
      <c r="J11" s="179"/>
      <c r="K11" s="184"/>
      <c r="L11" s="175"/>
      <c r="M11" s="183"/>
      <c r="N11" s="179"/>
      <c r="O11" s="184"/>
    </row>
    <row r="12" spans="1:15" x14ac:dyDescent="0.25">
      <c r="A12" s="183"/>
      <c r="B12" s="179"/>
      <c r="C12" s="184"/>
      <c r="D12" s="175"/>
      <c r="E12" s="183"/>
      <c r="F12" s="179"/>
      <c r="G12" s="184"/>
      <c r="H12" s="175"/>
      <c r="I12" s="183"/>
      <c r="J12" s="179"/>
      <c r="K12" s="184"/>
      <c r="L12" s="175"/>
      <c r="M12" s="183"/>
      <c r="N12" s="179"/>
      <c r="O12" s="184"/>
    </row>
    <row r="13" spans="1:15" x14ac:dyDescent="0.25">
      <c r="A13" s="185"/>
      <c r="B13" s="179"/>
      <c r="C13" s="184"/>
      <c r="D13" s="175"/>
      <c r="E13" s="185"/>
      <c r="F13" s="179"/>
      <c r="G13" s="184"/>
      <c r="H13" s="175"/>
      <c r="I13" s="185"/>
      <c r="J13" s="179"/>
      <c r="K13" s="184"/>
      <c r="L13" s="175"/>
      <c r="M13" s="185"/>
      <c r="N13" s="179"/>
      <c r="O13" s="184"/>
    </row>
    <row r="14" spans="1:15" x14ac:dyDescent="0.25">
      <c r="A14" s="280" t="s">
        <v>3689</v>
      </c>
      <c r="B14" s="281"/>
      <c r="C14" s="282"/>
      <c r="D14" s="180"/>
      <c r="E14" s="280" t="s">
        <v>3689</v>
      </c>
      <c r="F14" s="281"/>
      <c r="G14" s="282"/>
      <c r="H14" s="180"/>
      <c r="I14" s="280" t="s">
        <v>3689</v>
      </c>
      <c r="J14" s="281"/>
      <c r="K14" s="282"/>
      <c r="L14" s="180"/>
      <c r="M14" s="280" t="s">
        <v>3689</v>
      </c>
      <c r="N14" s="281"/>
      <c r="O14" s="282"/>
    </row>
    <row r="15" spans="1:15" x14ac:dyDescent="0.25">
      <c r="A15" s="185"/>
      <c r="B15" s="179"/>
      <c r="C15" s="184"/>
      <c r="D15" s="175"/>
      <c r="E15" s="185"/>
      <c r="F15" s="179"/>
      <c r="G15" s="184"/>
      <c r="H15" s="175"/>
      <c r="I15" s="185"/>
      <c r="J15" s="179"/>
      <c r="K15" s="184"/>
      <c r="L15" s="175"/>
      <c r="M15" s="185"/>
      <c r="N15" s="179"/>
      <c r="O15" s="184"/>
    </row>
    <row r="16" spans="1:15" x14ac:dyDescent="0.25">
      <c r="A16" s="183"/>
      <c r="B16" s="179"/>
      <c r="C16" s="184"/>
      <c r="D16" s="175"/>
      <c r="E16" s="183"/>
      <c r="F16" s="179"/>
      <c r="G16" s="184"/>
      <c r="H16" s="175"/>
      <c r="I16" s="183"/>
      <c r="J16" s="179"/>
      <c r="K16" s="184"/>
      <c r="L16" s="175"/>
      <c r="M16" s="183"/>
      <c r="N16" s="179"/>
      <c r="O16" s="184"/>
    </row>
    <row r="17" spans="1:15" x14ac:dyDescent="0.25">
      <c r="A17" s="183"/>
      <c r="B17" s="179"/>
      <c r="C17" s="184"/>
      <c r="D17" s="175"/>
      <c r="E17" s="183"/>
      <c r="F17" s="179"/>
      <c r="G17" s="184"/>
      <c r="H17" s="175"/>
      <c r="I17" s="183"/>
      <c r="J17" s="179"/>
      <c r="K17" s="184"/>
      <c r="L17" s="175"/>
      <c r="M17" s="183"/>
      <c r="N17" s="179"/>
      <c r="O17" s="184"/>
    </row>
    <row r="18" spans="1:15" x14ac:dyDescent="0.25">
      <c r="A18" s="183"/>
      <c r="B18" s="179"/>
      <c r="C18" s="184"/>
      <c r="D18" s="175"/>
      <c r="E18" s="183"/>
      <c r="F18" s="179"/>
      <c r="G18" s="184"/>
      <c r="H18" s="175"/>
      <c r="I18" s="183"/>
      <c r="J18" s="179"/>
      <c r="K18" s="184"/>
      <c r="L18" s="175"/>
      <c r="M18" s="183"/>
      <c r="N18" s="179"/>
      <c r="O18" s="184"/>
    </row>
    <row r="19" spans="1:15" x14ac:dyDescent="0.25">
      <c r="A19" s="183"/>
      <c r="B19" s="179"/>
      <c r="C19" s="184"/>
      <c r="D19" s="175"/>
      <c r="E19" s="183"/>
      <c r="F19" s="179"/>
      <c r="G19" s="184"/>
      <c r="H19" s="175"/>
      <c r="I19" s="183"/>
      <c r="J19" s="179"/>
      <c r="K19" s="184"/>
      <c r="L19" s="175"/>
      <c r="M19" s="183"/>
      <c r="N19" s="179"/>
      <c r="O19" s="184"/>
    </row>
    <row r="20" spans="1:15" x14ac:dyDescent="0.25">
      <c r="A20" s="183"/>
      <c r="B20" s="179"/>
      <c r="C20" s="184"/>
      <c r="D20" s="175"/>
      <c r="E20" s="183"/>
      <c r="F20" s="179"/>
      <c r="G20" s="184"/>
      <c r="H20" s="175"/>
      <c r="I20" s="183"/>
      <c r="J20" s="179"/>
      <c r="K20" s="184"/>
      <c r="L20" s="175"/>
      <c r="M20" s="183"/>
      <c r="N20" s="179"/>
      <c r="O20" s="184"/>
    </row>
    <row r="21" spans="1:15" x14ac:dyDescent="0.25">
      <c r="A21" s="183"/>
      <c r="B21" s="179"/>
      <c r="C21" s="184"/>
      <c r="D21" s="175"/>
      <c r="E21" s="183"/>
      <c r="F21" s="179"/>
      <c r="G21" s="184"/>
      <c r="H21" s="175"/>
      <c r="I21" s="183"/>
      <c r="J21" s="179"/>
      <c r="K21" s="184"/>
      <c r="L21" s="175"/>
      <c r="M21" s="183"/>
      <c r="N21" s="179"/>
      <c r="O21" s="184"/>
    </row>
    <row r="22" spans="1:15" x14ac:dyDescent="0.25">
      <c r="A22" s="183"/>
      <c r="B22" s="179"/>
      <c r="C22" s="184"/>
      <c r="D22" s="175"/>
      <c r="E22" s="183"/>
      <c r="F22" s="179"/>
      <c r="G22" s="184"/>
      <c r="H22" s="175"/>
      <c r="I22" s="183"/>
      <c r="J22" s="179"/>
      <c r="K22" s="184"/>
      <c r="L22" s="175"/>
      <c r="M22" s="183"/>
      <c r="N22" s="179"/>
      <c r="O22" s="184"/>
    </row>
    <row r="23" spans="1:15" x14ac:dyDescent="0.25">
      <c r="A23" s="183"/>
      <c r="B23" s="179"/>
      <c r="C23" s="184"/>
      <c r="D23" s="175"/>
      <c r="E23" s="183"/>
      <c r="F23" s="179"/>
      <c r="G23" s="184"/>
      <c r="H23" s="175"/>
      <c r="I23" s="183"/>
      <c r="J23" s="179"/>
      <c r="K23" s="184"/>
      <c r="L23" s="175"/>
      <c r="M23" s="183"/>
      <c r="N23" s="179"/>
      <c r="O23" s="184"/>
    </row>
    <row r="24" spans="1:15" x14ac:dyDescent="0.25">
      <c r="A24" s="183"/>
      <c r="B24" s="179"/>
      <c r="C24" s="184"/>
      <c r="D24" s="175"/>
      <c r="E24" s="183"/>
      <c r="F24" s="179"/>
      <c r="G24" s="184"/>
      <c r="H24" s="175"/>
      <c r="I24" s="183"/>
      <c r="J24" s="179"/>
      <c r="K24" s="184"/>
      <c r="L24" s="175"/>
      <c r="M24" s="183"/>
      <c r="N24" s="179"/>
      <c r="O24" s="184"/>
    </row>
    <row r="25" spans="1:15" x14ac:dyDescent="0.25">
      <c r="A25" s="185"/>
      <c r="B25" s="179"/>
      <c r="C25" s="184"/>
      <c r="D25" s="175"/>
      <c r="E25" s="185"/>
      <c r="F25" s="179"/>
      <c r="G25" s="184"/>
      <c r="H25" s="175"/>
      <c r="I25" s="185"/>
      <c r="J25" s="179"/>
      <c r="K25" s="184"/>
      <c r="L25" s="175"/>
      <c r="M25" s="185"/>
      <c r="N25" s="179"/>
      <c r="O25" s="184"/>
    </row>
    <row r="26" spans="1:15" x14ac:dyDescent="0.25">
      <c r="A26" s="280" t="s">
        <v>3690</v>
      </c>
      <c r="B26" s="281"/>
      <c r="C26" s="282"/>
      <c r="D26" s="180"/>
      <c r="E26" s="280" t="s">
        <v>3690</v>
      </c>
      <c r="F26" s="281"/>
      <c r="G26" s="282"/>
      <c r="H26" s="180"/>
      <c r="I26" s="280" t="s">
        <v>3690</v>
      </c>
      <c r="J26" s="281"/>
      <c r="K26" s="282"/>
      <c r="L26" s="180"/>
      <c r="M26" s="280" t="s">
        <v>3690</v>
      </c>
      <c r="N26" s="281"/>
      <c r="O26" s="282"/>
    </row>
    <row r="27" spans="1:15" x14ac:dyDescent="0.25">
      <c r="A27" s="183"/>
      <c r="B27" s="179"/>
      <c r="C27" s="184"/>
      <c r="D27" s="175"/>
      <c r="E27" s="183"/>
      <c r="F27" s="179"/>
      <c r="G27" s="184"/>
      <c r="H27" s="175"/>
      <c r="I27" s="183"/>
      <c r="J27" s="179"/>
      <c r="K27" s="184"/>
      <c r="L27" s="175"/>
      <c r="M27" s="183"/>
      <c r="N27" s="179"/>
      <c r="O27" s="184"/>
    </row>
    <row r="28" spans="1:15" x14ac:dyDescent="0.25">
      <c r="A28" s="183"/>
      <c r="B28" s="179"/>
      <c r="C28" s="184"/>
      <c r="D28" s="175"/>
      <c r="E28" s="183"/>
      <c r="F28" s="179"/>
      <c r="G28" s="184"/>
      <c r="H28" s="175"/>
      <c r="I28" s="183"/>
      <c r="J28" s="179"/>
      <c r="K28" s="184"/>
      <c r="L28" s="175"/>
      <c r="M28" s="183"/>
      <c r="N28" s="179"/>
      <c r="O28" s="184"/>
    </row>
    <row r="29" spans="1:15" x14ac:dyDescent="0.25">
      <c r="A29" s="183"/>
      <c r="B29" s="179"/>
      <c r="C29" s="184"/>
      <c r="D29" s="175"/>
      <c r="E29" s="183"/>
      <c r="F29" s="179"/>
      <c r="G29" s="184"/>
      <c r="H29" s="175"/>
      <c r="I29" s="183"/>
      <c r="J29" s="179"/>
      <c r="K29" s="184"/>
      <c r="L29" s="175"/>
      <c r="M29" s="183"/>
      <c r="N29" s="179"/>
      <c r="O29" s="184"/>
    </row>
    <row r="30" spans="1:15" x14ac:dyDescent="0.25">
      <c r="A30" s="185"/>
      <c r="B30" s="179"/>
      <c r="C30" s="184"/>
      <c r="D30" s="175"/>
      <c r="E30" s="185"/>
      <c r="F30" s="179"/>
      <c r="G30" s="184"/>
      <c r="H30" s="175"/>
      <c r="I30" s="185"/>
      <c r="J30" s="179"/>
      <c r="K30" s="184"/>
      <c r="L30" s="175"/>
      <c r="M30" s="185"/>
      <c r="N30" s="179"/>
      <c r="O30" s="184"/>
    </row>
    <row r="31" spans="1:15" x14ac:dyDescent="0.25">
      <c r="A31" s="183"/>
      <c r="B31" s="179"/>
      <c r="C31" s="184"/>
      <c r="D31" s="175"/>
      <c r="E31" s="183"/>
      <c r="F31" s="179"/>
      <c r="G31" s="184"/>
      <c r="H31" s="175"/>
      <c r="I31" s="183"/>
      <c r="J31" s="179"/>
      <c r="K31" s="184"/>
      <c r="L31" s="175"/>
      <c r="M31" s="183"/>
      <c r="N31" s="179"/>
      <c r="O31" s="184"/>
    </row>
    <row r="32" spans="1:15" x14ac:dyDescent="0.25">
      <c r="A32" s="185"/>
      <c r="B32" s="179"/>
      <c r="C32" s="184"/>
      <c r="D32" s="175"/>
      <c r="E32" s="187"/>
      <c r="F32" s="186"/>
      <c r="G32" s="188"/>
      <c r="H32" s="175"/>
      <c r="I32" s="185"/>
      <c r="J32" s="179"/>
      <c r="K32" s="184"/>
      <c r="L32" s="175"/>
      <c r="M32" s="187"/>
      <c r="N32" s="186"/>
      <c r="O32" s="188"/>
    </row>
    <row r="33" spans="1:15" ht="15.75" thickBot="1" x14ac:dyDescent="0.3">
      <c r="A33" s="283" t="s">
        <v>3691</v>
      </c>
      <c r="B33" s="284"/>
      <c r="C33" s="285"/>
      <c r="D33" s="180"/>
      <c r="E33" s="283" t="s">
        <v>3691</v>
      </c>
      <c r="F33" s="284"/>
      <c r="G33" s="285"/>
      <c r="H33" s="180"/>
      <c r="I33" s="283" t="s">
        <v>3691</v>
      </c>
      <c r="J33" s="284"/>
      <c r="K33" s="285"/>
      <c r="L33" s="180"/>
      <c r="M33" s="283" t="s">
        <v>3691</v>
      </c>
      <c r="N33" s="284"/>
      <c r="O33" s="285"/>
    </row>
  </sheetData>
  <mergeCells count="20">
    <mergeCell ref="M1:O1"/>
    <mergeCell ref="M3:O3"/>
    <mergeCell ref="M14:O14"/>
    <mergeCell ref="M26:O26"/>
    <mergeCell ref="M33:O33"/>
    <mergeCell ref="A1:C1"/>
    <mergeCell ref="A3:C3"/>
    <mergeCell ref="A14:C14"/>
    <mergeCell ref="E1:G1"/>
    <mergeCell ref="I33:K33"/>
    <mergeCell ref="I1:K1"/>
    <mergeCell ref="I26:K26"/>
    <mergeCell ref="E33:G33"/>
    <mergeCell ref="A26:C26"/>
    <mergeCell ref="A33:C33"/>
    <mergeCell ref="E26:G26"/>
    <mergeCell ref="E3:G3"/>
    <mergeCell ref="I3:K3"/>
    <mergeCell ref="E14:G14"/>
    <mergeCell ref="I14:K14"/>
  </mergeCells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BD</vt:lpstr>
      <vt:lpstr>RFR</vt:lpstr>
      <vt:lpstr>Stats</vt:lpstr>
      <vt:lpstr>fiche_suivi</vt:lpstr>
      <vt:lpstr>mailing_atelier</vt:lpstr>
      <vt:lpstr>suivi</vt:lpstr>
    </vt:vector>
  </TitlesOfParts>
  <Company>HP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CHATELIN</dc:creator>
  <cp:lastModifiedBy>Daniel</cp:lastModifiedBy>
  <cp:lastPrinted>2020-06-11T16:12:59Z</cp:lastPrinted>
  <dcterms:created xsi:type="dcterms:W3CDTF">2019-06-26T13:17:23Z</dcterms:created>
  <dcterms:modified xsi:type="dcterms:W3CDTF">2024-05-21T08:32:36Z</dcterms:modified>
</cp:coreProperties>
</file>