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mace\PAB\Projet Bois-buche\data\1_Source\"/>
    </mc:Choice>
  </mc:AlternateContent>
  <bookViews>
    <workbookView xWindow="0" yWindow="0" windowWidth="19200" windowHeight="11460" tabRatio="498"/>
  </bookViews>
  <sheets>
    <sheet name="BD" sheetId="1" r:id="rId1"/>
    <sheet name="RFR" sheetId="8" r:id="rId2"/>
    <sheet name="RFR 2" sheetId="7" state="hidden" r:id="rId3"/>
    <sheet name="Stats" sheetId="2" r:id="rId4"/>
    <sheet name="fiche_suivi" sheetId="3" r:id="rId5"/>
    <sheet name="Avancement dossier pour accueil" sheetId="4" r:id="rId6"/>
    <sheet name="Données" sheetId="5" r:id="rId7"/>
  </sheets>
  <definedNames>
    <definedName name="_xlnm._FilterDatabase" localSheetId="0" hidden="1">BD!$A$3:$BQ$795</definedName>
    <definedName name="adresse_ville">BD!$AA$3</definedName>
  </definedName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I731" i="1" l="1"/>
  <c r="BF6" i="1" l="1"/>
  <c r="BG6" i="1" s="1"/>
  <c r="BH6" i="1" l="1"/>
  <c r="BC7" i="1"/>
  <c r="BE7" i="1"/>
  <c r="BF7" i="1" l="1"/>
  <c r="BG7" i="1" s="1"/>
  <c r="BH7" i="1" s="1"/>
  <c r="BF8" i="1"/>
  <c r="BG8" i="1" s="1"/>
  <c r="BH8" i="1" l="1"/>
  <c r="BC9" i="1"/>
  <c r="BF9" i="1"/>
  <c r="BG9" i="1" s="1"/>
  <c r="BH9" i="1" s="1"/>
  <c r="BC10" i="1"/>
  <c r="BE10" i="1"/>
  <c r="BF10" i="1" l="1"/>
  <c r="BG10" i="1" s="1"/>
  <c r="BH10" i="1" s="1"/>
  <c r="BC11" i="1"/>
  <c r="BE11" i="1"/>
  <c r="BF11" i="1" l="1"/>
  <c r="BG11" i="1" s="1"/>
  <c r="BH11" i="1" s="1"/>
  <c r="BC12" i="1"/>
  <c r="BE12" i="1"/>
  <c r="BF12" i="1" l="1"/>
  <c r="BG12" i="1" s="1"/>
  <c r="BF13" i="1"/>
  <c r="BH12" i="1" l="1"/>
  <c r="BG13" i="1"/>
  <c r="BH13" i="1" s="1"/>
  <c r="BC14" i="1"/>
  <c r="BF14" i="1"/>
  <c r="BG14" i="1" s="1"/>
  <c r="BH14" i="1" l="1"/>
  <c r="BC15" i="1"/>
  <c r="BF15" i="1"/>
  <c r="BG15" i="1" s="1"/>
  <c r="BC16" i="1"/>
  <c r="BE16" i="1"/>
  <c r="BC17" i="1"/>
  <c r="BF17" i="1" s="1"/>
  <c r="BG17" i="1" s="1"/>
  <c r="BH17" i="1" s="1"/>
  <c r="BC18" i="1"/>
  <c r="BE18" i="1"/>
  <c r="BC19" i="1"/>
  <c r="BF19" i="1"/>
  <c r="BG19" i="1" s="1"/>
  <c r="BH19" i="1" s="1"/>
  <c r="BC20" i="1"/>
  <c r="BF20" i="1"/>
  <c r="BG20" i="1" s="1"/>
  <c r="BC21" i="1"/>
  <c r="BE21" i="1"/>
  <c r="BF22" i="1"/>
  <c r="BG22" i="1" s="1"/>
  <c r="BC23" i="1"/>
  <c r="BE23" i="1"/>
  <c r="BC24" i="1"/>
  <c r="BE24" i="1"/>
  <c r="BC25" i="1"/>
  <c r="BE25" i="1"/>
  <c r="BC26" i="1"/>
  <c r="BF26" i="1"/>
  <c r="BG26" i="1" s="1"/>
  <c r="BC27" i="1"/>
  <c r="BE27" i="1"/>
  <c r="BC28" i="1"/>
  <c r="BF28" i="1" s="1"/>
  <c r="BF16" i="1" l="1"/>
  <c r="BG16" i="1" s="1"/>
  <c r="BH16" i="1" s="1"/>
  <c r="BF24" i="1"/>
  <c r="BG24" i="1" s="1"/>
  <c r="BF25" i="1"/>
  <c r="BG25" i="1" s="1"/>
  <c r="BF27" i="1"/>
  <c r="BG27" i="1" s="1"/>
  <c r="BF21" i="1"/>
  <c r="BG21" i="1" s="1"/>
  <c r="BH21" i="1" s="1"/>
  <c r="BF23" i="1"/>
  <c r="BG23" i="1" s="1"/>
  <c r="BH23" i="1" s="1"/>
  <c r="BF18" i="1"/>
  <c r="BG18" i="1" s="1"/>
  <c r="BH18" i="1" s="1"/>
  <c r="BH22" i="1"/>
  <c r="BH20" i="1"/>
  <c r="BH15" i="1"/>
  <c r="BH26" i="1"/>
  <c r="BG28" i="1"/>
  <c r="BH28" i="1" s="1"/>
  <c r="BC29" i="1"/>
  <c r="BF29" i="1" s="1"/>
  <c r="BH27" i="1" l="1"/>
  <c r="BH24" i="1"/>
  <c r="BH25" i="1"/>
  <c r="BG29" i="1"/>
  <c r="BH29" i="1" s="1"/>
  <c r="BC30" i="1"/>
  <c r="BE30" i="1"/>
  <c r="BF30" i="1"/>
  <c r="BG30" i="1" s="1"/>
  <c r="BH30" i="1" l="1"/>
  <c r="BC31" i="1"/>
  <c r="BE31" i="1"/>
  <c r="BF31" i="1" l="1"/>
  <c r="BG31" i="1" s="1"/>
  <c r="BH31" i="1" s="1"/>
  <c r="BC32" i="1"/>
  <c r="BF32" i="1" s="1"/>
  <c r="BG32" i="1" l="1"/>
  <c r="BH32" i="1" s="1"/>
  <c r="BC33" i="1"/>
  <c r="BE33" i="1"/>
  <c r="BF33" i="1" l="1"/>
  <c r="BG33" i="1" s="1"/>
  <c r="BH33" i="1" s="1"/>
  <c r="BC34" i="1"/>
  <c r="BE34" i="1"/>
  <c r="BF34" i="1" s="1"/>
  <c r="BG34" i="1" s="1"/>
  <c r="BC35" i="1"/>
  <c r="BE35" i="1"/>
  <c r="BH34" i="1" l="1"/>
  <c r="BF35" i="1"/>
  <c r="BG35" i="1" s="1"/>
  <c r="BH35" i="1" s="1"/>
  <c r="BC36" i="1"/>
  <c r="BE36" i="1"/>
  <c r="BF36" i="1" l="1"/>
  <c r="BG36" i="1" s="1"/>
  <c r="BH36" i="1" s="1"/>
  <c r="BC37" i="1"/>
  <c r="BF37" i="1"/>
  <c r="BG37" i="1" s="1"/>
  <c r="BH37" i="1" l="1"/>
  <c r="BC38" i="1"/>
  <c r="BE38" i="1"/>
  <c r="BF38" i="1"/>
  <c r="BG38" i="1" s="1"/>
  <c r="BH38" i="1" l="1"/>
  <c r="BF39" i="1"/>
  <c r="BG39" i="1" s="1"/>
  <c r="BC40" i="1"/>
  <c r="BE40" i="1"/>
  <c r="BF40" i="1" l="1"/>
  <c r="BG40" i="1" s="1"/>
  <c r="BH40" i="1" s="1"/>
  <c r="BH39" i="1"/>
  <c r="BC41" i="1"/>
  <c r="BE41" i="1"/>
  <c r="BF41" i="1" s="1"/>
  <c r="BG41" i="1" s="1"/>
  <c r="BH41" i="1" l="1"/>
  <c r="BF42" i="1"/>
  <c r="BG42" i="1" s="1"/>
  <c r="BC43" i="1"/>
  <c r="BF43" i="1" s="1"/>
  <c r="BH42" i="1" l="1"/>
  <c r="BG43" i="1"/>
  <c r="BH43" i="1" s="1"/>
  <c r="BC44" i="1"/>
  <c r="BE44" i="1"/>
  <c r="BF44" i="1" l="1"/>
  <c r="BG44" i="1" s="1"/>
  <c r="BC45" i="1"/>
  <c r="BF45" i="1" s="1"/>
  <c r="BG45" i="1" s="1"/>
  <c r="BH45" i="1" s="1"/>
  <c r="BC46" i="1"/>
  <c r="BF46" i="1" s="1"/>
  <c r="BH44" i="1" l="1"/>
  <c r="BG46" i="1"/>
  <c r="BH46" i="1" s="1"/>
  <c r="BC47" i="1"/>
  <c r="BE47" i="1"/>
  <c r="BF47" i="1" l="1"/>
  <c r="BG47" i="1" s="1"/>
  <c r="BC48" i="1"/>
  <c r="BF48" i="1" s="1"/>
  <c r="BH47" i="1" l="1"/>
  <c r="BG48" i="1"/>
  <c r="BH48" i="1" s="1"/>
  <c r="BC49" i="1"/>
  <c r="BE49" i="1"/>
  <c r="BF49" i="1" l="1"/>
  <c r="BG49" i="1" s="1"/>
  <c r="BH49" i="1" s="1"/>
  <c r="BC50" i="1"/>
  <c r="BE50" i="1"/>
  <c r="BF50" i="1" l="1"/>
  <c r="BG50" i="1" s="1"/>
  <c r="BC51" i="1"/>
  <c r="BE51" i="1"/>
  <c r="BH50" i="1" l="1"/>
  <c r="BF51" i="1"/>
  <c r="BG51" i="1" s="1"/>
  <c r="BH51" i="1" s="1"/>
  <c r="BC52" i="1"/>
  <c r="BF52" i="1" s="1"/>
  <c r="BG52" i="1" s="1"/>
  <c r="BH52" i="1" l="1"/>
  <c r="BC53" i="1"/>
  <c r="BF53" i="1"/>
  <c r="BG53" i="1" s="1"/>
  <c r="BC54" i="1"/>
  <c r="BF54" i="1" s="1"/>
  <c r="BE54" i="1"/>
  <c r="BC55" i="1"/>
  <c r="BF55" i="1" s="1"/>
  <c r="BH53" i="1" l="1"/>
  <c r="BG54" i="1"/>
  <c r="BH54" i="1" s="1"/>
  <c r="BG55" i="1"/>
  <c r="BH55" i="1" s="1"/>
  <c r="BC56" i="1"/>
  <c r="BF56" i="1" s="1"/>
  <c r="BG56" i="1" l="1"/>
  <c r="BH56" i="1" s="1"/>
  <c r="BC57" i="1"/>
  <c r="BF57" i="1" s="1"/>
  <c r="BG57" i="1" l="1"/>
  <c r="BH57" i="1" s="1"/>
  <c r="BC58" i="1"/>
  <c r="BF58" i="1" s="1"/>
  <c r="BG58" i="1" l="1"/>
  <c r="BH58" i="1" s="1"/>
  <c r="BC59" i="1"/>
  <c r="BF59" i="1" s="1"/>
  <c r="BG59" i="1" l="1"/>
  <c r="BH59" i="1" s="1"/>
  <c r="BC60" i="1"/>
  <c r="BF60" i="1" s="1"/>
  <c r="BG60" i="1" l="1"/>
  <c r="BH60" i="1" s="1"/>
  <c r="BC61" i="1"/>
  <c r="BE61" i="1"/>
  <c r="BF61" i="1" l="1"/>
  <c r="BG61" i="1" s="1"/>
  <c r="BH61" i="1" s="1"/>
  <c r="BC62" i="1"/>
  <c r="BF62" i="1" s="1"/>
  <c r="BG62" i="1" s="1"/>
  <c r="BH62" i="1" l="1"/>
  <c r="BC63" i="1"/>
  <c r="BF63" i="1" s="1"/>
  <c r="W64" i="1"/>
  <c r="BC64" i="1"/>
  <c r="BE64" i="1"/>
  <c r="BG63" i="1" l="1"/>
  <c r="BH63" i="1" s="1"/>
  <c r="BF64" i="1"/>
  <c r="BG64" i="1" s="1"/>
  <c r="BC65" i="1"/>
  <c r="BE65" i="1"/>
  <c r="BF65" i="1" l="1"/>
  <c r="BG65" i="1" s="1"/>
  <c r="BH65" i="1" s="1"/>
  <c r="BH64" i="1"/>
  <c r="BC66" i="1"/>
  <c r="BE66" i="1"/>
  <c r="BF66" i="1" l="1"/>
  <c r="BG66" i="1" s="1"/>
  <c r="BC67" i="1"/>
  <c r="BF67" i="1"/>
  <c r="BG67" i="1" s="1"/>
  <c r="BH66" i="1" l="1"/>
  <c r="BH67" i="1"/>
  <c r="BC68" i="1"/>
  <c r="BE68" i="1"/>
  <c r="BF68" i="1" s="1"/>
  <c r="BG68" i="1" l="1"/>
  <c r="BH68" i="1" s="1"/>
  <c r="BC69" i="1"/>
  <c r="BE69" i="1"/>
  <c r="BF69" i="1" l="1"/>
  <c r="BG69" i="1" s="1"/>
  <c r="BH69" i="1" s="1"/>
  <c r="BC70" i="1"/>
  <c r="BF70" i="1"/>
  <c r="BG70" i="1" s="1"/>
  <c r="BH70" i="1" l="1"/>
  <c r="BC71" i="1"/>
  <c r="BE71" i="1"/>
  <c r="BF71" i="1"/>
  <c r="BG71" i="1" s="1"/>
  <c r="BH71" i="1" l="1"/>
  <c r="BC72" i="1"/>
  <c r="BF72" i="1"/>
  <c r="BG72" i="1" s="1"/>
  <c r="BC73" i="1"/>
  <c r="BF73" i="1" s="1"/>
  <c r="BC74" i="1"/>
  <c r="BE74" i="1"/>
  <c r="BH72" i="1" l="1"/>
  <c r="BG73" i="1"/>
  <c r="BH73" i="1" s="1"/>
  <c r="BF74" i="1"/>
  <c r="BG74" i="1" s="1"/>
  <c r="BH74" i="1" s="1"/>
  <c r="BC75" i="1"/>
  <c r="BF75" i="1" s="1"/>
  <c r="BG75" i="1" l="1"/>
  <c r="BH75" i="1" s="1"/>
  <c r="BC76" i="1"/>
  <c r="BE76" i="1"/>
  <c r="BF76" i="1" l="1"/>
  <c r="BG76" i="1" s="1"/>
  <c r="BC77" i="1"/>
  <c r="BE77" i="1"/>
  <c r="BH76" i="1" l="1"/>
  <c r="BF77" i="1"/>
  <c r="BG77" i="1" s="1"/>
  <c r="BH77" i="1" s="1"/>
  <c r="BC78" i="1"/>
  <c r="BF78" i="1"/>
  <c r="BG78" i="1" s="1"/>
  <c r="BH78" i="1" l="1"/>
  <c r="BC79" i="1"/>
  <c r="BF79" i="1" s="1"/>
  <c r="BG79" i="1" l="1"/>
  <c r="BH79" i="1" s="1"/>
  <c r="BC80" i="1"/>
  <c r="BF80" i="1"/>
  <c r="BG80" i="1" s="1"/>
  <c r="BH80" i="1" l="1"/>
  <c r="BC81" i="1"/>
  <c r="BE81" i="1"/>
  <c r="BF81" i="1"/>
  <c r="BG81" i="1" s="1"/>
  <c r="BH81" i="1" l="1"/>
  <c r="BC82" i="1"/>
  <c r="BE82" i="1"/>
  <c r="BF82" i="1" s="1"/>
  <c r="BG82" i="1" s="1"/>
  <c r="BH82" i="1" l="1"/>
  <c r="BC83" i="1"/>
  <c r="BF83" i="1"/>
  <c r="BG83" i="1" s="1"/>
  <c r="BC84" i="1"/>
  <c r="BE84" i="1"/>
  <c r="BF84" i="1" l="1"/>
  <c r="BG84" i="1" s="1"/>
  <c r="BH84" i="1" s="1"/>
  <c r="BH83" i="1"/>
  <c r="BC85" i="1"/>
  <c r="BE85" i="1"/>
  <c r="BF85" i="1" l="1"/>
  <c r="BG85" i="1" s="1"/>
  <c r="BC86" i="1"/>
  <c r="BE86" i="1"/>
  <c r="BC87" i="1"/>
  <c r="BE87" i="1"/>
  <c r="BF87" i="1" l="1"/>
  <c r="BH85" i="1"/>
  <c r="BF86" i="1"/>
  <c r="BG86" i="1" s="1"/>
  <c r="BH86" i="1" s="1"/>
  <c r="BG87" i="1"/>
  <c r="BH87" i="1" s="1"/>
  <c r="BC88" i="1"/>
  <c r="BF88" i="1" s="1"/>
  <c r="BG88" i="1" s="1"/>
  <c r="BC89" i="1"/>
  <c r="BE89" i="1"/>
  <c r="BC90" i="1"/>
  <c r="BF90" i="1" s="1"/>
  <c r="BG90" i="1" s="1"/>
  <c r="BH90" i="1" s="1"/>
  <c r="BC91" i="1"/>
  <c r="BE91" i="1"/>
  <c r="BC92" i="1"/>
  <c r="BE92" i="1"/>
  <c r="BC93" i="1"/>
  <c r="BE93" i="1"/>
  <c r="BF93" i="1" s="1"/>
  <c r="BF91" i="1" l="1"/>
  <c r="BF92" i="1"/>
  <c r="BG92" i="1" s="1"/>
  <c r="BH92" i="1" s="1"/>
  <c r="BF89" i="1"/>
  <c r="BG89" i="1" s="1"/>
  <c r="BH89" i="1" s="1"/>
  <c r="BH88" i="1"/>
  <c r="BG91" i="1"/>
  <c r="BH91" i="1" s="1"/>
  <c r="BG93" i="1"/>
  <c r="BH93" i="1" s="1"/>
  <c r="BC94" i="1"/>
  <c r="BF94" i="1"/>
  <c r="BG94" i="1" s="1"/>
  <c r="BH94" i="1" l="1"/>
  <c r="BC95" i="1"/>
  <c r="BE95" i="1"/>
  <c r="BF95" i="1"/>
  <c r="BG95" i="1" s="1"/>
  <c r="BH95" i="1" l="1"/>
  <c r="BC96" i="1"/>
  <c r="BE96" i="1"/>
  <c r="BF96" i="1" l="1"/>
  <c r="BG96" i="1" s="1"/>
  <c r="BC97" i="1"/>
  <c r="BE97" i="1"/>
  <c r="BF97" i="1"/>
  <c r="BG97" i="1" s="1"/>
  <c r="BH96" i="1" l="1"/>
  <c r="BH97" i="1"/>
  <c r="BC98" i="1"/>
  <c r="BE98" i="1"/>
  <c r="BF98" i="1"/>
  <c r="BG98" i="1" s="1"/>
  <c r="V99" i="1"/>
  <c r="BH98" i="1" l="1"/>
  <c r="BC99" i="1"/>
  <c r="BF99" i="1" s="1"/>
  <c r="BG99" i="1" l="1"/>
  <c r="BH99" i="1" s="1"/>
  <c r="BC100" i="1"/>
  <c r="BE100" i="1"/>
  <c r="BF100" i="1"/>
  <c r="BG100" i="1" s="1"/>
  <c r="BH100" i="1" l="1"/>
  <c r="BC101" i="1"/>
  <c r="BE101" i="1"/>
  <c r="BF101" i="1"/>
  <c r="BG101" i="1" s="1"/>
  <c r="BH101" i="1" l="1"/>
  <c r="BC102" i="1"/>
  <c r="BE102" i="1"/>
  <c r="BF102" i="1"/>
  <c r="BG102" i="1" s="1"/>
  <c r="BH102" i="1" l="1"/>
  <c r="BC103" i="1"/>
  <c r="BE103" i="1"/>
  <c r="BF103" i="1" l="1"/>
  <c r="BG103" i="1" s="1"/>
  <c r="BH103" i="1" s="1"/>
  <c r="BC104" i="1"/>
  <c r="BF104" i="1" s="1"/>
  <c r="BC105" i="1"/>
  <c r="BF105" i="1"/>
  <c r="BG105" i="1" s="1"/>
  <c r="BH105" i="1" s="1"/>
  <c r="BC106" i="1"/>
  <c r="BF106" i="1" s="1"/>
  <c r="BG104" i="1" l="1"/>
  <c r="BH104" i="1" s="1"/>
  <c r="BG106" i="1"/>
  <c r="BH106" i="1" s="1"/>
  <c r="BC107" i="1"/>
  <c r="BE107" i="1"/>
  <c r="BF107" i="1" l="1"/>
  <c r="BG107" i="1" s="1"/>
  <c r="BH107" i="1" s="1"/>
  <c r="BC108" i="1"/>
  <c r="BF108" i="1" s="1"/>
  <c r="BG108" i="1" l="1"/>
  <c r="BH108" i="1" s="1"/>
  <c r="BC109" i="1"/>
  <c r="BE109" i="1"/>
  <c r="BF109" i="1" l="1"/>
  <c r="BG109" i="1"/>
  <c r="BH109" i="1" s="1"/>
  <c r="BC110" i="1"/>
  <c r="BE110" i="1"/>
  <c r="BF110" i="1" l="1"/>
  <c r="BG110" i="1" s="1"/>
  <c r="BH110" i="1" s="1"/>
  <c r="BC111" i="1"/>
  <c r="BE111" i="1"/>
  <c r="BF111" i="1" l="1"/>
  <c r="BG111" i="1" s="1"/>
  <c r="BC112" i="1"/>
  <c r="BE112" i="1"/>
  <c r="BF112" i="1" l="1"/>
  <c r="BG112" i="1" s="1"/>
  <c r="BH111" i="1"/>
  <c r="BC113" i="1"/>
  <c r="BE113" i="1"/>
  <c r="BF113" i="1" l="1"/>
  <c r="BG113" i="1" s="1"/>
  <c r="BH112" i="1"/>
  <c r="BH113" i="1"/>
  <c r="BC114" i="1"/>
  <c r="BE114" i="1"/>
  <c r="BF114" i="1"/>
  <c r="BG114" i="1" s="1"/>
  <c r="BC115" i="1"/>
  <c r="BE115" i="1"/>
  <c r="BF115" i="1" l="1"/>
  <c r="BG115" i="1" s="1"/>
  <c r="BH115" i="1" s="1"/>
  <c r="BH114" i="1"/>
  <c r="BC116" i="1"/>
  <c r="BE116" i="1"/>
  <c r="BF116" i="1" s="1"/>
  <c r="BG116" i="1" l="1"/>
  <c r="BH116" i="1" s="1"/>
  <c r="BC117" i="1"/>
  <c r="BE117" i="1"/>
  <c r="BF117" i="1"/>
  <c r="BG117" i="1" l="1"/>
  <c r="BH117" i="1" s="1"/>
  <c r="BC118" i="1"/>
  <c r="BE118" i="1"/>
  <c r="BF118" i="1" l="1"/>
  <c r="BG118" i="1" s="1"/>
  <c r="BC119" i="1"/>
  <c r="BE119" i="1"/>
  <c r="BH118" i="1" l="1"/>
  <c r="BF119" i="1"/>
  <c r="BG119" i="1" s="1"/>
  <c r="BH119" i="1" s="1"/>
  <c r="BC120" i="1"/>
  <c r="BE120" i="1"/>
  <c r="BF120" i="1" l="1"/>
  <c r="BG120" i="1" s="1"/>
  <c r="BC121" i="1"/>
  <c r="BF121" i="1" s="1"/>
  <c r="BH120" i="1" l="1"/>
  <c r="BG121" i="1"/>
  <c r="BH121" i="1" s="1"/>
  <c r="BC122" i="1"/>
  <c r="BE122" i="1"/>
  <c r="BF122" i="1" l="1"/>
  <c r="BG122" i="1" s="1"/>
  <c r="BH122" i="1" s="1"/>
  <c r="BC123" i="1"/>
  <c r="BE123" i="1"/>
  <c r="BF123" i="1" l="1"/>
  <c r="BG123" i="1"/>
  <c r="BH123" i="1" s="1"/>
  <c r="BC124" i="1"/>
  <c r="BE124" i="1"/>
  <c r="BF124" i="1" l="1"/>
  <c r="BG124" i="1" s="1"/>
  <c r="BH124" i="1" s="1"/>
  <c r="BC125" i="1"/>
  <c r="BF125" i="1" s="1"/>
  <c r="BG125" i="1" s="1"/>
  <c r="BH125" i="1" l="1"/>
  <c r="BC126" i="1"/>
  <c r="BF126" i="1" s="1"/>
  <c r="BG126" i="1" l="1"/>
  <c r="BH126" i="1" s="1"/>
  <c r="BC127" i="1"/>
  <c r="BF127" i="1" s="1"/>
  <c r="BG127" i="1" l="1"/>
  <c r="BH127" i="1" s="1"/>
  <c r="BC128" i="1"/>
  <c r="BE128" i="1"/>
  <c r="BF128" i="1" l="1"/>
  <c r="BG128" i="1" s="1"/>
  <c r="BC129" i="1"/>
  <c r="BF129" i="1"/>
  <c r="BG129" i="1" s="1"/>
  <c r="BH128" i="1" l="1"/>
  <c r="BH129" i="1"/>
  <c r="BC130" i="1"/>
  <c r="BE130" i="1"/>
  <c r="BF130" i="1" l="1"/>
  <c r="BG130" i="1" s="1"/>
  <c r="BH130" i="1" s="1"/>
  <c r="BC131" i="1"/>
  <c r="BF131" i="1" s="1"/>
  <c r="BG131" i="1" l="1"/>
  <c r="BH131" i="1" s="1"/>
  <c r="BC132" i="1"/>
  <c r="BE132" i="1"/>
  <c r="BF132" i="1" l="1"/>
  <c r="BG132" i="1" s="1"/>
  <c r="BH132" i="1" s="1"/>
  <c r="BC133" i="1"/>
  <c r="BF133" i="1" s="1"/>
  <c r="BC134" i="1"/>
  <c r="BE134" i="1"/>
  <c r="V135" i="1"/>
  <c r="BF134" i="1" l="1"/>
  <c r="BG134" i="1" s="1"/>
  <c r="BH134" i="1" s="1"/>
  <c r="BG133" i="1"/>
  <c r="BH133" i="1" s="1"/>
  <c r="BC135" i="1"/>
  <c r="BE135" i="1"/>
  <c r="BF135" i="1" l="1"/>
  <c r="BG135" i="1" s="1"/>
  <c r="BC136" i="1"/>
  <c r="BE136" i="1"/>
  <c r="BF136" i="1" s="1"/>
  <c r="BH135" i="1" l="1"/>
  <c r="BG136" i="1"/>
  <c r="BH136" i="1" s="1"/>
  <c r="BC137" i="1"/>
  <c r="BE137" i="1"/>
  <c r="BF137" i="1" l="1"/>
  <c r="BG137" i="1" s="1"/>
  <c r="BH137" i="1" s="1"/>
  <c r="BC138" i="1"/>
  <c r="BE138" i="1"/>
  <c r="BF138" i="1" l="1"/>
  <c r="BG138" i="1" s="1"/>
  <c r="BH138" i="1" s="1"/>
  <c r="BC139" i="1"/>
  <c r="BE139" i="1"/>
  <c r="BF139" i="1" l="1"/>
  <c r="BG139" i="1" s="1"/>
  <c r="BH139" i="1" s="1"/>
  <c r="BC140" i="1"/>
  <c r="BE140" i="1"/>
  <c r="BF140" i="1" l="1"/>
  <c r="BG140" i="1" s="1"/>
  <c r="BH140" i="1" s="1"/>
  <c r="BC141" i="1"/>
  <c r="BF141" i="1" s="1"/>
  <c r="BG141" i="1" l="1"/>
  <c r="BH141" i="1" s="1"/>
  <c r="BC142" i="1"/>
  <c r="BF142" i="1" s="1"/>
  <c r="BG142" i="1" l="1"/>
  <c r="BH142" i="1" s="1"/>
  <c r="BC143" i="1"/>
  <c r="BE143" i="1"/>
  <c r="BF143" i="1" l="1"/>
  <c r="BG143" i="1" s="1"/>
  <c r="BH143" i="1" s="1"/>
  <c r="BC144" i="1"/>
  <c r="BF144" i="1" s="1"/>
  <c r="BG144" i="1" l="1"/>
  <c r="BH144" i="1" s="1"/>
  <c r="BC145" i="1"/>
  <c r="BF145" i="1" s="1"/>
  <c r="BG145" i="1" l="1"/>
  <c r="BH145" i="1" s="1"/>
  <c r="BC146" i="1"/>
  <c r="BF146" i="1" s="1"/>
  <c r="BG146" i="1" l="1"/>
  <c r="BH146" i="1" s="1"/>
  <c r="BC147" i="1"/>
  <c r="BE147" i="1"/>
  <c r="BF147" i="1" l="1"/>
  <c r="BG147" i="1" s="1"/>
  <c r="BH147" i="1" s="1"/>
  <c r="BC148" i="1"/>
  <c r="BE148" i="1"/>
  <c r="BF148" i="1" l="1"/>
  <c r="BG148" i="1" s="1"/>
  <c r="BH148" i="1" s="1"/>
  <c r="BC149" i="1"/>
  <c r="BE149" i="1"/>
  <c r="BF149" i="1" l="1"/>
  <c r="BG149" i="1" s="1"/>
  <c r="BH149" i="1" s="1"/>
  <c r="BC150" i="1"/>
  <c r="BE150" i="1"/>
  <c r="BF150" i="1" l="1"/>
  <c r="BG150" i="1" s="1"/>
  <c r="BH150" i="1" s="1"/>
  <c r="BC151" i="1"/>
  <c r="BE151" i="1"/>
  <c r="BF151" i="1" l="1"/>
  <c r="BG151" i="1" s="1"/>
  <c r="BH151" i="1" s="1"/>
  <c r="BC152" i="1"/>
  <c r="BE152" i="1"/>
  <c r="BF152" i="1"/>
  <c r="BG152" i="1" s="1"/>
  <c r="BH152" i="1" l="1"/>
  <c r="BC153" i="1"/>
  <c r="BF153" i="1"/>
  <c r="BG153" i="1" s="1"/>
  <c r="BH153" i="1" l="1"/>
  <c r="BC154" i="1"/>
  <c r="BF154" i="1" s="1"/>
  <c r="BG154" i="1" l="1"/>
  <c r="BH154" i="1" s="1"/>
  <c r="BC155" i="1"/>
  <c r="BE155" i="1"/>
  <c r="BF155" i="1" l="1"/>
  <c r="BG155" i="1" s="1"/>
  <c r="BH155" i="1" s="1"/>
  <c r="BC156" i="1"/>
  <c r="BE156" i="1"/>
  <c r="BF156" i="1" l="1"/>
  <c r="BG156" i="1" s="1"/>
  <c r="BH156" i="1" s="1"/>
  <c r="BC157" i="1"/>
  <c r="BF157" i="1" s="1"/>
  <c r="BG157" i="1" l="1"/>
  <c r="BH157" i="1" s="1"/>
  <c r="BC158" i="1"/>
  <c r="BF158" i="1" s="1"/>
  <c r="BG158" i="1" l="1"/>
  <c r="BH158" i="1" s="1"/>
  <c r="BC159" i="1"/>
  <c r="BF159" i="1" s="1"/>
  <c r="BG159" i="1" l="1"/>
  <c r="BH159" i="1" s="1"/>
  <c r="BC160" i="1"/>
  <c r="BE160" i="1"/>
  <c r="BF160" i="1" l="1"/>
  <c r="BG160" i="1" s="1"/>
  <c r="BC161" i="1"/>
  <c r="BE161" i="1"/>
  <c r="BH160" i="1" l="1"/>
  <c r="BF161" i="1"/>
  <c r="BG161" i="1" s="1"/>
  <c r="BH161" i="1" s="1"/>
  <c r="BC162" i="1"/>
  <c r="BF162" i="1"/>
  <c r="BG162" i="1" s="1"/>
  <c r="BH162" i="1" s="1"/>
  <c r="BC163" i="1"/>
  <c r="BE163" i="1"/>
  <c r="BF163" i="1" s="1"/>
  <c r="BG163" i="1" l="1"/>
  <c r="BH163" i="1" s="1"/>
  <c r="BC164" i="1"/>
  <c r="BF164" i="1"/>
  <c r="BG164" i="1" s="1"/>
  <c r="BH164" i="1" l="1"/>
  <c r="BC165" i="1"/>
  <c r="BF165" i="1" s="1"/>
  <c r="V166" i="1"/>
  <c r="BG165" i="1" l="1"/>
  <c r="BH165" i="1" s="1"/>
  <c r="BC166" i="1"/>
  <c r="BE166" i="1"/>
  <c r="BF166" i="1" l="1"/>
  <c r="BG166" i="1" s="1"/>
  <c r="BH166" i="1" s="1"/>
  <c r="BC167" i="1"/>
  <c r="BF167" i="1" s="1"/>
  <c r="BG167" i="1" l="1"/>
  <c r="BH167" i="1" s="1"/>
  <c r="BC168" i="1"/>
  <c r="BE168" i="1"/>
  <c r="V169" i="1"/>
  <c r="BF168" i="1" l="1"/>
  <c r="BG168" i="1" s="1"/>
  <c r="BH168" i="1" s="1"/>
  <c r="BC169" i="1"/>
  <c r="BF169" i="1" s="1"/>
  <c r="BG169" i="1" l="1"/>
  <c r="BH169" i="1" s="1"/>
  <c r="BC170" i="1"/>
  <c r="BE170" i="1"/>
  <c r="BF170" i="1" l="1"/>
  <c r="BG170" i="1"/>
  <c r="BH170" i="1" s="1"/>
  <c r="BC171" i="1"/>
  <c r="BE171" i="1"/>
  <c r="BF171" i="1" l="1"/>
  <c r="BG171" i="1" s="1"/>
  <c r="BC172" i="1"/>
  <c r="BF172" i="1" s="1"/>
  <c r="BH171" i="1" l="1"/>
  <c r="BG172" i="1"/>
  <c r="BH172" i="1" s="1"/>
  <c r="BC173" i="1"/>
  <c r="BF173" i="1" s="1"/>
  <c r="BG173" i="1" s="1"/>
  <c r="V174" i="1"/>
  <c r="BH173" i="1" l="1"/>
  <c r="BC174" i="1"/>
  <c r="BE174" i="1"/>
  <c r="BF174" i="1" l="1"/>
  <c r="BG174" i="1" s="1"/>
  <c r="BH174" i="1" s="1"/>
  <c r="BC175" i="1"/>
  <c r="BE175" i="1"/>
  <c r="BF175" i="1" l="1"/>
  <c r="BG175" i="1" s="1"/>
  <c r="BC176" i="1"/>
  <c r="BE176" i="1"/>
  <c r="BF176" i="1" l="1"/>
  <c r="BG176" i="1" s="1"/>
  <c r="BH176" i="1" s="1"/>
  <c r="BH175" i="1"/>
  <c r="BC177" i="1"/>
  <c r="BE177" i="1"/>
  <c r="BF177" i="1" l="1"/>
  <c r="BG177" i="1" s="1"/>
  <c r="BC178" i="1"/>
  <c r="BE178" i="1"/>
  <c r="BH177" i="1" l="1"/>
  <c r="BF178" i="1"/>
  <c r="BG178" i="1" s="1"/>
  <c r="BC179" i="1"/>
  <c r="BE179" i="1"/>
  <c r="BH178" i="1" l="1"/>
  <c r="BF179" i="1"/>
  <c r="BG179" i="1" s="1"/>
  <c r="BH179" i="1" s="1"/>
  <c r="BC180" i="1"/>
  <c r="BF180" i="1"/>
  <c r="BG180" i="1" s="1"/>
  <c r="BH180" i="1" l="1"/>
  <c r="BC181" i="1"/>
  <c r="BE181" i="1"/>
  <c r="BF181" i="1" l="1"/>
  <c r="BG181" i="1" s="1"/>
  <c r="BH181" i="1" s="1"/>
  <c r="BC182" i="1"/>
  <c r="BE182" i="1"/>
  <c r="BF182" i="1" l="1"/>
  <c r="BG182" i="1" s="1"/>
  <c r="BC183" i="1"/>
  <c r="BE183" i="1"/>
  <c r="BH182" i="1" l="1"/>
  <c r="BF183" i="1"/>
  <c r="BG183" i="1" s="1"/>
  <c r="BC184" i="1"/>
  <c r="BF184" i="1" s="1"/>
  <c r="BH183" i="1" l="1"/>
  <c r="BG184" i="1"/>
  <c r="BH184" i="1" s="1"/>
  <c r="BC185" i="1"/>
  <c r="BE185" i="1"/>
  <c r="BF185" i="1" l="1"/>
  <c r="BG185" i="1" s="1"/>
  <c r="BH185" i="1" s="1"/>
  <c r="BC186" i="1"/>
  <c r="BE186" i="1"/>
  <c r="BF186" i="1" l="1"/>
  <c r="BG186" i="1" s="1"/>
  <c r="BH186" i="1" s="1"/>
  <c r="BC187" i="1"/>
  <c r="BE187" i="1"/>
  <c r="BF187" i="1" l="1"/>
  <c r="BG187" i="1" s="1"/>
  <c r="BH187" i="1" s="1"/>
  <c r="BC188" i="1"/>
  <c r="BF188" i="1" s="1"/>
  <c r="BG188" i="1" l="1"/>
  <c r="BH188" i="1" s="1"/>
  <c r="BC189" i="1"/>
  <c r="BE189" i="1"/>
  <c r="BF189" i="1" l="1"/>
  <c r="BG189" i="1" s="1"/>
  <c r="BH189" i="1" s="1"/>
  <c r="BC190" i="1"/>
  <c r="BE190" i="1"/>
  <c r="BF190" i="1" l="1"/>
  <c r="BG190" i="1" s="1"/>
  <c r="BC191" i="1"/>
  <c r="BE191" i="1"/>
  <c r="BI191" i="1"/>
  <c r="BF191" i="1" l="1"/>
  <c r="BH190" i="1"/>
  <c r="BG191" i="1"/>
  <c r="BH191" i="1" s="1"/>
  <c r="BC192" i="1"/>
  <c r="BE192" i="1"/>
  <c r="BF192" i="1" l="1"/>
  <c r="BG192" i="1" s="1"/>
  <c r="BH192" i="1" s="1"/>
  <c r="BC193" i="1"/>
  <c r="BE193" i="1"/>
  <c r="BF193" i="1" l="1"/>
  <c r="BG193" i="1" s="1"/>
  <c r="BH193" i="1" s="1"/>
  <c r="BC194" i="1"/>
  <c r="BE194" i="1"/>
  <c r="BF194" i="1" l="1"/>
  <c r="BG194" i="1" s="1"/>
  <c r="BH194" i="1" s="1"/>
  <c r="BC195" i="1"/>
  <c r="BE195" i="1"/>
  <c r="BF195" i="1" l="1"/>
  <c r="BG195" i="1" s="1"/>
  <c r="BH195" i="1" s="1"/>
  <c r="BC196" i="1"/>
  <c r="BE196" i="1"/>
  <c r="BF196" i="1" l="1"/>
  <c r="BG196" i="1" s="1"/>
  <c r="BH196" i="1" s="1"/>
  <c r="BC197" i="1"/>
  <c r="BE197" i="1"/>
  <c r="BF197" i="1" l="1"/>
  <c r="BG197" i="1" s="1"/>
  <c r="BH197" i="1" s="1"/>
  <c r="BC198" i="1"/>
  <c r="BF198" i="1" s="1"/>
  <c r="BG198" i="1" l="1"/>
  <c r="BH198" i="1" s="1"/>
  <c r="BC199" i="1"/>
  <c r="BE199" i="1"/>
  <c r="BI199" i="1"/>
  <c r="BF199" i="1" l="1"/>
  <c r="BG199" i="1" s="1"/>
  <c r="BH199" i="1" s="1"/>
  <c r="BC200" i="1"/>
  <c r="BF200" i="1" s="1"/>
  <c r="BG200" i="1" l="1"/>
  <c r="BH200" i="1" s="1"/>
  <c r="BC201" i="1"/>
  <c r="BE201" i="1"/>
  <c r="BF201" i="1" l="1"/>
  <c r="BG201" i="1" s="1"/>
  <c r="BH201" i="1" s="1"/>
  <c r="BC202" i="1"/>
  <c r="BE202" i="1"/>
  <c r="BF202" i="1" l="1"/>
  <c r="BG202" i="1" s="1"/>
  <c r="BH202" i="1" s="1"/>
  <c r="BC203" i="1"/>
  <c r="BF203" i="1" s="1"/>
  <c r="BG203" i="1" l="1"/>
  <c r="BH203" i="1" s="1"/>
  <c r="BC204" i="1"/>
  <c r="BE204" i="1"/>
  <c r="BF204" i="1" l="1"/>
  <c r="BG204" i="1" s="1"/>
  <c r="BH204" i="1" s="1"/>
  <c r="BC205" i="1"/>
  <c r="BF205" i="1"/>
  <c r="BG205" i="1" s="1"/>
  <c r="BH205" i="1" l="1"/>
  <c r="BC206" i="1"/>
  <c r="BF206" i="1" s="1"/>
  <c r="BG206" i="1" l="1"/>
  <c r="BH206" i="1" s="1"/>
  <c r="BC207" i="1"/>
  <c r="BF207" i="1" s="1"/>
  <c r="BG207" i="1" l="1"/>
  <c r="BH207" i="1" s="1"/>
  <c r="BC208" i="1"/>
  <c r="BE208" i="1"/>
  <c r="BF208" i="1" l="1"/>
  <c r="BG208" i="1" s="1"/>
  <c r="BH208" i="1" s="1"/>
  <c r="BC209" i="1"/>
  <c r="BF209" i="1"/>
  <c r="BG209" i="1" s="1"/>
  <c r="V210" i="1"/>
  <c r="BH209" i="1" l="1"/>
  <c r="BC210" i="1"/>
  <c r="BE210" i="1"/>
  <c r="BF210" i="1"/>
  <c r="BG210" i="1" s="1"/>
  <c r="BH210" i="1" s="1"/>
  <c r="BC211" i="1"/>
  <c r="BE211" i="1"/>
  <c r="BF211" i="1" l="1"/>
  <c r="BG211" i="1" s="1"/>
  <c r="BH211" i="1" s="1"/>
  <c r="BC212" i="1"/>
  <c r="BE212" i="1"/>
  <c r="BF212" i="1" l="1"/>
  <c r="BG212" i="1" s="1"/>
  <c r="BH212" i="1" s="1"/>
  <c r="BC213" i="1"/>
  <c r="BE213" i="1"/>
  <c r="BF213" i="1" l="1"/>
  <c r="BG213" i="1" s="1"/>
  <c r="BC214" i="1"/>
  <c r="BE214" i="1"/>
  <c r="BH213" i="1" l="1"/>
  <c r="BF214" i="1"/>
  <c r="BG214" i="1" s="1"/>
  <c r="BH214" i="1" s="1"/>
  <c r="BC215" i="1"/>
  <c r="BF215" i="1" s="1"/>
  <c r="BC216" i="1"/>
  <c r="BF216" i="1" s="1"/>
  <c r="BG215" i="1" l="1"/>
  <c r="BH215" i="1" s="1"/>
  <c r="BG216" i="1"/>
  <c r="BH216" i="1" s="1"/>
  <c r="BC217" i="1"/>
  <c r="BF217" i="1" s="1"/>
  <c r="BG217" i="1" s="1"/>
  <c r="V218" i="1"/>
  <c r="BH217" i="1" l="1"/>
  <c r="BC218" i="1"/>
  <c r="BF218" i="1" s="1"/>
  <c r="BG218" i="1" s="1"/>
  <c r="BE218" i="1"/>
  <c r="BC219" i="1"/>
  <c r="BE219" i="1"/>
  <c r="BH218" i="1" l="1"/>
  <c r="BF219" i="1"/>
  <c r="BG219" i="1" s="1"/>
  <c r="BH219" i="1" s="1"/>
  <c r="BC220" i="1"/>
  <c r="BE220" i="1"/>
  <c r="BF220" i="1" l="1"/>
  <c r="BG220" i="1" s="1"/>
  <c r="BC221" i="1"/>
  <c r="BF221" i="1" s="1"/>
  <c r="BH220" i="1" l="1"/>
  <c r="BG221" i="1"/>
  <c r="BH221" i="1" s="1"/>
  <c r="BC222" i="1"/>
  <c r="BE222" i="1"/>
  <c r="BF222" i="1" s="1"/>
  <c r="BG222" i="1" l="1"/>
  <c r="BH222" i="1" s="1"/>
  <c r="BC223" i="1"/>
  <c r="BF223" i="1" s="1"/>
  <c r="BG223" i="1" l="1"/>
  <c r="BH223" i="1" s="1"/>
  <c r="BC224" i="1"/>
  <c r="BE224" i="1"/>
  <c r="BF224" i="1" l="1"/>
  <c r="BG224" i="1" s="1"/>
  <c r="BC225" i="1"/>
  <c r="BE225" i="1"/>
  <c r="V226" i="1"/>
  <c r="BH224" i="1" l="1"/>
  <c r="BF225" i="1"/>
  <c r="BG225" i="1" s="1"/>
  <c r="BH225" i="1" s="1"/>
  <c r="BC226" i="1"/>
  <c r="BE226" i="1"/>
  <c r="BF226" i="1" l="1"/>
  <c r="BG226" i="1" s="1"/>
  <c r="BH226" i="1" s="1"/>
  <c r="BC227" i="1"/>
  <c r="BF227" i="1" s="1"/>
  <c r="BG227" i="1" l="1"/>
  <c r="BH227" i="1" s="1"/>
  <c r="BC228" i="1"/>
  <c r="BF228" i="1"/>
  <c r="BG228" i="1" s="1"/>
  <c r="BH228" i="1" l="1"/>
  <c r="BC229" i="1"/>
  <c r="BF229" i="1" s="1"/>
  <c r="BG229" i="1" l="1"/>
  <c r="BH229" i="1" s="1"/>
  <c r="BC230" i="1"/>
  <c r="BE230" i="1"/>
  <c r="BF230" i="1" s="1"/>
  <c r="BG230" i="1" s="1"/>
  <c r="BH230" i="1" l="1"/>
  <c r="BC231" i="1"/>
  <c r="BE231" i="1"/>
  <c r="BF231" i="1" l="1"/>
  <c r="BG231" i="1" s="1"/>
  <c r="BH231" i="1" s="1"/>
  <c r="BC232" i="1"/>
  <c r="BE232" i="1"/>
  <c r="BF232" i="1"/>
  <c r="BG232" i="1" s="1"/>
  <c r="BC233" i="1"/>
  <c r="BE233" i="1"/>
  <c r="BF233" i="1" s="1"/>
  <c r="BH232" i="1" l="1"/>
  <c r="BG233" i="1"/>
  <c r="BH233" i="1" s="1"/>
  <c r="BC234" i="1"/>
  <c r="BE234" i="1"/>
  <c r="BF234" i="1" l="1"/>
  <c r="BG234" i="1" s="1"/>
  <c r="BC235" i="1"/>
  <c r="BE235" i="1"/>
  <c r="BF235" i="1" l="1"/>
  <c r="BG235" i="1" s="1"/>
  <c r="BH235" i="1" s="1"/>
  <c r="BH234" i="1"/>
  <c r="BC236" i="1"/>
  <c r="BE236" i="1"/>
  <c r="BF236" i="1" l="1"/>
  <c r="BG236" i="1" s="1"/>
  <c r="BH236" i="1" s="1"/>
  <c r="BC237" i="1"/>
  <c r="BE237" i="1"/>
  <c r="BF237" i="1" l="1"/>
  <c r="BG237" i="1" s="1"/>
  <c r="BC238" i="1"/>
  <c r="BF238" i="1"/>
  <c r="BG238" i="1" s="1"/>
  <c r="BH237" i="1" l="1"/>
  <c r="BH238" i="1"/>
  <c r="BC239" i="1"/>
  <c r="BE239" i="1"/>
  <c r="BF239" i="1" l="1"/>
  <c r="BG239" i="1" s="1"/>
  <c r="BH239" i="1" s="1"/>
  <c r="BC240" i="1"/>
  <c r="BE240" i="1"/>
  <c r="BF240" i="1" l="1"/>
  <c r="BG240" i="1" s="1"/>
  <c r="BH240" i="1" s="1"/>
  <c r="BC241" i="1"/>
  <c r="BE241" i="1"/>
  <c r="BF241" i="1"/>
  <c r="BG241" i="1" s="1"/>
  <c r="BH241" i="1" l="1"/>
  <c r="BC242" i="1"/>
  <c r="BF242" i="1"/>
  <c r="BG242" i="1" s="1"/>
  <c r="BH242" i="1" s="1"/>
  <c r="BC243" i="1"/>
  <c r="BE243" i="1"/>
  <c r="BF243" i="1" l="1"/>
  <c r="BG243" i="1" s="1"/>
  <c r="BH243" i="1" s="1"/>
  <c r="BC244" i="1"/>
  <c r="BE244" i="1"/>
  <c r="BF244" i="1" l="1"/>
  <c r="BG244" i="1" s="1"/>
  <c r="BH244" i="1" s="1"/>
  <c r="BC245" i="1"/>
  <c r="BF245" i="1" s="1"/>
  <c r="BG245" i="1" l="1"/>
  <c r="BH245" i="1" s="1"/>
  <c r="BC246" i="1"/>
  <c r="BE246" i="1"/>
  <c r="BF246" i="1" l="1"/>
  <c r="BG246" i="1" s="1"/>
  <c r="BH246" i="1" s="1"/>
  <c r="BC247" i="1"/>
  <c r="BE247" i="1"/>
  <c r="BF247" i="1" l="1"/>
  <c r="BG247" i="1" s="1"/>
  <c r="BH247" i="1" s="1"/>
  <c r="BC248" i="1"/>
  <c r="BE248" i="1"/>
  <c r="BF248" i="1" l="1"/>
  <c r="BG248" i="1" s="1"/>
  <c r="BH248" i="1" s="1"/>
  <c r="BC249" i="1"/>
  <c r="BF249" i="1" s="1"/>
  <c r="BG249" i="1" l="1"/>
  <c r="BH249" i="1" s="1"/>
  <c r="BC250" i="1"/>
  <c r="BE250" i="1"/>
  <c r="BF250" i="1" l="1"/>
  <c r="BG250" i="1" s="1"/>
  <c r="BH250" i="1" s="1"/>
  <c r="BC251" i="1"/>
  <c r="BE251" i="1"/>
  <c r="BF251" i="1" l="1"/>
  <c r="BG251" i="1" s="1"/>
  <c r="BH251" i="1" s="1"/>
  <c r="BC252" i="1"/>
  <c r="BE252" i="1"/>
  <c r="BF252" i="1" l="1"/>
  <c r="BG252" i="1" s="1"/>
  <c r="BC253" i="1"/>
  <c r="BE253" i="1"/>
  <c r="BH252" i="1" l="1"/>
  <c r="BF253" i="1"/>
  <c r="BG253" i="1" s="1"/>
  <c r="BC254" i="1"/>
  <c r="BE254" i="1"/>
  <c r="V255" i="1"/>
  <c r="BH253" i="1" l="1"/>
  <c r="BF254" i="1"/>
  <c r="BG254" i="1" s="1"/>
  <c r="BH254" i="1" s="1"/>
  <c r="BC255" i="1"/>
  <c r="BE255" i="1"/>
  <c r="BF255" i="1" l="1"/>
  <c r="BG255" i="1" s="1"/>
  <c r="BH255" i="1" s="1"/>
  <c r="BC256" i="1"/>
  <c r="BF256" i="1"/>
  <c r="BG256" i="1" s="1"/>
  <c r="BH256" i="1" l="1"/>
  <c r="BC257" i="1"/>
  <c r="BE257" i="1"/>
  <c r="BF257" i="1"/>
  <c r="BG257" i="1" s="1"/>
  <c r="BI257" i="1"/>
  <c r="BH257" i="1" l="1"/>
  <c r="BC258" i="1"/>
  <c r="BF258" i="1" s="1"/>
  <c r="BG258" i="1" s="1"/>
  <c r="V259" i="1"/>
  <c r="BH258" i="1" l="1"/>
  <c r="BC259" i="1"/>
  <c r="BE259" i="1"/>
  <c r="BI259" i="1"/>
  <c r="BF259" i="1" l="1"/>
  <c r="BG259" i="1" s="1"/>
  <c r="BH259" i="1" s="1"/>
  <c r="BC260" i="1"/>
  <c r="BF260" i="1" s="1"/>
  <c r="BG260" i="1" l="1"/>
  <c r="BH260" i="1" s="1"/>
  <c r="BC261" i="1"/>
  <c r="BE261" i="1"/>
  <c r="BF261" i="1" l="1"/>
  <c r="BG261" i="1" s="1"/>
  <c r="BH261" i="1" s="1"/>
  <c r="BC262" i="1"/>
  <c r="BE262" i="1"/>
  <c r="BF262" i="1" l="1"/>
  <c r="BG262" i="1" s="1"/>
  <c r="BH262" i="1" s="1"/>
  <c r="BC263" i="1"/>
  <c r="BF263" i="1" s="1"/>
  <c r="BG263" i="1" s="1"/>
  <c r="BH263" i="1" l="1"/>
  <c r="BC264" i="1"/>
  <c r="BF264" i="1" s="1"/>
  <c r="BG264" i="1" s="1"/>
  <c r="V265" i="1"/>
  <c r="BH264" i="1" l="1"/>
  <c r="BC265" i="1"/>
  <c r="BF265" i="1" s="1"/>
  <c r="BG265" i="1" s="1"/>
  <c r="BH265" i="1" s="1"/>
  <c r="BC266" i="1"/>
  <c r="BF266" i="1" s="1"/>
  <c r="BG266" i="1" l="1"/>
  <c r="BH266" i="1" s="1"/>
  <c r="BC267" i="1"/>
  <c r="BF267" i="1"/>
  <c r="BG267" i="1" s="1"/>
  <c r="BH267" i="1" l="1"/>
  <c r="BC268" i="1"/>
  <c r="BE268" i="1"/>
  <c r="BF268" i="1" l="1"/>
  <c r="BG268" i="1" s="1"/>
  <c r="BH268" i="1" s="1"/>
  <c r="BC269" i="1"/>
  <c r="BF269" i="1" s="1"/>
  <c r="BG269" i="1" l="1"/>
  <c r="BH269" i="1" s="1"/>
  <c r="BC270" i="1"/>
  <c r="BF270" i="1" s="1"/>
  <c r="BG270" i="1" l="1"/>
  <c r="BH270" i="1" s="1"/>
  <c r="BC271" i="1"/>
  <c r="BF271" i="1" s="1"/>
  <c r="BG271" i="1" l="1"/>
  <c r="BH271" i="1" s="1"/>
  <c r="BC272" i="1"/>
  <c r="BF272" i="1" s="1"/>
  <c r="BG272" i="1" l="1"/>
  <c r="BH272" i="1" s="1"/>
  <c r="BC273" i="1"/>
  <c r="BF273" i="1" s="1"/>
  <c r="BG273" i="1" l="1"/>
  <c r="BH273" i="1" s="1"/>
  <c r="BC274" i="1"/>
  <c r="BF274" i="1" s="1"/>
  <c r="BG274" i="1" l="1"/>
  <c r="BH274" i="1" s="1"/>
  <c r="BC275" i="1"/>
  <c r="BF275" i="1" s="1"/>
  <c r="BG275" i="1" l="1"/>
  <c r="BH275" i="1" s="1"/>
  <c r="BC276" i="1"/>
  <c r="BF276" i="1" s="1"/>
  <c r="BG276" i="1" l="1"/>
  <c r="BH276" i="1" s="1"/>
  <c r="BC277" i="1"/>
  <c r="BE277" i="1"/>
  <c r="BF277" i="1" l="1"/>
  <c r="BG277" i="1" s="1"/>
  <c r="BH277" i="1" s="1"/>
  <c r="BC278" i="1"/>
  <c r="BF278" i="1" s="1"/>
  <c r="BG278" i="1" l="1"/>
  <c r="BH278" i="1" s="1"/>
  <c r="BC279" i="1"/>
  <c r="BE279" i="1"/>
  <c r="BF279" i="1" l="1"/>
  <c r="BG279" i="1" s="1"/>
  <c r="BC280" i="1"/>
  <c r="BF280" i="1"/>
  <c r="BG280" i="1" s="1"/>
  <c r="BH279" i="1" l="1"/>
  <c r="BH280" i="1"/>
  <c r="BC281" i="1"/>
  <c r="BF281" i="1"/>
  <c r="BG281" i="1" s="1"/>
  <c r="BC282" i="1"/>
  <c r="BF282" i="1" s="1"/>
  <c r="BG282" i="1" s="1"/>
  <c r="BC283" i="1"/>
  <c r="BF283" i="1" s="1"/>
  <c r="BG283" i="1" s="1"/>
  <c r="BC284" i="1"/>
  <c r="BE284" i="1"/>
  <c r="BF284" i="1" l="1"/>
  <c r="BG284" i="1" s="1"/>
  <c r="BH284" i="1" s="1"/>
  <c r="BH283" i="1"/>
  <c r="BH282" i="1"/>
  <c r="BH281" i="1"/>
  <c r="BC285" i="1"/>
  <c r="BE285" i="1"/>
  <c r="BF285" i="1" l="1"/>
  <c r="BG285" i="1" s="1"/>
  <c r="BC286" i="1"/>
  <c r="BF286" i="1"/>
  <c r="BG286" i="1" s="1"/>
  <c r="BH285" i="1" l="1"/>
  <c r="BH286" i="1"/>
  <c r="BC287" i="1"/>
  <c r="BE287" i="1"/>
  <c r="BF287" i="1" l="1"/>
  <c r="BG287" i="1" s="1"/>
  <c r="BH287" i="1" s="1"/>
  <c r="BC288" i="1"/>
  <c r="BE288" i="1"/>
  <c r="BF288" i="1" l="1"/>
  <c r="BG288" i="1" s="1"/>
  <c r="BH288" i="1" s="1"/>
  <c r="BC289" i="1"/>
  <c r="BE289" i="1"/>
  <c r="BF289" i="1" l="1"/>
  <c r="BG289" i="1" s="1"/>
  <c r="BC290" i="1"/>
  <c r="BE290" i="1"/>
  <c r="BH289" i="1" l="1"/>
  <c r="BF290" i="1"/>
  <c r="BG290" i="1" s="1"/>
  <c r="BH290" i="1" s="1"/>
  <c r="BC291" i="1"/>
  <c r="BE291" i="1"/>
  <c r="BI291" i="1"/>
  <c r="BF291" i="1" l="1"/>
  <c r="BG291" i="1" s="1"/>
  <c r="BH291" i="1" s="1"/>
  <c r="BC292" i="1"/>
  <c r="BE292" i="1"/>
  <c r="BF292" i="1" l="1"/>
  <c r="BG292" i="1" s="1"/>
  <c r="BC293" i="1"/>
  <c r="BE293" i="1"/>
  <c r="BF293" i="1" l="1"/>
  <c r="BG293" i="1" s="1"/>
  <c r="BH293" i="1" s="1"/>
  <c r="BH292" i="1"/>
  <c r="BC294" i="1"/>
  <c r="BE294" i="1"/>
  <c r="BF294" i="1" l="1"/>
  <c r="BG294" i="1" s="1"/>
  <c r="BH294" i="1" s="1"/>
  <c r="BC295" i="1"/>
  <c r="BE295" i="1"/>
  <c r="BF295" i="1" l="1"/>
  <c r="BG295" i="1" s="1"/>
  <c r="BC296" i="1"/>
  <c r="BE296" i="1"/>
  <c r="BH295" i="1" l="1"/>
  <c r="BF296" i="1"/>
  <c r="BG296" i="1" s="1"/>
  <c r="BC297" i="1"/>
  <c r="BE297" i="1"/>
  <c r="BH296" i="1" l="1"/>
  <c r="BF297" i="1"/>
  <c r="BG297" i="1" s="1"/>
  <c r="BH297" i="1" s="1"/>
  <c r="BC298" i="1"/>
  <c r="BE298" i="1"/>
  <c r="V299" i="1"/>
  <c r="BF298" i="1" l="1"/>
  <c r="BG298" i="1" s="1"/>
  <c r="BC299" i="1"/>
  <c r="BF299" i="1" s="1"/>
  <c r="BG299" i="1" s="1"/>
  <c r="BH298" i="1" l="1"/>
  <c r="BH299" i="1"/>
  <c r="BC300" i="1"/>
  <c r="BE300" i="1"/>
  <c r="BF300" i="1" l="1"/>
  <c r="BG300" i="1" s="1"/>
  <c r="BH300" i="1" s="1"/>
  <c r="BC301" i="1"/>
  <c r="BE301" i="1"/>
  <c r="BF301" i="1" l="1"/>
  <c r="BG301" i="1" s="1"/>
  <c r="BH301" i="1" s="1"/>
  <c r="BC302" i="1"/>
  <c r="BE302" i="1"/>
  <c r="BF302" i="1" l="1"/>
  <c r="BG302" i="1" s="1"/>
  <c r="BC303" i="1"/>
  <c r="BF303" i="1" s="1"/>
  <c r="BG303" i="1" s="1"/>
  <c r="BH302" i="1" l="1"/>
  <c r="BH303" i="1"/>
  <c r="BC304" i="1"/>
  <c r="BE304" i="1"/>
  <c r="BC305" i="1"/>
  <c r="BE305" i="1"/>
  <c r="BF305" i="1"/>
  <c r="BC306" i="1"/>
  <c r="BE306" i="1"/>
  <c r="BI306" i="1"/>
  <c r="BF304" i="1" l="1"/>
  <c r="BG304" i="1" s="1"/>
  <c r="BH304" i="1" s="1"/>
  <c r="BF306" i="1"/>
  <c r="BG306" i="1" s="1"/>
  <c r="BH306" i="1" s="1"/>
  <c r="BG305" i="1"/>
  <c r="BH305" i="1" s="1"/>
  <c r="BC307" i="1"/>
  <c r="BF307" i="1" s="1"/>
  <c r="BG307" i="1" l="1"/>
  <c r="BH307" i="1" s="1"/>
  <c r="BC308" i="1"/>
  <c r="BE308" i="1"/>
  <c r="BF308" i="1" l="1"/>
  <c r="BG308" i="1" s="1"/>
  <c r="BH308" i="1" s="1"/>
  <c r="BC309" i="1"/>
  <c r="BE309" i="1"/>
  <c r="BF309" i="1" l="1"/>
  <c r="BG309" i="1" s="1"/>
  <c r="BC310" i="1"/>
  <c r="BE310" i="1"/>
  <c r="BH309" i="1" l="1"/>
  <c r="BF310" i="1"/>
  <c r="BG310" i="1" s="1"/>
  <c r="BH310" i="1" s="1"/>
  <c r="BC311" i="1"/>
  <c r="BE311" i="1"/>
  <c r="BF311" i="1" l="1"/>
  <c r="BG311" i="1" s="1"/>
  <c r="BH311" i="1" s="1"/>
  <c r="BC312" i="1"/>
  <c r="BE312" i="1"/>
  <c r="BF312" i="1" l="1"/>
  <c r="BG312" i="1" s="1"/>
  <c r="BH312" i="1" s="1"/>
  <c r="BC313" i="1"/>
  <c r="BF313" i="1"/>
  <c r="BG313" i="1" s="1"/>
  <c r="BH313" i="1" l="1"/>
  <c r="BC314" i="1"/>
  <c r="BF314" i="1" s="1"/>
  <c r="BG314" i="1" s="1"/>
  <c r="BC315" i="1"/>
  <c r="BE315" i="1"/>
  <c r="BC316" i="1"/>
  <c r="BE316" i="1"/>
  <c r="BC317" i="1"/>
  <c r="BE317" i="1"/>
  <c r="BC318" i="1"/>
  <c r="BF318" i="1" s="1"/>
  <c r="BG318" i="1" s="1"/>
  <c r="BC319" i="1"/>
  <c r="BE319" i="1"/>
  <c r="BC320" i="1"/>
  <c r="BE320" i="1"/>
  <c r="BC321" i="1"/>
  <c r="BE321" i="1"/>
  <c r="BC322" i="1"/>
  <c r="BF322" i="1" s="1"/>
  <c r="BG322" i="1" s="1"/>
  <c r="BE322" i="1"/>
  <c r="BC323" i="1"/>
  <c r="BE323" i="1"/>
  <c r="BF323" i="1" s="1"/>
  <c r="BC324" i="1"/>
  <c r="BE324" i="1"/>
  <c r="BI324" i="1"/>
  <c r="BF317" i="1" l="1"/>
  <c r="BF316" i="1"/>
  <c r="BG316" i="1" s="1"/>
  <c r="BH316" i="1" s="1"/>
  <c r="BF321" i="1"/>
  <c r="BG321" i="1" s="1"/>
  <c r="BF324" i="1"/>
  <c r="BG324" i="1" s="1"/>
  <c r="BH324" i="1" s="1"/>
  <c r="BF315" i="1"/>
  <c r="BG315" i="1" s="1"/>
  <c r="BH315" i="1" s="1"/>
  <c r="BF319" i="1"/>
  <c r="BG319" i="1" s="1"/>
  <c r="BF320" i="1"/>
  <c r="BH320" i="1" s="1"/>
  <c r="BH318" i="1"/>
  <c r="BG317" i="1"/>
  <c r="BH317" i="1" s="1"/>
  <c r="BH322" i="1"/>
  <c r="BH314" i="1"/>
  <c r="BG323" i="1"/>
  <c r="BH323" i="1" s="1"/>
  <c r="BC325" i="1"/>
  <c r="BE325" i="1"/>
  <c r="BH319" i="1" l="1"/>
  <c r="BH321" i="1"/>
  <c r="BF325" i="1"/>
  <c r="BG325" i="1" s="1"/>
  <c r="BC326" i="1"/>
  <c r="BE326" i="1"/>
  <c r="BH325" i="1" l="1"/>
  <c r="BF326" i="1"/>
  <c r="BG326" i="1" s="1"/>
  <c r="BC327" i="1"/>
  <c r="BE327" i="1"/>
  <c r="V328" i="1"/>
  <c r="BH326" i="1" l="1"/>
  <c r="BF327" i="1"/>
  <c r="BG327" i="1" s="1"/>
  <c r="BC328" i="1"/>
  <c r="BE328" i="1"/>
  <c r="BH327" i="1" l="1"/>
  <c r="BF328" i="1"/>
  <c r="BG328" i="1" s="1"/>
  <c r="BH328" i="1" s="1"/>
  <c r="BC329" i="1"/>
  <c r="BE329" i="1"/>
  <c r="BF329" i="1" l="1"/>
  <c r="BG329" i="1" s="1"/>
  <c r="BH329" i="1" s="1"/>
  <c r="BC330" i="1"/>
  <c r="BE330" i="1"/>
  <c r="BF330" i="1" l="1"/>
  <c r="BG330" i="1" s="1"/>
  <c r="BH330" i="1" s="1"/>
  <c r="BF331" i="1"/>
  <c r="BG331" i="1" s="1"/>
  <c r="BC332" i="1"/>
  <c r="BE332" i="1"/>
  <c r="BC333" i="1"/>
  <c r="BF333" i="1"/>
  <c r="BG333" i="1" s="1"/>
  <c r="BC334" i="1"/>
  <c r="BF334" i="1"/>
  <c r="BG334" i="1" s="1"/>
  <c r="BH334" i="1" s="1"/>
  <c r="BC335" i="1"/>
  <c r="BF335" i="1"/>
  <c r="BC336" i="1"/>
  <c r="BF336" i="1"/>
  <c r="BG336" i="1" s="1"/>
  <c r="BI336" i="1"/>
  <c r="BC337" i="1"/>
  <c r="BE337" i="1"/>
  <c r="BF337" i="1"/>
  <c r="BF332" i="1" l="1"/>
  <c r="BG332" i="1" s="1"/>
  <c r="BH336" i="1"/>
  <c r="BH333" i="1"/>
  <c r="BG335" i="1"/>
  <c r="BH335" i="1" s="1"/>
  <c r="BH331" i="1"/>
  <c r="BG337" i="1"/>
  <c r="BH337" i="1" s="1"/>
  <c r="BF338" i="1"/>
  <c r="BG338" i="1" s="1"/>
  <c r="BC339" i="1"/>
  <c r="BF339" i="1" s="1"/>
  <c r="BF340" i="1"/>
  <c r="BH340" i="1" s="1"/>
  <c r="BC341" i="1"/>
  <c r="BF341" i="1" s="1"/>
  <c r="BI341" i="1"/>
  <c r="BC342" i="1"/>
  <c r="BF342" i="1" s="1"/>
  <c r="BC343" i="1"/>
  <c r="BF343" i="1" s="1"/>
  <c r="BG343" i="1" s="1"/>
  <c r="BH343" i="1" s="1"/>
  <c r="BC344" i="1"/>
  <c r="BF344" i="1" s="1"/>
  <c r="V347" i="1"/>
  <c r="BC347" i="1"/>
  <c r="BF347" i="1" s="1"/>
  <c r="V348" i="1"/>
  <c r="BC348" i="1"/>
  <c r="BF348" i="1" s="1"/>
  <c r="BC349" i="1"/>
  <c r="BF349" i="1" s="1"/>
  <c r="BH349" i="1" s="1"/>
  <c r="W360" i="1"/>
  <c r="W365" i="1"/>
  <c r="BC367" i="1"/>
  <c r="BE367" i="1"/>
  <c r="BF367" i="1"/>
  <c r="BH367" i="1" s="1"/>
  <c r="BG349" i="1" l="1"/>
  <c r="BG347" i="1"/>
  <c r="BH347" i="1"/>
  <c r="BG344" i="1"/>
  <c r="BH344" i="1" s="1"/>
  <c r="BG339" i="1"/>
  <c r="BH339" i="1" s="1"/>
  <c r="BG341" i="1"/>
  <c r="BH341" i="1" s="1"/>
  <c r="BG348" i="1"/>
  <c r="BH348" i="1" s="1"/>
  <c r="BG342" i="1"/>
  <c r="BH342" i="1" s="1"/>
  <c r="BH338" i="1"/>
  <c r="BG367" i="1"/>
  <c r="BC368" i="1"/>
  <c r="BF368" i="1" s="1"/>
  <c r="BH368" i="1" s="1"/>
  <c r="V369" i="1"/>
  <c r="BG368" i="1" l="1"/>
  <c r="BC370" i="1"/>
  <c r="BF370" i="1" s="1"/>
  <c r="BG370" i="1" l="1"/>
  <c r="BH370" i="1" s="1"/>
  <c r="BC371" i="1"/>
  <c r="BE371" i="1"/>
  <c r="BF371" i="1" l="1"/>
  <c r="BG371" i="1" s="1"/>
  <c r="BC372" i="1"/>
  <c r="BF372" i="1" s="1"/>
  <c r="BG372" i="1" s="1"/>
  <c r="V373" i="1"/>
  <c r="BH371" i="1" l="1"/>
  <c r="BH372" i="1"/>
  <c r="BC373" i="1"/>
  <c r="BE373" i="1"/>
  <c r="BF373" i="1" l="1"/>
  <c r="BG373" i="1" s="1"/>
  <c r="BH373" i="1"/>
  <c r="BC374" i="1"/>
  <c r="BE374" i="1"/>
  <c r="BF374" i="1" l="1"/>
  <c r="BG374" i="1" s="1"/>
  <c r="BC375" i="1"/>
  <c r="BF375" i="1" s="1"/>
  <c r="BH375" i="1" s="1"/>
  <c r="BC376" i="1"/>
  <c r="BF376" i="1" s="1"/>
  <c r="BG376" i="1" s="1"/>
  <c r="BI376" i="1"/>
  <c r="BC378" i="1"/>
  <c r="BE378" i="1"/>
  <c r="BC379" i="1"/>
  <c r="BF379" i="1" s="1"/>
  <c r="BE379" i="1"/>
  <c r="BF378" i="1" l="1"/>
  <c r="BG378" i="1" s="1"/>
  <c r="BH374" i="1"/>
  <c r="BG375" i="1"/>
  <c r="BH376" i="1"/>
  <c r="BH378" i="1"/>
  <c r="BG379" i="1"/>
  <c r="BH379" i="1" s="1"/>
  <c r="V386" i="1"/>
  <c r="BC387" i="1"/>
  <c r="BE387" i="1"/>
  <c r="BI387" i="1"/>
  <c r="BC388" i="1"/>
  <c r="BE388" i="1"/>
  <c r="BC389" i="1"/>
  <c r="BF389" i="1" s="1"/>
  <c r="BG389" i="1" s="1"/>
  <c r="BC390" i="1"/>
  <c r="BE390" i="1"/>
  <c r="BC391" i="1"/>
  <c r="BF391" i="1" s="1"/>
  <c r="BG391" i="1" s="1"/>
  <c r="BC392" i="1"/>
  <c r="BE392" i="1"/>
  <c r="BF390" i="1" l="1"/>
  <c r="BH390" i="1" s="1"/>
  <c r="BF387" i="1"/>
  <c r="BH387" i="1" s="1"/>
  <c r="BF388" i="1"/>
  <c r="BH388" i="1" s="1"/>
  <c r="BH389" i="1"/>
  <c r="BH391" i="1"/>
  <c r="BF392" i="1"/>
  <c r="BH392" i="1" s="1"/>
  <c r="BG390" i="1"/>
  <c r="BG387" i="1"/>
  <c r="BC393" i="1"/>
  <c r="BE393" i="1"/>
  <c r="BG388" i="1" l="1"/>
  <c r="BG392" i="1"/>
  <c r="BF393" i="1"/>
  <c r="BG393" i="1" s="1"/>
  <c r="BC394" i="1"/>
  <c r="BE394" i="1"/>
  <c r="BI394" i="1"/>
  <c r="BH393" i="1" l="1"/>
  <c r="BF394" i="1"/>
  <c r="BG394" i="1" s="1"/>
  <c r="BC397" i="1"/>
  <c r="BE397" i="1"/>
  <c r="BI397" i="1"/>
  <c r="BH394" i="1" l="1"/>
  <c r="BF397" i="1"/>
  <c r="BG397" i="1" s="1"/>
  <c r="BC398" i="1"/>
  <c r="BF398" i="1"/>
  <c r="BG398" i="1" s="1"/>
  <c r="BH397" i="1" l="1"/>
  <c r="BH398" i="1"/>
  <c r="BC399" i="1"/>
  <c r="BE399" i="1"/>
  <c r="BF399" i="1" l="1"/>
  <c r="BG399" i="1" s="1"/>
  <c r="BC400" i="1"/>
  <c r="BF400" i="1"/>
  <c r="BH400" i="1" s="1"/>
  <c r="BG400" i="1"/>
  <c r="BI400" i="1"/>
  <c r="BC401" i="1"/>
  <c r="BE401" i="1"/>
  <c r="BH399" i="1" l="1"/>
  <c r="BF401" i="1"/>
  <c r="BH401" i="1" s="1"/>
  <c r="BC402" i="1"/>
  <c r="BE402" i="1"/>
  <c r="BF402" i="1" s="1"/>
  <c r="BG402" i="1" s="1"/>
  <c r="BI402" i="1"/>
  <c r="V403" i="1"/>
  <c r="BG401" i="1" l="1"/>
  <c r="BH402" i="1"/>
  <c r="BC403" i="1"/>
  <c r="BF403" i="1" s="1"/>
  <c r="BH403" i="1" l="1"/>
  <c r="BG403" i="1"/>
  <c r="BC404" i="1"/>
  <c r="BE404" i="1"/>
  <c r="BF404" i="1" l="1"/>
  <c r="BG404" i="1" s="1"/>
  <c r="W409" i="1"/>
  <c r="BH410" i="1"/>
  <c r="AP419" i="1"/>
  <c r="BC419" i="1"/>
  <c r="BE419" i="1"/>
  <c r="BH404" i="1" l="1"/>
  <c r="BF419" i="1"/>
  <c r="BG419" i="1" s="1"/>
  <c r="BC420" i="1"/>
  <c r="BF420" i="1" s="1"/>
  <c r="BH420" i="1" s="1"/>
  <c r="BI420" i="1"/>
  <c r="BH419" i="1" l="1"/>
  <c r="BG420" i="1"/>
  <c r="BC427" i="1"/>
  <c r="BF427" i="1"/>
  <c r="BH427" i="1" s="1"/>
  <c r="BC428" i="1"/>
  <c r="BF428" i="1" s="1"/>
  <c r="BC429" i="1"/>
  <c r="BF429" i="1"/>
  <c r="BH429" i="1" s="1"/>
  <c r="BC430" i="1"/>
  <c r="BF430" i="1" s="1"/>
  <c r="BG430" i="1" s="1"/>
  <c r="BG427" i="1" l="1"/>
  <c r="BG429" i="1"/>
  <c r="BH428" i="1"/>
  <c r="BG428" i="1"/>
  <c r="BH430" i="1"/>
  <c r="BC431" i="1"/>
  <c r="BF431" i="1" s="1"/>
  <c r="BH431" i="1" l="1"/>
  <c r="BG431" i="1"/>
  <c r="BC432" i="1"/>
  <c r="BE432" i="1"/>
  <c r="BF432" i="1" l="1"/>
  <c r="BG432" i="1" s="1"/>
  <c r="BC433" i="1"/>
  <c r="BE433" i="1"/>
  <c r="BF433" i="1" s="1"/>
  <c r="BG433" i="1" s="1"/>
  <c r="BH432" i="1" l="1"/>
  <c r="BH433" i="1"/>
  <c r="BC434" i="1"/>
  <c r="BE434" i="1"/>
  <c r="BF434" i="1" l="1"/>
  <c r="BG434" i="1" s="1"/>
  <c r="BC436" i="1"/>
  <c r="BE436" i="1"/>
  <c r="BH434" i="1" l="1"/>
  <c r="BF436" i="1"/>
  <c r="BG436" i="1" s="1"/>
  <c r="BH436" i="1" s="1"/>
  <c r="BC437" i="1"/>
  <c r="BE437" i="1"/>
  <c r="BC438" i="1"/>
  <c r="BE438" i="1"/>
  <c r="BC440" i="1"/>
  <c r="BF440" i="1" s="1"/>
  <c r="BH440" i="1" s="1"/>
  <c r="BF437" i="1" l="1"/>
  <c r="BG437" i="1" s="1"/>
  <c r="BH437" i="1" s="1"/>
  <c r="BF438" i="1"/>
  <c r="BG438" i="1" s="1"/>
  <c r="BH438" i="1" s="1"/>
  <c r="BG440" i="1"/>
  <c r="BC441" i="1"/>
  <c r="BE441" i="1"/>
  <c r="BF441" i="1" l="1"/>
  <c r="BH441" i="1" s="1"/>
  <c r="BC442" i="1"/>
  <c r="BE442" i="1"/>
  <c r="BG441" i="1" l="1"/>
  <c r="BF442" i="1"/>
  <c r="BG442" i="1" s="1"/>
  <c r="BC443" i="1"/>
  <c r="BE443" i="1"/>
  <c r="BH442" i="1" l="1"/>
  <c r="BF443" i="1"/>
  <c r="BG443" i="1" s="1"/>
  <c r="BC444" i="1"/>
  <c r="BF444" i="1" s="1"/>
  <c r="BH443" i="1" l="1"/>
  <c r="BG444" i="1"/>
  <c r="BH444" i="1"/>
  <c r="BC445" i="1"/>
  <c r="BD445" i="1"/>
  <c r="BE445" i="1"/>
  <c r="BF445" i="1" l="1"/>
  <c r="BC446" i="1"/>
  <c r="BF446" i="1" s="1"/>
  <c r="BG445" i="1" l="1"/>
  <c r="BH445" i="1" s="1"/>
  <c r="BG446" i="1"/>
  <c r="BH446" i="1" s="1"/>
  <c r="BC447" i="1"/>
  <c r="BE447" i="1"/>
  <c r="BF447" i="1" l="1"/>
  <c r="BG447" i="1" s="1"/>
  <c r="BC448" i="1"/>
  <c r="BE448" i="1"/>
  <c r="BH447" i="1" l="1"/>
  <c r="BF448" i="1"/>
  <c r="BG448" i="1" s="1"/>
  <c r="BH448" i="1" s="1"/>
  <c r="BC449" i="1"/>
  <c r="BF449" i="1" s="1"/>
  <c r="BG449" i="1" l="1"/>
  <c r="BH449" i="1"/>
  <c r="BC450" i="1"/>
  <c r="BF450" i="1" s="1"/>
  <c r="BG450" i="1" l="1"/>
  <c r="BH450" i="1"/>
  <c r="BC451" i="1"/>
  <c r="BF451" i="1" s="1"/>
  <c r="BG451" i="1" l="1"/>
  <c r="BH451" i="1"/>
  <c r="BC452" i="1"/>
  <c r="BF452" i="1" s="1"/>
  <c r="BG452" i="1" l="1"/>
  <c r="BH452" i="1"/>
  <c r="BC453" i="1"/>
  <c r="BE453" i="1"/>
  <c r="BF453" i="1" l="1"/>
  <c r="BG453" i="1" s="1"/>
  <c r="BC454" i="1"/>
  <c r="BF454" i="1" s="1"/>
  <c r="BH453" i="1" l="1"/>
  <c r="BG454" i="1"/>
  <c r="BH454" i="1"/>
  <c r="BC455" i="1"/>
  <c r="BF455" i="1"/>
  <c r="BG455" i="1" s="1"/>
  <c r="BH455" i="1" l="1"/>
  <c r="BC456" i="1"/>
  <c r="BE456" i="1"/>
  <c r="BF456" i="1" s="1"/>
  <c r="BG456" i="1" s="1"/>
  <c r="BH456" i="1" l="1"/>
  <c r="BC457" i="1"/>
  <c r="BF457" i="1" s="1"/>
  <c r="BH457" i="1" l="1"/>
  <c r="BG457" i="1"/>
  <c r="BC458" i="1"/>
  <c r="BF458" i="1" s="1"/>
  <c r="BG458" i="1" l="1"/>
  <c r="BH458" i="1"/>
  <c r="BC459" i="1"/>
  <c r="BF459" i="1"/>
  <c r="BG459" i="1" s="1"/>
  <c r="BH459" i="1" l="1"/>
  <c r="BC460" i="1"/>
  <c r="BE460" i="1"/>
  <c r="BC461" i="1"/>
  <c r="BE461" i="1"/>
  <c r="BI461" i="1"/>
  <c r="BF460" i="1" l="1"/>
  <c r="BG460" i="1" s="1"/>
  <c r="BH460" i="1" s="1"/>
  <c r="BF461" i="1"/>
  <c r="BG461" i="1" s="1"/>
  <c r="BH461" i="1" s="1"/>
  <c r="BC462" i="1"/>
  <c r="BF462" i="1" s="1"/>
  <c r="BG462" i="1" l="1"/>
  <c r="BH462" i="1" s="1"/>
  <c r="BC463" i="1"/>
  <c r="BF463" i="1" s="1"/>
  <c r="BG463" i="1" s="1"/>
  <c r="BC464" i="1"/>
  <c r="BE464" i="1"/>
  <c r="BF464" i="1" l="1"/>
  <c r="BG464" i="1" s="1"/>
  <c r="BH464" i="1" s="1"/>
  <c r="BH463" i="1"/>
  <c r="BC465" i="1"/>
  <c r="BF465" i="1" s="1"/>
  <c r="BG465" i="1" s="1"/>
  <c r="BC466" i="1"/>
  <c r="BE466" i="1"/>
  <c r="BG466" i="1"/>
  <c r="BC467" i="1"/>
  <c r="BE467" i="1"/>
  <c r="BF467" i="1" l="1"/>
  <c r="BH465" i="1"/>
  <c r="BF466" i="1"/>
  <c r="BH466" i="1" s="1"/>
  <c r="BG467" i="1"/>
  <c r="BH467" i="1" s="1"/>
  <c r="BC468" i="1"/>
  <c r="BF468" i="1" s="1"/>
  <c r="BG468" i="1" s="1"/>
  <c r="BH468" i="1" s="1"/>
  <c r="BC469" i="1"/>
  <c r="BE469" i="1"/>
  <c r="BF469" i="1" s="1"/>
  <c r="BG469" i="1" l="1"/>
  <c r="BH469" i="1" s="1"/>
  <c r="BC470" i="1"/>
  <c r="BF470" i="1"/>
  <c r="BG470" i="1" s="1"/>
  <c r="BH470" i="1" l="1"/>
  <c r="BC471" i="1"/>
  <c r="BF471" i="1"/>
  <c r="BG471" i="1" s="1"/>
  <c r="BC472" i="1"/>
  <c r="BF472" i="1" s="1"/>
  <c r="BH471" i="1" l="1"/>
  <c r="BG472" i="1"/>
  <c r="BH472" i="1" s="1"/>
  <c r="BC473" i="1"/>
  <c r="BE473" i="1"/>
  <c r="V474" i="1"/>
  <c r="BF473" i="1" l="1"/>
  <c r="BG473" i="1"/>
  <c r="BH473" i="1" s="1"/>
  <c r="BC474" i="1"/>
  <c r="BF474" i="1" s="1"/>
  <c r="BG474" i="1" l="1"/>
  <c r="BH474" i="1" s="1"/>
  <c r="BC475" i="1"/>
  <c r="BF475" i="1" s="1"/>
  <c r="BG475" i="1" s="1"/>
  <c r="BH475" i="1" s="1"/>
  <c r="BC476" i="1"/>
  <c r="BF476" i="1" s="1"/>
  <c r="BG476" i="1" s="1"/>
  <c r="BH476" i="1" s="1"/>
  <c r="BC477" i="1"/>
  <c r="BF477" i="1"/>
  <c r="BG477" i="1" l="1"/>
  <c r="BH477" i="1" s="1"/>
  <c r="BC478" i="1"/>
  <c r="BF478" i="1" s="1"/>
  <c r="BG478" i="1" l="1"/>
  <c r="BH478" i="1" s="1"/>
  <c r="BC479" i="1"/>
  <c r="BE479" i="1"/>
  <c r="BF479" i="1" l="1"/>
  <c r="BG479" i="1" s="1"/>
  <c r="BH479" i="1" s="1"/>
  <c r="BC480" i="1"/>
  <c r="BE480" i="1"/>
  <c r="BF480" i="1" l="1"/>
  <c r="BG480" i="1" s="1"/>
  <c r="BH480" i="1" s="1"/>
  <c r="BC481" i="1"/>
  <c r="BF481" i="1" s="1"/>
  <c r="BG481" i="1" l="1"/>
  <c r="BH481" i="1" s="1"/>
  <c r="BC483" i="1"/>
  <c r="BE483" i="1"/>
  <c r="BI483" i="1"/>
  <c r="BF483" i="1" l="1"/>
  <c r="BG483" i="1" s="1"/>
  <c r="BH483" i="1" s="1"/>
  <c r="BC484" i="1"/>
  <c r="BF484" i="1" s="1"/>
  <c r="BG484" i="1" l="1"/>
  <c r="BH484" i="1" s="1"/>
  <c r="BC485" i="1"/>
  <c r="BE485" i="1"/>
  <c r="BF485" i="1" l="1"/>
  <c r="BG485" i="1" s="1"/>
  <c r="BH485" i="1" s="1"/>
  <c r="BC486" i="1"/>
  <c r="BE486" i="1"/>
  <c r="BF486" i="1"/>
  <c r="BG486" i="1" s="1"/>
  <c r="BH486" i="1" l="1"/>
  <c r="BC487" i="1"/>
  <c r="BE487" i="1"/>
  <c r="BF487" i="1" l="1"/>
  <c r="BG487" i="1" s="1"/>
  <c r="BH487" i="1" s="1"/>
  <c r="BF488" i="1"/>
  <c r="BG488" i="1" s="1"/>
  <c r="BH488" i="1" l="1"/>
  <c r="BC489" i="1"/>
  <c r="BE489" i="1"/>
  <c r="BF489" i="1" l="1"/>
  <c r="BG489" i="1" s="1"/>
  <c r="BH489" i="1" s="1"/>
  <c r="BC490" i="1"/>
  <c r="BE490" i="1"/>
  <c r="BF490" i="1" l="1"/>
  <c r="BG490" i="1" s="1"/>
  <c r="BH490" i="1" s="1"/>
  <c r="BC491" i="1"/>
  <c r="BE491" i="1"/>
  <c r="BF491" i="1" l="1"/>
  <c r="BG491" i="1" s="1"/>
  <c r="BH491" i="1" s="1"/>
  <c r="BC492" i="1"/>
  <c r="BE492" i="1"/>
  <c r="BF492" i="1"/>
  <c r="BG492" i="1" s="1"/>
  <c r="BH492" i="1" l="1"/>
  <c r="BF493" i="1"/>
  <c r="BG493" i="1" s="1"/>
  <c r="BH493" i="1" l="1"/>
  <c r="BC494" i="1"/>
  <c r="BE494" i="1"/>
  <c r="BF494" i="1" l="1"/>
  <c r="BG494" i="1" s="1"/>
  <c r="BH494" i="1" s="1"/>
  <c r="BC495" i="1"/>
  <c r="BE495" i="1"/>
  <c r="BF495" i="1" l="1"/>
  <c r="BG495" i="1"/>
  <c r="BH495" i="1" s="1"/>
  <c r="BC496" i="1"/>
  <c r="BE496" i="1"/>
  <c r="BF496" i="1" l="1"/>
  <c r="BG496" i="1" s="1"/>
  <c r="BH496" i="1" s="1"/>
  <c r="BC497" i="1"/>
  <c r="BF497" i="1" s="1"/>
  <c r="BG497" i="1" l="1"/>
  <c r="BH497" i="1" s="1"/>
  <c r="BC498" i="1"/>
  <c r="BE498" i="1"/>
  <c r="BF498" i="1" l="1"/>
  <c r="BG498" i="1" s="1"/>
  <c r="BH498" i="1" s="1"/>
  <c r="BC499" i="1"/>
  <c r="BF499" i="1" s="1"/>
  <c r="BG499" i="1" l="1"/>
  <c r="BH499" i="1" s="1"/>
  <c r="BC500" i="1"/>
  <c r="BF500" i="1" s="1"/>
  <c r="BG500" i="1" l="1"/>
  <c r="BH500" i="1" s="1"/>
  <c r="BC501" i="1"/>
  <c r="BF501" i="1" s="1"/>
  <c r="BG501" i="1" l="1"/>
  <c r="BH501" i="1" s="1"/>
  <c r="BC502" i="1"/>
  <c r="BF502" i="1" s="1"/>
  <c r="BG502" i="1" l="1"/>
  <c r="BH502" i="1" s="1"/>
  <c r="BC503" i="1"/>
  <c r="BE503" i="1"/>
  <c r="BF503" i="1" l="1"/>
  <c r="BG503" i="1" s="1"/>
  <c r="BH503" i="1" s="1"/>
  <c r="BC504" i="1"/>
  <c r="BF504" i="1" s="1"/>
  <c r="BG504" i="1" l="1"/>
  <c r="BH504" i="1" s="1"/>
  <c r="BC505" i="1"/>
  <c r="BF505" i="1" s="1"/>
  <c r="BG505" i="1" l="1"/>
  <c r="BH505" i="1" s="1"/>
  <c r="BC507" i="1"/>
  <c r="BF507" i="1" s="1"/>
  <c r="BG507" i="1" s="1"/>
  <c r="BH507" i="1" l="1"/>
  <c r="BC508" i="1"/>
  <c r="BF508" i="1" s="1"/>
  <c r="BG508" i="1" s="1"/>
  <c r="BC509" i="1"/>
  <c r="BF509" i="1" s="1"/>
  <c r="BG509" i="1" s="1"/>
  <c r="BC510" i="1"/>
  <c r="BE510" i="1"/>
  <c r="BF510" i="1"/>
  <c r="BC511" i="1"/>
  <c r="BE511" i="1"/>
  <c r="BF511" i="1" l="1"/>
  <c r="BG511" i="1" s="1"/>
  <c r="BH511" i="1" s="1"/>
  <c r="BH509" i="1"/>
  <c r="BH508" i="1"/>
  <c r="BG510" i="1"/>
  <c r="BH510" i="1" s="1"/>
  <c r="BC512" i="1"/>
  <c r="BF512" i="1"/>
  <c r="BG512" i="1" s="1"/>
  <c r="BH512" i="1" l="1"/>
  <c r="BC513" i="1"/>
  <c r="BF513" i="1"/>
  <c r="BG513" i="1" s="1"/>
  <c r="BC514" i="1"/>
  <c r="BF514" i="1" s="1"/>
  <c r="BE514" i="1"/>
  <c r="BH513" i="1" l="1"/>
  <c r="BG514" i="1"/>
  <c r="BH514" i="1" s="1"/>
  <c r="BC515" i="1"/>
  <c r="BE515" i="1"/>
  <c r="BF515" i="1" l="1"/>
  <c r="BG515" i="1" s="1"/>
  <c r="BH515" i="1" s="1"/>
  <c r="BC516" i="1"/>
  <c r="BF516" i="1" s="1"/>
  <c r="BG516" i="1" l="1"/>
  <c r="BH516" i="1" s="1"/>
  <c r="BC517" i="1"/>
  <c r="BF517" i="1"/>
  <c r="BG517" i="1" s="1"/>
  <c r="BH517" i="1" l="1"/>
  <c r="BC518" i="1"/>
  <c r="BE518" i="1"/>
  <c r="BF518" i="1" l="1"/>
  <c r="BG518" i="1" s="1"/>
  <c r="BC519" i="1"/>
  <c r="BE519" i="1"/>
  <c r="BH518" i="1" l="1"/>
  <c r="BF519" i="1"/>
  <c r="BG519" i="1" s="1"/>
  <c r="BH519" i="1" s="1"/>
  <c r="BC520" i="1"/>
  <c r="BF520" i="1"/>
  <c r="BG520" i="1" s="1"/>
  <c r="BH520" i="1" l="1"/>
  <c r="BC521" i="1"/>
  <c r="BF521" i="1"/>
  <c r="BG521" i="1" l="1"/>
  <c r="BH521" i="1" s="1"/>
  <c r="BC522" i="1"/>
  <c r="BE522" i="1"/>
  <c r="BF522" i="1" l="1"/>
  <c r="BG522" i="1" s="1"/>
  <c r="BH522" i="1" s="1"/>
  <c r="BC523" i="1"/>
  <c r="BF523" i="1" s="1"/>
  <c r="BG523" i="1" l="1"/>
  <c r="BH523" i="1" s="1"/>
  <c r="BF524" i="1"/>
  <c r="BG524" i="1" s="1"/>
  <c r="BC525" i="1"/>
  <c r="BE525" i="1"/>
  <c r="BF525" i="1" s="1"/>
  <c r="BC526" i="1"/>
  <c r="BE526" i="1"/>
  <c r="BF526" i="1" l="1"/>
  <c r="BG525" i="1"/>
  <c r="BH525" i="1" s="1"/>
  <c r="BH524" i="1"/>
  <c r="BG526" i="1"/>
  <c r="BH526" i="1" s="1"/>
  <c r="BC527" i="1"/>
  <c r="BE527" i="1"/>
  <c r="BF527" i="1" l="1"/>
  <c r="BG527" i="1" s="1"/>
  <c r="BH527" i="1" s="1"/>
  <c r="BC528" i="1"/>
  <c r="BE528" i="1"/>
  <c r="BF528" i="1" l="1"/>
  <c r="BG528" i="1" s="1"/>
  <c r="BH528" i="1" s="1"/>
  <c r="BC529" i="1"/>
  <c r="BF529" i="1"/>
  <c r="BG529" i="1" s="1"/>
  <c r="BH529" i="1" l="1"/>
  <c r="BC530" i="1"/>
  <c r="BE530" i="1"/>
  <c r="BF530" i="1" l="1"/>
  <c r="BG530" i="1" s="1"/>
  <c r="BH530" i="1" s="1"/>
  <c r="BC531" i="1"/>
  <c r="BE531" i="1"/>
  <c r="BF531" i="1" l="1"/>
  <c r="BG531" i="1" s="1"/>
  <c r="BH531" i="1" s="1"/>
  <c r="BC532" i="1"/>
  <c r="BE532" i="1"/>
  <c r="BF532" i="1" l="1"/>
  <c r="BG532" i="1" s="1"/>
  <c r="BH532" i="1" s="1"/>
  <c r="BC533" i="1"/>
  <c r="BF533" i="1"/>
  <c r="BG533" i="1" s="1"/>
  <c r="BH533" i="1" l="1"/>
  <c r="BC534" i="1"/>
  <c r="BF534" i="1"/>
  <c r="BG534" i="1" s="1"/>
  <c r="BC535" i="1"/>
  <c r="BE535" i="1"/>
  <c r="BF535" i="1" l="1"/>
  <c r="BH534" i="1"/>
  <c r="BG535" i="1"/>
  <c r="BH535" i="1" s="1"/>
  <c r="BC536" i="1"/>
  <c r="BF536" i="1" s="1"/>
  <c r="BG536" i="1" s="1"/>
  <c r="BH536" i="1" l="1"/>
  <c r="BC537" i="1"/>
  <c r="BE537" i="1"/>
  <c r="BF537" i="1"/>
  <c r="BG537" i="1" s="1"/>
  <c r="BH537" i="1" l="1"/>
  <c r="BC538" i="1"/>
  <c r="BF538" i="1"/>
  <c r="BG538" i="1" l="1"/>
  <c r="BH538" i="1" s="1"/>
  <c r="BC539" i="1"/>
  <c r="BF539" i="1" s="1"/>
  <c r="BG539" i="1" s="1"/>
  <c r="BH539" i="1" l="1"/>
  <c r="BC540" i="1"/>
  <c r="BF540" i="1" s="1"/>
  <c r="BG540" i="1" l="1"/>
  <c r="BH540" i="1" s="1"/>
  <c r="BC541" i="1"/>
  <c r="BF541" i="1"/>
  <c r="BG541" i="1" s="1"/>
  <c r="BH541" i="1" l="1"/>
  <c r="BC542" i="1"/>
  <c r="BF542" i="1" s="1"/>
  <c r="BC544" i="1"/>
  <c r="BF544" i="1"/>
  <c r="BG544" i="1" s="1"/>
  <c r="BC545" i="1"/>
  <c r="BF545" i="1"/>
  <c r="BG545" i="1" s="1"/>
  <c r="BC546" i="1"/>
  <c r="BE546" i="1"/>
  <c r="BC547" i="1"/>
  <c r="BF547" i="1"/>
  <c r="BG547" i="1" s="1"/>
  <c r="BH547" i="1" s="1"/>
  <c r="BC548" i="1"/>
  <c r="BF548" i="1" s="1"/>
  <c r="BC549" i="1"/>
  <c r="BF549" i="1" s="1"/>
  <c r="BG549" i="1" s="1"/>
  <c r="BC550" i="1"/>
  <c r="BE550" i="1"/>
  <c r="BC551" i="1"/>
  <c r="BE551" i="1"/>
  <c r="BC552" i="1"/>
  <c r="BF552" i="1" s="1"/>
  <c r="BG552" i="1" s="1"/>
  <c r="BC553" i="1"/>
  <c r="BE553" i="1"/>
  <c r="BF553" i="1"/>
  <c r="BF550" i="1" l="1"/>
  <c r="BG550" i="1" s="1"/>
  <c r="BF551" i="1"/>
  <c r="BG551" i="1" s="1"/>
  <c r="BF546" i="1"/>
  <c r="BG546" i="1" s="1"/>
  <c r="BH546" i="1" s="1"/>
  <c r="BH545" i="1"/>
  <c r="BH552" i="1"/>
  <c r="BH544" i="1"/>
  <c r="BG548" i="1"/>
  <c r="BH548" i="1" s="1"/>
  <c r="BG542" i="1"/>
  <c r="BH542" i="1" s="1"/>
  <c r="BH550" i="1"/>
  <c r="BH551" i="1"/>
  <c r="BH549" i="1"/>
  <c r="BG553" i="1"/>
  <c r="BH553" i="1" s="1"/>
  <c r="BC554" i="1"/>
  <c r="BF554" i="1" s="1"/>
  <c r="BG554" i="1" l="1"/>
  <c r="BH554" i="1" s="1"/>
  <c r="BC555" i="1"/>
  <c r="BF555" i="1"/>
  <c r="BG555" i="1" s="1"/>
  <c r="BH555" i="1" l="1"/>
  <c r="BC556" i="1"/>
  <c r="BF556" i="1" s="1"/>
  <c r="BG556" i="1" l="1"/>
  <c r="BH556" i="1" s="1"/>
  <c r="BC557" i="1"/>
  <c r="BF557" i="1" s="1"/>
  <c r="BG557" i="1" s="1"/>
  <c r="BH557" i="1" l="1"/>
  <c r="BC558" i="1"/>
  <c r="BE558" i="1"/>
  <c r="BF558" i="1" l="1"/>
  <c r="BG558" i="1" s="1"/>
  <c r="BH558" i="1" s="1"/>
  <c r="BI558" i="1" s="1"/>
  <c r="BC559" i="1"/>
  <c r="BE559" i="1"/>
  <c r="BF559" i="1" l="1"/>
  <c r="BG559" i="1" s="1"/>
  <c r="BH559" i="1" s="1"/>
  <c r="BC560" i="1"/>
  <c r="BF560" i="1"/>
  <c r="BG560" i="1" s="1"/>
  <c r="BH560" i="1" l="1"/>
  <c r="BC561" i="1"/>
  <c r="BF561" i="1" s="1"/>
  <c r="BG561" i="1" l="1"/>
  <c r="BH561" i="1" s="1"/>
  <c r="BC562" i="1"/>
  <c r="BE562" i="1"/>
  <c r="BF562" i="1" l="1"/>
  <c r="BG562" i="1" s="1"/>
  <c r="BH562" i="1" s="1"/>
  <c r="BC563" i="1"/>
  <c r="BF563" i="1" s="1"/>
  <c r="BG563" i="1" s="1"/>
  <c r="BH563" i="1" l="1"/>
  <c r="BC564" i="1"/>
  <c r="BF564" i="1" s="1"/>
  <c r="V565" i="1"/>
  <c r="BG564" i="1" l="1"/>
  <c r="BH564" i="1" s="1"/>
  <c r="BC565" i="1"/>
  <c r="BF565" i="1"/>
  <c r="BG565" i="1" s="1"/>
  <c r="BH565" i="1" l="1"/>
  <c r="BC566" i="1"/>
  <c r="BE566" i="1"/>
  <c r="BF566" i="1"/>
  <c r="BG566" i="1" s="1"/>
  <c r="BH566" i="1" l="1"/>
  <c r="BC567" i="1"/>
  <c r="BE567" i="1"/>
  <c r="BF567" i="1"/>
  <c r="BG567" i="1" s="1"/>
  <c r="BH567" i="1" l="1"/>
  <c r="BC568" i="1"/>
  <c r="BF568" i="1" s="1"/>
  <c r="V569" i="1"/>
  <c r="BG568" i="1" l="1"/>
  <c r="BH568" i="1" s="1"/>
  <c r="BC569" i="1"/>
  <c r="BE569" i="1"/>
  <c r="BF569" i="1" l="1"/>
  <c r="BG569" i="1" s="1"/>
  <c r="BH569" i="1" s="1"/>
  <c r="BC570" i="1"/>
  <c r="BF570" i="1" s="1"/>
  <c r="BG570" i="1" s="1"/>
  <c r="BH570" i="1" s="1"/>
  <c r="BC571" i="1" l="1"/>
  <c r="BF571" i="1" s="1"/>
  <c r="BG571" i="1" l="1"/>
  <c r="BH571" i="1" s="1"/>
  <c r="BC572" i="1"/>
  <c r="BE572" i="1"/>
  <c r="BF572" i="1" l="1"/>
  <c r="BG572" i="1" s="1"/>
  <c r="BH572" i="1" s="1"/>
  <c r="BC573" i="1"/>
  <c r="BF573" i="1"/>
  <c r="BG573" i="1" s="1"/>
  <c r="BH573" i="1" l="1"/>
  <c r="BC574" i="1"/>
  <c r="BE574" i="1"/>
  <c r="BF574" i="1" l="1"/>
  <c r="BG574" i="1" s="1"/>
  <c r="BH574" i="1" s="1"/>
  <c r="BC575" i="1"/>
  <c r="BF575" i="1"/>
  <c r="BG575" i="1" s="1"/>
  <c r="BH575" i="1" l="1"/>
  <c r="BC576" i="1"/>
  <c r="BF576" i="1" s="1"/>
  <c r="BG576" i="1" l="1"/>
  <c r="BH576" i="1" s="1"/>
  <c r="BC577" i="1"/>
  <c r="BE577" i="1"/>
  <c r="BF577" i="1" l="1"/>
  <c r="BG577" i="1" s="1"/>
  <c r="BH577" i="1" s="1"/>
  <c r="BC578" i="1"/>
  <c r="BE578" i="1"/>
  <c r="BF578" i="1" l="1"/>
  <c r="BG578" i="1" s="1"/>
  <c r="BH578" i="1" s="1"/>
  <c r="BC579" i="1"/>
  <c r="BE579" i="1"/>
  <c r="BF579" i="1" l="1"/>
  <c r="BG579" i="1"/>
  <c r="BH579" i="1" s="1"/>
  <c r="BC580" i="1"/>
  <c r="BE580" i="1"/>
  <c r="V581" i="1"/>
  <c r="BF580" i="1" l="1"/>
  <c r="BG580" i="1" s="1"/>
  <c r="BH580" i="1" s="1"/>
  <c r="BC581" i="1"/>
  <c r="BF581" i="1" s="1"/>
  <c r="BG581" i="1" s="1"/>
  <c r="BH581" i="1" l="1"/>
  <c r="BC582" i="1"/>
  <c r="BF582" i="1" s="1"/>
  <c r="BG582" i="1" l="1"/>
  <c r="BH582" i="1" s="1"/>
  <c r="BC583" i="1"/>
  <c r="BE583" i="1"/>
  <c r="BI583" i="1"/>
  <c r="BF583" i="1" l="1"/>
  <c r="BG583" i="1"/>
  <c r="BH583" i="1" s="1"/>
  <c r="BC585" i="1"/>
  <c r="BE585" i="1"/>
  <c r="BI585" i="1"/>
  <c r="BF585" i="1" l="1"/>
  <c r="BG585" i="1" s="1"/>
  <c r="BH585" i="1" s="1"/>
  <c r="BC586" i="1"/>
  <c r="BE586" i="1"/>
  <c r="BF586" i="1" l="1"/>
  <c r="BG586" i="1" s="1"/>
  <c r="BH586" i="1" s="1"/>
  <c r="BC587" i="1"/>
  <c r="BE587" i="1"/>
  <c r="BF587" i="1" l="1"/>
  <c r="BG587" i="1"/>
  <c r="BH587" i="1" s="1"/>
  <c r="AI588" i="1"/>
  <c r="AK588" i="1"/>
  <c r="AL588" i="1"/>
  <c r="AM588" i="1"/>
  <c r="AN588" i="1"/>
  <c r="AO588" i="1"/>
  <c r="AP588" i="1"/>
  <c r="BC588" i="1"/>
  <c r="BF588" i="1" s="1"/>
  <c r="BG588" i="1" l="1"/>
  <c r="BH588" i="1" s="1"/>
  <c r="AI589" i="1"/>
  <c r="AK589" i="1"/>
  <c r="AL589" i="1"/>
  <c r="AM589" i="1"/>
  <c r="AN589" i="1"/>
  <c r="AO589" i="1"/>
  <c r="AP589" i="1"/>
  <c r="BC589" i="1"/>
  <c r="BE589" i="1"/>
  <c r="BF589" i="1" l="1"/>
  <c r="BG589" i="1" s="1"/>
  <c r="BH589" i="1" s="1"/>
  <c r="AI590" i="1"/>
  <c r="AK590" i="1"/>
  <c r="AL590" i="1"/>
  <c r="AM590" i="1"/>
  <c r="AO590" i="1"/>
  <c r="AP590" i="1"/>
  <c r="BC590" i="1"/>
  <c r="BF590" i="1" s="1"/>
  <c r="BG590" i="1" l="1"/>
  <c r="BH590" i="1" s="1"/>
  <c r="AO591" i="1"/>
  <c r="BC591" i="1"/>
  <c r="BE591" i="1"/>
  <c r="BF591" i="1" l="1"/>
  <c r="BG591" i="1" s="1"/>
  <c r="BH591" i="1" s="1"/>
  <c r="AK592" i="1"/>
  <c r="AL592" i="1"/>
  <c r="AM592" i="1"/>
  <c r="AN592" i="1"/>
  <c r="AO592" i="1"/>
  <c r="AP592" i="1"/>
  <c r="BC592" i="1"/>
  <c r="BF592" i="1" s="1"/>
  <c r="BG592" i="1" l="1"/>
  <c r="BH592" i="1" s="1"/>
  <c r="AK593" i="1"/>
  <c r="AL593" i="1"/>
  <c r="AM593" i="1"/>
  <c r="AN593" i="1"/>
  <c r="AO593" i="1"/>
  <c r="AP593" i="1"/>
  <c r="BC593" i="1"/>
  <c r="BF593" i="1" s="1"/>
  <c r="BG593" i="1" s="1"/>
  <c r="BH593" i="1" s="1"/>
  <c r="AK594" i="1" l="1"/>
  <c r="AL594" i="1"/>
  <c r="AM594" i="1"/>
  <c r="AO594" i="1"/>
  <c r="AP594" i="1"/>
  <c r="BC594" i="1"/>
  <c r="BF594" i="1" s="1"/>
  <c r="BE594" i="1"/>
  <c r="BG594" i="1" l="1"/>
  <c r="BH594" i="1" s="1"/>
  <c r="AI595" i="1"/>
  <c r="AK595" i="1"/>
  <c r="AL595" i="1"/>
  <c r="AM595" i="1"/>
  <c r="AN595" i="1"/>
  <c r="AO595" i="1"/>
  <c r="AP595" i="1"/>
  <c r="BC595" i="1"/>
  <c r="BF595" i="1" s="1"/>
  <c r="BG595" i="1" l="1"/>
  <c r="BH595" i="1" s="1"/>
  <c r="AO596" i="1"/>
  <c r="BF596" i="1"/>
  <c r="BG596" i="1" s="1"/>
  <c r="V597" i="1"/>
  <c r="BH596" i="1" l="1"/>
  <c r="AI597" i="1"/>
  <c r="AK597" i="1"/>
  <c r="AL597" i="1"/>
  <c r="AM597" i="1"/>
  <c r="AN597" i="1"/>
  <c r="AO597" i="1"/>
  <c r="AP597" i="1"/>
  <c r="BC597" i="1"/>
  <c r="BE597" i="1"/>
  <c r="BF597" i="1" l="1"/>
  <c r="BG597" i="1" s="1"/>
  <c r="BH597" i="1" s="1"/>
  <c r="AK599" i="1"/>
  <c r="AL599" i="1"/>
  <c r="AM599" i="1"/>
  <c r="AO599" i="1"/>
  <c r="AP599" i="1"/>
  <c r="BC599" i="1"/>
  <c r="BF599" i="1" s="1"/>
  <c r="BG599" i="1" l="1"/>
  <c r="BH599" i="1" s="1"/>
  <c r="AO600" i="1"/>
  <c r="BC600" i="1"/>
  <c r="BE600" i="1"/>
  <c r="V601" i="1"/>
  <c r="BF600" i="1" l="1"/>
  <c r="BG600" i="1" s="1"/>
  <c r="BH600" i="1" s="1"/>
  <c r="AI601" i="1"/>
  <c r="AK601" i="1"/>
  <c r="AL601" i="1"/>
  <c r="AM601" i="1"/>
  <c r="AO601" i="1"/>
  <c r="AP601" i="1"/>
  <c r="BC601" i="1"/>
  <c r="BF601" i="1" s="1"/>
  <c r="BG601" i="1" l="1"/>
  <c r="BH601" i="1" s="1"/>
  <c r="AK602" i="1"/>
  <c r="AL602" i="1"/>
  <c r="AM602" i="1"/>
  <c r="AO602" i="1"/>
  <c r="AP602" i="1"/>
  <c r="BC602" i="1"/>
  <c r="BF602" i="1" s="1"/>
  <c r="V603" i="1"/>
  <c r="BG602" i="1" l="1"/>
  <c r="BH602" i="1" s="1"/>
  <c r="BC603" i="1"/>
  <c r="BE603" i="1"/>
  <c r="BF603" i="1" l="1"/>
  <c r="BG603" i="1" s="1"/>
  <c r="BH603" i="1" s="1"/>
  <c r="AI604" i="1"/>
  <c r="AK604" i="1"/>
  <c r="AL604" i="1"/>
  <c r="AM604" i="1"/>
  <c r="AN604" i="1"/>
  <c r="AO604" i="1"/>
  <c r="AP604" i="1"/>
  <c r="BC604" i="1"/>
  <c r="BF604" i="1" s="1"/>
  <c r="BG604" i="1" s="1"/>
  <c r="BH604" i="1" l="1"/>
  <c r="AI605" i="1"/>
  <c r="AK605" i="1"/>
  <c r="AL605" i="1"/>
  <c r="AM605" i="1"/>
  <c r="AN605" i="1"/>
  <c r="AO605" i="1"/>
  <c r="AP605" i="1"/>
  <c r="BC605" i="1"/>
  <c r="BF605" i="1" s="1"/>
  <c r="BG605" i="1" l="1"/>
  <c r="BH605" i="1" s="1"/>
  <c r="BC606" i="1"/>
  <c r="BE606" i="1"/>
  <c r="BF606" i="1" l="1"/>
  <c r="BG606" i="1" s="1"/>
  <c r="BH606" i="1" s="1"/>
  <c r="AI607" i="1"/>
  <c r="AK607" i="1"/>
  <c r="AL607" i="1"/>
  <c r="AM607" i="1"/>
  <c r="AN607" i="1"/>
  <c r="AO607" i="1"/>
  <c r="AP607" i="1"/>
  <c r="BC607" i="1"/>
  <c r="BF607" i="1" s="1"/>
  <c r="BG607" i="1" s="1"/>
  <c r="BH607" i="1" l="1"/>
  <c r="BC608" i="1"/>
  <c r="BE608" i="1"/>
  <c r="BF608" i="1"/>
  <c r="BG608" i="1" s="1"/>
  <c r="BH608" i="1" l="1"/>
  <c r="BC609" i="1"/>
  <c r="BF609" i="1"/>
  <c r="BG609" i="1" s="1"/>
  <c r="AI610" i="1"/>
  <c r="AK610" i="1"/>
  <c r="AL610" i="1"/>
  <c r="AM610" i="1"/>
  <c r="AO610" i="1"/>
  <c r="AP610" i="1"/>
  <c r="BC610" i="1"/>
  <c r="BE610" i="1"/>
  <c r="BF610" i="1" l="1"/>
  <c r="BG610" i="1" s="1"/>
  <c r="BH610" i="1" s="1"/>
  <c r="BH609" i="1"/>
  <c r="BC611" i="1"/>
  <c r="BE611" i="1"/>
  <c r="BF611" i="1" l="1"/>
  <c r="BG611" i="1" s="1"/>
  <c r="BH611" i="1" s="1"/>
  <c r="BC612" i="1"/>
  <c r="BE612" i="1"/>
  <c r="BF612" i="1"/>
  <c r="BG612" i="1" s="1"/>
  <c r="BH612" i="1" l="1"/>
  <c r="BC613" i="1"/>
  <c r="BF613" i="1"/>
  <c r="BG613" i="1" l="1"/>
  <c r="BH613" i="1" s="1"/>
  <c r="BC614" i="1"/>
  <c r="BF614" i="1" s="1"/>
  <c r="BG614" i="1" l="1"/>
  <c r="BH614" i="1" s="1"/>
  <c r="BC615" i="1"/>
  <c r="BF615" i="1" s="1"/>
  <c r="BG615" i="1" s="1"/>
  <c r="BH615" i="1" l="1"/>
  <c r="BC616" i="1"/>
  <c r="BF616" i="1"/>
  <c r="BG616" i="1" s="1"/>
  <c r="BH616" i="1" s="1"/>
  <c r="AI617" i="1" l="1"/>
  <c r="AK617" i="1"/>
  <c r="AL617" i="1"/>
  <c r="AM617" i="1"/>
  <c r="AN617" i="1"/>
  <c r="AO617" i="1"/>
  <c r="AP617" i="1"/>
  <c r="BC617" i="1"/>
  <c r="BE617" i="1"/>
  <c r="BF617" i="1" l="1"/>
  <c r="BG617" i="1" s="1"/>
  <c r="BC618" i="1"/>
  <c r="BF618" i="1"/>
  <c r="BG618" i="1" s="1"/>
  <c r="BH617" i="1" l="1"/>
  <c r="BH618" i="1"/>
  <c r="AI619" i="1"/>
  <c r="AK619" i="1"/>
  <c r="AL619" i="1"/>
  <c r="AM619" i="1"/>
  <c r="AN619" i="1"/>
  <c r="AO619" i="1"/>
  <c r="AP619" i="1"/>
  <c r="BC619" i="1"/>
  <c r="BE619" i="1"/>
  <c r="BF619" i="1"/>
  <c r="BG619" i="1" s="1"/>
  <c r="BH619" i="1" l="1"/>
  <c r="AI620" i="1"/>
  <c r="AK620" i="1"/>
  <c r="AL620" i="1"/>
  <c r="AM620" i="1"/>
  <c r="AN620" i="1"/>
  <c r="AO620" i="1"/>
  <c r="BC620" i="1"/>
  <c r="BE620" i="1"/>
  <c r="BI620" i="1"/>
  <c r="BF620" i="1" l="1"/>
  <c r="BG620" i="1" s="1"/>
  <c r="BH620" i="1" s="1"/>
  <c r="AK621" i="1"/>
  <c r="AL621" i="1"/>
  <c r="AM621" i="1"/>
  <c r="AN621" i="1"/>
  <c r="AO621" i="1"/>
  <c r="AP621" i="1"/>
  <c r="BC621" i="1"/>
  <c r="BF621" i="1" s="1"/>
  <c r="BG621" i="1" s="1"/>
  <c r="BH621" i="1" s="1"/>
  <c r="BC622" i="1" l="1"/>
  <c r="BE622" i="1"/>
  <c r="BF622" i="1" l="1"/>
  <c r="BG622" i="1" s="1"/>
  <c r="BH622" i="1" s="1"/>
  <c r="BC623" i="1"/>
  <c r="BF623" i="1" s="1"/>
  <c r="BG623" i="1" s="1"/>
  <c r="BH623" i="1" l="1"/>
  <c r="AK624" i="1"/>
  <c r="AL624" i="1"/>
  <c r="AM624" i="1"/>
  <c r="AN624" i="1"/>
  <c r="AO624" i="1"/>
  <c r="AP624" i="1"/>
  <c r="BC624" i="1"/>
  <c r="BF624" i="1" s="1"/>
  <c r="BG624" i="1" l="1"/>
  <c r="BH624" i="1" s="1"/>
  <c r="AO625" i="1"/>
  <c r="BC625" i="1"/>
  <c r="BE625" i="1"/>
  <c r="BF625" i="1" l="1"/>
  <c r="BG625" i="1" s="1"/>
  <c r="BH625" i="1" s="1"/>
  <c r="AI626" i="1"/>
  <c r="AK626" i="1"/>
  <c r="AM626" i="1"/>
  <c r="AN626" i="1"/>
  <c r="AO626" i="1"/>
  <c r="AP626" i="1"/>
  <c r="BC626" i="1"/>
  <c r="BF626" i="1" s="1"/>
  <c r="BG626" i="1" l="1"/>
  <c r="BH626" i="1" s="1"/>
  <c r="BC627" i="1"/>
  <c r="BE627" i="1"/>
  <c r="BF627" i="1" l="1"/>
  <c r="BG627" i="1" s="1"/>
  <c r="BH627" i="1" s="1"/>
  <c r="BC628" i="1"/>
  <c r="BE628" i="1"/>
  <c r="BF628" i="1" l="1"/>
  <c r="BG628" i="1" s="1"/>
  <c r="BC629" i="1"/>
  <c r="BF629" i="1"/>
  <c r="BG629" i="1" s="1"/>
  <c r="BH628" i="1" l="1"/>
  <c r="BH629" i="1"/>
  <c r="BC630" i="1"/>
  <c r="BE630" i="1"/>
  <c r="BI630" i="1"/>
  <c r="BF630" i="1" l="1"/>
  <c r="BG630" i="1" s="1"/>
  <c r="BH630" i="1" s="1"/>
  <c r="AI632" i="1" l="1"/>
  <c r="AK632" i="1"/>
  <c r="AL632" i="1"/>
  <c r="AM632" i="1"/>
  <c r="AN632" i="1"/>
  <c r="AO632" i="1"/>
  <c r="AP632" i="1"/>
  <c r="BC632" i="1"/>
  <c r="BF632" i="1" s="1"/>
  <c r="BG632" i="1" l="1"/>
  <c r="BH632" i="1" s="1"/>
  <c r="AI633" i="1"/>
  <c r="AK633" i="1"/>
  <c r="AL633" i="1"/>
  <c r="AM633" i="1"/>
  <c r="AN633" i="1"/>
  <c r="AO633" i="1"/>
  <c r="AP633" i="1"/>
  <c r="BC633" i="1"/>
  <c r="BF633" i="1" s="1"/>
  <c r="BG633" i="1" l="1"/>
  <c r="BH633" i="1" s="1"/>
  <c r="BC634" i="1"/>
  <c r="BF634" i="1"/>
  <c r="BG634" i="1" s="1"/>
  <c r="V635" i="1"/>
  <c r="BH634" i="1" l="1"/>
  <c r="AI635" i="1"/>
  <c r="AK635" i="1"/>
  <c r="AL635" i="1"/>
  <c r="AM635" i="1"/>
  <c r="AN635" i="1"/>
  <c r="AO635" i="1"/>
  <c r="AP635" i="1"/>
  <c r="BC635" i="1"/>
  <c r="BE635" i="1"/>
  <c r="BF635" i="1" s="1"/>
  <c r="BG635" i="1" l="1"/>
  <c r="BH635" i="1" s="1"/>
  <c r="AK636" i="1"/>
  <c r="AL636" i="1"/>
  <c r="AM636" i="1"/>
  <c r="AN636" i="1"/>
  <c r="AO636" i="1"/>
  <c r="AP636" i="1"/>
  <c r="BC636" i="1"/>
  <c r="BF636" i="1" s="1"/>
  <c r="BG636" i="1" s="1"/>
  <c r="BH636" i="1" l="1"/>
  <c r="BC637" i="1"/>
  <c r="BE637" i="1"/>
  <c r="BF637" i="1" l="1"/>
  <c r="BG637" i="1" s="1"/>
  <c r="BH637" i="1" s="1"/>
  <c r="AI638" i="1"/>
  <c r="AI637" i="1" s="1"/>
  <c r="AK638" i="1"/>
  <c r="AK637" i="1" s="1"/>
  <c r="AL638" i="1"/>
  <c r="AL637" i="1" s="1"/>
  <c r="AM638" i="1"/>
  <c r="AM637" i="1" s="1"/>
  <c r="AN638" i="1"/>
  <c r="AN637" i="1" s="1"/>
  <c r="AO638" i="1"/>
  <c r="AO637" i="1" s="1"/>
  <c r="AP638" i="1"/>
  <c r="AP637" i="1" s="1"/>
  <c r="BC638" i="1"/>
  <c r="BE638" i="1"/>
  <c r="BF638" i="1" s="1"/>
  <c r="BG638" i="1" s="1"/>
  <c r="BH638" i="1" l="1"/>
  <c r="BC639" i="1"/>
  <c r="BF639" i="1" s="1"/>
  <c r="BG639" i="1" l="1"/>
  <c r="BH639" i="1" s="1"/>
  <c r="AI640" i="1"/>
  <c r="AK640" i="1"/>
  <c r="AL640" i="1"/>
  <c r="AM640" i="1"/>
  <c r="AN640" i="1"/>
  <c r="AO640" i="1"/>
  <c r="AP640" i="1"/>
  <c r="BC640" i="1"/>
  <c r="BF640" i="1" s="1"/>
  <c r="BG640" i="1" l="1"/>
  <c r="BH640" i="1" s="1"/>
  <c r="BC641" i="1"/>
  <c r="BE641" i="1"/>
  <c r="BF641" i="1" l="1"/>
  <c r="BG641" i="1" s="1"/>
  <c r="BH641" i="1" s="1"/>
  <c r="AO642" i="1"/>
  <c r="BC642" i="1"/>
  <c r="BF642" i="1" s="1"/>
  <c r="BG642" i="1" l="1"/>
  <c r="BH642" i="1" s="1"/>
  <c r="BC643" i="1"/>
  <c r="BE643" i="1"/>
  <c r="BI643" i="1"/>
  <c r="BF643" i="1" l="1"/>
  <c r="BG643" i="1" s="1"/>
  <c r="BH643" i="1" s="1"/>
  <c r="BC644" i="1"/>
  <c r="BE644" i="1"/>
  <c r="BI644" i="1"/>
  <c r="BF644" i="1" l="1"/>
  <c r="BH644" i="1" s="1"/>
  <c r="BC645" i="1"/>
  <c r="BF645" i="1" s="1"/>
  <c r="BG645" i="1" l="1"/>
  <c r="BH645" i="1" s="1"/>
  <c r="BC646" i="1"/>
  <c r="BE646" i="1"/>
  <c r="BF646" i="1" l="1"/>
  <c r="BG646" i="1" s="1"/>
  <c r="BC647" i="1"/>
  <c r="BE647" i="1"/>
  <c r="BF647" i="1" l="1"/>
  <c r="BG647" i="1" s="1"/>
  <c r="BH647" i="1" s="1"/>
  <c r="BH646" i="1"/>
  <c r="BC648" i="1"/>
  <c r="BF648" i="1" s="1"/>
  <c r="BG648" i="1" s="1"/>
  <c r="BH648" i="1" l="1"/>
  <c r="AI649" i="1"/>
  <c r="AK649" i="1"/>
  <c r="AL649" i="1"/>
  <c r="AM649" i="1"/>
  <c r="AN649" i="1"/>
  <c r="AO649" i="1"/>
  <c r="AP649" i="1"/>
  <c r="BC649" i="1"/>
  <c r="BE649" i="1"/>
  <c r="BF649" i="1" s="1"/>
  <c r="BG649" i="1" l="1"/>
  <c r="BH649" i="1" s="1"/>
  <c r="BC650" i="1"/>
  <c r="BE650" i="1"/>
  <c r="BI650" i="1"/>
  <c r="BF650" i="1" l="1"/>
  <c r="BG650" i="1" s="1"/>
  <c r="BC651" i="1"/>
  <c r="BF651" i="1"/>
  <c r="BG651" i="1" s="1"/>
  <c r="BH650" i="1" l="1"/>
  <c r="BH651" i="1"/>
  <c r="BC652" i="1"/>
  <c r="BF652" i="1" s="1"/>
  <c r="W653" i="1"/>
  <c r="BF653" i="1"/>
  <c r="BG653" i="1" s="1"/>
  <c r="BG652" i="1" l="1"/>
  <c r="BH652" i="1" s="1"/>
  <c r="BH653" i="1"/>
  <c r="BF654" i="1"/>
  <c r="BG654" i="1" s="1"/>
  <c r="BH654" i="1" l="1"/>
  <c r="BF655" i="1"/>
  <c r="BG655" i="1" s="1"/>
  <c r="BH655" i="1" l="1"/>
  <c r="BF656" i="1"/>
  <c r="BG656" i="1" s="1"/>
  <c r="BH656" i="1" l="1"/>
  <c r="BC657" i="1"/>
  <c r="BE657" i="1"/>
  <c r="BF657" i="1" l="1"/>
  <c r="BG657" i="1" s="1"/>
  <c r="BH657" i="1" s="1"/>
  <c r="AI658" i="1"/>
  <c r="AK658" i="1"/>
  <c r="AL658" i="1"/>
  <c r="AM658" i="1"/>
  <c r="AN658" i="1"/>
  <c r="AO658" i="1"/>
  <c r="AP658" i="1"/>
  <c r="BC658" i="1"/>
  <c r="BE658" i="1"/>
  <c r="BF658" i="1"/>
  <c r="BG658" i="1" s="1"/>
  <c r="BH658" i="1" l="1"/>
  <c r="BC659" i="1"/>
  <c r="BF659" i="1" s="1"/>
  <c r="BG659" i="1" l="1"/>
  <c r="BH659" i="1" s="1"/>
  <c r="BC660" i="1"/>
  <c r="BF660" i="1" s="1"/>
  <c r="BG660" i="1" s="1"/>
  <c r="BH660" i="1" s="1"/>
  <c r="BC661" i="1" l="1"/>
  <c r="BF661" i="1" s="1"/>
  <c r="BG661" i="1" s="1"/>
  <c r="BH661" i="1" l="1"/>
  <c r="BC662" i="1"/>
  <c r="BF662" i="1" s="1"/>
  <c r="BG662" i="1" l="1"/>
  <c r="BH662" i="1" s="1"/>
  <c r="BC663" i="1"/>
  <c r="BF663" i="1"/>
  <c r="BG663" i="1" s="1"/>
  <c r="BH663" i="1" l="1"/>
  <c r="BC664" i="1"/>
  <c r="BF664" i="1" s="1"/>
  <c r="BG664" i="1" l="1"/>
  <c r="BH664" i="1" s="1"/>
  <c r="BC666" i="1"/>
  <c r="BE666" i="1"/>
  <c r="BF666" i="1" l="1"/>
  <c r="BG666" i="1" s="1"/>
  <c r="BH666" i="1" s="1"/>
  <c r="BC667" i="1"/>
  <c r="BF667" i="1" s="1"/>
  <c r="BG667" i="1" l="1"/>
  <c r="BH667" i="1" s="1"/>
  <c r="BC668" i="1"/>
  <c r="BF668" i="1" s="1"/>
  <c r="BG668" i="1" l="1"/>
  <c r="BH668" i="1" s="1"/>
  <c r="BC669" i="1"/>
  <c r="BF669" i="1"/>
  <c r="BG669" i="1" s="1"/>
  <c r="BH669" i="1" l="1"/>
  <c r="BC670" i="1"/>
  <c r="BF670" i="1" s="1"/>
  <c r="BG670" i="1" l="1"/>
  <c r="BH670" i="1" s="1"/>
  <c r="BC671" i="1"/>
  <c r="BF671" i="1" s="1"/>
  <c r="BG671" i="1" l="1"/>
  <c r="BH671" i="1" s="1"/>
  <c r="BC672" i="1"/>
  <c r="BE672" i="1"/>
  <c r="BG672" i="1"/>
  <c r="BH672" i="1" s="1"/>
  <c r="BF673" i="1" l="1"/>
  <c r="BG673" i="1" s="1"/>
  <c r="BH673" i="1" l="1"/>
  <c r="BC674" i="1"/>
  <c r="BE674" i="1"/>
  <c r="BF674" i="1" s="1"/>
  <c r="BG674" i="1" l="1"/>
  <c r="BH674" i="1" s="1"/>
  <c r="BC676" i="1"/>
  <c r="BE676" i="1"/>
  <c r="BF676" i="1" l="1"/>
  <c r="BG676" i="1" s="1"/>
  <c r="AI677" i="1"/>
  <c r="AK677" i="1"/>
  <c r="AL677" i="1"/>
  <c r="AM677" i="1"/>
  <c r="AN677" i="1"/>
  <c r="AO677" i="1"/>
  <c r="AP677" i="1"/>
  <c r="BC677" i="1"/>
  <c r="BF677" i="1" s="1"/>
  <c r="BH676" i="1" l="1"/>
  <c r="BG677" i="1"/>
  <c r="BH677" i="1" s="1"/>
  <c r="BC678" i="1"/>
  <c r="BE678" i="1"/>
  <c r="BF678" i="1" l="1"/>
  <c r="BG678" i="1" s="1"/>
  <c r="BH678" i="1" s="1"/>
  <c r="AO679" i="1"/>
  <c r="BC679" i="1"/>
  <c r="BE679" i="1"/>
  <c r="BF679" i="1" l="1"/>
  <c r="BG679" i="1" s="1"/>
  <c r="BH679" i="1" s="1"/>
  <c r="BC680" i="1"/>
  <c r="BF680" i="1"/>
  <c r="BG680" i="1" s="1"/>
  <c r="BH680" i="1" l="1"/>
  <c r="AI681" i="1"/>
  <c r="AK681" i="1"/>
  <c r="AL681" i="1"/>
  <c r="AM681" i="1"/>
  <c r="AN681" i="1"/>
  <c r="AO681" i="1"/>
  <c r="AP681" i="1"/>
  <c r="BC681" i="1"/>
  <c r="BE681" i="1"/>
  <c r="BF681" i="1"/>
  <c r="BG681" i="1" l="1"/>
  <c r="BH681" i="1" s="1"/>
  <c r="BC682" i="1"/>
  <c r="BF682" i="1" s="1"/>
  <c r="BG682" i="1" s="1"/>
  <c r="BH682" i="1" l="1"/>
  <c r="AN684" i="1"/>
  <c r="AO684" i="1"/>
  <c r="AN686" i="1"/>
  <c r="AO686" i="1"/>
  <c r="BC689" i="1" l="1"/>
  <c r="BF689" i="1" s="1"/>
  <c r="BG689" i="1" s="1"/>
  <c r="BH689" i="1" l="1"/>
  <c r="BC690" i="1"/>
  <c r="BF690" i="1" s="1"/>
  <c r="BG690" i="1" l="1"/>
  <c r="BH690" i="1" s="1"/>
  <c r="BC692" i="1"/>
  <c r="BF692" i="1"/>
  <c r="BG692" i="1" s="1"/>
  <c r="BH692" i="1" l="1"/>
  <c r="BC693" i="1"/>
  <c r="BF693" i="1" s="1"/>
  <c r="BG693" i="1" l="1"/>
  <c r="BH693" i="1" s="1"/>
  <c r="BC694" i="1"/>
  <c r="BF694" i="1"/>
  <c r="BG694" i="1" s="1"/>
  <c r="BH694" i="1" l="1"/>
  <c r="BC695" i="1"/>
  <c r="BF695" i="1" s="1"/>
  <c r="BG695" i="1" l="1"/>
  <c r="BH695" i="1" s="1"/>
  <c r="BC697" i="1"/>
  <c r="BE697" i="1"/>
  <c r="BF697" i="1" l="1"/>
  <c r="BG697" i="1" s="1"/>
  <c r="BH697" i="1" s="1"/>
  <c r="BC698" i="1"/>
  <c r="BE698" i="1"/>
  <c r="BF698" i="1" l="1"/>
  <c r="BG698" i="1" s="1"/>
  <c r="BH698" i="1" s="1"/>
  <c r="BC699" i="1"/>
  <c r="BE699" i="1"/>
  <c r="BF699" i="1" l="1"/>
  <c r="BG699" i="1"/>
  <c r="BH699" i="1" s="1"/>
  <c r="AO701" i="1"/>
  <c r="BC701" i="1"/>
  <c r="BE701" i="1"/>
  <c r="BF701" i="1" l="1"/>
  <c r="BG701" i="1" s="1"/>
  <c r="BH701" i="1" s="1"/>
  <c r="BC702" i="1"/>
  <c r="BF702" i="1" s="1"/>
  <c r="BG702" i="1" s="1"/>
  <c r="BH702" i="1" l="1"/>
  <c r="BC703" i="1"/>
  <c r="BF703" i="1" s="1"/>
  <c r="BG703" i="1" l="1"/>
  <c r="BH703" i="1" s="1"/>
  <c r="BC704" i="1"/>
  <c r="BE704" i="1"/>
  <c r="BF704" i="1" l="1"/>
  <c r="BG704" i="1" s="1"/>
  <c r="BH704" i="1" s="1"/>
  <c r="BC705" i="1"/>
  <c r="BE705" i="1"/>
  <c r="BF705" i="1" s="1"/>
  <c r="BG705" i="1" l="1"/>
  <c r="BH705" i="1" s="1"/>
  <c r="BC706" i="1"/>
  <c r="BE706" i="1"/>
  <c r="BF706" i="1" l="1"/>
  <c r="BG706" i="1" s="1"/>
  <c r="BH706" i="1" s="1"/>
  <c r="BC707" i="1"/>
  <c r="BE707" i="1"/>
  <c r="BF707" i="1" l="1"/>
  <c r="BG707" i="1" s="1"/>
  <c r="BH707" i="1" s="1"/>
  <c r="BC708" i="1"/>
  <c r="BF708" i="1" s="1"/>
  <c r="BG708" i="1" l="1"/>
  <c r="BH708" i="1" s="1"/>
  <c r="AN709" i="1"/>
  <c r="AO709" i="1"/>
  <c r="BC709" i="1"/>
  <c r="BF709" i="1" s="1"/>
  <c r="BG709" i="1" s="1"/>
  <c r="BH709" i="1" s="1"/>
  <c r="BN709" i="1"/>
  <c r="BC710" i="1" l="1"/>
  <c r="BE710" i="1"/>
  <c r="BF710" i="1" l="1"/>
  <c r="BG710" i="1" s="1"/>
  <c r="BH710" i="1" s="1"/>
  <c r="BC711" i="1"/>
  <c r="BE711" i="1"/>
  <c r="BF711" i="1" l="1"/>
  <c r="BG711" i="1" s="1"/>
  <c r="BH711" i="1" s="1"/>
  <c r="BC712" i="1"/>
  <c r="BE712" i="1"/>
  <c r="BF712" i="1" l="1"/>
  <c r="BG712" i="1" s="1"/>
  <c r="BH712" i="1" s="1"/>
  <c r="BC713" i="1"/>
  <c r="BE713" i="1"/>
  <c r="BF713" i="1" l="1"/>
  <c r="BG713" i="1" s="1"/>
  <c r="BH713" i="1" s="1"/>
  <c r="BC714" i="1"/>
  <c r="BE714" i="1"/>
  <c r="BF714" i="1" l="1"/>
  <c r="BG714" i="1" s="1"/>
  <c r="BH714" i="1" s="1"/>
  <c r="AN715" i="1"/>
  <c r="AO715" i="1"/>
  <c r="BC715" i="1"/>
  <c r="BE715" i="1"/>
  <c r="BF715" i="1" l="1"/>
  <c r="BG715" i="1" s="1"/>
  <c r="BH715" i="1" s="1"/>
  <c r="BC716" i="1"/>
  <c r="BE716" i="1"/>
  <c r="BN716" i="1"/>
  <c r="BF716" i="1" l="1"/>
  <c r="BG716" i="1" s="1"/>
  <c r="BH716" i="1" s="1"/>
  <c r="BC717" i="1"/>
  <c r="BF717" i="1" s="1"/>
  <c r="BG717" i="1" s="1"/>
  <c r="BH717" i="1" l="1"/>
  <c r="BC718" i="1"/>
  <c r="BF718" i="1" s="1"/>
  <c r="BG718" i="1" l="1"/>
  <c r="BH718" i="1" s="1"/>
  <c r="BC719" i="1"/>
  <c r="BF719" i="1" s="1"/>
  <c r="BG719" i="1" s="1"/>
  <c r="BH719" i="1" l="1"/>
  <c r="BC720" i="1"/>
  <c r="BE720" i="1"/>
  <c r="BN720" i="1"/>
  <c r="BF720" i="1" l="1"/>
  <c r="BG720" i="1" s="1"/>
  <c r="BC721" i="1"/>
  <c r="BF721" i="1" s="1"/>
  <c r="BN721" i="1"/>
  <c r="BH720" i="1" l="1"/>
  <c r="BG721" i="1"/>
  <c r="BH721" i="1" s="1"/>
  <c r="AO722" i="1"/>
  <c r="BC722" i="1"/>
  <c r="BF722" i="1" s="1"/>
  <c r="BN722" i="1"/>
  <c r="BG722" i="1" l="1"/>
  <c r="BH722" i="1" s="1"/>
  <c r="BC723" i="1"/>
  <c r="BE723" i="1"/>
  <c r="BN723" i="1"/>
  <c r="BF723" i="1" l="1"/>
  <c r="BG723" i="1" s="1"/>
  <c r="BC724" i="1"/>
  <c r="BF724" i="1" s="1"/>
  <c r="BG724" i="1" s="1"/>
  <c r="BN724" i="1"/>
  <c r="BH723" i="1" l="1"/>
  <c r="BH724" i="1"/>
  <c r="AN725" i="1"/>
  <c r="AO725" i="1"/>
  <c r="BC725" i="1"/>
  <c r="BF725" i="1" s="1"/>
  <c r="BN725" i="1"/>
  <c r="BG725" i="1" l="1"/>
  <c r="BH725" i="1" s="1"/>
  <c r="AO726" i="1"/>
  <c r="BC726" i="1"/>
  <c r="BE726" i="1"/>
  <c r="BN726" i="1"/>
  <c r="BF726" i="1" l="1"/>
  <c r="BG726" i="1" s="1"/>
  <c r="BH726" i="1" s="1"/>
  <c r="BC728" i="1"/>
  <c r="BF728" i="1"/>
  <c r="BG728" i="1" s="1"/>
  <c r="BN728" i="1"/>
  <c r="BH728" i="1" l="1"/>
  <c r="BC729" i="1"/>
  <c r="BF729" i="1" s="1"/>
  <c r="BN729" i="1"/>
  <c r="BG729" i="1" l="1"/>
  <c r="BH729" i="1" s="1"/>
  <c r="BC730" i="1"/>
  <c r="BF730" i="1" s="1"/>
  <c r="BN730" i="1"/>
  <c r="BG730" i="1" l="1"/>
  <c r="BH730" i="1" s="1"/>
  <c r="BD730" i="1"/>
  <c r="BB731" i="1"/>
  <c r="BC731" i="1"/>
  <c r="BN731" i="1"/>
  <c r="V732" i="1"/>
  <c r="BF731" i="1" l="1"/>
  <c r="BG731" i="1" s="1"/>
  <c r="BH731" i="1" s="1"/>
  <c r="BC732" i="1"/>
  <c r="BE732" i="1"/>
  <c r="BN732" i="1"/>
  <c r="BF732" i="1" l="1"/>
  <c r="BG732" i="1" s="1"/>
  <c r="BH732" i="1"/>
  <c r="BC733" i="1"/>
  <c r="BF733" i="1" s="1"/>
  <c r="BN733" i="1"/>
  <c r="BG733" i="1" l="1"/>
  <c r="BH733" i="1" s="1"/>
  <c r="AN734" i="1"/>
  <c r="AO734" i="1"/>
  <c r="BC734" i="1"/>
  <c r="BE734" i="1"/>
  <c r="BN734" i="1"/>
  <c r="BF734" i="1" l="1"/>
  <c r="BG734" i="1" s="1"/>
  <c r="BH734" i="1" s="1"/>
  <c r="BC736" i="1"/>
  <c r="BE736" i="1"/>
  <c r="BN736" i="1"/>
  <c r="BF736" i="1" l="1"/>
  <c r="BG736" i="1" s="1"/>
  <c r="BH736" i="1" s="1"/>
  <c r="BC737" i="1"/>
  <c r="BF737" i="1" s="1"/>
  <c r="BG737" i="1" s="1"/>
  <c r="BN737" i="1"/>
  <c r="BH737" i="1" l="1"/>
  <c r="BC738" i="1"/>
  <c r="BF738" i="1"/>
  <c r="BN738" i="1"/>
  <c r="BG738" i="1" l="1"/>
  <c r="BH738" i="1" s="1"/>
  <c r="BC739" i="1"/>
  <c r="BF739" i="1" s="1"/>
  <c r="BG739" i="1" s="1"/>
  <c r="BN739" i="1"/>
  <c r="BH739" i="1" l="1"/>
  <c r="BB740" i="1"/>
  <c r="BC740" i="1"/>
  <c r="BF740" i="1" s="1"/>
  <c r="BN740" i="1"/>
  <c r="BG740" i="1" l="1"/>
  <c r="BH740" i="1" s="1"/>
  <c r="AN741" i="1"/>
  <c r="AO741" i="1"/>
  <c r="BC741" i="1"/>
  <c r="BE741" i="1"/>
  <c r="BN741" i="1"/>
  <c r="BF741" i="1" l="1"/>
  <c r="BG741" i="1" s="1"/>
  <c r="BH741" i="1" s="1"/>
  <c r="BC742" i="1"/>
  <c r="BF742" i="1" s="1"/>
  <c r="BN742" i="1"/>
  <c r="BG742" i="1" l="1"/>
  <c r="BH742" i="1" s="1"/>
  <c r="BC743" i="1"/>
  <c r="BF743" i="1" s="1"/>
  <c r="BG743" i="1" s="1"/>
  <c r="BN743" i="1"/>
  <c r="BH743" i="1" l="1"/>
  <c r="BC744" i="1"/>
  <c r="BD744" i="1"/>
  <c r="BE744" i="1"/>
  <c r="BN744" i="1"/>
  <c r="BF744" i="1" l="1"/>
  <c r="BG744" i="1" s="1"/>
  <c r="BC745" i="1"/>
  <c r="BF745" i="1" s="1"/>
  <c r="BN745" i="1"/>
  <c r="BH744" i="1" l="1"/>
  <c r="BG745" i="1"/>
  <c r="BH745" i="1" s="1"/>
  <c r="BC746" i="1"/>
  <c r="BF746" i="1"/>
  <c r="BG746" i="1" s="1"/>
  <c r="BN746" i="1"/>
  <c r="BH746" i="1" l="1"/>
  <c r="BC747" i="1"/>
  <c r="BF747" i="1" s="1"/>
  <c r="BG747" i="1" s="1"/>
  <c r="BN747" i="1"/>
  <c r="BC748" i="1"/>
  <c r="BE748" i="1"/>
  <c r="BN748" i="1"/>
  <c r="BF748" i="1" l="1"/>
  <c r="BG748" i="1" s="1"/>
  <c r="BH748" i="1" s="1"/>
  <c r="BH747" i="1"/>
  <c r="BC750" i="1"/>
  <c r="BF750" i="1" s="1"/>
  <c r="BG750" i="1" s="1"/>
  <c r="BN750" i="1"/>
  <c r="BH750" i="1" l="1"/>
  <c r="BC752" i="1"/>
  <c r="BF752" i="1"/>
  <c r="BN752" i="1"/>
  <c r="BG752" i="1" l="1"/>
  <c r="BH752" i="1" s="1"/>
  <c r="BC753" i="1"/>
  <c r="BE753" i="1"/>
  <c r="BN753" i="1"/>
  <c r="BF753" i="1" l="1"/>
  <c r="BG753" i="1" s="1"/>
  <c r="BH753" i="1" s="1"/>
  <c r="BC754" i="1"/>
  <c r="BF754" i="1" s="1"/>
  <c r="BG754" i="1" s="1"/>
  <c r="BN754" i="1"/>
  <c r="BH754" i="1" l="1"/>
  <c r="BC755" i="1"/>
  <c r="BF755" i="1" s="1"/>
  <c r="BN755" i="1"/>
  <c r="BG755" i="1" l="1"/>
  <c r="BH755" i="1" s="1"/>
  <c r="BF756" i="1"/>
  <c r="BN756" i="1"/>
  <c r="BG756" i="1" l="1"/>
  <c r="BH756" i="1" s="1"/>
  <c r="BC757" i="1"/>
  <c r="BE757" i="1"/>
  <c r="BN757" i="1"/>
  <c r="BF757" i="1" l="1"/>
  <c r="BG757" i="1" s="1"/>
  <c r="BH757" i="1" s="1"/>
  <c r="AN758" i="1"/>
  <c r="AO758" i="1"/>
  <c r="BC758" i="1"/>
  <c r="BF758" i="1" s="1"/>
  <c r="BE758" i="1"/>
  <c r="BN758" i="1"/>
  <c r="BG758" i="1" l="1"/>
  <c r="BH758" i="1" s="1"/>
  <c r="BC759" i="1"/>
  <c r="BE759" i="1"/>
  <c r="BF759" i="1" l="1"/>
  <c r="BG759" i="1" s="1"/>
  <c r="BH759" i="1" s="1"/>
  <c r="AN760" i="1"/>
  <c r="AO760" i="1"/>
  <c r="BC760" i="1"/>
  <c r="BE760" i="1"/>
  <c r="BF760" i="1"/>
  <c r="BN760" i="1"/>
  <c r="BG760" i="1" l="1"/>
  <c r="BH760" i="1" s="1"/>
  <c r="BC761" i="1"/>
  <c r="BF761" i="1" s="1"/>
  <c r="BN761" i="1"/>
  <c r="BG761" i="1" l="1"/>
  <c r="BH761" i="1" s="1"/>
  <c r="BE768" i="1"/>
  <c r="BC768" i="1"/>
  <c r="BB768" i="1"/>
  <c r="BE775" i="1"/>
  <c r="BC775" i="1"/>
  <c r="BB775" i="1"/>
  <c r="BF768" i="1" l="1"/>
  <c r="BG768" i="1" s="1"/>
  <c r="BH768" i="1" s="1"/>
  <c r="BF775" i="1"/>
  <c r="BG775" i="1" s="1"/>
  <c r="BH775" i="1" s="1"/>
  <c r="BE773" i="1"/>
  <c r="BC773" i="1"/>
  <c r="BE771" i="1"/>
  <c r="BC771" i="1"/>
  <c r="BB771" i="1"/>
  <c r="BC770" i="1"/>
  <c r="BF770" i="1" s="1"/>
  <c r="BG770" i="1" s="1"/>
  <c r="BF773" i="1" l="1"/>
  <c r="BH773" i="1" s="1"/>
  <c r="BF771" i="1"/>
  <c r="BG771" i="1" s="1"/>
  <c r="BH771" i="1" s="1"/>
  <c r="BH770" i="1"/>
  <c r="BN768" i="1" l="1"/>
  <c r="BN770" i="1"/>
  <c r="BN771" i="1"/>
  <c r="BN773" i="1"/>
  <c r="BN775" i="1"/>
  <c r="E22" i="8" l="1"/>
  <c r="E23" i="8" s="1"/>
  <c r="D22" i="8"/>
  <c r="D23" i="8" s="1"/>
  <c r="E15" i="8"/>
  <c r="E16" i="8" s="1"/>
  <c r="D15" i="8"/>
  <c r="D16" i="8" s="1"/>
  <c r="E8" i="8"/>
  <c r="D8" i="8"/>
  <c r="E9" i="8" l="1"/>
  <c r="D9" i="8"/>
  <c r="G22" i="8"/>
  <c r="G23" i="8" s="1"/>
  <c r="G15" i="8"/>
  <c r="G16" i="8" s="1"/>
  <c r="G8" i="8"/>
  <c r="G9" i="8" l="1"/>
  <c r="A23" i="8" l="1"/>
  <c r="F22" i="8"/>
  <c r="F23" i="8" s="1"/>
  <c r="A22" i="8"/>
  <c r="A21" i="8"/>
  <c r="A20" i="8"/>
  <c r="A19" i="8"/>
  <c r="A18" i="8"/>
  <c r="A17" i="8"/>
  <c r="A16" i="8"/>
  <c r="F15" i="8"/>
  <c r="F16" i="8" s="1"/>
  <c r="A15" i="8"/>
  <c r="A14" i="8"/>
  <c r="A13" i="8"/>
  <c r="A12" i="8"/>
  <c r="A11" i="8"/>
  <c r="A10" i="8"/>
  <c r="A9" i="8"/>
  <c r="F8" i="8"/>
  <c r="A8" i="8"/>
  <c r="A7" i="8"/>
  <c r="A6" i="8"/>
  <c r="A5" i="8"/>
  <c r="A4" i="8"/>
  <c r="A3" i="8"/>
  <c r="F9" i="8" l="1"/>
  <c r="C1" i="1" l="1"/>
  <c r="B8" i="7"/>
  <c r="B9" i="7" s="1"/>
  <c r="C8" i="7"/>
  <c r="C9" i="7" s="1"/>
  <c r="D8" i="7"/>
  <c r="E8" i="7"/>
  <c r="E9" i="7" s="1"/>
  <c r="G92" i="5"/>
  <c r="G91" i="5"/>
  <c r="D91" i="5"/>
  <c r="G90" i="5"/>
  <c r="D90" i="5"/>
  <c r="G89" i="5"/>
  <c r="D89" i="5"/>
  <c r="G88" i="5"/>
  <c r="D88" i="5"/>
  <c r="G87" i="5"/>
  <c r="D87" i="5"/>
  <c r="G86" i="5"/>
  <c r="D86" i="5"/>
  <c r="G85" i="5"/>
  <c r="D85" i="5"/>
  <c r="G84" i="5"/>
  <c r="D84" i="5"/>
  <c r="G83" i="5"/>
  <c r="D83" i="5"/>
  <c r="G82" i="5"/>
  <c r="D82" i="5"/>
  <c r="G81" i="5"/>
  <c r="D81" i="5"/>
  <c r="G80" i="5"/>
  <c r="D80" i="5"/>
  <c r="G79" i="5"/>
  <c r="D79" i="5"/>
  <c r="G78" i="5"/>
  <c r="D78" i="5"/>
  <c r="G77" i="5"/>
  <c r="D77" i="5"/>
  <c r="G76" i="5"/>
  <c r="D76" i="5"/>
  <c r="G75" i="5"/>
  <c r="D75" i="5"/>
  <c r="G74" i="5"/>
  <c r="D74" i="5"/>
  <c r="G73" i="5"/>
  <c r="D73" i="5"/>
  <c r="G72" i="5"/>
  <c r="D72" i="5"/>
  <c r="G71" i="5"/>
  <c r="D71" i="5"/>
  <c r="G70" i="5"/>
  <c r="D70" i="5"/>
  <c r="G69" i="5"/>
  <c r="D69" i="5"/>
  <c r="G68" i="5"/>
  <c r="D68" i="5"/>
  <c r="G67" i="5"/>
  <c r="D67" i="5"/>
  <c r="G66" i="5"/>
  <c r="D66" i="5"/>
  <c r="G65" i="5"/>
  <c r="D65" i="5"/>
  <c r="G64" i="5"/>
  <c r="D64" i="5"/>
  <c r="G63" i="5"/>
  <c r="D63" i="5"/>
  <c r="G62" i="5"/>
  <c r="D62" i="5"/>
  <c r="G61" i="5"/>
  <c r="D61" i="5"/>
  <c r="G60" i="5"/>
  <c r="D60" i="5"/>
  <c r="G59" i="5"/>
  <c r="D59" i="5"/>
  <c r="G58" i="5"/>
  <c r="D58" i="5"/>
  <c r="G57" i="5"/>
  <c r="D57" i="5"/>
  <c r="G56" i="5"/>
  <c r="D56" i="5"/>
  <c r="G55" i="5"/>
  <c r="D55" i="5"/>
  <c r="G54" i="5"/>
  <c r="D54" i="5"/>
  <c r="G53" i="5"/>
  <c r="D53" i="5"/>
  <c r="G52" i="5"/>
  <c r="D52" i="5"/>
  <c r="G51" i="5"/>
  <c r="D51" i="5"/>
  <c r="G50" i="5"/>
  <c r="D50" i="5"/>
  <c r="G49" i="5"/>
  <c r="D49" i="5"/>
  <c r="G48" i="5"/>
  <c r="D48" i="5"/>
  <c r="G47" i="5"/>
  <c r="D47" i="5"/>
  <c r="G46" i="5"/>
  <c r="D46" i="5"/>
  <c r="G45" i="5"/>
  <c r="D45" i="5"/>
  <c r="G44" i="5"/>
  <c r="D44" i="5"/>
  <c r="G43" i="5"/>
  <c r="D43" i="5"/>
  <c r="G42" i="5"/>
  <c r="D42" i="5"/>
  <c r="G41" i="5"/>
  <c r="D41" i="5"/>
  <c r="G40" i="5"/>
  <c r="D40" i="5"/>
  <c r="G39" i="5"/>
  <c r="D39" i="5"/>
  <c r="G38" i="5"/>
  <c r="D38" i="5"/>
  <c r="G37" i="5"/>
  <c r="D37" i="5"/>
  <c r="G36" i="5"/>
  <c r="D36" i="5"/>
  <c r="G35" i="5"/>
  <c r="D35" i="5"/>
  <c r="G34" i="5"/>
  <c r="D34" i="5"/>
  <c r="G33" i="5"/>
  <c r="D33" i="5"/>
  <c r="G32" i="5"/>
  <c r="D32" i="5"/>
  <c r="G31" i="5"/>
  <c r="D31" i="5"/>
  <c r="G30" i="5"/>
  <c r="D30" i="5"/>
  <c r="G29" i="5"/>
  <c r="D29" i="5"/>
  <c r="G28" i="5"/>
  <c r="D28" i="5"/>
  <c r="G27" i="5"/>
  <c r="D27" i="5"/>
  <c r="G26" i="5"/>
  <c r="D26" i="5"/>
  <c r="G25" i="5"/>
  <c r="D25" i="5"/>
  <c r="G24" i="5"/>
  <c r="D24" i="5"/>
  <c r="G23" i="5"/>
  <c r="D23" i="5"/>
  <c r="G22" i="5"/>
  <c r="D22" i="5"/>
  <c r="G21" i="5"/>
  <c r="D21" i="5"/>
  <c r="G20" i="5"/>
  <c r="D20" i="5"/>
  <c r="G19" i="5"/>
  <c r="D19" i="5"/>
  <c r="G18" i="5"/>
  <c r="D18" i="5"/>
  <c r="G17" i="5"/>
  <c r="D17" i="5"/>
  <c r="G16" i="5"/>
  <c r="D16" i="5"/>
  <c r="G15" i="5"/>
  <c r="D15" i="5"/>
  <c r="G14" i="5"/>
  <c r="D14" i="5"/>
  <c r="G13" i="5"/>
  <c r="D13" i="5"/>
  <c r="G12" i="5"/>
  <c r="D12" i="5"/>
  <c r="G11" i="5"/>
  <c r="D11" i="5"/>
  <c r="G10" i="5"/>
  <c r="D10" i="5"/>
  <c r="G9" i="5"/>
  <c r="D9" i="5"/>
  <c r="G8" i="5"/>
  <c r="D8" i="5"/>
  <c r="G7" i="5"/>
  <c r="D7" i="5"/>
  <c r="G6" i="5"/>
  <c r="D6" i="5"/>
  <c r="G5" i="5"/>
  <c r="D5" i="5"/>
  <c r="G4" i="5"/>
  <c r="D4" i="5"/>
  <c r="G3" i="5"/>
  <c r="D3" i="5"/>
  <c r="B63" i="2"/>
  <c r="B62" i="2"/>
  <c r="B59" i="2"/>
  <c r="B58" i="2"/>
  <c r="B56" i="2"/>
  <c r="B55" i="2"/>
  <c r="B54" i="2"/>
  <c r="B52" i="2"/>
  <c r="B51" i="2"/>
  <c r="B50" i="2"/>
  <c r="B49" i="2"/>
  <c r="B48" i="2"/>
  <c r="B43" i="2"/>
  <c r="B42" i="2"/>
  <c r="B39" i="2"/>
  <c r="B38" i="2"/>
  <c r="B36" i="2"/>
  <c r="B35" i="2"/>
  <c r="B34" i="2"/>
  <c r="B32" i="2"/>
  <c r="B31" i="2"/>
  <c r="B30" i="2"/>
  <c r="B29" i="2"/>
  <c r="B28" i="2"/>
  <c r="I24" i="2"/>
  <c r="B19" i="2"/>
  <c r="K18" i="2"/>
  <c r="J18" i="2"/>
  <c r="I18" i="2"/>
  <c r="B18" i="2"/>
  <c r="K17" i="2"/>
  <c r="J17" i="2"/>
  <c r="I17" i="2"/>
  <c r="H17" i="2"/>
  <c r="G17" i="2"/>
  <c r="K15" i="2"/>
  <c r="J15" i="2"/>
  <c r="I15" i="2"/>
  <c r="H15" i="2"/>
  <c r="G15" i="2"/>
  <c r="K14" i="2"/>
  <c r="J14" i="2"/>
  <c r="I14" i="2"/>
  <c r="H14" i="2"/>
  <c r="G14" i="2"/>
  <c r="B14" i="2"/>
  <c r="B16" i="2" s="1"/>
  <c r="K13" i="2"/>
  <c r="J13" i="2"/>
  <c r="I13" i="2"/>
  <c r="H13" i="2"/>
  <c r="G13" i="2"/>
  <c r="B13" i="2"/>
  <c r="B15" i="2" s="1"/>
  <c r="K12" i="2"/>
  <c r="J12" i="2"/>
  <c r="I12" i="2"/>
  <c r="H12" i="2"/>
  <c r="G12" i="2"/>
  <c r="K11" i="2"/>
  <c r="J11" i="2"/>
  <c r="I11" i="2"/>
  <c r="H11" i="2"/>
  <c r="G11" i="2"/>
  <c r="B11" i="2"/>
  <c r="K10" i="2"/>
  <c r="J10" i="2"/>
  <c r="I10" i="2"/>
  <c r="H10" i="2"/>
  <c r="G10" i="2"/>
  <c r="B10" i="2"/>
  <c r="K9" i="2"/>
  <c r="J9" i="2"/>
  <c r="I9" i="2"/>
  <c r="H9" i="2"/>
  <c r="G9" i="2"/>
  <c r="K8" i="2"/>
  <c r="J8" i="2"/>
  <c r="I8" i="2"/>
  <c r="H8" i="2"/>
  <c r="G8" i="2"/>
  <c r="B8" i="2"/>
  <c r="K7" i="2"/>
  <c r="J7" i="2"/>
  <c r="I7" i="2"/>
  <c r="H7" i="2"/>
  <c r="G7" i="2"/>
  <c r="B7" i="2"/>
  <c r="K6" i="2"/>
  <c r="J6" i="2"/>
  <c r="I6" i="2"/>
  <c r="H6" i="2"/>
  <c r="G6" i="2"/>
  <c r="B6" i="2"/>
  <c r="K5" i="2"/>
  <c r="J5" i="2"/>
  <c r="I5" i="2"/>
  <c r="H5" i="2"/>
  <c r="G5" i="2"/>
  <c r="B5" i="2"/>
  <c r="K4" i="2"/>
  <c r="J4" i="2"/>
  <c r="I4" i="2"/>
  <c r="H4" i="2"/>
  <c r="G4" i="2"/>
  <c r="B4" i="2"/>
  <c r="B3" i="2"/>
  <c r="BF5" i="1"/>
  <c r="D9" i="7" l="1"/>
  <c r="B64" i="2"/>
  <c r="B57" i="2"/>
  <c r="B60" i="2"/>
  <c r="B9" i="2"/>
  <c r="B33" i="2"/>
  <c r="B40" i="2"/>
  <c r="B20" i="2"/>
  <c r="B12" i="2"/>
  <c r="B44" i="2"/>
  <c r="B53" i="2"/>
  <c r="B37" i="2"/>
  <c r="BG5" i="1"/>
  <c r="BH5" i="1" s="1"/>
  <c r="B61" i="2" l="1"/>
  <c r="B41" i="2"/>
  <c r="B17" i="2"/>
  <c r="B22" i="2" s="1"/>
  <c r="B23" i="2" s="1"/>
  <c r="W223" i="1"/>
  <c r="W71" i="1"/>
  <c r="W154" i="1"/>
  <c r="W668" i="1"/>
  <c r="W544" i="1"/>
  <c r="W272" i="1"/>
  <c r="W127" i="1"/>
  <c r="W663" i="1"/>
  <c r="W274" i="1"/>
  <c r="W65" i="1"/>
  <c r="W92" i="1"/>
  <c r="W203" i="1"/>
  <c r="W176" i="1"/>
  <c r="W695" i="1"/>
  <c r="W636" i="1"/>
  <c r="W513" i="1"/>
  <c r="W655" i="1"/>
  <c r="W95" i="1"/>
  <c r="W407" i="1"/>
  <c r="W679" i="1"/>
  <c r="W284" i="1"/>
  <c r="W426" i="1"/>
  <c r="W453" i="1"/>
  <c r="W605" i="1"/>
  <c r="W420" i="1"/>
  <c r="W520" i="1"/>
  <c r="W66" i="1"/>
  <c r="W633" i="1"/>
  <c r="W571" i="1"/>
  <c r="W34" i="1"/>
  <c r="W70" i="1"/>
  <c r="W217" i="1"/>
  <c r="W155" i="1"/>
  <c r="W577" i="1"/>
  <c r="W523" i="1"/>
  <c r="W658" i="1"/>
  <c r="W6" i="1"/>
  <c r="W137" i="1"/>
  <c r="W483" i="1"/>
  <c r="W657" i="1"/>
  <c r="W435" i="1"/>
  <c r="W286" i="1"/>
  <c r="W583" i="1"/>
  <c r="W609" i="1"/>
  <c r="W410" i="1"/>
  <c r="W358" i="1"/>
  <c r="W436" i="1"/>
  <c r="W285" i="1"/>
  <c r="W206" i="1"/>
  <c r="W29" i="1"/>
  <c r="W370" i="1"/>
  <c r="W208" i="1"/>
  <c r="W683" i="1"/>
  <c r="W783" i="1"/>
  <c r="W470" i="1"/>
  <c r="W282" i="1"/>
  <c r="W304" i="1"/>
  <c r="W752" i="1"/>
  <c r="W291" i="1"/>
  <c r="W546" i="1"/>
  <c r="W359" i="1"/>
  <c r="W622" i="1"/>
  <c r="W379" i="1"/>
  <c r="W37" i="1"/>
  <c r="W664" i="1"/>
  <c r="W563" i="1"/>
  <c r="W504" i="1"/>
  <c r="W748" i="1"/>
  <c r="W292" i="1"/>
  <c r="W341" i="1"/>
  <c r="W182" i="1"/>
  <c r="W711" i="1"/>
  <c r="W388" i="1"/>
  <c r="W236" i="1"/>
  <c r="W294" i="1"/>
  <c r="W210" i="1"/>
  <c r="W373" i="1"/>
  <c r="W152" i="1"/>
  <c r="W86" i="1"/>
  <c r="W60" i="1"/>
  <c r="W755" i="1"/>
  <c r="W384" i="1"/>
  <c r="W240" i="1"/>
  <c r="W699" i="1"/>
  <c r="W339" i="1"/>
  <c r="W739" i="1"/>
  <c r="W51" i="1"/>
  <c r="W244" i="1"/>
  <c r="W619" i="1"/>
  <c r="W126" i="1"/>
  <c r="W156" i="1"/>
  <c r="W44" i="1"/>
  <c r="W550" i="1"/>
  <c r="W452" i="1"/>
  <c r="W108" i="1"/>
  <c r="W293" i="1"/>
  <c r="W132" i="1"/>
  <c r="W590" i="1"/>
  <c r="W406" i="1"/>
  <c r="W718" i="1"/>
  <c r="W231" i="1"/>
  <c r="W393" i="1"/>
  <c r="W649" i="1"/>
  <c r="W412" i="1"/>
  <c r="W91" i="1"/>
  <c r="W540" i="1"/>
  <c r="W618" i="1"/>
  <c r="W263" i="1"/>
  <c r="W110" i="1"/>
  <c r="W481" i="1"/>
  <c r="W496" i="1"/>
  <c r="W603" i="1"/>
  <c r="W300" i="1"/>
  <c r="W651" i="1"/>
  <c r="W337" i="1"/>
  <c r="W399" i="1"/>
  <c r="W363" i="1"/>
  <c r="W746" i="1"/>
  <c r="W99" i="1"/>
  <c r="W551" i="1"/>
  <c r="W654" i="1"/>
  <c r="W369" i="1"/>
  <c r="W261" i="1"/>
  <c r="W289" i="1"/>
  <c r="W404" i="1"/>
  <c r="W11" i="1"/>
  <c r="W178" i="1"/>
  <c r="W138" i="1"/>
  <c r="W38" i="1"/>
  <c r="W312" i="1"/>
  <c r="W768" i="1"/>
  <c r="W322" i="1"/>
  <c r="W24" i="1"/>
  <c r="W714" i="1"/>
  <c r="W460" i="1"/>
  <c r="W744" i="1"/>
  <c r="W311" i="1"/>
  <c r="W76" i="1"/>
  <c r="W395" i="1"/>
  <c r="W232" i="1"/>
  <c r="W265" i="1"/>
  <c r="W313" i="1"/>
  <c r="W177" i="1"/>
  <c r="W507" i="1"/>
  <c r="W193" i="1"/>
  <c r="W14" i="1"/>
  <c r="W315" i="1"/>
  <c r="W133" i="1"/>
  <c r="W375" i="1"/>
  <c r="W429" i="1"/>
  <c r="W158" i="1"/>
  <c r="W58" i="1"/>
  <c r="W773" i="1"/>
  <c r="W427" i="1"/>
  <c r="W472" i="1"/>
  <c r="W402" i="1"/>
  <c r="W600" i="1"/>
  <c r="W430" i="1"/>
  <c r="W302" i="1"/>
  <c r="W275" i="1"/>
  <c r="W342" i="1"/>
  <c r="W72" i="1"/>
  <c r="W467" i="1"/>
  <c r="W317" i="1"/>
  <c r="W258" i="1"/>
  <c r="W447" i="1"/>
  <c r="W593" i="1"/>
  <c r="W612" i="1"/>
  <c r="W162" i="1"/>
  <c r="W148" i="1"/>
  <c r="W398" i="1"/>
  <c r="W532" i="1"/>
  <c r="W161" i="1"/>
  <c r="W125" i="1"/>
  <c r="W400" i="1"/>
  <c r="W214" i="1"/>
  <c r="W564" i="1"/>
  <c r="W462" i="1"/>
  <c r="W492" i="1"/>
  <c r="W19" i="1"/>
  <c r="W145" i="1"/>
  <c r="W610" i="1"/>
  <c r="W431" i="1"/>
  <c r="W17" i="1"/>
  <c r="W380" i="1"/>
  <c r="W444" i="1"/>
  <c r="W26" i="1"/>
  <c r="W419" i="1"/>
  <c r="W327" i="1"/>
  <c r="W521" i="1"/>
  <c r="W741" i="1"/>
  <c r="W727" i="1"/>
  <c r="W157" i="1"/>
  <c r="W508" i="1"/>
  <c r="W376" i="1"/>
  <c r="W630" i="1"/>
  <c r="W112" i="1"/>
  <c r="W173" i="1"/>
  <c r="W597" i="1"/>
  <c r="W61" i="1"/>
  <c r="W361" i="1"/>
  <c r="W623" i="1"/>
  <c r="W722" i="1"/>
  <c r="W197" i="1"/>
  <c r="W228" i="1"/>
  <c r="W676" i="1"/>
  <c r="W59" i="1"/>
  <c r="W559" i="1"/>
  <c r="W595" i="1"/>
  <c r="W350" i="1"/>
  <c r="W347" i="1"/>
  <c r="W142" i="1"/>
  <c r="W330" i="1"/>
  <c r="W528" i="1"/>
  <c r="W403" i="1"/>
  <c r="W536" i="1"/>
  <c r="W83" i="1"/>
  <c r="W574" i="1"/>
  <c r="W473" i="1"/>
  <c r="W220" i="1"/>
  <c r="W501" i="1"/>
  <c r="W323" i="1"/>
  <c r="W172" i="1"/>
  <c r="W535" i="1"/>
  <c r="W103" i="1"/>
  <c r="W146" i="1"/>
  <c r="W248" i="1"/>
  <c r="W117" i="1"/>
  <c r="W466" i="1"/>
  <c r="W90" i="1"/>
  <c r="W169" i="1"/>
  <c r="W67" i="1"/>
  <c r="W259" i="1"/>
  <c r="W499" i="1"/>
  <c r="W548" i="1"/>
  <c r="W98" i="1"/>
  <c r="W643" i="1"/>
  <c r="W135" i="1"/>
  <c r="W254" i="1"/>
  <c r="W251" i="1"/>
  <c r="W213" i="1"/>
  <c r="W522" i="1"/>
  <c r="W196" i="1"/>
  <c r="W50" i="1"/>
  <c r="W290" i="1"/>
  <c r="W717" i="1"/>
  <c r="W36" i="1"/>
  <c r="W171" i="1"/>
  <c r="W750" i="1"/>
  <c r="W438" i="1"/>
  <c r="W482" i="1"/>
  <c r="W673" i="1"/>
  <c r="W527" i="1"/>
  <c r="W46" i="1"/>
  <c r="W538" i="1"/>
  <c r="W485" i="1"/>
  <c r="W199" i="1"/>
  <c r="W246" i="1"/>
  <c r="W510" i="1"/>
  <c r="W189" i="1"/>
  <c r="W128" i="1"/>
  <c r="W136" i="1"/>
  <c r="W760" i="1"/>
  <c r="W687" i="1"/>
  <c r="W81" i="1"/>
  <c r="W439" i="1"/>
  <c r="W349" i="1"/>
  <c r="W192" i="1"/>
  <c r="W340" i="1"/>
  <c r="W666" i="1"/>
  <c r="W734" i="1"/>
  <c r="W648" i="1"/>
  <c r="W587" i="1"/>
  <c r="W463" i="1"/>
  <c r="W549" i="1"/>
  <c r="W737" i="1"/>
  <c r="W338" i="1"/>
  <c r="W165" i="1"/>
  <c r="W209" i="1"/>
  <c r="W40" i="1"/>
  <c r="W488" i="1"/>
  <c r="W227" i="1"/>
  <c r="W354" i="1"/>
  <c r="W129" i="1"/>
  <c r="W646" i="1"/>
  <c r="W20" i="1"/>
  <c r="W698" i="1"/>
  <c r="W758" i="1"/>
  <c r="W604" i="1"/>
  <c r="W241" i="1"/>
  <c r="W502" i="1"/>
  <c r="W742" i="1"/>
  <c r="W250" i="1"/>
  <c r="W325" i="1"/>
  <c r="W52" i="1"/>
  <c r="W104" i="1"/>
  <c r="W73" i="1"/>
  <c r="W724" i="1"/>
  <c r="W728" i="1"/>
  <c r="W448" i="1"/>
  <c r="W761" i="1"/>
  <c r="W215" i="1"/>
  <c r="W640" i="1"/>
  <c r="W631" i="1"/>
  <c r="W713" i="1"/>
  <c r="W632" i="1"/>
  <c r="W389" i="1"/>
  <c r="W271" i="1"/>
  <c r="W498" i="1"/>
  <c r="W615" i="1"/>
  <c r="W754" i="1"/>
  <c r="W692" i="1"/>
  <c r="W480" i="1"/>
  <c r="W377" i="1"/>
  <c r="W740" i="1"/>
  <c r="W124" i="1"/>
  <c r="W235" i="1"/>
  <c r="W669" i="1"/>
  <c r="W87" i="1"/>
  <c r="W434" i="1"/>
  <c r="W23" i="1"/>
  <c r="W688" i="1"/>
  <c r="W416" i="1"/>
  <c r="W516" i="1"/>
  <c r="W680" i="1"/>
  <c r="W106" i="1"/>
  <c r="W239" i="1"/>
  <c r="W121" i="1"/>
  <c r="W344" i="1"/>
  <c r="W181" i="1"/>
  <c r="W21" i="1"/>
  <c r="W143" i="1"/>
  <c r="W264" i="1"/>
  <c r="W579" i="1"/>
  <c r="W107" i="1"/>
  <c r="W417" i="1"/>
  <c r="W486" i="1"/>
  <c r="W69" i="1"/>
  <c r="W408" i="1"/>
  <c r="W701" i="1"/>
  <c r="W355" i="1"/>
  <c r="W542" i="1"/>
  <c r="W245" i="1"/>
  <c r="W771" i="1"/>
  <c r="W705" i="1"/>
  <c r="W732" i="1"/>
  <c r="W729" i="1"/>
  <c r="W151" i="1"/>
  <c r="W216" i="1"/>
  <c r="W13" i="1"/>
  <c r="W554" i="1"/>
  <c r="W301" i="1"/>
  <c r="W569" i="1"/>
  <c r="W266" i="1"/>
  <c r="W378" i="1"/>
  <c r="W489" i="1"/>
  <c r="W702" i="1"/>
  <c r="W101" i="1"/>
  <c r="W331" i="1"/>
  <c r="W709" i="1"/>
  <c r="W594" i="1"/>
  <c r="W656" i="1"/>
  <c r="W625" i="1"/>
  <c r="W166" i="1"/>
  <c r="W689" i="1"/>
  <c r="W191" i="1"/>
  <c r="W288" i="1"/>
  <c r="W693" i="1"/>
  <c r="W575" i="1"/>
  <c r="W188" i="1"/>
  <c r="W394" i="1"/>
  <c r="W461" i="1"/>
  <c r="W530" i="1"/>
  <c r="W270" i="1"/>
  <c r="W211" i="1"/>
  <c r="W207" i="1"/>
  <c r="W686" i="1"/>
  <c r="W49" i="1"/>
  <c r="W509" i="1"/>
  <c r="W102" i="1"/>
  <c r="W637" i="1"/>
  <c r="W524" i="1"/>
  <c r="W445" i="1"/>
  <c r="W57" i="1"/>
  <c r="W560" i="1"/>
  <c r="W529" i="1"/>
  <c r="W495" i="1"/>
  <c r="W661" i="1"/>
  <c r="W490" i="1"/>
  <c r="W617" i="1"/>
  <c r="W25" i="1"/>
  <c r="W635" i="1"/>
  <c r="W45" i="1"/>
  <c r="W580" i="1"/>
  <c r="W387" i="1"/>
  <c r="W469" i="1"/>
  <c r="W362" i="1"/>
  <c r="W719" i="1"/>
  <c r="W82" i="1"/>
  <c r="W190" i="1"/>
  <c r="W35" i="1"/>
  <c r="W22" i="1"/>
  <c r="W591" i="1"/>
  <c r="W364" i="1"/>
  <c r="W415" i="1"/>
  <c r="W503" i="1"/>
  <c r="W119" i="1"/>
  <c r="W652" i="1"/>
  <c r="W321" i="1"/>
  <c r="W479" i="1"/>
  <c r="W243" i="1"/>
  <c r="W8" i="1"/>
  <c r="W140" i="1"/>
  <c r="W277" i="1"/>
  <c r="W645" i="1"/>
  <c r="W195" i="1"/>
  <c r="W269" i="1"/>
  <c r="W677" i="1"/>
  <c r="W401" i="1"/>
  <c r="W276" i="1"/>
  <c r="W674" i="1"/>
  <c r="W42" i="1"/>
  <c r="W770" i="1"/>
  <c r="W316" i="1"/>
  <c r="W201" i="1"/>
  <c r="W238" i="1"/>
  <c r="W5" i="1"/>
  <c r="W305" i="1"/>
  <c r="W346" i="1"/>
  <c r="W79" i="1"/>
  <c r="W357" i="1"/>
  <c r="W299" i="1"/>
  <c r="W255" i="1"/>
  <c r="W624" i="1"/>
  <c r="W706" i="1"/>
  <c r="W634" i="1"/>
  <c r="W75" i="1"/>
  <c r="W723" i="1"/>
  <c r="W185" i="1"/>
  <c r="W621" i="1"/>
  <c r="W297" i="1"/>
  <c r="W109" i="1"/>
  <c r="W682" i="1"/>
  <c r="W53" i="1"/>
  <c r="W326" i="1"/>
  <c r="W351" i="1"/>
  <c r="W736" i="1"/>
  <c r="W212" i="1"/>
  <c r="W16" i="1"/>
  <c r="W296" i="1"/>
  <c r="W555" i="1"/>
  <c r="W335" i="1"/>
  <c r="W278" i="1"/>
  <c r="W319" i="1"/>
  <c r="W97" i="1"/>
  <c r="W708" i="1"/>
  <c r="W94" i="1"/>
  <c r="W616" i="1"/>
  <c r="W572" i="1"/>
  <c r="W475" i="1"/>
  <c r="W234" i="1"/>
  <c r="W28" i="1"/>
  <c r="W581" i="1"/>
  <c r="W332" i="1"/>
  <c r="W352" i="1"/>
  <c r="W627" i="1"/>
  <c r="W257" i="1"/>
  <c r="W63" i="1"/>
  <c r="W606" i="1"/>
  <c r="W690" i="1"/>
  <c r="W626" i="1"/>
  <c r="W187" i="1"/>
  <c r="W306" i="1"/>
  <c r="W525" i="1"/>
  <c r="W613" i="1"/>
  <c r="W47" i="1"/>
  <c r="W733" i="1"/>
  <c r="W32" i="1"/>
  <c r="W15" i="1"/>
  <c r="W222" i="1"/>
  <c r="W100" i="1"/>
  <c r="W500" i="1"/>
  <c r="W39" i="1"/>
  <c r="W226" i="1"/>
  <c r="W262" i="1"/>
  <c r="W383" i="1"/>
  <c r="W78" i="1"/>
  <c r="W464" i="1"/>
  <c r="W31" i="1"/>
  <c r="W697" i="1"/>
  <c r="W381" i="1"/>
  <c r="W328" i="1"/>
  <c r="W386" i="1"/>
  <c r="W614" i="1"/>
  <c r="W552" i="1"/>
  <c r="W725" i="1"/>
  <c r="W547" i="1"/>
  <c r="W641" i="1"/>
  <c r="W586" i="1"/>
  <c r="W390" i="1"/>
  <c r="W650" i="1"/>
  <c r="W602" i="1"/>
  <c r="W753" i="1"/>
  <c r="W562" i="1"/>
  <c r="W465" i="1"/>
  <c r="W440" i="1"/>
  <c r="W168" i="1"/>
  <c r="W115" i="1"/>
  <c r="W329" i="1"/>
  <c r="W667" i="1"/>
  <c r="W533" i="1"/>
  <c r="W287" i="1"/>
  <c r="W308" i="1"/>
  <c r="W497" i="1"/>
  <c r="W160" i="1"/>
  <c r="W33" i="1"/>
  <c r="W557" i="1"/>
  <c r="W180" i="1"/>
  <c r="W77" i="1"/>
  <c r="W437" i="1"/>
  <c r="W556" i="1"/>
  <c r="W487" i="1"/>
  <c r="W418" i="1"/>
  <c r="W9" i="1"/>
  <c r="W454" i="1"/>
  <c r="W715" i="1"/>
  <c r="W200" i="1"/>
  <c r="W451" i="1"/>
  <c r="W511" i="1"/>
  <c r="W745" i="1"/>
  <c r="W458" i="1"/>
  <c r="W738" i="1"/>
  <c r="W205" i="1"/>
  <c r="W247" i="1"/>
  <c r="W111" i="1"/>
  <c r="W144" i="1"/>
  <c r="W704" i="1"/>
  <c r="W505" i="1"/>
  <c r="W599" i="1"/>
  <c r="W477" i="1"/>
  <c r="W703" i="1"/>
  <c r="W553" i="1"/>
  <c r="W468" i="1"/>
  <c r="W260" i="1"/>
  <c r="W720" i="1"/>
  <c r="W237" i="1"/>
  <c r="W242" i="1"/>
  <c r="W167" i="1"/>
  <c r="W491" i="1"/>
  <c r="W726" i="1"/>
  <c r="W730" i="1"/>
  <c r="W56" i="1"/>
  <c r="W267" i="1"/>
  <c r="W224" i="1"/>
  <c r="W281" i="1"/>
  <c r="W647" i="1"/>
  <c r="W442" i="1"/>
  <c r="W12" i="1"/>
  <c r="W450" i="1"/>
  <c r="W368" i="1"/>
  <c r="W428" i="1"/>
  <c r="W566" i="1"/>
  <c r="W204" i="1"/>
  <c r="W678" i="1"/>
  <c r="W105" i="1"/>
  <c r="W324" i="1"/>
  <c r="W307" i="1"/>
  <c r="W159" i="1"/>
  <c r="W743" i="1"/>
  <c r="W249" i="1"/>
  <c r="W449" i="1"/>
  <c r="W775" i="1"/>
  <c r="W710" i="1"/>
  <c r="W629" i="1"/>
  <c r="W685" i="1"/>
  <c r="W531" i="1"/>
  <c r="W433" i="1"/>
  <c r="W131" i="1"/>
  <c r="W721" i="1"/>
  <c r="W372" i="1"/>
  <c r="W150" i="1"/>
  <c r="W198" i="1"/>
  <c r="W747" i="1"/>
  <c r="W443" i="1"/>
  <c r="W88" i="1"/>
  <c r="W558" i="1" a="1"/>
  <c r="W585" i="1"/>
  <c r="W519" i="1"/>
  <c r="W518" i="1"/>
  <c r="W130" i="1"/>
  <c r="W93" i="1"/>
  <c r="W356" i="1"/>
  <c r="W601" i="1"/>
  <c r="W515" i="1"/>
  <c r="W229" i="1"/>
  <c r="W494" i="1"/>
  <c r="W576" i="1"/>
  <c r="W164" i="1"/>
  <c r="W298" i="1"/>
  <c r="W441" i="1"/>
  <c r="W120" i="1"/>
  <c r="W759" i="1"/>
  <c r="W660" i="1"/>
  <c r="W280" i="1"/>
  <c r="W134" i="1"/>
  <c r="W320" i="1"/>
  <c r="W588" i="1"/>
  <c r="W122" i="1"/>
  <c r="W30" i="1"/>
  <c r="W456" i="1"/>
  <c r="W642" i="1"/>
  <c r="W512" i="1"/>
  <c r="W484" i="1"/>
  <c r="W589" i="1"/>
  <c r="W175" i="1"/>
  <c r="W639" i="1"/>
  <c r="W27" i="1"/>
  <c r="W607" i="1"/>
  <c r="W80" i="1"/>
  <c r="W230" i="1"/>
  <c r="W163" i="1"/>
  <c r="W279" i="1"/>
  <c r="W333" i="1"/>
  <c r="W219" i="1"/>
  <c r="W392" i="1"/>
  <c r="W707" i="1"/>
  <c r="W659" i="1"/>
  <c r="W149" i="1"/>
  <c r="W233" i="1"/>
  <c r="W183" i="1"/>
  <c r="W48" i="1"/>
  <c r="W371" i="1"/>
  <c r="W41" i="1"/>
  <c r="W141" i="1"/>
  <c r="W671" i="1"/>
  <c r="W662" i="1"/>
  <c r="W731" i="1"/>
  <c r="W10" i="1"/>
  <c r="W421" i="1"/>
  <c r="W314" i="1"/>
  <c r="W644" i="1"/>
  <c r="W202" i="1"/>
  <c r="W343" i="1"/>
  <c r="W218" i="1"/>
  <c r="W582" i="1"/>
  <c r="W432" i="1"/>
  <c r="W84" i="1"/>
  <c r="W474" i="1"/>
  <c r="W74" i="1"/>
  <c r="W539" i="1"/>
  <c r="W514" i="1"/>
  <c r="W567" i="1"/>
  <c r="W336" i="1"/>
  <c r="W221" i="1"/>
  <c r="W526" i="1"/>
  <c r="W273" i="1"/>
  <c r="W153" i="1"/>
  <c r="W283" i="1"/>
  <c r="W68" i="1"/>
  <c r="W565" i="1"/>
  <c r="W348" i="1"/>
  <c r="W681" i="1"/>
  <c r="W43" i="1"/>
  <c r="W455" i="1"/>
  <c r="W611" i="1"/>
  <c r="W385" i="1"/>
  <c r="W113" i="1"/>
  <c r="W545" i="1"/>
  <c r="W334" i="1"/>
  <c r="W7" i="1"/>
  <c r="W422" i="1"/>
  <c r="W367" i="1"/>
  <c r="W670" i="1"/>
  <c r="W123" i="1"/>
  <c r="W114" i="1"/>
  <c r="W309" i="1"/>
  <c r="W405" i="1"/>
  <c r="W62" i="1"/>
  <c r="W478" i="1"/>
  <c r="W179" i="1"/>
  <c r="W116" i="1"/>
  <c r="W694" i="1"/>
  <c r="W570" i="1"/>
  <c r="W96" i="1"/>
  <c r="W596" i="1"/>
  <c r="W268" i="1"/>
  <c r="W413" i="1"/>
  <c r="W411" i="1"/>
  <c r="W295" i="1"/>
  <c r="W256" i="1"/>
  <c r="W457" i="1"/>
  <c r="W303" i="1"/>
  <c r="W712" i="1"/>
  <c r="W561" i="1"/>
  <c r="W684" i="1"/>
  <c r="W471" i="1"/>
  <c r="W89" i="1"/>
  <c r="W568" i="1"/>
  <c r="W628" i="1"/>
  <c r="W534" i="1"/>
  <c r="W85" i="1"/>
  <c r="W353" i="1"/>
  <c r="W139" i="1"/>
  <c r="W18" i="1"/>
  <c r="W459" i="1"/>
  <c r="W446" i="1"/>
  <c r="W397" i="1"/>
  <c r="W147" i="1"/>
  <c r="W592" i="1"/>
  <c r="W118" i="1"/>
  <c r="W716" i="1"/>
  <c r="W423" i="1"/>
  <c r="W396" i="1"/>
  <c r="W345" i="1"/>
  <c r="W493" i="1"/>
  <c r="W225" i="1"/>
  <c r="W170" i="1"/>
  <c r="W638" i="1"/>
  <c r="W608" i="1"/>
  <c r="W318" i="1"/>
  <c r="W382" i="1"/>
  <c r="W541" i="1"/>
  <c r="W506" i="1"/>
  <c r="W672" i="1"/>
  <c r="W424" i="1"/>
  <c r="W374" i="1"/>
  <c r="W578" i="1"/>
  <c r="W517" i="1"/>
  <c r="W476" i="1"/>
  <c r="W756" i="1"/>
  <c r="W253" i="1"/>
  <c r="W414" i="1"/>
  <c r="W391" i="1"/>
  <c r="W194" i="1"/>
  <c r="W310" i="1"/>
  <c r="W366" i="1"/>
  <c r="W620" i="1"/>
  <c r="W252" i="1"/>
  <c r="W55" i="1"/>
  <c r="W757" i="1"/>
  <c r="W184" i="1"/>
  <c r="W425" i="1"/>
  <c r="W186" i="1"/>
  <c r="W537" i="1"/>
  <c r="W174" i="1"/>
  <c r="W573" i="1"/>
  <c r="W54" i="1"/>
  <c r="C715" i="1" l="1"/>
  <c r="C719" i="1"/>
  <c r="C710" i="1"/>
  <c r="C674" i="1"/>
  <c r="C494" i="1"/>
  <c r="C672" i="1"/>
  <c r="C602" i="1"/>
  <c r="C708" i="1"/>
  <c r="C656" i="1"/>
  <c r="C697" i="1"/>
  <c r="C611" i="1"/>
  <c r="C588" i="1"/>
  <c r="C577" i="1"/>
  <c r="C640" i="1"/>
  <c r="C595" i="1"/>
  <c r="C530" i="1"/>
  <c r="C560" i="1"/>
  <c r="C506" i="1"/>
  <c r="C650" i="1"/>
  <c r="C652" i="1"/>
  <c r="C594" i="1"/>
  <c r="C716" i="1"/>
  <c r="C649" i="1"/>
  <c r="C573" i="1"/>
  <c r="C607" i="1"/>
  <c r="C628" i="1"/>
  <c r="C627" i="1"/>
  <c r="C559" i="1"/>
  <c r="C644" i="1"/>
  <c r="C515" i="1"/>
  <c r="C651" i="1"/>
  <c r="C680" i="1"/>
  <c r="C630" i="1"/>
  <c r="C609" i="1"/>
  <c r="C567" i="1"/>
  <c r="C568" i="1"/>
  <c r="C677" i="1"/>
  <c r="C601" i="1"/>
  <c r="C586" i="1"/>
  <c r="C679" i="1"/>
  <c r="C604" i="1"/>
  <c r="C431" i="1"/>
  <c r="C592" i="1"/>
  <c r="C692" i="1"/>
  <c r="C639" i="1"/>
  <c r="C583" i="1"/>
  <c r="C574" i="1"/>
  <c r="C663" i="1"/>
  <c r="C580" i="1"/>
  <c r="C667" i="1"/>
  <c r="C596" i="1"/>
  <c r="C676" i="1"/>
  <c r="C613" i="1"/>
  <c r="C563" i="1"/>
  <c r="C603" i="1"/>
  <c r="C641" i="1"/>
  <c r="C659" i="1"/>
  <c r="C670" i="1"/>
  <c r="C619" i="1"/>
  <c r="C718" i="1"/>
  <c r="C687" i="1"/>
  <c r="C621" i="1"/>
  <c r="C539" i="1"/>
  <c r="C556" i="1"/>
  <c r="C647" i="1"/>
  <c r="C673" i="1"/>
  <c r="C660" i="1"/>
  <c r="C581" i="1"/>
  <c r="C579" i="1"/>
  <c r="C575" i="1"/>
  <c r="C664" i="1"/>
  <c r="C637" i="1"/>
  <c r="C608" i="1"/>
  <c r="C698" i="1"/>
  <c r="C707" i="1"/>
  <c r="C683" i="1"/>
  <c r="C702" i="1"/>
  <c r="C714" i="1"/>
  <c r="C615" i="1"/>
  <c r="C721" i="1"/>
  <c r="C589" i="1"/>
  <c r="C705" i="1"/>
  <c r="C369" i="1"/>
  <c r="C635" i="1"/>
  <c r="C565" i="1"/>
  <c r="C482" i="1"/>
  <c r="C571" i="1"/>
  <c r="C724" i="1"/>
  <c r="C600" i="1"/>
  <c r="C570" i="1"/>
  <c r="C693" i="1"/>
  <c r="C645" i="1"/>
  <c r="C638" i="1"/>
  <c r="C655" i="1"/>
  <c r="C591" i="1"/>
  <c r="C590" i="1"/>
  <c r="C657" i="1"/>
  <c r="C612" i="1"/>
  <c r="C561" i="1"/>
  <c r="C654" i="1"/>
  <c r="C633" i="1"/>
  <c r="C694" i="1"/>
  <c r="C722" i="1"/>
  <c r="C662" i="1"/>
  <c r="C587" i="1"/>
  <c r="C646" i="1"/>
  <c r="C668" i="1"/>
  <c r="C712" i="1"/>
  <c r="C617" i="1"/>
  <c r="C623" i="1"/>
  <c r="C626" i="1"/>
  <c r="C671" i="1"/>
  <c r="C622" i="1"/>
  <c r="C643" i="1"/>
  <c r="C648" i="1"/>
  <c r="C703" i="1"/>
  <c r="C614" i="1"/>
  <c r="C636" i="1"/>
  <c r="C634" i="1"/>
  <c r="C642" i="1"/>
  <c r="C557" i="1"/>
  <c r="C678" i="1"/>
  <c r="C572" i="1"/>
  <c r="C578" i="1"/>
  <c r="C690" i="1"/>
  <c r="C585" i="1"/>
  <c r="C618" i="1"/>
  <c r="C669" i="1"/>
  <c r="C695" i="1"/>
  <c r="C564" i="1"/>
  <c r="C699" i="1"/>
  <c r="C569" i="1"/>
  <c r="C632" i="1"/>
  <c r="C706" i="1"/>
  <c r="C582" i="1"/>
  <c r="C661" i="1"/>
  <c r="C711" i="1"/>
  <c r="C616" i="1"/>
  <c r="C562" i="1"/>
  <c r="C606" i="1"/>
  <c r="W558" i="1"/>
  <c r="C666" i="1"/>
  <c r="C599" i="1"/>
  <c r="C713" i="1"/>
  <c r="C629" i="1"/>
  <c r="C620" i="1"/>
  <c r="C624" i="1"/>
  <c r="C658" i="1"/>
  <c r="C701" i="1"/>
  <c r="C717" i="1"/>
  <c r="C576" i="1"/>
  <c r="C605" i="1"/>
  <c r="C566" i="1"/>
  <c r="C597" i="1"/>
  <c r="C625" i="1"/>
</calcChain>
</file>

<file path=xl/comments1.xml><?xml version="1.0" encoding="utf-8"?>
<comments xmlns="http://schemas.openxmlformats.org/spreadsheetml/2006/main">
  <authors>
    <author/>
    <author>Moi</author>
    <author>Daniel</author>
  </authors>
  <commentList>
    <comment ref="BM4" authorId="0" shapeId="0">
      <text>
        <r>
          <rPr>
            <sz val="11"/>
            <color rgb="FF000000"/>
            <rFont val="Calibri"/>
            <family val="2"/>
            <charset val="1"/>
          </rPr>
          <t xml:space="preserve">Daniel:
</t>
        </r>
        <r>
          <rPr>
            <sz val="9"/>
            <color rgb="FF000000"/>
            <rFont val="Tahoma"/>
            <family val="2"/>
            <charset val="1"/>
          </rPr>
          <t>Attention, les dossiers peuvent une année N être affecté à l'ADEME puis être à 0 l'année suivante si la demande de versement a été refusé. Cela permet une projection la plus réaliste possible des dossiers qui seront facturés à l'ADEME in fine.</t>
        </r>
      </text>
    </comment>
    <comment ref="B5" authorId="0" shapeId="0">
      <text>
        <r>
          <rPr>
            <sz val="11"/>
            <color rgb="FF000000"/>
            <rFont val="Calibri"/>
            <family val="2"/>
            <charset val="1"/>
          </rPr>
          <t xml:space="preserve">Daniel:
</t>
        </r>
        <r>
          <rPr>
            <sz val="9"/>
            <color rgb="FF000000"/>
            <rFont val="Tahoma"/>
            <family val="2"/>
            <charset val="1"/>
          </rPr>
          <t>Initialement V643</t>
        </r>
      </text>
    </comment>
    <comment ref="B6" authorId="0" shapeId="0">
      <text>
        <r>
          <rPr>
            <sz val="11"/>
            <color rgb="FF000000"/>
            <rFont val="Calibri"/>
            <family val="2"/>
            <charset val="1"/>
          </rPr>
          <t xml:space="preserve">Daniel:
</t>
        </r>
        <r>
          <rPr>
            <sz val="9"/>
            <color rgb="FF000000"/>
            <rFont val="Tahoma"/>
            <family val="2"/>
            <charset val="1"/>
          </rPr>
          <t>Initialement V645</t>
        </r>
      </text>
    </comment>
    <comment ref="B8" authorId="0" shapeId="0">
      <text>
        <r>
          <rPr>
            <sz val="11"/>
            <color rgb="FF000000"/>
            <rFont val="Calibri"/>
            <family val="2"/>
            <charset val="1"/>
          </rPr>
          <t xml:space="preserve">Daniel:
</t>
        </r>
        <r>
          <rPr>
            <sz val="9"/>
            <color rgb="FF000000"/>
            <rFont val="Tahoma"/>
            <family val="2"/>
            <charset val="1"/>
          </rPr>
          <t xml:space="preserve">Initialement V648
</t>
        </r>
      </text>
    </comment>
    <comment ref="AC12" authorId="0" shapeId="0">
      <text>
        <r>
          <rPr>
            <sz val="11"/>
            <color rgb="FF000000"/>
            <rFont val="Calibri"/>
            <family val="2"/>
            <charset val="1"/>
          </rPr>
          <t xml:space="preserve">Charlotte PELLEGRINI:
</t>
        </r>
        <r>
          <rPr>
            <sz val="9"/>
            <color rgb="FF000000"/>
            <rFont val="Tahoma"/>
            <family val="2"/>
            <charset val="1"/>
          </rPr>
          <t>ancienne adresse grignette38500@yahoo.fr</t>
        </r>
      </text>
    </comment>
    <comment ref="B13" authorId="0" shapeId="0">
      <text>
        <r>
          <rPr>
            <sz val="11"/>
            <color rgb="FF000000"/>
            <rFont val="Calibri"/>
            <family val="2"/>
            <charset val="1"/>
          </rPr>
          <t xml:space="preserve">Daniel:
</t>
        </r>
        <r>
          <rPr>
            <sz val="9"/>
            <color rgb="FF000000"/>
            <rFont val="Tahoma"/>
            <family val="2"/>
            <charset val="1"/>
          </rPr>
          <t>Initialement V677</t>
        </r>
      </text>
    </comment>
    <comment ref="B14" authorId="0" shapeId="0">
      <text>
        <r>
          <rPr>
            <sz val="11"/>
            <color rgb="FF000000"/>
            <rFont val="Calibri"/>
            <family val="2"/>
            <charset val="1"/>
          </rPr>
          <t xml:space="preserve">Daniel:
</t>
        </r>
        <r>
          <rPr>
            <sz val="9"/>
            <color rgb="FF000000"/>
            <rFont val="Tahoma"/>
            <family val="2"/>
            <charset val="1"/>
          </rPr>
          <t>Initialement V679</t>
        </r>
      </text>
    </comment>
    <comment ref="B15" authorId="0" shapeId="0">
      <text>
        <r>
          <rPr>
            <sz val="11"/>
            <color rgb="FF000000"/>
            <rFont val="Calibri"/>
            <family val="2"/>
            <charset val="1"/>
          </rPr>
          <t xml:space="preserve">Daniel:
</t>
        </r>
        <r>
          <rPr>
            <sz val="9"/>
            <color rgb="FF000000"/>
            <rFont val="Tahoma"/>
            <family val="2"/>
            <charset val="1"/>
          </rPr>
          <t>Initialement V682</t>
        </r>
      </text>
    </comment>
    <comment ref="F195" authorId="1" shapeId="0">
      <text>
        <r>
          <rPr>
            <b/>
            <sz val="9"/>
            <color indexed="81"/>
            <rFont val="Tahoma"/>
            <family val="2"/>
          </rPr>
          <t>Moi:</t>
        </r>
        <r>
          <rPr>
            <sz val="9"/>
            <color indexed="81"/>
            <rFont val="Tahoma"/>
            <family val="2"/>
          </rPr>
          <t xml:space="preserve">
 (envoi courrier)</t>
        </r>
      </text>
    </comment>
    <comment ref="B344" authorId="0" shapeId="0">
      <text>
        <r>
          <rPr>
            <b/>
            <sz val="9"/>
            <color rgb="FF000000"/>
            <rFont val="Tahoma"/>
            <family val="2"/>
          </rPr>
          <t>FZO : non eligible</t>
        </r>
      </text>
    </comment>
    <comment ref="B543" authorId="0" shapeId="0">
      <text>
        <r>
          <rPr>
            <sz val="11"/>
            <color rgb="FF000000"/>
            <rFont val="Calibri"/>
            <family val="2"/>
            <charset val="1"/>
          </rPr>
          <t xml:space="preserve">Moi:
</t>
        </r>
        <r>
          <rPr>
            <sz val="9"/>
            <color rgb="FF000000"/>
            <rFont val="Tahoma"/>
            <family val="2"/>
            <charset val="1"/>
          </rPr>
          <t>Charte d'engagement ps à jr</t>
        </r>
      </text>
    </comment>
    <comment ref="B551" authorId="0" shapeId="0">
      <text>
        <r>
          <rPr>
            <sz val="11"/>
            <color rgb="FF000000"/>
            <rFont val="Calibri"/>
            <family val="2"/>
            <charset val="1"/>
          </rPr>
          <t xml:space="preserve">Moi:
</t>
        </r>
        <r>
          <rPr>
            <sz val="9"/>
            <color rgb="FF000000"/>
            <rFont val="Tahoma"/>
            <family val="2"/>
            <charset val="1"/>
          </rPr>
          <t>Certicat RGE pas à jr</t>
        </r>
      </text>
    </comment>
    <comment ref="A593" authorId="0" shapeId="0">
      <text>
        <r>
          <rPr>
            <sz val="11"/>
            <color rgb="FF000000"/>
            <rFont val="Calibri"/>
            <family val="2"/>
            <charset val="1"/>
          </rPr>
          <t xml:space="preserve">Moi:
</t>
        </r>
        <r>
          <rPr>
            <sz val="9"/>
            <color rgb="FF000000"/>
            <rFont val="Tahoma"/>
            <family val="2"/>
            <charset val="1"/>
          </rPr>
          <t xml:space="preserve">voir avec D , poele antérieur 2002 ( 2008)
Message vocale laissé </t>
        </r>
      </text>
    </comment>
    <comment ref="B598" authorId="0" shapeId="0">
      <text>
        <r>
          <rPr>
            <sz val="11"/>
            <color rgb="FF000000"/>
            <rFont val="Calibri"/>
            <family val="2"/>
            <charset val="1"/>
          </rPr>
          <t xml:space="preserve">Moi:
relance 22/06 mail
</t>
        </r>
      </text>
    </comment>
    <comment ref="A611" authorId="1" shapeId="0">
      <text>
        <r>
          <rPr>
            <b/>
            <sz val="9"/>
            <color indexed="81"/>
            <rFont val="Tahoma"/>
            <family val="2"/>
          </rPr>
          <t>Moi:</t>
        </r>
        <r>
          <rPr>
            <sz val="9"/>
            <color indexed="81"/>
            <rFont val="Tahoma"/>
            <family val="2"/>
          </rPr>
          <t xml:space="preserve">
DOC Demande de verssement ?</t>
        </r>
      </text>
    </comment>
    <comment ref="P621" authorId="2" shapeId="0">
      <text>
        <r>
          <rPr>
            <b/>
            <sz val="9"/>
            <color indexed="81"/>
            <rFont val="Tahoma"/>
            <charset val="1"/>
          </rPr>
          <t>Daniel:</t>
        </r>
        <r>
          <rPr>
            <sz val="9"/>
            <color indexed="81"/>
            <rFont val="Tahoma"/>
            <charset val="1"/>
          </rPr>
          <t xml:space="preserve">
en attente rappel particulier car pb adresse différente (DC 11-12-2023) </t>
        </r>
      </text>
    </comment>
    <comment ref="A656" authorId="1" shapeId="0">
      <text>
        <r>
          <rPr>
            <b/>
            <sz val="9"/>
            <color indexed="81"/>
            <rFont val="Tahoma"/>
            <family val="2"/>
          </rPr>
          <t>Moi:</t>
        </r>
        <r>
          <rPr>
            <sz val="9"/>
            <color indexed="81"/>
            <rFont val="Tahoma"/>
            <family val="2"/>
          </rPr>
          <t xml:space="preserve">
appelé le 26/07/23
rib</t>
        </r>
      </text>
    </comment>
    <comment ref="A664" authorId="1" shapeId="0">
      <text>
        <r>
          <rPr>
            <b/>
            <sz val="9"/>
            <color indexed="81"/>
            <rFont val="Tahoma"/>
            <family val="2"/>
          </rPr>
          <t>Moi:</t>
        </r>
        <r>
          <rPr>
            <sz val="9"/>
            <color indexed="81"/>
            <rFont val="Tahoma"/>
            <family val="2"/>
          </rPr>
          <t xml:space="preserve">
Appel 14/11/23 pour dire que le dossier est complet car mail incorrect</t>
        </r>
      </text>
    </comment>
    <comment ref="B675" authorId="1" shapeId="0">
      <text>
        <r>
          <rPr>
            <b/>
            <sz val="9"/>
            <color indexed="81"/>
            <rFont val="Tahoma"/>
            <family val="2"/>
          </rPr>
          <t>Moi:</t>
        </r>
        <r>
          <rPr>
            <sz val="9"/>
            <color indexed="81"/>
            <rFont val="Tahoma"/>
            <family val="2"/>
          </rPr>
          <t xml:space="preserve">
Besoin de confir materiel</t>
        </r>
      </text>
    </comment>
    <comment ref="A679" authorId="1" shapeId="0">
      <text>
        <r>
          <rPr>
            <b/>
            <sz val="9"/>
            <color indexed="81"/>
            <rFont val="Tahoma"/>
            <family val="2"/>
          </rPr>
          <t>Moi:</t>
        </r>
        <r>
          <rPr>
            <sz val="9"/>
            <color indexed="81"/>
            <rFont val="Tahoma"/>
            <family val="2"/>
          </rPr>
          <t xml:space="preserve">
relance 31/10/23 mail</t>
        </r>
      </text>
    </comment>
    <comment ref="A691" authorId="1" shapeId="0">
      <text>
        <r>
          <rPr>
            <b/>
            <sz val="9"/>
            <color indexed="81"/>
            <rFont val="Tahoma"/>
            <family val="2"/>
          </rPr>
          <t>Moi:</t>
        </r>
        <r>
          <rPr>
            <sz val="9"/>
            <color indexed="81"/>
            <rFont val="Tahoma"/>
            <family val="2"/>
          </rPr>
          <t xml:space="preserve">
Demande d'équivalence 10/11/23</t>
        </r>
      </text>
    </comment>
    <comment ref="S695" authorId="2" shapeId="0">
      <text>
        <r>
          <rPr>
            <b/>
            <sz val="9"/>
            <color indexed="81"/>
            <rFont val="Tahoma"/>
            <family val="2"/>
          </rPr>
          <t>Daniel:</t>
        </r>
        <r>
          <rPr>
            <sz val="9"/>
            <color indexed="81"/>
            <rFont val="Tahoma"/>
            <family val="2"/>
          </rPr>
          <t xml:space="preserve">
Bénéficiare OK par tel pur changer nom du dossier (avait mis son nom de jeune fille)</t>
        </r>
      </text>
    </comment>
    <comment ref="B704" authorId="1" shapeId="0">
      <text>
        <r>
          <rPr>
            <b/>
            <sz val="9"/>
            <color indexed="81"/>
            <rFont val="Tahoma"/>
            <family val="2"/>
          </rPr>
          <t>Moi:</t>
        </r>
        <r>
          <rPr>
            <sz val="9"/>
            <color indexed="81"/>
            <rFont val="Tahoma"/>
            <family val="2"/>
          </rPr>
          <t xml:space="preserve">
Mesage vocal 13/12 pour voir si c'est pas une faute de frappe ou compréhension</t>
        </r>
      </text>
    </comment>
  </commentList>
</comments>
</file>

<file path=xl/comments2.xml><?xml version="1.0" encoding="utf-8"?>
<comments xmlns="http://schemas.openxmlformats.org/spreadsheetml/2006/main">
  <authors>
    <author>Benoit PETITCOLAS</author>
  </authors>
  <commentList>
    <comment ref="B2" authorId="0" shapeId="0">
      <text>
        <r>
          <rPr>
            <b/>
            <sz val="9"/>
            <color indexed="81"/>
            <rFont val="Tahoma"/>
            <family val="2"/>
          </rPr>
          <t>Actualiser</t>
        </r>
      </text>
    </comment>
  </commentList>
</comments>
</file>

<file path=xl/sharedStrings.xml><?xml version="1.0" encoding="utf-8"?>
<sst xmlns="http://schemas.openxmlformats.org/spreadsheetml/2006/main" count="20487" uniqueCount="3596">
  <si>
    <t>dossier avec point à éclaircir</t>
  </si>
  <si>
    <t>dossier terminé</t>
  </si>
  <si>
    <t>dossier non éligible</t>
  </si>
  <si>
    <t>CIE referent</t>
  </si>
  <si>
    <t>montant d'aide</t>
  </si>
  <si>
    <t>dossier recu</t>
  </si>
  <si>
    <t>dossier incomplet (option)</t>
  </si>
  <si>
    <t>dossier incomplet pieces complementaires (option)</t>
  </si>
  <si>
    <t>dossier complet</t>
  </si>
  <si>
    <t>transfert dossier complet epci</t>
  </si>
  <si>
    <t>facture recu</t>
  </si>
  <si>
    <t>date de facture</t>
  </si>
  <si>
    <t>facture incomplet (option)</t>
  </si>
  <si>
    <t>facture complet demandeur</t>
  </si>
  <si>
    <t>transfert facture facture complet epci</t>
  </si>
  <si>
    <t>Envoi compta pour paiement</t>
  </si>
  <si>
    <t>dossier non eligible</t>
  </si>
  <si>
    <t>rmq si non eligible</t>
  </si>
  <si>
    <t>nb de pers</t>
  </si>
  <si>
    <t>RFR</t>
  </si>
  <si>
    <t>adresse voie</t>
  </si>
  <si>
    <t>adresse CP</t>
  </si>
  <si>
    <t>adresse ville</t>
  </si>
  <si>
    <t>statut PO/PB</t>
  </si>
  <si>
    <t>adresse logement si PB
numero</t>
  </si>
  <si>
    <t>adresse logement si PB
voie</t>
  </si>
  <si>
    <t>adresse logement si PB
CP</t>
  </si>
  <si>
    <t>adresse logement si PB
ville</t>
  </si>
  <si>
    <t>entreprise nom</t>
  </si>
  <si>
    <t>entreprise commune</t>
  </si>
  <si>
    <t>entreprise signataire</t>
  </si>
  <si>
    <t>entreprise mail</t>
  </si>
  <si>
    <t>entreprise tel</t>
  </si>
  <si>
    <t>entreprise sous-traitance pose (Nom)</t>
  </si>
  <si>
    <t>installateur signataire de la charte</t>
  </si>
  <si>
    <t>Date de fin RGE de l'installateur</t>
  </si>
  <si>
    <t>appareil ancien type</t>
  </si>
  <si>
    <t>appareil ancien annee acquisition</t>
  </si>
  <si>
    <t>type</t>
  </si>
  <si>
    <t>combustible</t>
  </si>
  <si>
    <t>marque</t>
  </si>
  <si>
    <t>modele</t>
  </si>
  <si>
    <t>poussieres</t>
  </si>
  <si>
    <t>puissance</t>
  </si>
  <si>
    <t>rendement</t>
  </si>
  <si>
    <t>CO</t>
  </si>
  <si>
    <t>FV ou registre</t>
  </si>
  <si>
    <t>cout appareil</t>
  </si>
  <si>
    <t>cout fourniture</t>
  </si>
  <si>
    <t>cout tubage</t>
  </si>
  <si>
    <t>cout main œuvre</t>
  </si>
  <si>
    <t>cout total HT</t>
  </si>
  <si>
    <t>cout TVA</t>
  </si>
  <si>
    <t>cout total TTC</t>
  </si>
  <si>
    <t>ok pour communication</t>
  </si>
  <si>
    <t>invit ateliers bonnes pratiques papier</t>
  </si>
  <si>
    <t>ateliers bonnes pratiques</t>
  </si>
  <si>
    <t>Dispositif / Année comptable
Rempli par Daniel</t>
  </si>
  <si>
    <t>Année facturation AGEDEN (dossier validé stade demande initial)
Rempli par Daniel</t>
  </si>
  <si>
    <t xml:space="preserve"> maj (oui)
non maj (non)</t>
  </si>
  <si>
    <t>Envoi kit</t>
  </si>
  <si>
    <t>Envoi questionnaire satisfaction</t>
  </si>
  <si>
    <t>DC / EBL</t>
  </si>
  <si>
    <t>VRB0001</t>
  </si>
  <si>
    <t>reception email ou courrier</t>
  </si>
  <si>
    <t>envoi email "bonne reception" au demandeur</t>
  </si>
  <si>
    <t>envoi email "dossier incomplet" au demandeur</t>
  </si>
  <si>
    <t>remarques si incomplet</t>
  </si>
  <si>
    <t>envoi email "dossier complet" au demandeur</t>
  </si>
  <si>
    <t>envoi email CPV (BD + RIB scanné en PJ)</t>
  </si>
  <si>
    <t>date de reception email ou courrier</t>
  </si>
  <si>
    <t>date de facturation</t>
  </si>
  <si>
    <t>remarques si incomplet, puis date lorsque complet</t>
  </si>
  <si>
    <t>envoi email "transfert facture" au demandeur</t>
  </si>
  <si>
    <t>envoi email (facture scannée en PJ)</t>
  </si>
  <si>
    <t>envoi email "dossier non eligible" au demandeur</t>
  </si>
  <si>
    <t>-</t>
  </si>
  <si>
    <t>Identique à l'annuaire RGE</t>
  </si>
  <si>
    <t>valeur en mg/Nm3(sinon en %)</t>
  </si>
  <si>
    <t>FV7 ou registre</t>
  </si>
  <si>
    <t>Par défautTVA à 5,5%</t>
  </si>
  <si>
    <t>Montant devis</t>
  </si>
  <si>
    <t>Montant Facture</t>
  </si>
  <si>
    <t>Oui / Non / NC</t>
  </si>
  <si>
    <t>REGION 2020 - 2021
FOND PROPRE 2020
ADEME 2021 - 2022 - …</t>
  </si>
  <si>
    <t>Année concernée ou refusé phase initiale</t>
  </si>
  <si>
    <t>EBL</t>
  </si>
  <si>
    <t>Adresse RIB (relance mail le 21/02/20)-nouvelle relance le 19/06/20 - dernière relance le 16/11/20</t>
  </si>
  <si>
    <t>Dossiers imcomplet malgré plusieurs relance</t>
  </si>
  <si>
    <t>Rue du Charron</t>
  </si>
  <si>
    <t>MASSIEU</t>
  </si>
  <si>
    <t>PO</t>
  </si>
  <si>
    <t>SAS CARRE</t>
  </si>
  <si>
    <t>LE PONT DE BEAUVOISIN</t>
  </si>
  <si>
    <t>CARRE François</t>
  </si>
  <si>
    <t>f.carre@carre-f.com</t>
  </si>
  <si>
    <t>04 76 37 03 50</t>
  </si>
  <si>
    <t xml:space="preserve">oui  </t>
  </si>
  <si>
    <t>granulé</t>
  </si>
  <si>
    <t>PALAZZETTI</t>
  </si>
  <si>
    <t>ANNA 12 PRO 3</t>
  </si>
  <si>
    <t>FV7</t>
  </si>
  <si>
    <t>oui</t>
  </si>
  <si>
    <t>NC</t>
  </si>
  <si>
    <t>VRB0002</t>
  </si>
  <si>
    <t>Adresse RIB (relance mail le 21/02/20-RIB recu en 06/20 toujours sans adresse-message tel le 03/07/20)- dernière relance 16/11/20-ok le 30/11/20</t>
  </si>
  <si>
    <t>Bascule vers V</t>
  </si>
  <si>
    <t xml:space="preserve">Impasse des Jonquilles </t>
  </si>
  <si>
    <t>VOIRON</t>
  </si>
  <si>
    <t>FRALOR POELES ET CUISINERES PASSION</t>
  </si>
  <si>
    <t>LIBER Jean-Christophe</t>
  </si>
  <si>
    <t>jlc.services@orange.fr</t>
  </si>
  <si>
    <t>04 76 07 14 61</t>
  </si>
  <si>
    <t>MCZ</t>
  </si>
  <si>
    <t>HALO UP!</t>
  </si>
  <si>
    <t>non</t>
  </si>
  <si>
    <t>VRB0003</t>
  </si>
  <si>
    <t>Appareil non FV (Changement d'appareil 30/06)</t>
  </si>
  <si>
    <t>Lotissement le Bois du Four</t>
  </si>
  <si>
    <t>MOIRANS</t>
  </si>
  <si>
    <t>SARL DUO CHEMINEES</t>
  </si>
  <si>
    <t>SAINT EGREVE</t>
  </si>
  <si>
    <t>DIDIER Jean-Christophe</t>
  </si>
  <si>
    <t>jcduo@orange.fr</t>
  </si>
  <si>
    <t>MORETTI</t>
  </si>
  <si>
    <t>SLOT GLASS A10</t>
  </si>
  <si>
    <t>registre</t>
  </si>
  <si>
    <t>VRB0004</t>
  </si>
  <si>
    <t>Manque lettre de sollicitation+avis d'imposition+justificatif de residence+devis+rib+photo+questionnaire - dernière relance 16/11/20</t>
  </si>
  <si>
    <t>Le Grand Chemin</t>
  </si>
  <si>
    <t>VOUREY</t>
  </si>
  <si>
    <t>VRB0005</t>
  </si>
  <si>
    <t>Manque RIB bonne adresse+photo plan large (ok le 02/07)+poële non FV7*(demande équivalence le 08/06 - Changement model poêle le 15/06)</t>
  </si>
  <si>
    <t>Route du Gros Bois</t>
  </si>
  <si>
    <t>LA BUISSE</t>
  </si>
  <si>
    <t>SARL FLAMME ISEROISE</t>
  </si>
  <si>
    <t>BOURGOIN JALLIEU</t>
  </si>
  <si>
    <t>TROUBA</t>
  </si>
  <si>
    <t>flammeiseroise38300@orange.fr</t>
  </si>
  <si>
    <t>&lt;1996</t>
  </si>
  <si>
    <t>BARBAS</t>
  </si>
  <si>
    <t>BOX 70</t>
  </si>
  <si>
    <t>REGION 2020</t>
  </si>
  <si>
    <t>non maj</t>
  </si>
  <si>
    <t>Oui</t>
  </si>
  <si>
    <t>VRB0006</t>
  </si>
  <si>
    <t>Manque Photo(ok) + Appareil non FV(ok)+Installateur non signataire(ok)</t>
  </si>
  <si>
    <t>Route de Saint-Pierre</t>
  </si>
  <si>
    <t>VILLAGES DU LAC DE PALADRU</t>
  </si>
  <si>
    <t>OLIGER France</t>
  </si>
  <si>
    <t>SAINT LOUIS</t>
  </si>
  <si>
    <t>FREMONT Vincent</t>
  </si>
  <si>
    <t>vf.enr74@gmail.com</t>
  </si>
  <si>
    <t>OLIGER</t>
  </si>
  <si>
    <t>Alphastar FALS-BO</t>
  </si>
  <si>
    <t>maj</t>
  </si>
  <si>
    <t>VRB0007</t>
  </si>
  <si>
    <t>Manque Avis d'imposition (ok le 02/07)</t>
  </si>
  <si>
    <t>Chemin des Vignes</t>
  </si>
  <si>
    <t>RIVES</t>
  </si>
  <si>
    <t>ATRE DECORATION</t>
  </si>
  <si>
    <t>SAINT ALBAN DE ROCHE</t>
  </si>
  <si>
    <t>TORRES Kevin</t>
  </si>
  <si>
    <t>commercial-godin@orange.fr</t>
  </si>
  <si>
    <t>GODIN</t>
  </si>
  <si>
    <t>VRB0008</t>
  </si>
  <si>
    <t>Manque Questionnaire(ok)+Lettre de sollicitation(ok)+Avis d'imposition(ok)+Taxe foncière(ok)+RIB(ok) (relance le 01/09/20)</t>
  </si>
  <si>
    <t>Route de la Garangère</t>
  </si>
  <si>
    <t>CHIRENS</t>
  </si>
  <si>
    <t>JACQU'CHEMINEES</t>
  </si>
  <si>
    <t>FAURE Jacques</t>
  </si>
  <si>
    <t>jacques.faure24@wanadoo.fr</t>
  </si>
  <si>
    <t>&lt;2002</t>
  </si>
  <si>
    <t>FONTE FLAMME</t>
  </si>
  <si>
    <t>CURL 8</t>
  </si>
  <si>
    <t>VRB0009</t>
  </si>
  <si>
    <t>Demande équivalence (08/06)- Réponse négative du fabricant le 10/07</t>
  </si>
  <si>
    <t>Appareil non FV7*</t>
  </si>
  <si>
    <t>Route des Rivoires</t>
  </si>
  <si>
    <t>MONTE AMS</t>
  </si>
  <si>
    <t>VRB0010</t>
  </si>
  <si>
    <t>Manque RIB Bonne Adresse (ok le 10/06)</t>
  </si>
  <si>
    <t>Manque attestation fin de travaux+CERFA+photo</t>
  </si>
  <si>
    <t>Lotissement le Pin</t>
  </si>
  <si>
    <t>LA MURETTE</t>
  </si>
  <si>
    <t>TECHNI NATURE</t>
  </si>
  <si>
    <t>PIERRE Emmanuel</t>
  </si>
  <si>
    <t>voiron@techni-nature.com</t>
  </si>
  <si>
    <t>INOVALP</t>
  </si>
  <si>
    <t>HOBEN H7</t>
  </si>
  <si>
    <t>VRB0011</t>
  </si>
  <si>
    <t>Manque devis (ok 09/06)</t>
  </si>
  <si>
    <t>Impasse du Mas de Chantaret</t>
  </si>
  <si>
    <t>BILIEU</t>
  </si>
  <si>
    <t>LORFLAM</t>
  </si>
  <si>
    <t>XP54-BOX</t>
  </si>
  <si>
    <t>VRB0012</t>
  </si>
  <si>
    <t>Manque Devis + RIB bonne adresse (ok le 30/06)</t>
  </si>
  <si>
    <t>Mention acquittée (ok le 18/01/21)</t>
  </si>
  <si>
    <t>Route du Fays</t>
  </si>
  <si>
    <t>REAUMONT</t>
  </si>
  <si>
    <t>WATT&amp;HOME</t>
  </si>
  <si>
    <t>TULLINS</t>
  </si>
  <si>
    <t>MOREY Thomas</t>
  </si>
  <si>
    <t>thomas.morey@wattethome.com</t>
  </si>
  <si>
    <t>ECOFIRE JULIE 9 PRO 2</t>
  </si>
  <si>
    <t>VRB0013</t>
  </si>
  <si>
    <t>Appareil non FV (ok le 15/07)</t>
  </si>
  <si>
    <t>Route de Ture</t>
  </si>
  <si>
    <t>SAINT AUPRE</t>
  </si>
  <si>
    <t>PASSION FLAMME</t>
  </si>
  <si>
    <t>DURANTON Patrick</t>
  </si>
  <si>
    <t>patrickduranton@passionflamme.fr</t>
  </si>
  <si>
    <t>&lt;1990</t>
  </si>
  <si>
    <t>NOBIS</t>
  </si>
  <si>
    <t>A9V ZENITH</t>
  </si>
  <si>
    <t>VRB0014</t>
  </si>
  <si>
    <t>Manque Avis d'imposition (ok)</t>
  </si>
  <si>
    <t>Route du Plan</t>
  </si>
  <si>
    <t>CHARNECLES</t>
  </si>
  <si>
    <t>BOIS SOLEIL CHAUFFAGE SARL</t>
  </si>
  <si>
    <t>GILLET Pascal</t>
  </si>
  <si>
    <t>bois-soleil.chauffage@orange.fr</t>
  </si>
  <si>
    <t>ILD</t>
  </si>
  <si>
    <t>ILD13</t>
  </si>
  <si>
    <t>VRB0015</t>
  </si>
  <si>
    <t>Montée du Cellier</t>
  </si>
  <si>
    <t>HAMAIN Jérémie</t>
  </si>
  <si>
    <t>godin-grenoble@orange.fr</t>
  </si>
  <si>
    <t>SKIA DESIGN</t>
  </si>
  <si>
    <t>Classique Fusion - 11</t>
  </si>
  <si>
    <t>VRB0016</t>
  </si>
  <si>
    <t>Route René Impériale</t>
  </si>
  <si>
    <t>VRB0017</t>
  </si>
  <si>
    <t>Manque n° de téléphone(ok) + Avis d'imposition (ok)</t>
  </si>
  <si>
    <t>Route de la Croix Blanche</t>
  </si>
  <si>
    <t>&lt;2000</t>
  </si>
  <si>
    <t>ECO FIRE BIANCA 12</t>
  </si>
  <si>
    <t>VRB0018</t>
  </si>
  <si>
    <t>Manque la mention acquitté+attestation de destruction(ok)</t>
  </si>
  <si>
    <t>Route de Merlas</t>
  </si>
  <si>
    <t>SAINT BUEIL</t>
  </si>
  <si>
    <t>A10 COMPACT GLASS</t>
  </si>
  <si>
    <t>VRB0019</t>
  </si>
  <si>
    <t>Manque derniere page taxe foncière (ok)</t>
  </si>
  <si>
    <t>Route du Sabot</t>
  </si>
  <si>
    <t>AMY</t>
  </si>
  <si>
    <t>VRB0020</t>
  </si>
  <si>
    <t>Manque Avis d'impot (ok) + Taxe fonciere (ok) + Devis (ok)+ RIB(ok) + photo (ok)</t>
  </si>
  <si>
    <t>Route des Pierres Blanches</t>
  </si>
  <si>
    <t>HASE LA BOUTIQUE</t>
  </si>
  <si>
    <t>GRATIER Pascal</t>
  </si>
  <si>
    <t>grenoble@hase-boutique.fr</t>
  </si>
  <si>
    <t>HASE</t>
  </si>
  <si>
    <t>LIMA C16</t>
  </si>
  <si>
    <t>VRB0021</t>
  </si>
  <si>
    <t>Manque date et signature sur la demande (ok)</t>
  </si>
  <si>
    <t>Rue Victor Hugo</t>
  </si>
  <si>
    <t>DICK GEURTS par FONTE FLAMME</t>
  </si>
  <si>
    <t>IVAR 8</t>
  </si>
  <si>
    <t>VRB0022</t>
  </si>
  <si>
    <t>Route des Chevalier de l'An Mil</t>
  </si>
  <si>
    <t>MONTFERRAT</t>
  </si>
  <si>
    <t>ELDORA</t>
  </si>
  <si>
    <t>VRB0023</t>
  </si>
  <si>
    <t>Rue Des Amandiers</t>
  </si>
  <si>
    <t>VOREPPE</t>
  </si>
  <si>
    <t>SARL PAB</t>
  </si>
  <si>
    <t>SAINT ANDRE LE GAZ</t>
  </si>
  <si>
    <t>AILLOUD Jérôme</t>
  </si>
  <si>
    <t>sarlpab@orange.fr</t>
  </si>
  <si>
    <t>ADURO</t>
  </si>
  <si>
    <t>H1</t>
  </si>
  <si>
    <t>VRB0024</t>
  </si>
  <si>
    <t>Route du Ri d'Olon</t>
  </si>
  <si>
    <t>contact@fer-et-feu.fr</t>
  </si>
  <si>
    <t>RIKA</t>
  </si>
  <si>
    <t>CORSO</t>
  </si>
  <si>
    <t>VRB0025</t>
  </si>
  <si>
    <t>Route du Grand Vivier</t>
  </si>
  <si>
    <t>HOBEN H9</t>
  </si>
  <si>
    <t>VRB0026</t>
  </si>
  <si>
    <t>Avis d'imposition+dernière page taxe fonciere</t>
  </si>
  <si>
    <t>Route de St jean</t>
  </si>
  <si>
    <t>COUBLEVIE</t>
  </si>
  <si>
    <t>ESPACE CONFORT VOIRONNAIS</t>
  </si>
  <si>
    <t>SIMON Frédéric</t>
  </si>
  <si>
    <t>contact@ecvoiron.fr</t>
  </si>
  <si>
    <t>EVA S</t>
  </si>
  <si>
    <t>VRB0027</t>
  </si>
  <si>
    <t>Lettre de sollicitation(ok)+RIB(ok)+Photo(ok)</t>
  </si>
  <si>
    <t>Manque photo(ok)+attestation fin de travaux+date facture message tel le 11/09(ok)</t>
  </si>
  <si>
    <t>Route des Allé</t>
  </si>
  <si>
    <t>LE PIN</t>
  </si>
  <si>
    <t>ECOFIRE LIA 8KW</t>
  </si>
  <si>
    <t>VRB0028</t>
  </si>
  <si>
    <t>Lettre de sollicitation(ok)+derniere page taxe fonciere(ok)+photo plan large(ok)+rib(ok)</t>
  </si>
  <si>
    <t>Rue Louis Neel</t>
  </si>
  <si>
    <t>ENERLOGIS</t>
  </si>
  <si>
    <t>CHALLES LES EAUX</t>
  </si>
  <si>
    <t>MICHEL Patrick</t>
  </si>
  <si>
    <t>enerlogis@orange.fr</t>
  </si>
  <si>
    <t>TERMATECH</t>
  </si>
  <si>
    <t>TT80</t>
  </si>
  <si>
    <t>VRB0029</t>
  </si>
  <si>
    <t>Lotissement de la Grande Sure</t>
  </si>
  <si>
    <t>CONTURA</t>
  </si>
  <si>
    <t>C800STYLE</t>
  </si>
  <si>
    <t>VRB0030</t>
  </si>
  <si>
    <t>photo de l'appareil en fonctionnement et/ou photo du tubage(ok)</t>
  </si>
  <si>
    <t>Avenue André Malraux</t>
  </si>
  <si>
    <t>THERMOROSSI</t>
  </si>
  <si>
    <t>Pellet AIR 11</t>
  </si>
  <si>
    <t>VRB0031</t>
  </si>
  <si>
    <t xml:space="preserve">Manque derniere page taxe foncière </t>
  </si>
  <si>
    <t>Manque attestation de destruction (ok le 12/11/21)</t>
  </si>
  <si>
    <t>Chemin Château Vieux</t>
  </si>
  <si>
    <t>ALO</t>
  </si>
  <si>
    <t>cheminees.jay@orange.fr</t>
  </si>
  <si>
    <t>TURBO FONTE</t>
  </si>
  <si>
    <t>MABLY</t>
  </si>
  <si>
    <t>VRB0032</t>
  </si>
  <si>
    <t>pb RIB</t>
  </si>
  <si>
    <t>Route de Perrier</t>
  </si>
  <si>
    <t>ISSOIRE</t>
  </si>
  <si>
    <t>Rue de la Charouze le Haut</t>
  </si>
  <si>
    <t>JOTUM</t>
  </si>
  <si>
    <t>C 24</t>
  </si>
  <si>
    <t>VRB0033</t>
  </si>
  <si>
    <t>Adresse RIB (ok)+installateur non signataire(ok)</t>
  </si>
  <si>
    <t>Chemin de la Plaine de Fures</t>
  </si>
  <si>
    <t>GLENAT PÈRE ET FILS</t>
  </si>
  <si>
    <t>GLENAT</t>
  </si>
  <si>
    <t>sarl.glenat@wanadoo.fr</t>
  </si>
  <si>
    <t>AXIS</t>
  </si>
  <si>
    <t>PO1000SF</t>
  </si>
  <si>
    <t>VRB0034</t>
  </si>
  <si>
    <t>CLUB AIR-2016UP</t>
  </si>
  <si>
    <t>VRB0035</t>
  </si>
  <si>
    <t>Attestation fin de travaux non signée + Date facture(ok le 11/12/20)</t>
  </si>
  <si>
    <t>Michel</t>
  </si>
  <si>
    <t>Chemin de l'Etang de Mai Saint Jean de Chepy</t>
  </si>
  <si>
    <t>A8 WOOD</t>
  </si>
  <si>
    <t>VRB0036</t>
  </si>
  <si>
    <t>Lotissement du Mas</t>
  </si>
  <si>
    <t>FIFTI</t>
  </si>
  <si>
    <t>VRB0037</t>
  </si>
  <si>
    <t>RIB a la bonne adresse+la destination du bien+photo en plan large (ok)</t>
  </si>
  <si>
    <t>Route de la Libération</t>
  </si>
  <si>
    <t>SAINT MARTIN OSMONVILLE SAINT SAENS</t>
  </si>
  <si>
    <t>Impasse du Paradon, Le Gay</t>
  </si>
  <si>
    <t>SAINT JEAN DE MOIRANS</t>
  </si>
  <si>
    <t>F.E.M. SYNERGIE</t>
  </si>
  <si>
    <t>SAINT BONNET DE MURE</t>
  </si>
  <si>
    <t>BROSSARD Marie</t>
  </si>
  <si>
    <t>marie-brossard@femsynergie.fr</t>
  </si>
  <si>
    <t>PIAZZETTA</t>
  </si>
  <si>
    <t>P934</t>
  </si>
  <si>
    <t>VRB0038</t>
  </si>
  <si>
    <t>Route du Grand rocher, 4 l'Orée du Bois</t>
  </si>
  <si>
    <t>SAINT ETIENNE DE CROSSEY</t>
  </si>
  <si>
    <t>JOLLY MEC</t>
  </si>
  <si>
    <t>Botero 2 kW</t>
  </si>
  <si>
    <t>VRB0039</t>
  </si>
  <si>
    <t>manque RIB</t>
  </si>
  <si>
    <t>Chemin de l'Etang</t>
  </si>
  <si>
    <t>HOBEN H6 Horizon</t>
  </si>
  <si>
    <t>VRB0040</t>
  </si>
  <si>
    <t>Rue Beauvillage</t>
  </si>
  <si>
    <t>JOTUL</t>
  </si>
  <si>
    <t>F166</t>
  </si>
  <si>
    <t>VRB0041</t>
  </si>
  <si>
    <t>Route des Galbits</t>
  </si>
  <si>
    <t>Managa</t>
  </si>
  <si>
    <t>VRB0042</t>
  </si>
  <si>
    <t>Chemin de Bavonne</t>
  </si>
  <si>
    <t>Ecofire Anna 12 US</t>
  </si>
  <si>
    <t>VRB0043</t>
  </si>
  <si>
    <t>Manque adresse RIB(ok)</t>
  </si>
  <si>
    <t>Manque photo (ok)</t>
  </si>
  <si>
    <t>Route de la Croze</t>
  </si>
  <si>
    <t>AUSTROFLAMM</t>
  </si>
  <si>
    <t>80x64 SII</t>
  </si>
  <si>
    <t>VRB0044</t>
  </si>
  <si>
    <t>Chemin du Petit Souillet</t>
  </si>
  <si>
    <t>LACUNZA</t>
  </si>
  <si>
    <t>ETNA 7T</t>
  </si>
  <si>
    <t>VRB0045</t>
  </si>
  <si>
    <t>Rue Victor Cassien</t>
  </si>
  <si>
    <t>JAZZ CV4</t>
  </si>
  <si>
    <t>VRB0046</t>
  </si>
  <si>
    <t>Manque mention acquitée + Signature attestation (ok le 02/02/21)</t>
  </si>
  <si>
    <t>Chemin de l'Eslinard</t>
  </si>
  <si>
    <t>SERPOLET BIDAUD SAS</t>
  </si>
  <si>
    <t>AUDOUARD</t>
  </si>
  <si>
    <t>accueil@sbidaud.fr</t>
  </si>
  <si>
    <t>WINDHAGER</t>
  </si>
  <si>
    <t>BioWIN 2</t>
  </si>
  <si>
    <t>VRB0047</t>
  </si>
  <si>
    <t>Rue de l'Orgeoise</t>
  </si>
  <si>
    <t>VISION 775-10K</t>
  </si>
  <si>
    <t>VRB0048</t>
  </si>
  <si>
    <t>Chemin de la Tour</t>
  </si>
  <si>
    <t>PYLA</t>
  </si>
  <si>
    <t>VRB0049</t>
  </si>
  <si>
    <t>Route du Chanin</t>
  </si>
  <si>
    <t>388131 ELIOT</t>
  </si>
  <si>
    <t>VRB0050</t>
  </si>
  <si>
    <t>EGO AIR-2016 UP!</t>
  </si>
  <si>
    <t>VRB0051</t>
  </si>
  <si>
    <t>manque dernière page taxe foncière - relance le 16/11/20-relance le 14/01/21 (ok le 26/01/21)</t>
  </si>
  <si>
    <t>Facture antérieur a l'arrêté</t>
  </si>
  <si>
    <t>Route du Col</t>
  </si>
  <si>
    <t>LA SURE EN CHARTREUSE</t>
  </si>
  <si>
    <t>PB</t>
  </si>
  <si>
    <t>JAZZ 7kW</t>
  </si>
  <si>
    <t>VRB0052</t>
  </si>
  <si>
    <t>Chemin des Espinas</t>
  </si>
  <si>
    <t>VRB0053</t>
  </si>
  <si>
    <t>manque lettre de sollicitation (ok)</t>
  </si>
  <si>
    <t>Chemin des Mairies</t>
  </si>
  <si>
    <t>VRB0054</t>
  </si>
  <si>
    <t>Route des Allées</t>
  </si>
  <si>
    <t>ALBY-ECO</t>
  </si>
  <si>
    <t>EYBENS</t>
  </si>
  <si>
    <t>M.BICKERT</t>
  </si>
  <si>
    <t>alby-eco@sfr.fr</t>
  </si>
  <si>
    <t>Botero 2 10kW</t>
  </si>
  <si>
    <t>VRB0055</t>
  </si>
  <si>
    <t>Chemin du Clapier</t>
  </si>
  <si>
    <t>KLOVER</t>
  </si>
  <si>
    <t>SOFT 80 (S8K)</t>
  </si>
  <si>
    <t>VRB0056</t>
  </si>
  <si>
    <t>photo en plan large (ok)</t>
  </si>
  <si>
    <t>Rue Principale</t>
  </si>
  <si>
    <t>CHARAVINES</t>
  </si>
  <si>
    <t>VRB0057</t>
  </si>
  <si>
    <t>Rue Adolphe Chatin</t>
  </si>
  <si>
    <t>LOOP</t>
  </si>
  <si>
    <t>VRB0058</t>
  </si>
  <si>
    <t>Ancien appareil datant de 2015</t>
  </si>
  <si>
    <t>Route de la Couratière</t>
  </si>
  <si>
    <t>HOBEN H5</t>
  </si>
  <si>
    <t>VRB0059</t>
  </si>
  <si>
    <t>Appareil non flamme verte (relance Maelenn le 14/01/21)- ok</t>
  </si>
  <si>
    <t>Route de Grenoble, 117 Résidence du Stade</t>
  </si>
  <si>
    <t>OCTAVE Pierre Ollaire</t>
  </si>
  <si>
    <t>VRB0060</t>
  </si>
  <si>
    <t>Hors CAPV</t>
  </si>
  <si>
    <t>Le Grand Chenevey</t>
  </si>
  <si>
    <t>SAINT PIERRE D'ENTREMONT</t>
  </si>
  <si>
    <t>SARL TECNIC Services</t>
  </si>
  <si>
    <t>SAINT BALDOPHE</t>
  </si>
  <si>
    <t>M.POMIN</t>
  </si>
  <si>
    <t>tecnicservices@yahoo.fr</t>
  </si>
  <si>
    <t>SILINDA</t>
  </si>
  <si>
    <t>VRB0061</t>
  </si>
  <si>
    <t>Manque formulaire de demande(ok)+Questionnaire(ok)+Avis d'imposition complet(ok)+justificatif de propriété complet(ok)+Devis complet(ok)+rib(ok)</t>
  </si>
  <si>
    <t>Allée du Château</t>
  </si>
  <si>
    <t>HWAM / WIKING</t>
  </si>
  <si>
    <t>MIRO 2</t>
  </si>
  <si>
    <t>VRB0062</t>
  </si>
  <si>
    <t>Chemin des Grands Champs</t>
  </si>
  <si>
    <t>VISION 775-10KW</t>
  </si>
  <si>
    <t>VRB0063</t>
  </si>
  <si>
    <t>Rue de la Ferronniere</t>
  </si>
  <si>
    <t>HOBEN 9</t>
  </si>
  <si>
    <t>VRB0064</t>
  </si>
  <si>
    <t>Chemin des Coches</t>
  </si>
  <si>
    <t>CHARNWOOD</t>
  </si>
  <si>
    <t>BAYBX</t>
  </si>
  <si>
    <t>VRB0065</t>
  </si>
  <si>
    <t>Chemin Cote Bayard</t>
  </si>
  <si>
    <t>MESA</t>
  </si>
  <si>
    <t>VRB0066</t>
  </si>
  <si>
    <t>Chemin de Chabons</t>
  </si>
  <si>
    <t>WANDERS</t>
  </si>
  <si>
    <t>S68 FRONT</t>
  </si>
  <si>
    <t>VRB0067</t>
  </si>
  <si>
    <t>Travaux déjà réalisé</t>
  </si>
  <si>
    <t>Chemin Vert</t>
  </si>
  <si>
    <t>363101 ECO</t>
  </si>
  <si>
    <t>VRB0068</t>
  </si>
  <si>
    <t>Lotissement le Petit bois</t>
  </si>
  <si>
    <t>NESS France</t>
  </si>
  <si>
    <t>LES AVENIERES</t>
  </si>
  <si>
    <t>M.NESTORI</t>
  </si>
  <si>
    <t>nessfrance38@hotmail.fr</t>
  </si>
  <si>
    <t>INVICTA</t>
  </si>
  <si>
    <t>Foyer 600 GA</t>
  </si>
  <si>
    <t>VRB0069</t>
  </si>
  <si>
    <t>Manque facture+attestation+photo</t>
  </si>
  <si>
    <t>Route de Voiron</t>
  </si>
  <si>
    <t>CADEL (KAROO)</t>
  </si>
  <si>
    <t>SHELL 3 (R9C)</t>
  </si>
  <si>
    <t>VRB0070</t>
  </si>
  <si>
    <t>Photo en fonctionnement (ok)</t>
  </si>
  <si>
    <t>Facture acquittée. Reçu le 12/01/2022</t>
  </si>
  <si>
    <t>Route de la Gare</t>
  </si>
  <si>
    <t>RELAX 8</t>
  </si>
  <si>
    <t>VRB0071</t>
  </si>
  <si>
    <t>Chemin de Monteuils</t>
  </si>
  <si>
    <t>VRB0072</t>
  </si>
  <si>
    <t>Route du Rivier</t>
  </si>
  <si>
    <t>SAINT BLAISE DU BUIS</t>
  </si>
  <si>
    <t>MUSA AIR UP</t>
  </si>
  <si>
    <t>VRB0073</t>
  </si>
  <si>
    <t>Manque mention acquittée sur la facture</t>
  </si>
  <si>
    <t>Les Horizons 1</t>
  </si>
  <si>
    <t>VRB0074</t>
  </si>
  <si>
    <t>Route des Sources</t>
  </si>
  <si>
    <t>ERGONOMIC GLASS C11</t>
  </si>
  <si>
    <t>VRB0075</t>
  </si>
  <si>
    <t>Impasse du Cellier</t>
  </si>
  <si>
    <t>SELF CLIMAT MORVAN</t>
  </si>
  <si>
    <t>Vision R</t>
  </si>
  <si>
    <t>VRB0076</t>
  </si>
  <si>
    <t>Route du Grand Velanne</t>
  </si>
  <si>
    <t>VELANNE</t>
  </si>
  <si>
    <t>Ecofire Anna 12</t>
  </si>
  <si>
    <t>VRB0077</t>
  </si>
  <si>
    <t>Manque facture (ok le 26/01/21)</t>
  </si>
  <si>
    <t>Rue du Lavoir Criel</t>
  </si>
  <si>
    <t>VRB0078</t>
  </si>
  <si>
    <t>manque dernière page taxe foncière+adresse RIB</t>
  </si>
  <si>
    <t>Chemin de Vieron</t>
  </si>
  <si>
    <t>VISION 700-8K</t>
  </si>
  <si>
    <t>VRB0079</t>
  </si>
  <si>
    <t>Champ de la Cour</t>
  </si>
  <si>
    <t>VRB0080</t>
  </si>
  <si>
    <t>Manque mention acquittée (ok le 15/04/21)</t>
  </si>
  <si>
    <t>Route de la Haute Véronnière</t>
  </si>
  <si>
    <t>ROMOTOP</t>
  </si>
  <si>
    <t>ALEA</t>
  </si>
  <si>
    <t>VRB0081</t>
  </si>
  <si>
    <t>Manque mention acquittée (ok le 18/01/21)</t>
  </si>
  <si>
    <t>Impasse Major</t>
  </si>
  <si>
    <t>VOISSANT</t>
  </si>
  <si>
    <t>FIREPLACE</t>
  </si>
  <si>
    <t>ALICANTE Pierre Ollaire</t>
  </si>
  <si>
    <t>VRB0082</t>
  </si>
  <si>
    <t>Manque année d'acquisition + photo plan large (relance le 15/04/21 &amp; le 16/07/21) A cloturer début aout si pas de réponse</t>
  </si>
  <si>
    <t>Dossier incomplet malgré plusieurs relances</t>
  </si>
  <si>
    <t>Impasse de la Truitière</t>
  </si>
  <si>
    <t>KBANE</t>
  </si>
  <si>
    <t>MARQUETTE LEZ LILLE</t>
  </si>
  <si>
    <t>CUNAUD Bertrand</t>
  </si>
  <si>
    <t>HALO AIR 8 M1</t>
  </si>
  <si>
    <t>VRB0083</t>
  </si>
  <si>
    <t>Manque adresse RIB + photo-ok le 10/12/20</t>
  </si>
  <si>
    <t>Chemin des Mulets</t>
  </si>
  <si>
    <t>STREAM CONFORT AIR 12 M1</t>
  </si>
  <si>
    <t>VRB0084</t>
  </si>
  <si>
    <t>Rue du Charrat</t>
  </si>
  <si>
    <t>ELISEO 700 EFFICIENS</t>
  </si>
  <si>
    <t>VRB0085</t>
  </si>
  <si>
    <t>Manque Facture acquittée</t>
  </si>
  <si>
    <t>Route de la Grangère</t>
  </si>
  <si>
    <t>A70</t>
  </si>
  <si>
    <t>VRB0086</t>
  </si>
  <si>
    <t>Route des Planchettes</t>
  </si>
  <si>
    <t>ANNA ECOFIRE US</t>
  </si>
  <si>
    <t>VRB0087</t>
  </si>
  <si>
    <t>Chemin de Bois Rayer</t>
  </si>
  <si>
    <t>SOFT 80</t>
  </si>
  <si>
    <t>VRB0088</t>
  </si>
  <si>
    <t>Avenue Gambetta</t>
  </si>
  <si>
    <t>ECLIPSE</t>
  </si>
  <si>
    <t>VRB0089</t>
  </si>
  <si>
    <t>EGO AIR 8M1</t>
  </si>
  <si>
    <t>VRB0090</t>
  </si>
  <si>
    <t>Manque adresse RIB (ok)</t>
  </si>
  <si>
    <t>Route de la Ture</t>
  </si>
  <si>
    <t>NAVIA G</t>
  </si>
  <si>
    <t>VRB0091</t>
  </si>
  <si>
    <t>Manque adresse RIB + justif de domicile(ok le 26/01/21)</t>
  </si>
  <si>
    <t>Facture acquittée (ok le 7/3)</t>
  </si>
  <si>
    <t>Route du Camet</t>
  </si>
  <si>
    <t>SEGUIN</t>
  </si>
  <si>
    <t>EUROPA 7 EVO</t>
  </si>
  <si>
    <t>VRB0092</t>
  </si>
  <si>
    <t>Installataire non signataire (relance le 15/04/21-ok le 16/04/21)</t>
  </si>
  <si>
    <t>CAPV ok</t>
  </si>
  <si>
    <t>Route de la Revollière</t>
  </si>
  <si>
    <t>FELLER CHAUFFAGE</t>
  </si>
  <si>
    <t>FELLER Dominique</t>
  </si>
  <si>
    <t>fellerchauffage@orange.fr</t>
  </si>
  <si>
    <t>LA NORDICA</t>
  </si>
  <si>
    <t>ISETTA Con CERCHI EVO</t>
  </si>
  <si>
    <t>VRB0093</t>
  </si>
  <si>
    <t>Chemin des Sources</t>
  </si>
  <si>
    <t>SAINT CASSIEN</t>
  </si>
  <si>
    <t>63x40x42S</t>
  </si>
  <si>
    <t>VRB0094</t>
  </si>
  <si>
    <t>Chemin de Farnoussière</t>
  </si>
  <si>
    <t>BOTERO 2 10KW</t>
  </si>
  <si>
    <t>VRB0095</t>
  </si>
  <si>
    <t>Route du Val d'Ainan</t>
  </si>
  <si>
    <t>Soft80</t>
  </si>
  <si>
    <t>VRB0096</t>
  </si>
  <si>
    <t>Photo en plan large (ok le 20/01/21)</t>
  </si>
  <si>
    <t>Chemin du Grifond</t>
  </si>
  <si>
    <t>ECOFIRE BIANCA 12</t>
  </si>
  <si>
    <t>VRB0097</t>
  </si>
  <si>
    <t>Route du Pont du Jour</t>
  </si>
  <si>
    <t>ILD12</t>
  </si>
  <si>
    <t>VRB0098</t>
  </si>
  <si>
    <t>Impasse Jean Mermoz</t>
  </si>
  <si>
    <t>SILA</t>
  </si>
  <si>
    <t>VRB0099</t>
  </si>
  <si>
    <t>Justif domicile au nom d'une SCI(ok)</t>
  </si>
  <si>
    <t>Chemin du Champ de l'Orme</t>
  </si>
  <si>
    <t>F400 ECO</t>
  </si>
  <si>
    <t>VRB0100</t>
  </si>
  <si>
    <t>Justif domicile&amp;Devis illisible+Manque adresse RIB(ok)</t>
  </si>
  <si>
    <t>Route de du Picard</t>
  </si>
  <si>
    <t>VRB0101</t>
  </si>
  <si>
    <t>Chemin de Bouleaux</t>
  </si>
  <si>
    <t>ASTREA 888 ULTRA L</t>
  </si>
  <si>
    <t>VRB0102</t>
  </si>
  <si>
    <t>Dossier V648Travaux déjà réalisé (Olivier ok)</t>
  </si>
  <si>
    <t>VRB0103</t>
  </si>
  <si>
    <t>Rue Cure et Bennes</t>
  </si>
  <si>
    <t>NARA</t>
  </si>
  <si>
    <t>VRB0104</t>
  </si>
  <si>
    <t>Manque RIB (26/01/21)</t>
  </si>
  <si>
    <t>Chemin du Mollard</t>
  </si>
  <si>
    <t>VISI 75-F</t>
  </si>
  <si>
    <t>VRB0105</t>
  </si>
  <si>
    <t>Route de St Jean</t>
  </si>
  <si>
    <t>VISION 775 10K</t>
  </si>
  <si>
    <t>VRB0106</t>
  </si>
  <si>
    <t>Manque questionnaire+dernieres pages impots + derniere page taxe (ok le 26/01/21)</t>
  </si>
  <si>
    <t>Chemin de la Grande Sure</t>
  </si>
  <si>
    <t>VRB0107</t>
  </si>
  <si>
    <t>Manque adresse RIB (ok le 27/01/21)</t>
  </si>
  <si>
    <t>Manque page 2 de la facture</t>
  </si>
  <si>
    <t>Chemin du Pont Gros</t>
  </si>
  <si>
    <t>ECOFIRE BIANCA LUX 12 PRO 3</t>
  </si>
  <si>
    <t>VRB0108</t>
  </si>
  <si>
    <t>Chemin de l'Ermitage</t>
  </si>
  <si>
    <t>POP8</t>
  </si>
  <si>
    <t>VRB0109</t>
  </si>
  <si>
    <t>Photo plan large et en fonctionnement (ok le 02/02/21)</t>
  </si>
  <si>
    <t>Rue Beaudelaire</t>
  </si>
  <si>
    <t>VRB0110</t>
  </si>
  <si>
    <t>Manque questionnaire (ok le 8/02/21)</t>
  </si>
  <si>
    <t>Montée du Preynat</t>
  </si>
  <si>
    <t>MIRO 4</t>
  </si>
  <si>
    <t>VRB0111</t>
  </si>
  <si>
    <t>Appareil retiré du registre en janvier 2021 (relancé le 15/04/21 &amp; le 16/07/21 à cloturer le 01/08/21 si pas de réponse)</t>
  </si>
  <si>
    <t>Avenue de Stalingrad</t>
  </si>
  <si>
    <t>VRB0112</t>
  </si>
  <si>
    <t>Manque adresse RIB (ok le 09/02/21)</t>
  </si>
  <si>
    <t>Mention acquitté (ok)</t>
  </si>
  <si>
    <t>Route de la Mérie</t>
  </si>
  <si>
    <t>VRB0113</t>
  </si>
  <si>
    <t>Manque mention acquitée</t>
  </si>
  <si>
    <t>Route de Chartreuse Lotissement le Fagot</t>
  </si>
  <si>
    <t>&lt;2001</t>
  </si>
  <si>
    <t>VRB0114</t>
  </si>
  <si>
    <t>Manque page devis+Questionnaire</t>
  </si>
  <si>
    <t>Manque mention acquitée+photo+attestation (relancé le 16/07/21)(ok)</t>
  </si>
  <si>
    <t>Chemin du Regardou de l'Agnelas</t>
  </si>
  <si>
    <t>OvalisT</t>
  </si>
  <si>
    <t>VRB0115</t>
  </si>
  <si>
    <t>Appareil non flamme verte (ok) + Installateur non signataire(ok)+ Adresse RIB(ok)</t>
  </si>
  <si>
    <t>Manque attestations (ok sauf déchetterie) + photo (ok)</t>
  </si>
  <si>
    <t>RAMONAGE TUBAGE PROS</t>
  </si>
  <si>
    <t>SAINT JEAN DE BOURNAY</t>
  </si>
  <si>
    <t>RAVET Eric</t>
  </si>
  <si>
    <t>aucoindufeu38@gmail.com</t>
  </si>
  <si>
    <t>PARO</t>
  </si>
  <si>
    <t>VRB0116</t>
  </si>
  <si>
    <t>Manque dernière page taxe foncière (ok le 4/3/21)</t>
  </si>
  <si>
    <t>Avenue de la Patinière</t>
  </si>
  <si>
    <t>MAGGIE COMFORT</t>
  </si>
  <si>
    <t>VRB0117</t>
  </si>
  <si>
    <t>Manque mention acquittée (ok)</t>
  </si>
  <si>
    <t>Route de Grosset</t>
  </si>
  <si>
    <t>SAINT GEOIRE EN VALDAINE</t>
  </si>
  <si>
    <t>A10 C PLUS ZENITH</t>
  </si>
  <si>
    <t>VRB0118</t>
  </si>
  <si>
    <t>Manque photo plan large + attestation de fin de travaux</t>
  </si>
  <si>
    <t>Rue Grolandières</t>
  </si>
  <si>
    <t>THERMI CONFORT</t>
  </si>
  <si>
    <t>LATERAL GAUCHE ENERGIA</t>
  </si>
  <si>
    <t>VRB0119</t>
  </si>
  <si>
    <t>Manque Lettre+Avis impot+justif domicile+devis+RIB+photo(ok)</t>
  </si>
  <si>
    <t>Pierre</t>
  </si>
  <si>
    <t>Route de Mongolfier</t>
  </si>
  <si>
    <t>JAZZ L CV</t>
  </si>
  <si>
    <t>VRB0120</t>
  </si>
  <si>
    <t>NORDPEIS</t>
  </si>
  <si>
    <t>QUADRO 1</t>
  </si>
  <si>
    <t>VRB0121</t>
  </si>
  <si>
    <t>Année installation du poele+Derniere page taxe foncières</t>
  </si>
  <si>
    <t>Poêle supp à 2002</t>
  </si>
  <si>
    <t>Rue Boileau</t>
  </si>
  <si>
    <t>&gt;2002</t>
  </si>
  <si>
    <t>FILO RAO</t>
  </si>
  <si>
    <t>VRB0122</t>
  </si>
  <si>
    <t>Dernière page taxe foncière (ok)</t>
  </si>
  <si>
    <t>Lotissement des Primevères</t>
  </si>
  <si>
    <t>LONA</t>
  </si>
  <si>
    <t>VRB0123</t>
  </si>
  <si>
    <t>Photo en plan large (ok)</t>
  </si>
  <si>
    <t>Rue de la Caserne</t>
  </si>
  <si>
    <t>ECOFIRE Marianne</t>
  </si>
  <si>
    <t>VRB0124</t>
  </si>
  <si>
    <t>Avenue d'Haussez</t>
  </si>
  <si>
    <t>ECOPALEX 88T</t>
  </si>
  <si>
    <t>VRB0125</t>
  </si>
  <si>
    <t>Rue du Grand Arbre</t>
  </si>
  <si>
    <t>STROMBOLI N</t>
  </si>
  <si>
    <t>VRB0126</t>
  </si>
  <si>
    <t>Chemin du Parc</t>
  </si>
  <si>
    <t>MAGMA</t>
  </si>
  <si>
    <t>VRB0127</t>
  </si>
  <si>
    <t>POELESGRANULES.FR - BIO BELLEDONNES GRANULES</t>
  </si>
  <si>
    <t>GONCELIN</t>
  </si>
  <si>
    <t>ZELUS Jean-Pierre</t>
  </si>
  <si>
    <t>voglans@poelesgranules.fr</t>
  </si>
  <si>
    <t>EDILKAMIN</t>
  </si>
  <si>
    <t>EVIA 2</t>
  </si>
  <si>
    <t>VRB0128</t>
  </si>
  <si>
    <t>Manque dernière page taxe foncière + RIB (ok)</t>
  </si>
  <si>
    <t>Chemin de Larchat</t>
  </si>
  <si>
    <t>65x51 K/K RUND</t>
  </si>
  <si>
    <t>VRB0129</t>
  </si>
  <si>
    <t>Route de Saint  Sixte</t>
  </si>
  <si>
    <t>VRB0130</t>
  </si>
  <si>
    <t>Manque Adresse RIB (ok le 25/03/21)</t>
  </si>
  <si>
    <t>Rue Hector Berlioz</t>
  </si>
  <si>
    <t>HARMONY OPTIMA</t>
  </si>
  <si>
    <t>VRB0131</t>
  </si>
  <si>
    <t>Impasse du Clos Vert</t>
  </si>
  <si>
    <t>VRB0132</t>
  </si>
  <si>
    <t>PIERRE</t>
  </si>
  <si>
    <t>Chemin des Charrières</t>
  </si>
  <si>
    <t>ATRE ET LOISIRS SARL</t>
  </si>
  <si>
    <t>SAINT MARTIN D'HERES</t>
  </si>
  <si>
    <t>GABORIT Sabin</t>
  </si>
  <si>
    <t>adv@atre-loisirs.fr</t>
  </si>
  <si>
    <t>TULIKIVI</t>
  </si>
  <si>
    <t>JOKKA</t>
  </si>
  <si>
    <t>VRB0133</t>
  </si>
  <si>
    <t>BOMBAY</t>
  </si>
  <si>
    <t>VRB0134</t>
  </si>
  <si>
    <t>Manque attestation de destruction (ok)</t>
  </si>
  <si>
    <t>Route de Chanay</t>
  </si>
  <si>
    <t>VRB0135</t>
  </si>
  <si>
    <t>Route de la cascade</t>
  </si>
  <si>
    <t>DOMO RAO</t>
  </si>
  <si>
    <t>VRB0136</t>
  </si>
  <si>
    <t>Le clos du paradis</t>
  </si>
  <si>
    <t>1000P</t>
  </si>
  <si>
    <t>VRB0137</t>
  </si>
  <si>
    <t>Route du Cerveloup</t>
  </si>
  <si>
    <t>VRB0138</t>
  </si>
  <si>
    <t>Manque dernière page taxe foncière (ok le 25/03/21)</t>
  </si>
  <si>
    <t>Rue Alfred Musset</t>
  </si>
  <si>
    <t>OVALIS G Accum</t>
  </si>
  <si>
    <t>VRB0139</t>
  </si>
  <si>
    <t>Chemin de la Morge</t>
  </si>
  <si>
    <t>VRB0140</t>
  </si>
  <si>
    <t>Manque adresse RIB (ok le 29/03/21)</t>
  </si>
  <si>
    <t xml:space="preserve">Route du Grand Rocher </t>
  </si>
  <si>
    <t>VRB0141</t>
  </si>
  <si>
    <t>Manque adresse RIB (ok le 01/04/21)</t>
  </si>
  <si>
    <t>Impasse des Vignes</t>
  </si>
  <si>
    <t>VRB0142</t>
  </si>
  <si>
    <t>Manque attestation &amp; Mention acquitée(ok)</t>
  </si>
  <si>
    <t>Route de Vers Ars</t>
  </si>
  <si>
    <t>AVIZ ENERGIE</t>
  </si>
  <si>
    <t>MEYRIE</t>
  </si>
  <si>
    <t>QUAY THEVENON Thierry</t>
  </si>
  <si>
    <t>bureau@avizenergie.fr</t>
  </si>
  <si>
    <t>RAY CONFORT AIR</t>
  </si>
  <si>
    <t>VRB0143</t>
  </si>
  <si>
    <t>Montée de Champe</t>
  </si>
  <si>
    <t>VIDAR WALL</t>
  </si>
  <si>
    <t>VRB0144</t>
  </si>
  <si>
    <t>Manque questionnaire (ok le 01/04/21)</t>
  </si>
  <si>
    <t>Montée de l'Enclos du Château</t>
  </si>
  <si>
    <t>LAREDO F</t>
  </si>
  <si>
    <t>VRB0145</t>
  </si>
  <si>
    <t>Rue du Dauphiné</t>
  </si>
  <si>
    <t>SARL ALAIN TODESCHINI</t>
  </si>
  <si>
    <t>RENAGE</t>
  </si>
  <si>
    <t>TODESCHINI Alain</t>
  </si>
  <si>
    <t>todeschini@orange.fr</t>
  </si>
  <si>
    <t>ARTENSE</t>
  </si>
  <si>
    <t>KIANO 4</t>
  </si>
  <si>
    <t>VRB0146</t>
  </si>
  <si>
    <t>Chemin du Bret</t>
  </si>
  <si>
    <t>SOLARFOCUS</t>
  </si>
  <si>
    <t>ECOTOP 15</t>
  </si>
  <si>
    <t>VRB0147</t>
  </si>
  <si>
    <t>Chemin du Bernardin</t>
  </si>
  <si>
    <t>VRB0148</t>
  </si>
  <si>
    <t>Manque Questionnaire + Devis (ok le 02/04/21)</t>
  </si>
  <si>
    <t>Chemin du Lavoir</t>
  </si>
  <si>
    <t>ILD 13</t>
  </si>
  <si>
    <t>VRB0149</t>
  </si>
  <si>
    <t>Artisan non signataire(ok 01/04/21)</t>
  </si>
  <si>
    <t>attestation fin de travaux (ok)</t>
  </si>
  <si>
    <t>Rue du Moulin</t>
  </si>
  <si>
    <t>GERENTE PAQUET HERVE</t>
  </si>
  <si>
    <t>SAINT LAURENT DU PONT</t>
  </si>
  <si>
    <t>GERENTE PAQUET Hervé</t>
  </si>
  <si>
    <t>expertise.ramonage.paquet@gmail.com</t>
  </si>
  <si>
    <t>HARK</t>
  </si>
  <si>
    <t>HARK98 ECOPLUS</t>
  </si>
  <si>
    <t>VRB0150</t>
  </si>
  <si>
    <t>Rue de l'Isère</t>
  </si>
  <si>
    <t>VRB0151</t>
  </si>
  <si>
    <t>Manque dernière page taxe foncière (ok)</t>
  </si>
  <si>
    <t>Chemin de Vir Fourche</t>
  </si>
  <si>
    <t>IVAR 5</t>
  </si>
  <si>
    <t>VRB0152</t>
  </si>
  <si>
    <t>Rue de la Moyroude</t>
  </si>
  <si>
    <t>PADUA</t>
  </si>
  <si>
    <t>VRB0153</t>
  </si>
  <si>
    <t>Mauvais justificatif de domicile (ok)</t>
  </si>
  <si>
    <t>Rue du Janin</t>
  </si>
  <si>
    <t>ARC HABITAT</t>
  </si>
  <si>
    <t>TENCIN</t>
  </si>
  <si>
    <t>BRUNO Pascal</t>
  </si>
  <si>
    <t>pascal.brn@gmail.com</t>
  </si>
  <si>
    <t>VRB0154</t>
  </si>
  <si>
    <t>Rue de la Procession</t>
  </si>
  <si>
    <t>VRB0155</t>
  </si>
  <si>
    <t>Chemin des Combes</t>
  </si>
  <si>
    <t>infos38@atre-loisirs.fr</t>
  </si>
  <si>
    <t>F360 ADVANCE</t>
  </si>
  <si>
    <t>VRB0156</t>
  </si>
  <si>
    <t>Route de Montmartel</t>
  </si>
  <si>
    <t>VRB0157</t>
  </si>
  <si>
    <t>Manque avis d'imposition 2020+Acte notarié (ok le 16/04/21)</t>
  </si>
  <si>
    <t>Rue du Pomarin</t>
  </si>
  <si>
    <t>FREEPOINT</t>
  </si>
  <si>
    <t>VEGA</t>
  </si>
  <si>
    <t>VRB0158</t>
  </si>
  <si>
    <t>Rue des Ecureuils</t>
  </si>
  <si>
    <t>P963T</t>
  </si>
  <si>
    <t>VRB0159</t>
  </si>
  <si>
    <t>Manque questionnaire (ok le 19/04/21)</t>
  </si>
  <si>
    <t>Rue Louvasset</t>
  </si>
  <si>
    <t>VRB0160</t>
  </si>
  <si>
    <t>Manque adresse RIB+photo en plan large (ok le 19/04/21)</t>
  </si>
  <si>
    <t>Chemin du Pansu</t>
  </si>
  <si>
    <t>DOVRE</t>
  </si>
  <si>
    <t>VRB0161</t>
  </si>
  <si>
    <t>Manque dernière page taxe fonçière+RGE expiré + appareil non flamme verte (ok)</t>
  </si>
  <si>
    <t>Accord CAPV</t>
  </si>
  <si>
    <t>Dossier incomplet mais travaux réalisé (mail du 06/07/2021 puis dérog accepté</t>
  </si>
  <si>
    <t>Lotissement Les Jardins du Centre</t>
  </si>
  <si>
    <t>CHEMINEE GODIN</t>
  </si>
  <si>
    <t>757 SR</t>
  </si>
  <si>
    <t>VRB0162</t>
  </si>
  <si>
    <t>Manque page 3 devis (ok)</t>
  </si>
  <si>
    <t>Route de Saint Nicolas de Macherin La Nouvellière</t>
  </si>
  <si>
    <t>MERLAS</t>
  </si>
  <si>
    <t>ALP'ISO RENOV</t>
  </si>
  <si>
    <t>ECHIROLLES</t>
  </si>
  <si>
    <t>HUGUENIN Guillaume</t>
  </si>
  <si>
    <t>contact@alpisorenov.fr</t>
  </si>
  <si>
    <t>BRONPI</t>
  </si>
  <si>
    <t>TUDELA</t>
  </si>
  <si>
    <t>VRB0163</t>
  </si>
  <si>
    <t>Chemin de la Mearie</t>
  </si>
  <si>
    <t>L'ATRE DAUPHINOIS</t>
  </si>
  <si>
    <t>SAINT ETIENNE DE SAINT GEOIR</t>
  </si>
  <si>
    <t>GUILLAUD SAUMUR</t>
  </si>
  <si>
    <t>latredauphinois@gmail.com</t>
  </si>
  <si>
    <t>RAVELLI</t>
  </si>
  <si>
    <t>S90</t>
  </si>
  <si>
    <t>VRB0164</t>
  </si>
  <si>
    <t>CALCIAS</t>
  </si>
  <si>
    <t>VRB0165</t>
  </si>
  <si>
    <t xml:space="preserve"> Lotissement Domaine de Merlière</t>
  </si>
  <si>
    <t>ONA</t>
  </si>
  <si>
    <t>VRB0166</t>
  </si>
  <si>
    <t>Pas d'ancien appareil</t>
  </si>
  <si>
    <t>Rouet de la Grangère</t>
  </si>
  <si>
    <t>LA GLACE ET LE FEU</t>
  </si>
  <si>
    <t>GRENOBLE</t>
  </si>
  <si>
    <t>JACQUET</t>
  </si>
  <si>
    <t>laglaceetlefeu38@gmail.com</t>
  </si>
  <si>
    <t>PANADERO</t>
  </si>
  <si>
    <t>ECODESIGN</t>
  </si>
  <si>
    <t>VRB0167</t>
  </si>
  <si>
    <t>Chemin du Molard</t>
  </si>
  <si>
    <t>RIANO</t>
  </si>
  <si>
    <t>VRB0168</t>
  </si>
  <si>
    <t>Installataire non signataire (ok)</t>
  </si>
  <si>
    <t>Route de Trefond</t>
  </si>
  <si>
    <t xml:space="preserve">non </t>
  </si>
  <si>
    <t>STUV</t>
  </si>
  <si>
    <t>STUV 30</t>
  </si>
  <si>
    <t>VRB0169</t>
  </si>
  <si>
    <t>Impasse Plan et Oacarie</t>
  </si>
  <si>
    <t>VRB0170</t>
  </si>
  <si>
    <t>Route de Sanissard</t>
  </si>
  <si>
    <t>ALP'CONFORT</t>
  </si>
  <si>
    <t>CARUANA Anthony</t>
  </si>
  <si>
    <t>contact.echirolles@alp-confort.fr</t>
  </si>
  <si>
    <t>VRB0171</t>
  </si>
  <si>
    <t>Descente du Pavé</t>
  </si>
  <si>
    <t>VRB0172</t>
  </si>
  <si>
    <t>Rue de la Lieure</t>
  </si>
  <si>
    <t>MO Duo</t>
  </si>
  <si>
    <t>VRB0173</t>
  </si>
  <si>
    <t>45x51 KII</t>
  </si>
  <si>
    <t>VRB0174</t>
  </si>
  <si>
    <t>Chemin du Pont de Bessey</t>
  </si>
  <si>
    <t>VRB0175</t>
  </si>
  <si>
    <t>Chemin de Saint Jean de Chepy 1 Lot La Grange des Prés</t>
  </si>
  <si>
    <t>JESS XTRA</t>
  </si>
  <si>
    <t>VRB0176</t>
  </si>
  <si>
    <t>Manque taxe foncière 2020 (ok)+ preuve d'un ancien appareil de chauffage au bois(ok)</t>
  </si>
  <si>
    <t>Route du Paris Lieu dit Coche</t>
  </si>
  <si>
    <t>VRB0177</t>
  </si>
  <si>
    <t>Route des 3 Fontaines</t>
  </si>
  <si>
    <t>VRB0178</t>
  </si>
  <si>
    <t>Installataire non signataire (ok) + Adresse RIB (Voir Paul)</t>
  </si>
  <si>
    <t>Dossier incomplet depuis plus de 6 mois</t>
  </si>
  <si>
    <t>Route du Village</t>
  </si>
  <si>
    <t>EURL PUR'TECH</t>
  </si>
  <si>
    <t>CORBAS</t>
  </si>
  <si>
    <t>BLANC Christophe</t>
  </si>
  <si>
    <t>pur-tech@sfr.fr</t>
  </si>
  <si>
    <t>HARGASSNER</t>
  </si>
  <si>
    <t>NANO PK15</t>
  </si>
  <si>
    <t>VRB0179</t>
  </si>
  <si>
    <t>Rue de Montponcon</t>
  </si>
  <si>
    <t>MAZAN</t>
  </si>
  <si>
    <t>VRB0180</t>
  </si>
  <si>
    <t>Route de la Freydière</t>
  </si>
  <si>
    <t>OFEN SP2</t>
  </si>
  <si>
    <t>VRB0181</t>
  </si>
  <si>
    <t>Manque RIB</t>
  </si>
  <si>
    <t>Route des Ailloudières</t>
  </si>
  <si>
    <t>775-10K</t>
  </si>
  <si>
    <t>VRB0182</t>
  </si>
  <si>
    <t>Manque page 2 Taxe Fonciere + Appareil non FV7 (a refusé car Austroflamm fait une réduc de 600€)</t>
  </si>
  <si>
    <t>Chemin des Granges</t>
  </si>
  <si>
    <t>Polly Light</t>
  </si>
  <si>
    <t>VRB0183</t>
  </si>
  <si>
    <t>Lotissement des Voutes</t>
  </si>
  <si>
    <t>CHEMINEE CATTARINA Turbo Fonte</t>
  </si>
  <si>
    <t>CATTARINA Kevin</t>
  </si>
  <si>
    <t>kevincd@hotmail.fr</t>
  </si>
  <si>
    <t>JAZZ</t>
  </si>
  <si>
    <t>VRB0184</t>
  </si>
  <si>
    <t>Rue des Tilleuls</t>
  </si>
  <si>
    <t>VRB0185</t>
  </si>
  <si>
    <t>Route de Mercuel</t>
  </si>
  <si>
    <t>Soft 80</t>
  </si>
  <si>
    <t>VRB0186</t>
  </si>
  <si>
    <t>Impasse des Mélèzes</t>
  </si>
  <si>
    <t>Suite AIR 10 UP</t>
  </si>
  <si>
    <t>VRB0187</t>
  </si>
  <si>
    <t>Rue de la Chevalerie</t>
  </si>
  <si>
    <t>VRB0188</t>
  </si>
  <si>
    <t>Manque page 2 Taxe Fonciere (ok)</t>
  </si>
  <si>
    <t>Rue de Cuchet</t>
  </si>
  <si>
    <t>CODY</t>
  </si>
  <si>
    <t>VRB0189</t>
  </si>
  <si>
    <t>Route de Bresin</t>
  </si>
  <si>
    <t>ECOFIRE MARISA</t>
  </si>
  <si>
    <t>VRB0190</t>
  </si>
  <si>
    <t>Manque attestation de fin de travaux (ok)</t>
  </si>
  <si>
    <t>Rue Jean Moulin</t>
  </si>
  <si>
    <t>SUPERCHAUFF 6</t>
  </si>
  <si>
    <t>VRB0191</t>
  </si>
  <si>
    <t>Manque page 2 TF (ok)</t>
  </si>
  <si>
    <t>Chemin de Neyroud</t>
  </si>
  <si>
    <t>ECOFIRE AURORA 9 US</t>
  </si>
  <si>
    <t>VRB0192</t>
  </si>
  <si>
    <t>Lot Bellevue</t>
  </si>
  <si>
    <t>ATRA</t>
  </si>
  <si>
    <t>ATRAFLAM 16/9ème 800</t>
  </si>
  <si>
    <t>VRB0193</t>
  </si>
  <si>
    <t>Manque Questionnaire (ok)</t>
  </si>
  <si>
    <t>Chemin du Barreau</t>
  </si>
  <si>
    <t>C24</t>
  </si>
  <si>
    <t>VRB0194</t>
  </si>
  <si>
    <t>Route de Monnair</t>
  </si>
  <si>
    <t>VRB0195</t>
  </si>
  <si>
    <t>Impasse des Verchères</t>
  </si>
  <si>
    <t>VRB0196</t>
  </si>
  <si>
    <t>Route des Vials</t>
  </si>
  <si>
    <t>NICOLE</t>
  </si>
  <si>
    <t>VRB0197</t>
  </si>
  <si>
    <t>VRB0198</t>
  </si>
  <si>
    <t>Manque questionnaire</t>
  </si>
  <si>
    <t>Route du Guillermet</t>
  </si>
  <si>
    <t>ADOUR 800</t>
  </si>
  <si>
    <t>VRB0199</t>
  </si>
  <si>
    <t>Route des Maures</t>
  </si>
  <si>
    <t>VRB0200</t>
  </si>
  <si>
    <t>Manque Adresse RIB (ok)</t>
  </si>
  <si>
    <t>Manque attestation fin de travaux (ok)</t>
  </si>
  <si>
    <t>Impasse de la Pontelière</t>
  </si>
  <si>
    <t>LIA 8KW</t>
  </si>
  <si>
    <t>VRB0201</t>
  </si>
  <si>
    <t>Manque Lettre (ok)</t>
  </si>
  <si>
    <t>Route de Charavine</t>
  </si>
  <si>
    <t>VRB0202</t>
  </si>
  <si>
    <t>Manque Questionnaire+photo plan large (ok)</t>
  </si>
  <si>
    <t>Les travaux ont été réalisé avant la demande de subvention</t>
  </si>
  <si>
    <t>Route de Verchères</t>
  </si>
  <si>
    <t>COMO</t>
  </si>
  <si>
    <t>VRB0203</t>
  </si>
  <si>
    <t>Rue du Herisson</t>
  </si>
  <si>
    <t>LINDA 9 US</t>
  </si>
  <si>
    <t>VRB0204</t>
  </si>
  <si>
    <t>Route de Saint Sulpice</t>
  </si>
  <si>
    <t>VRB0205</t>
  </si>
  <si>
    <t>Chemin du Chasselard</t>
  </si>
  <si>
    <t>Vulcano 7T</t>
  </si>
  <si>
    <t>VRB0206</t>
  </si>
  <si>
    <t>Tampon facture (ok)</t>
  </si>
  <si>
    <t>Route de Voreppe</t>
  </si>
  <si>
    <t>SILA PLUS</t>
  </si>
  <si>
    <t>VRB0207</t>
  </si>
  <si>
    <t>ORANIER</t>
  </si>
  <si>
    <t>ROTA</t>
  </si>
  <si>
    <t>VRB0208</t>
  </si>
  <si>
    <t>Rue de la Magnanerie</t>
  </si>
  <si>
    <t>CLUB 2.0</t>
  </si>
  <si>
    <t>VRB0209</t>
  </si>
  <si>
    <t>Manque Avis imposition+Justif de domicile+adresse rib+photo appareil (ok)</t>
  </si>
  <si>
    <t>Rue de Beauvillage</t>
  </si>
  <si>
    <t>TM'ENTREPRISE</t>
  </si>
  <si>
    <t>DIE</t>
  </si>
  <si>
    <t>TIBERIO Marcel</t>
  </si>
  <si>
    <t>tmgranule@gmail.com</t>
  </si>
  <si>
    <t>VRB0210</t>
  </si>
  <si>
    <t>Route de la Montagne</t>
  </si>
  <si>
    <t>OVALIS T</t>
  </si>
  <si>
    <t>VRB0211</t>
  </si>
  <si>
    <t>Lotissement Les Amaryllis</t>
  </si>
  <si>
    <t>MAX BLANK</t>
  </si>
  <si>
    <t>RIO S</t>
  </si>
  <si>
    <t>VRB0212</t>
  </si>
  <si>
    <t>Manque Avis d'imposition (ne travaillais pas en France)</t>
  </si>
  <si>
    <t>Chemin de Chubins</t>
  </si>
  <si>
    <t>Flexi 9 Steel</t>
  </si>
  <si>
    <t>VRB0213</t>
  </si>
  <si>
    <t>Rouet du Boulangeat</t>
  </si>
  <si>
    <t>ECOFIRE LINDA 12 PRO 3</t>
  </si>
  <si>
    <t>VRB0214</t>
  </si>
  <si>
    <t>BEATRICE</t>
  </si>
  <si>
    <t>VRB0215</t>
  </si>
  <si>
    <t>Chemin des Chataigniers</t>
  </si>
  <si>
    <t xml:space="preserve">ILD 12 </t>
  </si>
  <si>
    <t>VRB0216</t>
  </si>
  <si>
    <t>BELLA HYDRO 15KW</t>
  </si>
  <si>
    <t>VRB0217</t>
  </si>
  <si>
    <t>Chemin des Rayettes</t>
  </si>
  <si>
    <t>RELAX 6,5</t>
  </si>
  <si>
    <t>VRB0218</t>
  </si>
  <si>
    <t>Rue de Chantarot</t>
  </si>
  <si>
    <t>IZYFLAM</t>
  </si>
  <si>
    <t>IZY Curve 90</t>
  </si>
  <si>
    <t>VRB0219</t>
  </si>
  <si>
    <t>Route de Saint-Quentin</t>
  </si>
  <si>
    <t>VRB0220</t>
  </si>
  <si>
    <t>Photo plan large + AI2021 (ok)</t>
  </si>
  <si>
    <t>Avenue  Gaston Bonnardel</t>
  </si>
  <si>
    <t>P230 SH</t>
  </si>
  <si>
    <t>VRB0221</t>
  </si>
  <si>
    <t>CHARANCIEU</t>
  </si>
  <si>
    <t>A11 V ROUND</t>
  </si>
  <si>
    <t>VRB0222</t>
  </si>
  <si>
    <t>Montée de la Rebatière</t>
  </si>
  <si>
    <t>OKOFEN</t>
  </si>
  <si>
    <t>EASYPELL 12</t>
  </si>
  <si>
    <t>VRB0223</t>
  </si>
  <si>
    <t>Route du Petit Criel</t>
  </si>
  <si>
    <t>VRB0224</t>
  </si>
  <si>
    <t>Manque attestation fin de travaux+mention acquitée</t>
  </si>
  <si>
    <t>Route du Grand Ratz</t>
  </si>
  <si>
    <t>30 CIN</t>
  </si>
  <si>
    <t>VRB0225</t>
  </si>
  <si>
    <t>Photo</t>
  </si>
  <si>
    <t>Rue du Maleyssard</t>
  </si>
  <si>
    <t>CECILE 6KW</t>
  </si>
  <si>
    <t>VRB0226</t>
  </si>
  <si>
    <t>Rue du champ de la cour - 4 lot les Vergers de la Biesse</t>
  </si>
  <si>
    <t>SOLVEIG OPTIMA</t>
  </si>
  <si>
    <t>VRB0227</t>
  </si>
  <si>
    <t>Allée de Savoie</t>
  </si>
  <si>
    <t>VRB0228</t>
  </si>
  <si>
    <t>Manque AI complet + Adresse RIB (ok le 18/8/21)</t>
  </si>
  <si>
    <t>PF921S</t>
  </si>
  <si>
    <t>VRB0229</t>
  </si>
  <si>
    <t>VRB0230</t>
  </si>
  <si>
    <t>Route du Château</t>
  </si>
  <si>
    <t xml:space="preserve">VIVO 80 PELLET </t>
  </si>
  <si>
    <t>VRB0231</t>
  </si>
  <si>
    <t>Appareil non FV7 (demande équivalence 09/09 liste FV ok)</t>
  </si>
  <si>
    <t>Route de Bilieu, Lieu dit le Travers</t>
  </si>
  <si>
    <t>J3L AGENCEMENTS</t>
  </si>
  <si>
    <t>BARGEL Jonathan</t>
  </si>
  <si>
    <t>contact@philippeisere.fr</t>
  </si>
  <si>
    <t>CHEMINEE PHILIPPE</t>
  </si>
  <si>
    <t>MARENNES</t>
  </si>
  <si>
    <t>VRB0232</t>
  </si>
  <si>
    <t>N'a pas d'appareil de chauffage à bois</t>
  </si>
  <si>
    <t>Rue de la Grande Roche</t>
  </si>
  <si>
    <t>?</t>
  </si>
  <si>
    <t>VRB0233</t>
  </si>
  <si>
    <t>Chemin des Maraichers</t>
  </si>
  <si>
    <t>MORVAN</t>
  </si>
  <si>
    <t>COOK'R</t>
  </si>
  <si>
    <t>VRB0234</t>
  </si>
  <si>
    <t>Manque attesation fin de travaux (ok)</t>
  </si>
  <si>
    <t>Route de Virieu</t>
  </si>
  <si>
    <t>A10 C LIGHT 2020</t>
  </si>
  <si>
    <t>VRB0235</t>
  </si>
  <si>
    <t>Voie des Michauds</t>
  </si>
  <si>
    <t>VRB0236</t>
  </si>
  <si>
    <t>Rue de Parmini</t>
  </si>
  <si>
    <t>KLIN CONFORT AIR 8M1</t>
  </si>
  <si>
    <t>VRB0237</t>
  </si>
  <si>
    <t>relance facture fait le 28/09/2022</t>
  </si>
  <si>
    <t>Chemin des Marais</t>
  </si>
  <si>
    <t>CHEMINEE SVCD</t>
  </si>
  <si>
    <t>VIF</t>
  </si>
  <si>
    <t>MANGIONE</t>
  </si>
  <si>
    <t>cheminees-svcd@orange.fr</t>
  </si>
  <si>
    <t>CAROLO</t>
  </si>
  <si>
    <t>VRB0238</t>
  </si>
  <si>
    <t>&gt;1990</t>
  </si>
  <si>
    <t>VRB0239</t>
  </si>
  <si>
    <t>pas d’adresse mail / appel effectué le 28/09/2022 / Facture acquittée, appel fait 08.11</t>
  </si>
  <si>
    <t>Chemin des Barlières</t>
  </si>
  <si>
    <t>VRB0240</t>
  </si>
  <si>
    <t>Chemin de Bouloun</t>
  </si>
  <si>
    <t>NANO PK12</t>
  </si>
  <si>
    <t>VRB0241</t>
  </si>
  <si>
    <t>Route du Tissage</t>
  </si>
  <si>
    <t>VRB0242</t>
  </si>
  <si>
    <t>Petit Chemin de la Cote</t>
  </si>
  <si>
    <t>EGO AIR UP</t>
  </si>
  <si>
    <t>VRB0243</t>
  </si>
  <si>
    <t>VRB0244</t>
  </si>
  <si>
    <t>Route de la Tour 2 Lot de la Charmette</t>
  </si>
  <si>
    <t>SARL ENERGIES BARD RAMONAGE</t>
  </si>
  <si>
    <t>CHAMPIER</t>
  </si>
  <si>
    <t>BARD Jérémy</t>
  </si>
  <si>
    <t>bardramonage@orange.fr</t>
  </si>
  <si>
    <t>INTERSTOVES</t>
  </si>
  <si>
    <t>ROMA</t>
  </si>
  <si>
    <t>VRB0245</t>
  </si>
  <si>
    <t>Chemin du Bouvier</t>
  </si>
  <si>
    <t>CHRONOS</t>
  </si>
  <si>
    <t>VRB0246</t>
  </si>
  <si>
    <t>Manque adresse RIB + AI 2021 (ok)</t>
  </si>
  <si>
    <t>Rue de la République</t>
  </si>
  <si>
    <t>VIDAR Triple</t>
  </si>
  <si>
    <t>VRB0247</t>
  </si>
  <si>
    <t>Manque RIB+Justif domicile (ok)</t>
  </si>
  <si>
    <t>Manque facture Acquittée (ok)</t>
  </si>
  <si>
    <t>Lotissement les Horizons 2</t>
  </si>
  <si>
    <t>NINA V2</t>
  </si>
  <si>
    <t>VRB0248</t>
  </si>
  <si>
    <t>BEATRICE 9</t>
  </si>
  <si>
    <t>VRB0249</t>
  </si>
  <si>
    <t>Clos de la Magnanerie</t>
  </si>
  <si>
    <t>VRB0250</t>
  </si>
  <si>
    <t>Manque AI du conjoint (ok ce n'est pas un conjoint et ils n'habites pas à ladresse)</t>
  </si>
  <si>
    <t>Route de Poliénas</t>
  </si>
  <si>
    <t>SUPRA</t>
  </si>
  <si>
    <t>CHLOE</t>
  </si>
  <si>
    <t>VRB0251</t>
  </si>
  <si>
    <t>Manque AI du couple+Adresse RIB (ok)</t>
  </si>
  <si>
    <t>Manque photo nouvelle installation. Ok le 30/3/22</t>
  </si>
  <si>
    <t>Chemin des Mas de Clermont</t>
  </si>
  <si>
    <t>SOFT 100</t>
  </si>
  <si>
    <t>VRB0252</t>
  </si>
  <si>
    <t>VRB0253</t>
  </si>
  <si>
    <t>Facture acquittée (ok)</t>
  </si>
  <si>
    <t>Chemin de l'Ancienne Ecole</t>
  </si>
  <si>
    <t>ARTHUR</t>
  </si>
  <si>
    <t>VRB0254</t>
  </si>
  <si>
    <t>Manque dernière page TF</t>
  </si>
  <si>
    <t>Attestation de destruction ancien appareil (ok le 16/3)</t>
  </si>
  <si>
    <t>ANTHEM 65</t>
  </si>
  <si>
    <t>VRB0255</t>
  </si>
  <si>
    <t>Chemin de la Sonnière</t>
  </si>
  <si>
    <t>VRB0256</t>
  </si>
  <si>
    <t>Chemin du Gay</t>
  </si>
  <si>
    <t>IZYTALL 80</t>
  </si>
  <si>
    <t>VRB0257</t>
  </si>
  <si>
    <t>Montée de Mattray</t>
  </si>
  <si>
    <t>CEDRUS</t>
  </si>
  <si>
    <t>VRB0258</t>
  </si>
  <si>
    <t>Chemin  des Charbonnières</t>
  </si>
  <si>
    <t>VRB0259</t>
  </si>
  <si>
    <t>La Grande Route</t>
  </si>
  <si>
    <t>VRB0260</t>
  </si>
  <si>
    <t>Manque adresse RIB + photo plan large (ok)</t>
  </si>
  <si>
    <t>TAL</t>
  </si>
  <si>
    <t>VRB0261</t>
  </si>
  <si>
    <t>Manque nom installateur (ok)</t>
  </si>
  <si>
    <t>Rue du 8 Mai 1945</t>
  </si>
  <si>
    <t>ALBAN</t>
  </si>
  <si>
    <t>VRB0262</t>
  </si>
  <si>
    <t>Chemin du Collomb</t>
  </si>
  <si>
    <t>GLOBE GLASS RELAX 6,5</t>
  </si>
  <si>
    <t>VRB0263</t>
  </si>
  <si>
    <t>Chemin des Chubins</t>
  </si>
  <si>
    <t>FiFTY sur PIED</t>
  </si>
  <si>
    <t>VRB0264</t>
  </si>
  <si>
    <t>VRB0265</t>
  </si>
  <si>
    <t>Chemin le Neme</t>
  </si>
  <si>
    <t>VRB0266</t>
  </si>
  <si>
    <t>Manque AI 2021 + Adresse RIB</t>
  </si>
  <si>
    <t>Route des Soyeux</t>
  </si>
  <si>
    <t>BRIMONT</t>
  </si>
  <si>
    <t>VRB0267</t>
  </si>
  <si>
    <t>Rue de Buisson Rond</t>
  </si>
  <si>
    <t>600-6</t>
  </si>
  <si>
    <t>VRB0268</t>
  </si>
  <si>
    <t>Montée de la Madone</t>
  </si>
  <si>
    <t>TAI55</t>
  </si>
  <si>
    <t>VRB0269</t>
  </si>
  <si>
    <t>Allée du Tissarand</t>
  </si>
  <si>
    <t>VRB0270</t>
  </si>
  <si>
    <t>VRB0271</t>
  </si>
  <si>
    <t>Manque adresse RIB+photo en plan large (la photo ok, pas le rib). Ok le 24/01/22</t>
  </si>
  <si>
    <t>Route de Cerveloup</t>
  </si>
  <si>
    <t>ELISEO 700 EFFICIENS I</t>
  </si>
  <si>
    <t>VRB0272</t>
  </si>
  <si>
    <t>SAINT SULPICE DES RIVOIRES</t>
  </si>
  <si>
    <t>BOW WB</t>
  </si>
  <si>
    <t>VRB0273</t>
  </si>
  <si>
    <t>Chemin du Ronjon</t>
  </si>
  <si>
    <t>VRB0274</t>
  </si>
  <si>
    <t>relance facture fait le 28/09/2022/ eu au tél 12/10 attend la réponse de son installateur /</t>
  </si>
  <si>
    <t>Impasse des Glycines</t>
  </si>
  <si>
    <t>ENTREPRISE CHARAT</t>
  </si>
  <si>
    <t>CHARAT Jean-Pierre</t>
  </si>
  <si>
    <t>contactprojet@orange.fr</t>
  </si>
  <si>
    <t>BECOUR</t>
  </si>
  <si>
    <t>VRB0275</t>
  </si>
  <si>
    <t>Rue des Martyrs</t>
  </si>
  <si>
    <t>VRB0276</t>
  </si>
  <si>
    <t>Manque adresse RIB + devis (ok)</t>
  </si>
  <si>
    <t>Route de Bilieu</t>
  </si>
  <si>
    <t>877 2V 2</t>
  </si>
  <si>
    <t>VRB0277</t>
  </si>
  <si>
    <t>Route de Montferrat</t>
  </si>
  <si>
    <t>CLISSON</t>
  </si>
  <si>
    <t>VRB0278</t>
  </si>
  <si>
    <t>Manque dernière page TF+appareil non FV7</t>
  </si>
  <si>
    <t>Chemin de Malossane</t>
  </si>
  <si>
    <t>KE2-S2</t>
  </si>
  <si>
    <t>VRB0279</t>
  </si>
  <si>
    <t>Chemin du Mas Clermont</t>
  </si>
  <si>
    <t>A11 V ZENITH</t>
  </si>
  <si>
    <t>Facturation AGEDEN 2022</t>
  </si>
  <si>
    <t>VRB0280</t>
  </si>
  <si>
    <t>ILAM</t>
  </si>
  <si>
    <t>VRB0281</t>
  </si>
  <si>
    <t>AURORA US</t>
  </si>
  <si>
    <t>VRB0282</t>
  </si>
  <si>
    <t>Rue du Stade</t>
  </si>
  <si>
    <t>JAZZ CV 7</t>
  </si>
  <si>
    <t>VRB0283</t>
  </si>
  <si>
    <t>Route d'Oyeu</t>
  </si>
  <si>
    <t>VRB0284</t>
  </si>
  <si>
    <t>en attente du nouveau devis. Ok le 28/2</t>
  </si>
  <si>
    <t>Facture acquittée + Photo + attestation de destruction</t>
  </si>
  <si>
    <t>Lotissement de La Bousse</t>
  </si>
  <si>
    <t>AMG</t>
  </si>
  <si>
    <t>98SUPREME10C</t>
  </si>
  <si>
    <t>VRB0285</t>
  </si>
  <si>
    <t>Travaux déjà réalisés</t>
  </si>
  <si>
    <t>Route du Petit Bois</t>
  </si>
  <si>
    <t>VIDAR TRIPLE</t>
  </si>
  <si>
    <t>VRB0286</t>
  </si>
  <si>
    <t>augmentation du délai pour faire les travaux à 2ans / Besoin de facture acquitée  21/08</t>
  </si>
  <si>
    <t>Route du Mollard</t>
  </si>
  <si>
    <t>I620</t>
  </si>
  <si>
    <t>VRB0287</t>
  </si>
  <si>
    <t>Route des Marais</t>
  </si>
  <si>
    <t>BRISACH</t>
  </si>
  <si>
    <t>LUGANO</t>
  </si>
  <si>
    <t>VRB0288</t>
  </si>
  <si>
    <t>MIRIAM 12</t>
  </si>
  <si>
    <t>VRB0289</t>
  </si>
  <si>
    <t>Chemin des Chardons</t>
  </si>
  <si>
    <t>CMG</t>
  </si>
  <si>
    <t>ATLANTIS ED</t>
  </si>
  <si>
    <t>VRB0290</t>
  </si>
  <si>
    <t>Chemin des Eymins</t>
  </si>
  <si>
    <t>SORO</t>
  </si>
  <si>
    <t>VRB0291</t>
  </si>
  <si>
    <t>ARENA W+</t>
  </si>
  <si>
    <t>VRB0292</t>
  </si>
  <si>
    <t>Attestation de destruction</t>
  </si>
  <si>
    <t>Canada Toronto</t>
  </si>
  <si>
    <t>VRB0293</t>
  </si>
  <si>
    <t>Manque attestation remplacement foyer ouvert. Ok le 3/3</t>
  </si>
  <si>
    <t>Rue Bayard</t>
  </si>
  <si>
    <t>VRB0294</t>
  </si>
  <si>
    <t>Manque adresse RIB</t>
  </si>
  <si>
    <t>Route de Veurey</t>
  </si>
  <si>
    <t>GIO AIR S1</t>
  </si>
  <si>
    <t>VRB0295</t>
  </si>
  <si>
    <t>Rue de la Bouvardière</t>
  </si>
  <si>
    <t>VRB0296</t>
  </si>
  <si>
    <t>Installateur non signataire</t>
  </si>
  <si>
    <t>Facture acquittée</t>
  </si>
  <si>
    <t>Rue Seraphin Martin</t>
  </si>
  <si>
    <t>PVG</t>
  </si>
  <si>
    <t>LINDARA60 S-LINE</t>
  </si>
  <si>
    <t>VRB0297</t>
  </si>
  <si>
    <t>BURGOS</t>
  </si>
  <si>
    <t>VRB0298</t>
  </si>
  <si>
    <t>Manque adresse RIB. Ok le 24/01/22</t>
  </si>
  <si>
    <t>Rue des Hauts Prés</t>
  </si>
  <si>
    <t xml:space="preserve">MCZ </t>
  </si>
  <si>
    <t>CLUB COMFORT AIR</t>
  </si>
  <si>
    <t>VRB0299</t>
  </si>
  <si>
    <t>Route des Allès</t>
  </si>
  <si>
    <t>BOTERO 8 KW</t>
  </si>
  <si>
    <t>VRB0300</t>
  </si>
  <si>
    <t>Manque TF + Photo (ok)</t>
  </si>
  <si>
    <t>Manque attestation fin de travaux</t>
  </si>
  <si>
    <t>Rue de la Fontaine</t>
  </si>
  <si>
    <t>Back</t>
  </si>
  <si>
    <t>VRB0301</t>
  </si>
  <si>
    <t>Manque RIB (ok)</t>
  </si>
  <si>
    <t>Le Mont</t>
  </si>
  <si>
    <t>NOVALINE par FONTE FLAMME</t>
  </si>
  <si>
    <t>Bellano</t>
  </si>
  <si>
    <t>VRB0302</t>
  </si>
  <si>
    <t xml:space="preserve"> Manque Adresse RIB (ok)</t>
  </si>
  <si>
    <t>Route de la Côte des Filles</t>
  </si>
  <si>
    <t>SCAN</t>
  </si>
  <si>
    <t>SCAN 1003</t>
  </si>
  <si>
    <t>DC</t>
  </si>
  <si>
    <t>VRB0303</t>
  </si>
  <si>
    <t>manque photo</t>
  </si>
  <si>
    <t>route des Gallandières</t>
  </si>
  <si>
    <t>ECOFIRE ANNA 12 PRO 3</t>
  </si>
  <si>
    <t>YC</t>
  </si>
  <si>
    <t>VRB0304</t>
  </si>
  <si>
    <t>Rue du Gorgeat</t>
  </si>
  <si>
    <t>VRB0305</t>
  </si>
  <si>
    <t>Lieu Dit le Gay</t>
  </si>
  <si>
    <t>A 10 V plus Zénith</t>
  </si>
  <si>
    <t>VRB0306</t>
  </si>
  <si>
    <t>Chemin de la Vernatelle Les eymins</t>
  </si>
  <si>
    <t>FARVELLI Renato</t>
  </si>
  <si>
    <t>DENIA</t>
  </si>
  <si>
    <t>Ellyps Wall Ecodesign</t>
  </si>
  <si>
    <t>VRB0307</t>
  </si>
  <si>
    <t>Chemin des Grands Champs Les massons</t>
  </si>
  <si>
    <t>CHALEUR BOIS</t>
  </si>
  <si>
    <t>CHATTE</t>
  </si>
  <si>
    <t>ROUBINET</t>
  </si>
  <si>
    <t>chaleurbois38@orange.fr</t>
  </si>
  <si>
    <t>600 style C610G</t>
  </si>
  <si>
    <t>VRB0308</t>
  </si>
  <si>
    <t>Aux Dames de Champbouquet</t>
  </si>
  <si>
    <t>CHARTREUSE PLOMBERIE CHAUFFAGE</t>
  </si>
  <si>
    <t>MORETTO</t>
  </si>
  <si>
    <t>contact@cpc38.com</t>
  </si>
  <si>
    <t>Grand Bois a clapet</t>
  </si>
  <si>
    <t>VRB0309</t>
  </si>
  <si>
    <t>Route du Bourg</t>
  </si>
  <si>
    <t>VRB0310</t>
  </si>
  <si>
    <t>Chemin de la Plaine de Tullins</t>
  </si>
  <si>
    <t>VRB0311</t>
  </si>
  <si>
    <t>Manque adresse RIB + Adresse devis</t>
  </si>
  <si>
    <t>CAMINA&amp;SCHMID</t>
  </si>
  <si>
    <t>NEO-Line 6554</t>
  </si>
  <si>
    <t>VRB0312</t>
  </si>
  <si>
    <t>Allée des Gentianes</t>
  </si>
  <si>
    <t>VRB0313</t>
  </si>
  <si>
    <t>MOCELLIN</t>
  </si>
  <si>
    <t>04 38 02 19 01</t>
  </si>
  <si>
    <t>Tavera</t>
  </si>
  <si>
    <t>Non</t>
  </si>
  <si>
    <t>VRB0314</t>
  </si>
  <si>
    <t>Techni Nature</t>
  </si>
  <si>
    <t>GAP</t>
  </si>
  <si>
    <t>09 51 09 63 43</t>
  </si>
  <si>
    <t>VRB0315</t>
  </si>
  <si>
    <t>Rue de Criel</t>
  </si>
  <si>
    <t>04 76 05 94 44</t>
  </si>
  <si>
    <t>RIKA DOMO</t>
  </si>
  <si>
    <t>Multi Air 1</t>
  </si>
  <si>
    <t>Registre</t>
  </si>
  <si>
    <t>VRB0316</t>
  </si>
  <si>
    <t>Rue du Murier</t>
  </si>
  <si>
    <t>FAURE</t>
  </si>
  <si>
    <t>jacqu.cheminees@gmail.com</t>
  </si>
  <si>
    <t>04 76 35 56 05</t>
  </si>
  <si>
    <t>Vidar Wall</t>
  </si>
  <si>
    <t>VRB0317</t>
  </si>
  <si>
    <t>Rue de Charauze le Haut</t>
  </si>
  <si>
    <t>04 76 06 36 61</t>
  </si>
  <si>
    <t>Grand Bois</t>
  </si>
  <si>
    <t>VRB0318</t>
  </si>
  <si>
    <t>Impasse du Bardonnet</t>
  </si>
  <si>
    <t>Haydee SARL</t>
  </si>
  <si>
    <t>LA TOUR DU PIN</t>
  </si>
  <si>
    <t>VALVERDE Guillaume</t>
  </si>
  <si>
    <t>hdegvalverde@gmail.com</t>
  </si>
  <si>
    <t xml:space="preserve"> </t>
  </si>
  <si>
    <t>Arthur</t>
  </si>
  <si>
    <t>EG</t>
  </si>
  <si>
    <t>VRB0319</t>
  </si>
  <si>
    <t>Route de la Caillatière</t>
  </si>
  <si>
    <t>ECOFIRE ANDRES</t>
  </si>
  <si>
    <t>VRB0320</t>
  </si>
  <si>
    <t>appareil non labélisé</t>
  </si>
  <si>
    <t>POPSTAR 10</t>
  </si>
  <si>
    <t>VRB0321</t>
  </si>
  <si>
    <t>photo en plan large</t>
  </si>
  <si>
    <t>GEORGES Josselin</t>
  </si>
  <si>
    <t>CHEMINEES GODIN</t>
  </si>
  <si>
    <t>BOISSET 8kW</t>
  </si>
  <si>
    <t>VRB0322</t>
  </si>
  <si>
    <t>mail installateur pour confirmation matériel</t>
  </si>
  <si>
    <t>demande de versement</t>
  </si>
  <si>
    <t>Route du Grand Bois</t>
  </si>
  <si>
    <t>SARL PASSION FLAMME</t>
  </si>
  <si>
    <t>LA BATIE MONTGASCON</t>
  </si>
  <si>
    <t>contact@passionflamme.fr</t>
  </si>
  <si>
    <t>04 12 04 25 25</t>
  </si>
  <si>
    <t>A10 C ROUND TOP</t>
  </si>
  <si>
    <t>0.00248</t>
  </si>
  <si>
    <t>VRB0323</t>
  </si>
  <si>
    <t>photo en plan large (ok) + RIB bonne adresse</t>
  </si>
  <si>
    <t>Chemin du Referon</t>
  </si>
  <si>
    <t>F370 ADVANCE</t>
  </si>
  <si>
    <t>VRB0324</t>
  </si>
  <si>
    <t>Impasse des Cyprès</t>
  </si>
  <si>
    <t>LIDEL</t>
  </si>
  <si>
    <t>DRU PAR FONTE FLAMME</t>
  </si>
  <si>
    <t>Fonte flamme 78 CB</t>
  </si>
  <si>
    <t>VRB0325</t>
  </si>
  <si>
    <t>Passage de Chassigneu</t>
  </si>
  <si>
    <t>Bargel</t>
  </si>
  <si>
    <t>jonathan.bargel@philippeisere.fr</t>
  </si>
  <si>
    <t>06 79 53 46 45</t>
  </si>
  <si>
    <t>Cheminées Philippe Sevrey</t>
  </si>
  <si>
    <t>VRB0326</t>
  </si>
  <si>
    <t>Route des Brosses</t>
  </si>
  <si>
    <t>Carre Francois</t>
  </si>
  <si>
    <t>Ecofire Isabel 9 US</t>
  </si>
  <si>
    <t>VRB0327</t>
  </si>
  <si>
    <t>chgt poele a fioul</t>
  </si>
  <si>
    <t>Rue des Battoirs</t>
  </si>
  <si>
    <t>VRB0328</t>
  </si>
  <si>
    <t>photo en fonctionnement</t>
  </si>
  <si>
    <t>foyer ouvert non fonctionnel</t>
  </si>
  <si>
    <t>Rue de la Tour</t>
  </si>
  <si>
    <t>DIDIER</t>
  </si>
  <si>
    <t>04 38 02 90 38</t>
  </si>
  <si>
    <t>Contura</t>
  </si>
  <si>
    <t>510 Style</t>
  </si>
  <si>
    <t>VRB0329</t>
  </si>
  <si>
    <t>Manque ftre acquittée + date sur facture (ok le 16/4/22)</t>
  </si>
  <si>
    <t>Chemin de la croix des rajans</t>
  </si>
  <si>
    <t>H6 Eclipse</t>
  </si>
  <si>
    <t>VRB0330</t>
  </si>
  <si>
    <t>Les Horizons I Cressonniere</t>
  </si>
  <si>
    <t>H7 classic droit</t>
  </si>
  <si>
    <t>VRB0331</t>
  </si>
  <si>
    <t>photo plan + large / Date sur les devis…. Ok l e31/01/22</t>
  </si>
  <si>
    <t>Chemin de l'étang Dauphin</t>
  </si>
  <si>
    <t>P158 / V19.1</t>
  </si>
  <si>
    <t>VRB0332</t>
  </si>
  <si>
    <t>Allee du Charmay</t>
  </si>
  <si>
    <t>04 79 75 09 79</t>
  </si>
  <si>
    <t>Oranier</t>
  </si>
  <si>
    <t xml:space="preserve">Polar Neo W + </t>
  </si>
  <si>
    <t>VRB0333</t>
  </si>
  <si>
    <t xml:space="preserve">Chemin de chubins </t>
  </si>
  <si>
    <t>04 37 06 45 66</t>
  </si>
  <si>
    <t>Gaia Forno</t>
  </si>
  <si>
    <t>VRB0334</t>
  </si>
  <si>
    <t>RIB + Photo</t>
  </si>
  <si>
    <t>changement de radiateurs électriques</t>
  </si>
  <si>
    <t>Impasse de la Pagere</t>
  </si>
  <si>
    <t>Refusé phase initiale</t>
  </si>
  <si>
    <t>VRB0335</t>
  </si>
  <si>
    <t>RIB</t>
  </si>
  <si>
    <t>rue Pre Joli</t>
  </si>
  <si>
    <t>ME</t>
  </si>
  <si>
    <t>VRB0336</t>
  </si>
  <si>
    <t>Lettre sollicitation (ok) + Photo (ok le 24/1/22)</t>
  </si>
  <si>
    <t>Manque photo. Ok le 24/2/22</t>
  </si>
  <si>
    <t>Allee Paul Expertion</t>
  </si>
  <si>
    <t>Oblo</t>
  </si>
  <si>
    <t>VRB0337</t>
  </si>
  <si>
    <t>Chemin  de la Haute Veronnier</t>
  </si>
  <si>
    <t>Bernard LASSALLE</t>
  </si>
  <si>
    <t>04 69 32 63 83</t>
  </si>
  <si>
    <t>Paro Pellet</t>
  </si>
  <si>
    <t>80 mg/Nm</t>
  </si>
  <si>
    <t>VRB0338</t>
  </si>
  <si>
    <t>Impasse Plan et Ocarie</t>
  </si>
  <si>
    <t>ECOFIRE BEATRICE 6</t>
  </si>
  <si>
    <t>VRB0339</t>
  </si>
  <si>
    <t>VRB0340</t>
  </si>
  <si>
    <t>Dossier incomplet depuis plus de 6 mois / Les travaux ont été démarrés avant d'avoir la notification du caractère de dossier complet. 08/06/23</t>
  </si>
  <si>
    <t>Fallanchere Lotissement du haut de salanchese</t>
  </si>
  <si>
    <t>M. CARRE</t>
  </si>
  <si>
    <t xml:space="preserve">PALAZZETTI </t>
  </si>
  <si>
    <t>ECOFIRE MARIANNE 9 KW</t>
  </si>
  <si>
    <t>VRB0341</t>
  </si>
  <si>
    <t>RIB + photo. Ok reçu le 26/1/22</t>
  </si>
  <si>
    <t>route de Montclair- 6 lotissement le CHABLIS</t>
  </si>
  <si>
    <t>DIDIER Léo</t>
  </si>
  <si>
    <t>06 77 98 83 88</t>
  </si>
  <si>
    <t xml:space="preserve"> MORETTI FIRE</t>
  </si>
  <si>
    <t>Relax 8</t>
  </si>
  <si>
    <t>SV</t>
  </si>
  <si>
    <t>VRB0342</t>
  </si>
  <si>
    <t>Pb d'adresse avec les Impots. Ok de la CAPV le 2/3/22</t>
  </si>
  <si>
    <t>Chemin diu Bois Bourget</t>
  </si>
  <si>
    <t>Ego Confort Air 10 Up</t>
  </si>
  <si>
    <t>VRB0343</t>
  </si>
  <si>
    <t>Manque 1 avis impot (3 habitants) OK</t>
  </si>
  <si>
    <t xml:space="preserve"> Route de  Ri d'Olon</t>
  </si>
  <si>
    <t>DARNAY</t>
  </si>
  <si>
    <t>VRB0344</t>
  </si>
  <si>
    <t>envoie mail installateur pour confirmation matériel</t>
  </si>
  <si>
    <t>Rue Marcel Pagnol</t>
  </si>
  <si>
    <t>MORETTI FIRE</t>
  </si>
  <si>
    <t>Slot Glass A 10</t>
  </si>
  <si>
    <t>VRB0345</t>
  </si>
  <si>
    <t>Photo en plan large</t>
  </si>
  <si>
    <t>Allée du Four Banal</t>
  </si>
  <si>
    <t>06 08 93 65 77</t>
  </si>
  <si>
    <t>CADEL</t>
  </si>
  <si>
    <t>SHELL 3 UP</t>
  </si>
  <si>
    <t>VRB0346</t>
  </si>
  <si>
    <t>Appareil n'apparait pas encore sur registre FV7*. Attendre la mise à jour. Ok vu le 24/02</t>
  </si>
  <si>
    <t>Route du Chatelard</t>
  </si>
  <si>
    <t>Baia Shoap Eco Design</t>
  </si>
  <si>
    <t>VRB0347</t>
  </si>
  <si>
    <t>Manque photo+charte pas signée+certificat pas renouvelé</t>
  </si>
  <si>
    <t>Concerne remplacement de chauffage au gaz</t>
  </si>
  <si>
    <t>SARL PAYRE</t>
  </si>
  <si>
    <t>lscramoncin@ets-payre.fr</t>
  </si>
  <si>
    <t>04 76 35 31 69</t>
  </si>
  <si>
    <t>Mesnil</t>
  </si>
  <si>
    <t>VRB0348</t>
  </si>
  <si>
    <t>Manque RIB avec adresse (ok le 17/03)</t>
  </si>
  <si>
    <t>Rue de la caserne</t>
  </si>
  <si>
    <t>Jérome AILLOUD</t>
  </si>
  <si>
    <t>EXTRAFLAME</t>
  </si>
  <si>
    <t>Souvenir Lux Evo</t>
  </si>
  <si>
    <t>VRB0349</t>
  </si>
  <si>
    <t>Chemin de bois rayé</t>
  </si>
  <si>
    <t>PALADRU</t>
  </si>
  <si>
    <t>&lt;1949</t>
  </si>
  <si>
    <t>Spirit</t>
  </si>
  <si>
    <t>VRB0350</t>
  </si>
  <si>
    <t xml:space="preserve">Manque Taxe foncière. Ok le 4/2/22              </t>
  </si>
  <si>
    <t>Rue du Grand Som</t>
  </si>
  <si>
    <t>C.Five</t>
  </si>
  <si>
    <t>VRB0351</t>
  </si>
  <si>
    <t>Attestation de fin de travaux</t>
  </si>
  <si>
    <t>04 74 43 04 11</t>
  </si>
  <si>
    <t>BOTERO 2 10 KW</t>
  </si>
  <si>
    <t>VRB0352</t>
  </si>
  <si>
    <t>AUSTROFLAMME</t>
  </si>
  <si>
    <t>Clou Confort</t>
  </si>
  <si>
    <t>VRB0353</t>
  </si>
  <si>
    <t>Devis uniquement sur pose et non sur l'achat d'un poele</t>
  </si>
  <si>
    <t>Devis uniquement sur pose (sans achat poele)</t>
  </si>
  <si>
    <t>Rue des Glaieuls</t>
  </si>
  <si>
    <t>VRB0354</t>
  </si>
  <si>
    <t>Manque photo (photo pièce vide sans ancien matériel (ok le 9/3). Mail particulier le 17/2 + rib lisible avec adresse (Ok pour le RIB le 10/2)</t>
  </si>
  <si>
    <t>Chemin des Morais la Charreliere</t>
  </si>
  <si>
    <t>Rue du Bourdon</t>
  </si>
  <si>
    <t>CAROLE</t>
  </si>
  <si>
    <t>VRB0355</t>
  </si>
  <si>
    <t>Manque RIB avec adresse. Ok le 7/2/22</t>
  </si>
  <si>
    <t>Attestation fin de travaux + destruction matériel</t>
  </si>
  <si>
    <t>Route de Palluel</t>
  </si>
  <si>
    <t>VRB0356</t>
  </si>
  <si>
    <t>ISOLATION THERMIQUE</t>
  </si>
  <si>
    <t>VRB0357</t>
  </si>
  <si>
    <t>Navia G</t>
  </si>
  <si>
    <t>VRB0358</t>
  </si>
  <si>
    <t>Lima</t>
  </si>
  <si>
    <t>VRB0359</t>
  </si>
  <si>
    <t>Le petit chemin</t>
  </si>
  <si>
    <t>Riano</t>
  </si>
  <si>
    <t>VRB0360</t>
  </si>
  <si>
    <t xml:space="preserve">  </t>
  </si>
  <si>
    <t>Rue du Haut Gayet</t>
  </si>
  <si>
    <t>Round Top A8V</t>
  </si>
  <si>
    <t>VRB0361</t>
  </si>
  <si>
    <t>VRB0362</t>
  </si>
  <si>
    <t>Artisan non signataire, appel le 14/02, dossier en attente</t>
  </si>
  <si>
    <t>installateur a déposé le bilan</t>
  </si>
  <si>
    <t>CASTORAMA GRENOBLE</t>
  </si>
  <si>
    <t>HANNACHI Firas</t>
  </si>
  <si>
    <t>menergies.hf @outlook.fr</t>
  </si>
  <si>
    <t>07 81 96 47 02</t>
  </si>
  <si>
    <t>M ENERGIE</t>
  </si>
  <si>
    <t>VRB0363</t>
  </si>
  <si>
    <t>Route du vieux chene</t>
  </si>
  <si>
    <t>Havana</t>
  </si>
  <si>
    <t>VRB0364</t>
  </si>
  <si>
    <t>Chemin du Sicaud</t>
  </si>
  <si>
    <t>ECOFIRE GINGER IDRO 12 Kw</t>
  </si>
  <si>
    <t>VRB0365</t>
  </si>
  <si>
    <t>Avenue Marie Curie</t>
  </si>
  <si>
    <t>ARBIN</t>
  </si>
  <si>
    <t>SIMON Pascal</t>
  </si>
  <si>
    <t>pascal.simon@atre-loisirs.fr</t>
  </si>
  <si>
    <t>04 79 84 25 35</t>
  </si>
  <si>
    <t>VRB0366</t>
  </si>
  <si>
    <t>Rue de la caserne le Pon</t>
  </si>
  <si>
    <t>RAY COMFORT AIR 8 UP! M1</t>
  </si>
  <si>
    <t>VRB0367</t>
  </si>
  <si>
    <t>Formulaire de demande incomplet + Photo + RIB + lettre</t>
  </si>
  <si>
    <t>AXIS - ARTENSE</t>
  </si>
  <si>
    <t>VRB0368</t>
  </si>
  <si>
    <t>Rue de l'Isere</t>
  </si>
  <si>
    <t>RELAX SAT GLASS 8</t>
  </si>
  <si>
    <t>VRB0369</t>
  </si>
  <si>
    <t>Photo plan large</t>
  </si>
  <si>
    <t>Route de l'etang d'aiguenoire</t>
  </si>
  <si>
    <t>LIDER Jean-Christohphe</t>
  </si>
  <si>
    <t>RAAM COMFORT AIR 8 S1</t>
  </si>
  <si>
    <t>VRB0370</t>
  </si>
  <si>
    <t>Formulaire de demande non complet</t>
  </si>
  <si>
    <t>Impasse st Michel</t>
  </si>
  <si>
    <t>EGO AIR 8 UP! M1</t>
  </si>
  <si>
    <t>VRB0371</t>
  </si>
  <si>
    <t>Route du grand Ratz</t>
  </si>
  <si>
    <t>EGO COMFORT AIR 10 M2</t>
  </si>
  <si>
    <t>VRB0372</t>
  </si>
  <si>
    <t>Photo plan large; Ok le 12/4</t>
  </si>
  <si>
    <t>Rue de Brandegaudiere</t>
  </si>
  <si>
    <t>PIAZZETA</t>
  </si>
  <si>
    <t>P220 SV</t>
  </si>
  <si>
    <t>VRB0373</t>
  </si>
  <si>
    <t>Ancienne installation trop récente</t>
  </si>
  <si>
    <t>Allée du Languedoc</t>
  </si>
  <si>
    <t>DIDIER Jean-Claude</t>
  </si>
  <si>
    <t>VRB0374</t>
  </si>
  <si>
    <t>TF + Photo plan large + RIB + devis</t>
  </si>
  <si>
    <t>EGO COMFORT AIR</t>
  </si>
  <si>
    <t>VRB0375</t>
  </si>
  <si>
    <t>Photo plan large (ok) + RIB (ok) + TF</t>
  </si>
  <si>
    <t>Avenue du Vercors</t>
  </si>
  <si>
    <t>SASU IGNIS DESIGN HASE LA BOUTIQUE</t>
  </si>
  <si>
    <t>BELLAVISTA R PLUS</t>
  </si>
  <si>
    <t>VRB0376</t>
  </si>
  <si>
    <t>Manque p2 du questionnaire. Ok le 27/2</t>
  </si>
  <si>
    <t>Impasse clos des vergers</t>
  </si>
  <si>
    <t>HOBEN</t>
  </si>
  <si>
    <t>VRB0377</t>
  </si>
  <si>
    <t>Manque RIB à la bonne adresse. Ok le 8/4/22</t>
  </si>
  <si>
    <t>Bis Chemin du Salamot</t>
  </si>
  <si>
    <t>Vision 775 - 10</t>
  </si>
  <si>
    <t>VRB0378</t>
  </si>
  <si>
    <t>Manque lettre de sollicitation (ok le 4/3/22)</t>
  </si>
  <si>
    <t>PHILIPPE</t>
  </si>
  <si>
    <t>Chemin de la tencon</t>
  </si>
  <si>
    <t>Ofen SP 2</t>
  </si>
  <si>
    <t>VRB0379</t>
  </si>
  <si>
    <t>Manque photo plan large; OK le 2/3/22</t>
  </si>
  <si>
    <t>Rue du Boutet</t>
  </si>
  <si>
    <t>Extraflamme</t>
  </si>
  <si>
    <t>Gabriella</t>
  </si>
  <si>
    <t>VRB0380</t>
  </si>
  <si>
    <t>Les jardins du centre</t>
  </si>
  <si>
    <t>Me Wall</t>
  </si>
  <si>
    <t>VRB0381</t>
  </si>
  <si>
    <t>Le Hameau du Garat</t>
  </si>
  <si>
    <t>Stromboli N</t>
  </si>
  <si>
    <t>VRB0382</t>
  </si>
  <si>
    <t>remplacement poêle à fioul</t>
  </si>
  <si>
    <t xml:space="preserve">Le grand chemin  </t>
  </si>
  <si>
    <t>VRB0383</t>
  </si>
  <si>
    <t>jeanpierrezelus@poelesgranules.fr</t>
  </si>
  <si>
    <t>06 22 53 64 55</t>
  </si>
  <si>
    <t>Lena Plus</t>
  </si>
  <si>
    <t>VRB0384</t>
  </si>
  <si>
    <t>dossier complet envoyé par courrier et mail à installateur</t>
  </si>
  <si>
    <t>Allée de Bel Air</t>
  </si>
  <si>
    <t>poelesetcuisinierespassion@gmail.com</t>
  </si>
  <si>
    <t>HALO AIR 8 UP! M1</t>
  </si>
  <si>
    <t>VRB0385</t>
  </si>
  <si>
    <t>Route du Mollard le pin</t>
  </si>
  <si>
    <t>FZO</t>
  </si>
  <si>
    <t>VRB0386</t>
  </si>
  <si>
    <t>photo plan large</t>
  </si>
  <si>
    <t>photo</t>
  </si>
  <si>
    <t>RAY COMFORT AIR 8 M1</t>
  </si>
  <si>
    <t>VRB0387</t>
  </si>
  <si>
    <t xml:space="preserve">Devis non complet </t>
  </si>
  <si>
    <t>Route du Mollard Rond</t>
  </si>
  <si>
    <t>LEROY MERLIN</t>
  </si>
  <si>
    <t>Mr. AILLOUD BETASSON</t>
  </si>
  <si>
    <t>LARRY BÛCHER</t>
  </si>
  <si>
    <t>VRB0388</t>
  </si>
  <si>
    <t>Attestation honneur de destruction</t>
  </si>
  <si>
    <t>Route de ST Etienne de Croissey</t>
  </si>
  <si>
    <t>STOVAX</t>
  </si>
  <si>
    <t>Studio Air 2:  726-181</t>
  </si>
  <si>
    <t>VRB0389</t>
  </si>
  <si>
    <t>TF</t>
  </si>
  <si>
    <t>Lotissement la grande sure</t>
  </si>
  <si>
    <t>MABLY 5 KW</t>
  </si>
  <si>
    <t>0.07288</t>
  </si>
  <si>
    <t>VRB0390</t>
  </si>
  <si>
    <t xml:space="preserve">Le petit bois </t>
  </si>
  <si>
    <t xml:space="preserve">0.00904 </t>
  </si>
  <si>
    <t>VRB0391</t>
  </si>
  <si>
    <t>Chemin du Gorgeat</t>
  </si>
  <si>
    <t>P230</t>
  </si>
  <si>
    <t>VRB0392</t>
  </si>
  <si>
    <t>Montée du Pilet</t>
  </si>
  <si>
    <t>Astrea 888</t>
  </si>
  <si>
    <t>VRB0393</t>
  </si>
  <si>
    <t>Route du Correards</t>
  </si>
  <si>
    <t>Mr BARGEL Jonathan</t>
  </si>
  <si>
    <t>CHEMINEES PHILIPPE PERFORM</t>
  </si>
  <si>
    <t>850 ETANCHE PR</t>
  </si>
  <si>
    <t xml:space="preserve">79.2 </t>
  </si>
  <si>
    <t xml:space="preserve">0.0916 </t>
  </si>
  <si>
    <t>VRB0394</t>
  </si>
  <si>
    <t>Les horizons</t>
  </si>
  <si>
    <t>Mr  ROUBINET</t>
  </si>
  <si>
    <t>contact-chaleurbois38@orange.fr</t>
  </si>
  <si>
    <t>7.9</t>
  </si>
  <si>
    <t>0.018</t>
  </si>
  <si>
    <t>VRB0395</t>
  </si>
  <si>
    <t>Chemin de Saint Jean de Chepy  Lot le Mas des peupliers</t>
  </si>
  <si>
    <t>ALLIANCE CIVALLERO GIAIME PLOMBERIE RENOVATI</t>
  </si>
  <si>
    <t>DOMENE</t>
  </si>
  <si>
    <t>M. GIAIME Norbert</t>
  </si>
  <si>
    <t>acg.plomberie.renov@gmail.com</t>
  </si>
  <si>
    <t>Aura 80</t>
  </si>
  <si>
    <t>VRB0396</t>
  </si>
  <si>
    <t>Rue des Buissons</t>
  </si>
  <si>
    <t>DEHLI 114</t>
  </si>
  <si>
    <t xml:space="preserve">0.08168 </t>
  </si>
  <si>
    <t>VRB0397</t>
  </si>
  <si>
    <t>Tala</t>
  </si>
  <si>
    <t xml:space="preserve">0.09512 </t>
  </si>
  <si>
    <t>VRB0398</t>
  </si>
  <si>
    <t>Allée de Grand champ</t>
  </si>
  <si>
    <t>SARL ENERLOGIS</t>
  </si>
  <si>
    <t>M. MICHEL</t>
  </si>
  <si>
    <t>EGO AIR 8 M2</t>
  </si>
  <si>
    <t>8.1</t>
  </si>
  <si>
    <t xml:space="preserve">90.9 </t>
  </si>
  <si>
    <t>0.002</t>
  </si>
  <si>
    <t>VRB0399</t>
  </si>
  <si>
    <t>Route de Boisvert</t>
  </si>
  <si>
    <t>HWAM /</t>
  </si>
  <si>
    <t>WIKING MIRO 4</t>
  </si>
  <si>
    <t>4.9</t>
  </si>
  <si>
    <t>0.09</t>
  </si>
  <si>
    <t>VRB0400</t>
  </si>
  <si>
    <t xml:space="preserve">TF + Photo plan large </t>
  </si>
  <si>
    <t>Avenue de la maladiere</t>
  </si>
  <si>
    <t>Mr. LIBER</t>
  </si>
  <si>
    <t>SUITE AIR 10 UP! M1</t>
  </si>
  <si>
    <t>VRB0401</t>
  </si>
  <si>
    <t>Route de la Sure</t>
  </si>
  <si>
    <t>Marianne 9</t>
  </si>
  <si>
    <t>VRB0402</t>
  </si>
  <si>
    <t>Attendre appel Leroy Merlin pour précision matériel; ok</t>
  </si>
  <si>
    <t>Route de la Fontaine Ronde</t>
  </si>
  <si>
    <t>06 98 19 30 37</t>
  </si>
  <si>
    <t>Moon</t>
  </si>
  <si>
    <t>VRB0403</t>
  </si>
  <si>
    <t>Demandé photo plan large (ok le 15/4)</t>
  </si>
  <si>
    <t>Attestation destruction</t>
  </si>
  <si>
    <t>Passage de Vir Fourche</t>
  </si>
  <si>
    <t>Harold MOCCELIN</t>
  </si>
  <si>
    <t>Inconnu</t>
  </si>
  <si>
    <t>VRB0404</t>
  </si>
  <si>
    <t>marketing@carre-F.com</t>
  </si>
  <si>
    <t>Linda 12</t>
  </si>
  <si>
    <t>VRB0405</t>
  </si>
  <si>
    <t>Demandé une autre photo où l'on peut voir le raccordement + signature de la charte</t>
  </si>
  <si>
    <t>Route de la croix bogard</t>
  </si>
  <si>
    <t>VRB0406</t>
  </si>
  <si>
    <t>Chemin de Chantaret</t>
  </si>
  <si>
    <t>Ronky</t>
  </si>
  <si>
    <t>VRB0407</t>
  </si>
  <si>
    <t>Route du Mollard Bourcier</t>
  </si>
  <si>
    <t>Artémis</t>
  </si>
  <si>
    <t>VRB0408</t>
  </si>
  <si>
    <t>Demandé photo plan large. Ok le 24/4/22</t>
  </si>
  <si>
    <t>Allée des Chenevieres</t>
  </si>
  <si>
    <t>&lt; 2002</t>
  </si>
  <si>
    <t>Ego Comfort Air 10w</t>
  </si>
  <si>
    <t>VRB0409</t>
  </si>
  <si>
    <t>Demandé RIB avec adresse</t>
  </si>
  <si>
    <t>Route de la Grange Dimière</t>
  </si>
  <si>
    <t xml:space="preserve">CHEMINEES PHILIPPE </t>
  </si>
  <si>
    <t>Anthem 85</t>
  </si>
  <si>
    <t>VRB0410</t>
  </si>
  <si>
    <t>Route de la Cheneviere</t>
  </si>
  <si>
    <t>Foyer expérience 100</t>
  </si>
  <si>
    <t>VRB0411</t>
  </si>
  <si>
    <t>Manque photo plan large + rib avec adresse (ok le 19/4/22)</t>
  </si>
  <si>
    <t>Allée des Thuyas</t>
  </si>
  <si>
    <t>Anna</t>
  </si>
  <si>
    <t>VRB0412</t>
  </si>
  <si>
    <t>Lotissement le beau Rivoire</t>
  </si>
  <si>
    <t>Estray</t>
  </si>
  <si>
    <t>VRB0413</t>
  </si>
  <si>
    <t>Manque 1ère page avis impots (ok le 15/4)</t>
  </si>
  <si>
    <t>Rue de l'egala</t>
  </si>
  <si>
    <t>Vision'R</t>
  </si>
  <si>
    <t>VRB0414</t>
  </si>
  <si>
    <t>Manque devis (ok le 15/4)</t>
  </si>
  <si>
    <t>La platte</t>
  </si>
  <si>
    <t>VRB0415</t>
  </si>
  <si>
    <t>Phto plan large</t>
  </si>
  <si>
    <t>Route des Milles Martyrs</t>
  </si>
  <si>
    <t>MYA 10 KW</t>
  </si>
  <si>
    <t xml:space="preserve">0.00312 </t>
  </si>
  <si>
    <t>VRB0416</t>
  </si>
  <si>
    <t>Mr. GUILLAUD-SAUMUR</t>
  </si>
  <si>
    <t>contact@latredauphinois.fr</t>
  </si>
  <si>
    <t xml:space="preserve">STÛV 16/78-CUBE </t>
  </si>
  <si>
    <t>VRB0417</t>
  </si>
  <si>
    <t xml:space="preserve">Facture acquittée </t>
  </si>
  <si>
    <t>Fox 2</t>
  </si>
  <si>
    <t>VRB0418</t>
  </si>
  <si>
    <t>Matériel non labélisé ni équivalent. Ok changement matériel le 26/4/22</t>
  </si>
  <si>
    <t>Rue de Fayard</t>
  </si>
  <si>
    <t>Breeze Air Tight</t>
  </si>
  <si>
    <t>VRB0419</t>
  </si>
  <si>
    <t>AUSTOFLAMM</t>
  </si>
  <si>
    <t>ClouXtra</t>
  </si>
  <si>
    <t>VRB0420</t>
  </si>
  <si>
    <t>TF pas à la même adresse que dossier et avis imposition. RIB pas bonne adresse ok rib le 22/4/22); Attestation impots pour adresse le 3/5/22</t>
  </si>
  <si>
    <t>Attestaion fin travaux 23/06/23</t>
  </si>
  <si>
    <t>Route du Tilleul</t>
  </si>
  <si>
    <t>MARGUET Eric</t>
  </si>
  <si>
    <t>clara.marguet@sbidaud.fr</t>
  </si>
  <si>
    <t>4,9</t>
  </si>
  <si>
    <t>76,1</t>
  </si>
  <si>
    <t>0,08696</t>
  </si>
  <si>
    <t>VRB0421</t>
  </si>
  <si>
    <t>Manque RIB avec adresse</t>
  </si>
  <si>
    <t>Lux</t>
  </si>
  <si>
    <t>VRB0422</t>
  </si>
  <si>
    <t>Rib pas à la bonne adresse (ok le 29/4/22) + demandé photo plan large (ok le 2/5/22)</t>
  </si>
  <si>
    <t>Anthem 75</t>
  </si>
  <si>
    <t>VRB0423</t>
  </si>
  <si>
    <t xml:space="preserve">RIB/ en attente de vérif materiel; eu l'installateur 21/09/ </t>
  </si>
  <si>
    <t>Facture acquittée (ok) / en attente de décision car pas labélisé</t>
  </si>
  <si>
    <t xml:space="preserve"> Rue Pasteur</t>
  </si>
  <si>
    <t>M. ROUBINET</t>
  </si>
  <si>
    <t>LISBOA C15</t>
  </si>
  <si>
    <t>VRB0424</t>
  </si>
  <si>
    <t>Devis + photo +RIB + AI</t>
  </si>
  <si>
    <t>Impasse les Murgières</t>
  </si>
  <si>
    <t>BARGEL</t>
  </si>
  <si>
    <t>CHEMINEES PHILIPPE</t>
  </si>
  <si>
    <t>LODEVE</t>
  </si>
  <si>
    <t>9.4</t>
  </si>
  <si>
    <t>79.9</t>
  </si>
  <si>
    <t>0.0624</t>
  </si>
  <si>
    <t>VRB0425</t>
  </si>
  <si>
    <t xml:space="preserve">TF </t>
  </si>
  <si>
    <t>Route sous le mont</t>
  </si>
  <si>
    <t>M. BARGEL</t>
  </si>
  <si>
    <t>SHARON PLUS CRYSTAL</t>
  </si>
  <si>
    <t>VRB0426</t>
  </si>
  <si>
    <t>RIB (ok)</t>
  </si>
  <si>
    <t>Route de Montfollet</t>
  </si>
  <si>
    <t>jonathan.barguel@philippeisere.fr</t>
  </si>
  <si>
    <t>702-2V</t>
  </si>
  <si>
    <t>77.4</t>
  </si>
  <si>
    <t>0.0876</t>
  </si>
  <si>
    <t>VRB0427</t>
  </si>
  <si>
    <t>Rue des arrondieres</t>
  </si>
  <si>
    <t>M. CLAVEL</t>
  </si>
  <si>
    <t>p.clavel@alp-confort.fr</t>
  </si>
  <si>
    <t xml:space="preserve"> Isotta con cerchi Evo</t>
  </si>
  <si>
    <t>11.9</t>
  </si>
  <si>
    <t>0.1</t>
  </si>
  <si>
    <t>VRB0428</t>
  </si>
  <si>
    <t xml:space="preserve">En attente de precision (matériel ) </t>
  </si>
  <si>
    <t>Allée des Soupirs</t>
  </si>
  <si>
    <t>M. EMELIEN</t>
  </si>
  <si>
    <t>perre.vodeb@watthome.com</t>
  </si>
  <si>
    <t>PRINCE3 PLUS 11KW</t>
  </si>
  <si>
    <t xml:space="preserve">0.002 </t>
  </si>
  <si>
    <t>VRB0429</t>
  </si>
  <si>
    <t>Eu installateur 12/05 , probleme technique sur le site de fournissuer</t>
  </si>
  <si>
    <t>Facture acquitée  03/08</t>
  </si>
  <si>
    <t>Route des Bruyères</t>
  </si>
  <si>
    <t>GONCALVES Loic</t>
  </si>
  <si>
    <t>38@francechaleur.fr</t>
  </si>
  <si>
    <t>MINI5</t>
  </si>
  <si>
    <t>89.6</t>
  </si>
  <si>
    <t>0.01424</t>
  </si>
  <si>
    <t>VRB0430</t>
  </si>
  <si>
    <t>Rue du Bavoir</t>
  </si>
  <si>
    <t>M. DURANTON</t>
  </si>
  <si>
    <t>Pôele</t>
  </si>
  <si>
    <t xml:space="preserve">NOBIS </t>
  </si>
  <si>
    <t>0.0012</t>
  </si>
  <si>
    <t>VRB0431</t>
  </si>
  <si>
    <t>Chemin de Barbassard</t>
  </si>
  <si>
    <t>Ovalis</t>
  </si>
  <si>
    <t>VRB0432</t>
  </si>
  <si>
    <t>en attente précision matériel. Eu l'installateur le 6/5</t>
  </si>
  <si>
    <t>Le grand chemin</t>
  </si>
  <si>
    <t>Evora</t>
  </si>
  <si>
    <t>VRB0433</t>
  </si>
  <si>
    <t>Besoin de la facture acquitée 16/08</t>
  </si>
  <si>
    <t xml:space="preserve">Route de Charavines </t>
  </si>
  <si>
    <t>ENTREPOT DU BRICOLAGE</t>
  </si>
  <si>
    <t>VRB0434</t>
  </si>
  <si>
    <t>Burgos</t>
  </si>
  <si>
    <t>VRB0435</t>
  </si>
  <si>
    <t>Foyer fermé &gt;2002</t>
  </si>
  <si>
    <t>FLAMME ISEROISE</t>
  </si>
  <si>
    <t>Mr TROUBA</t>
  </si>
  <si>
    <t>commercial@flammeiseroise.com</t>
  </si>
  <si>
    <t>VRB0436</t>
  </si>
  <si>
    <t>Rue du Coteau</t>
  </si>
  <si>
    <t>04 38 92 02 20</t>
  </si>
  <si>
    <t>Belfiore 2</t>
  </si>
  <si>
    <t>VRB0437</t>
  </si>
  <si>
    <t>bois-soleil-chauffage@orange.fr</t>
  </si>
  <si>
    <t>JOTUL Jøtul</t>
  </si>
  <si>
    <t>FS 173</t>
  </si>
  <si>
    <t>0.07072</t>
  </si>
  <si>
    <t>VRB0438</t>
  </si>
  <si>
    <t>le nom materiel revoir materiel</t>
  </si>
  <si>
    <t>Route des Moulins</t>
  </si>
  <si>
    <t>closa.marguet@abidaud.fr</t>
  </si>
  <si>
    <t>Chaudière</t>
  </si>
  <si>
    <t>FROLING Chaudière</t>
  </si>
  <si>
    <t>PE1 15</t>
  </si>
  <si>
    <t>14.3</t>
  </si>
  <si>
    <t>94.7</t>
  </si>
  <si>
    <t>0.00192</t>
  </si>
  <si>
    <t>VRB0439</t>
  </si>
  <si>
    <t>RIB a lbonne adresse</t>
  </si>
  <si>
    <t>Rue des barres</t>
  </si>
  <si>
    <t>EXTRAFLAME SHARON</t>
  </si>
  <si>
    <t>PLUS CX CRYSTAL</t>
  </si>
  <si>
    <t>90.7</t>
  </si>
  <si>
    <t>0.01056</t>
  </si>
  <si>
    <t>VRB0440</t>
  </si>
  <si>
    <t>Impasse du four a pain</t>
  </si>
  <si>
    <t>M. GUILLAUD-SAUMUR</t>
  </si>
  <si>
    <t>contac@laletredauphinois.fr</t>
  </si>
  <si>
    <t>SC 90</t>
  </si>
  <si>
    <t>8.3</t>
  </si>
  <si>
    <t>89.4</t>
  </si>
  <si>
    <t>0.01432</t>
  </si>
  <si>
    <t>VRB0441</t>
  </si>
  <si>
    <t>Impasse les Mas de chantaret</t>
  </si>
  <si>
    <t>Voiron</t>
  </si>
  <si>
    <t xml:space="preserve">Dick Geurts par Fonte Flamme </t>
  </si>
  <si>
    <t>VRB0442</t>
  </si>
  <si>
    <t xml:space="preserve">appareil ancien sans l'année d'installation </t>
  </si>
  <si>
    <t>Rue Sadi Carnot</t>
  </si>
  <si>
    <t>TODESCHINI</t>
  </si>
  <si>
    <t>M. TODESCHINI</t>
  </si>
  <si>
    <t>todoschini2@orange.fr</t>
  </si>
  <si>
    <t>MAGELLAN</t>
  </si>
  <si>
    <t>VRB0443</t>
  </si>
  <si>
    <t>CARRE FRANCOIS</t>
  </si>
  <si>
    <t>accueil@carre-f.com</t>
  </si>
  <si>
    <t>PALAZZETTI ECOFIRE</t>
  </si>
  <si>
    <t>BIANCA LUX 9 PRO 2</t>
  </si>
  <si>
    <t>90.5</t>
  </si>
  <si>
    <t>0.0028</t>
  </si>
  <si>
    <t>VRB0444</t>
  </si>
  <si>
    <t>Devis details calculs</t>
  </si>
  <si>
    <t>laglace-et-lefeu.com</t>
  </si>
  <si>
    <t>L'entrepôt du bricolage</t>
  </si>
  <si>
    <t xml:space="preserve">ADURO </t>
  </si>
  <si>
    <t>Aduro 15-2</t>
  </si>
  <si>
    <t>6.5</t>
  </si>
  <si>
    <t>0.07</t>
  </si>
  <si>
    <t>VRB0445</t>
  </si>
  <si>
    <t>Rue des Erables</t>
  </si>
  <si>
    <t>BRUNNER</t>
  </si>
  <si>
    <t>KK 57/67</t>
  </si>
  <si>
    <t>VRB0446</t>
  </si>
  <si>
    <t>revoir le nom du material</t>
  </si>
  <si>
    <t>Rue Jacques Brel</t>
  </si>
  <si>
    <t>jaycheminees@orange.fr</t>
  </si>
  <si>
    <t>JAZZ 4 kW</t>
  </si>
  <si>
    <t xml:space="preserve">77.3 </t>
  </si>
  <si>
    <t>0.10992</t>
  </si>
  <si>
    <t>VRB0447</t>
  </si>
  <si>
    <t>tel 19/07 avec installateur materiel non reférene FV - installateur va prendre contact avec le fabricant</t>
  </si>
  <si>
    <t>Appel fait le 20/12 : propriétaire bailleur ? Résidence secondaire ? / Demande de bail locataire</t>
  </si>
  <si>
    <t>SOLAIME 9kW</t>
  </si>
  <si>
    <t>93.3</t>
  </si>
  <si>
    <t xml:space="preserve">0.00376 </t>
  </si>
  <si>
    <t>VRB0448</t>
  </si>
  <si>
    <t>Route du Touvat</t>
  </si>
  <si>
    <t>Aura 100</t>
  </si>
  <si>
    <t>VRB0449</t>
  </si>
  <si>
    <t>en attende de la réponse d'installateur &amp; materiel  introuvable sur fv7</t>
  </si>
  <si>
    <t>Rue de la Manche</t>
  </si>
  <si>
    <t>M. LIBER</t>
  </si>
  <si>
    <t>poeleetcuisinierespassion@gmail.com</t>
  </si>
  <si>
    <t>Sol'R</t>
  </si>
  <si>
    <t>0.08</t>
  </si>
  <si>
    <t>VRB0450</t>
  </si>
  <si>
    <t>nom de materiel + rib +TH</t>
  </si>
  <si>
    <t>Allée de la Brocadière</t>
  </si>
  <si>
    <t xml:space="preserve"> EDEN PIED FIXE</t>
  </si>
  <si>
    <t xml:space="preserve">8.4 </t>
  </si>
  <si>
    <t>0.04</t>
  </si>
  <si>
    <t>VRB0451</t>
  </si>
  <si>
    <t>Route des Mille Martyrs</t>
  </si>
  <si>
    <t>GITEM (SAS CARRE)</t>
  </si>
  <si>
    <t xml:space="preserve"> LINDA 12 pro 3</t>
  </si>
  <si>
    <t>0.00176</t>
  </si>
  <si>
    <t>VRB0452</t>
  </si>
  <si>
    <t>Devis  + RIB</t>
  </si>
  <si>
    <t xml:space="preserve">FONTE FLAMME </t>
  </si>
  <si>
    <t>MESA, LAHAN, NARA, ILAM SARI, VARNA</t>
  </si>
  <si>
    <t xml:space="preserve">0.08 </t>
  </si>
  <si>
    <t>VRB0453</t>
  </si>
  <si>
    <t>Route du Moulin</t>
  </si>
  <si>
    <t>VRB0454</t>
  </si>
  <si>
    <t>JAZZ 7 kW</t>
  </si>
  <si>
    <t>77.8</t>
  </si>
  <si>
    <t>VRB0455</t>
  </si>
  <si>
    <t>formulaire de demande</t>
  </si>
  <si>
    <t xml:space="preserve">AUSTROFLAMM </t>
  </si>
  <si>
    <t>Cody</t>
  </si>
  <si>
    <t>81.1</t>
  </si>
  <si>
    <t>0.08584</t>
  </si>
  <si>
    <t>VRB0456</t>
  </si>
  <si>
    <t xml:space="preserve"> rib + Attestation ( attestation ok) relance rib 28/09</t>
  </si>
  <si>
    <t>Route des Georges</t>
  </si>
  <si>
    <t>M. GILLET</t>
  </si>
  <si>
    <t>JOTUL JOTUL</t>
  </si>
  <si>
    <t>F500 ECO</t>
  </si>
  <si>
    <t>0.08576</t>
  </si>
  <si>
    <t>VRB0457</t>
  </si>
  <si>
    <t>Boulevard de Charavines</t>
  </si>
  <si>
    <t>Scan 85</t>
  </si>
  <si>
    <t xml:space="preserve">0.06408 </t>
  </si>
  <si>
    <t>VRB0458</t>
  </si>
  <si>
    <t>Rue de Bernardiere</t>
  </si>
  <si>
    <t>7.8</t>
  </si>
  <si>
    <t xml:space="preserve">76.5 </t>
  </si>
  <si>
    <t>VRB0459</t>
  </si>
  <si>
    <t>en attende de mise à jr du materiel sur le site/</t>
  </si>
  <si>
    <t>Avenue du 11 novembre</t>
  </si>
  <si>
    <t>M. MOCCELIN</t>
  </si>
  <si>
    <t>CONTY 9kW</t>
  </si>
  <si>
    <t>9.1</t>
  </si>
  <si>
    <t>91.8</t>
  </si>
  <si>
    <t>0.00376</t>
  </si>
  <si>
    <t>VRB0460</t>
  </si>
  <si>
    <t>RIB a la bonne adresse</t>
  </si>
  <si>
    <t>Route de Monteuil</t>
  </si>
  <si>
    <t>M. DIDIER</t>
  </si>
  <si>
    <t xml:space="preserve"> CONTURA </t>
  </si>
  <si>
    <t>CONTURA C800STYLE</t>
  </si>
  <si>
    <t>5.2</t>
  </si>
  <si>
    <t>0.1164</t>
  </si>
  <si>
    <t>VRB0461</t>
  </si>
  <si>
    <t>Demande de versement</t>
  </si>
  <si>
    <t>Route de Saint Quentin</t>
  </si>
  <si>
    <t>M. PIERRE</t>
  </si>
  <si>
    <t>P120 T</t>
  </si>
  <si>
    <t>8.5</t>
  </si>
  <si>
    <t>90.6</t>
  </si>
  <si>
    <t>0.00232</t>
  </si>
  <si>
    <t>VRB0462</t>
  </si>
  <si>
    <t xml:space="preserve">probleme de calculs </t>
  </si>
  <si>
    <t>Besoin de facture aquittée</t>
  </si>
  <si>
    <t>Route des Picottes</t>
  </si>
  <si>
    <t>M. AILLOUD BETASSON</t>
  </si>
  <si>
    <t>servicepose.grenoble2@leroymerlin.fr</t>
  </si>
  <si>
    <t>JUSTUS</t>
  </si>
  <si>
    <t>Agero W+</t>
  </si>
  <si>
    <t xml:space="preserve">75.2 </t>
  </si>
  <si>
    <t>VRB0463</t>
  </si>
  <si>
    <t>Avenue Edouard Herriot</t>
  </si>
  <si>
    <t>VRB0464</t>
  </si>
  <si>
    <t>Lotissement le montagnier Haut</t>
  </si>
  <si>
    <t>NORDIFLAM 73</t>
  </si>
  <si>
    <t>LA BATHIE</t>
  </si>
  <si>
    <t>M. BOURNAY</t>
  </si>
  <si>
    <t>contact@nordiflam.com</t>
  </si>
  <si>
    <t>IWONA PELLET</t>
  </si>
  <si>
    <t>LOUIS AIR (pellets)</t>
  </si>
  <si>
    <t>VRB0465</t>
  </si>
  <si>
    <t>Route des hôpitaux</t>
  </si>
  <si>
    <t>MAX  BLANK</t>
  </si>
  <si>
    <t>Toulouse BF</t>
  </si>
  <si>
    <t>VRB0466</t>
  </si>
  <si>
    <t>Cheemin de petit bon Dieu</t>
  </si>
  <si>
    <t>M. BRUNO</t>
  </si>
  <si>
    <t>H5</t>
  </si>
  <si>
    <t xml:space="preserve">6.3 </t>
  </si>
  <si>
    <t>VRB0467</t>
  </si>
  <si>
    <t>Lotissement le charmette</t>
  </si>
  <si>
    <t xml:space="preserve"> P120</t>
  </si>
  <si>
    <t xml:space="preserve">90.6 </t>
  </si>
  <si>
    <t>VRB0468</t>
  </si>
  <si>
    <t>Rue du berard</t>
  </si>
  <si>
    <t>VRB0469</t>
  </si>
  <si>
    <t>Impasse dela Garenne</t>
  </si>
  <si>
    <t>ANGELA EVO</t>
  </si>
  <si>
    <t>91.5</t>
  </si>
  <si>
    <t>0.00792</t>
  </si>
  <si>
    <t>VRB0470</t>
  </si>
  <si>
    <t>Impasse des Barraux</t>
  </si>
  <si>
    <t>SAS CHARAT</t>
  </si>
  <si>
    <t xml:space="preserve">9.1 </t>
  </si>
  <si>
    <t>88.7</t>
  </si>
  <si>
    <t>0.00504</t>
  </si>
  <si>
    <t>VRB0471</t>
  </si>
  <si>
    <t>rib à la bonne adresse</t>
  </si>
  <si>
    <t>Chemin du Trincon</t>
  </si>
  <si>
    <t>KARL 100 F</t>
  </si>
  <si>
    <t>9.2</t>
  </si>
  <si>
    <t>0.06096</t>
  </si>
  <si>
    <t>VRB0472</t>
  </si>
  <si>
    <t>Rue des arondières</t>
  </si>
  <si>
    <t>VRB0473</t>
  </si>
  <si>
    <t>Rue du Tram</t>
  </si>
  <si>
    <t>ECOFIRE ISABEL 9 US PRO 2</t>
  </si>
  <si>
    <t xml:space="preserve">0.0024 </t>
  </si>
  <si>
    <t>VRB0474</t>
  </si>
  <si>
    <t>Chemin du janin</t>
  </si>
  <si>
    <t>H7 Signature</t>
  </si>
  <si>
    <t>VRB0475</t>
  </si>
  <si>
    <t>Facture acquittée + photo + attestation destruction</t>
  </si>
  <si>
    <t>Les horizons 2</t>
  </si>
  <si>
    <t>VRB0476</t>
  </si>
  <si>
    <t>materiel non trouvé et vu avec l'installateur  le 20/07</t>
  </si>
  <si>
    <t>Route de la Davière</t>
  </si>
  <si>
    <t>KOOK60 4.0</t>
  </si>
  <si>
    <t xml:space="preserve">6.2 </t>
  </si>
  <si>
    <t>84.1</t>
  </si>
  <si>
    <t>0.09672</t>
  </si>
  <si>
    <t>VRB0477</t>
  </si>
  <si>
    <t>Chemin en brie</t>
  </si>
  <si>
    <t>Eclipse</t>
  </si>
  <si>
    <t>VRB0478</t>
  </si>
  <si>
    <t>Allée des vignes</t>
  </si>
  <si>
    <t>VRB0479</t>
  </si>
  <si>
    <t>Impasse des 3 cedres</t>
  </si>
  <si>
    <t>Mr MICHEL</t>
  </si>
  <si>
    <t>DOC COMFORT AIR 9kW</t>
  </si>
  <si>
    <t>VRB0480</t>
  </si>
  <si>
    <t>Rue du petit clos</t>
  </si>
  <si>
    <t>Mr REGAZZONI</t>
  </si>
  <si>
    <t>jeanfrancois@passionflamme.fr</t>
  </si>
  <si>
    <t>06 31 07 71 33</t>
  </si>
  <si>
    <t>ROCAL</t>
  </si>
  <si>
    <t>ARC 80 Graffiti</t>
  </si>
  <si>
    <t>VRB0481</t>
  </si>
  <si>
    <t xml:space="preserve">Lettre sollicitation </t>
  </si>
  <si>
    <t>Mr SIMON</t>
  </si>
  <si>
    <t>04 76 06 99 38</t>
  </si>
  <si>
    <t>CLOU 8</t>
  </si>
  <si>
    <t>VRB0482</t>
  </si>
  <si>
    <t>Adresse RIB / dernier avis impot / taxe habitation</t>
  </si>
  <si>
    <t>Montée de la savoyère</t>
  </si>
  <si>
    <t>NEX</t>
  </si>
  <si>
    <t>VRB0483</t>
  </si>
  <si>
    <t>Le penon</t>
  </si>
  <si>
    <t>Mr FAURE</t>
  </si>
  <si>
    <t>VRB0484</t>
  </si>
  <si>
    <t>chgt poele à fioul</t>
  </si>
  <si>
    <t>VRB0485</t>
  </si>
  <si>
    <t>photo lisible et en plan plus large</t>
  </si>
  <si>
    <t>Mr CARRE</t>
  </si>
  <si>
    <t>marketing@carre-f.com</t>
  </si>
  <si>
    <t>ETNA 5T</t>
  </si>
  <si>
    <t>VRB0486</t>
  </si>
  <si>
    <t>attestation notariée</t>
  </si>
  <si>
    <t>Rue du bourg</t>
  </si>
  <si>
    <t>Mr BARGEL</t>
  </si>
  <si>
    <t>04 76 66 33 86</t>
  </si>
  <si>
    <t>EXTRAFLAMME</t>
  </si>
  <si>
    <t>DEBBY</t>
  </si>
  <si>
    <t>VRB0487</t>
  </si>
  <si>
    <t>Chemin du Neyroud</t>
  </si>
  <si>
    <t>MR GERENTE PAQUET</t>
  </si>
  <si>
    <t>04 76 55 49 22</t>
  </si>
  <si>
    <t>RHEA FLAM</t>
  </si>
  <si>
    <t>EDESSA</t>
  </si>
  <si>
    <t>VRB0488</t>
  </si>
  <si>
    <t>adresse RIB / photo plan large</t>
  </si>
  <si>
    <t>Chemin rené Cassin</t>
  </si>
  <si>
    <t>TOTEM FIRE</t>
  </si>
  <si>
    <t>ISM Technika 700</t>
  </si>
  <si>
    <t>VRB0489</t>
  </si>
  <si>
    <t>Allée du tisserand</t>
  </si>
  <si>
    <t>VRB0490</t>
  </si>
  <si>
    <t>Route de la Bougentiere</t>
  </si>
  <si>
    <t>MR BARGEL</t>
  </si>
  <si>
    <t>Eden Pied Fixe</t>
  </si>
  <si>
    <t>VRB0491</t>
  </si>
  <si>
    <t>adresse RIB</t>
  </si>
  <si>
    <t>Chemin du Bessey</t>
  </si>
  <si>
    <t>MR SIMON</t>
  </si>
  <si>
    <t>Ovalis T</t>
  </si>
  <si>
    <t>VRB0492</t>
  </si>
  <si>
    <t>Adresse RIB / devis (manque l'entête)</t>
  </si>
  <si>
    <t>Chemin de la faverge</t>
  </si>
  <si>
    <t>MR DIDIER</t>
  </si>
  <si>
    <t>ZAPPONE Thierry</t>
  </si>
  <si>
    <t>ISM Technika</t>
  </si>
  <si>
    <t>VRB0493</t>
  </si>
  <si>
    <t>Avis d'imposition Mr</t>
  </si>
  <si>
    <t>Route du Grand Rocher</t>
  </si>
  <si>
    <t>Mr MOCELLIN</t>
  </si>
  <si>
    <t>04 74 93 43 16</t>
  </si>
  <si>
    <t>Chinon</t>
  </si>
  <si>
    <t>VRB0494</t>
  </si>
  <si>
    <t>Lotissement Bellevue</t>
  </si>
  <si>
    <t>Mr GILLET</t>
  </si>
  <si>
    <t>04 76 32 32 35</t>
  </si>
  <si>
    <t>13 Eco</t>
  </si>
  <si>
    <t>VRB0495</t>
  </si>
  <si>
    <t xml:space="preserve">Taxe habitation </t>
  </si>
  <si>
    <t>Rue de la procession</t>
  </si>
  <si>
    <t>ALPP PLOMBERIE CHAUFFAGE</t>
  </si>
  <si>
    <t>Mr ALBANET</t>
  </si>
  <si>
    <t>contact@alpp-plomberie.fr</t>
  </si>
  <si>
    <t>04 76 53 00 02</t>
  </si>
  <si>
    <t>SKANDERBORG</t>
  </si>
  <si>
    <t>Veron</t>
  </si>
  <si>
    <t>VRB0496</t>
  </si>
  <si>
    <t xml:space="preserve">photo + large </t>
  </si>
  <si>
    <t xml:space="preserve">Facture acquittée + Demande de versement complète + Attestation destruction Ok </t>
  </si>
  <si>
    <t>Route du grand Vivier</t>
  </si>
  <si>
    <t>FLAMME DE CHARTREUSE</t>
  </si>
  <si>
    <t>SAINT PIERRE DE CHARTREUSE</t>
  </si>
  <si>
    <t>Mr LA MONICA</t>
  </si>
  <si>
    <t>jonathan.lamonica010388@gmail.com</t>
  </si>
  <si>
    <t>06 89 36 86 14</t>
  </si>
  <si>
    <t>Artense Tradition</t>
  </si>
  <si>
    <t>VRB0497</t>
  </si>
  <si>
    <t>Adresse RIB / photo illisible / formulaire de demande signé</t>
  </si>
  <si>
    <t>312 Route de la Garangère / 10 Lot Les Rivoires</t>
  </si>
  <si>
    <t>MR DURANTON</t>
  </si>
  <si>
    <t>A8V Quadra Top</t>
  </si>
  <si>
    <t>VRB0498</t>
  </si>
  <si>
    <t>photo illisible / adresse RIB / Taxe Habitation</t>
  </si>
  <si>
    <t>Chemin de la Rochette</t>
  </si>
  <si>
    <t>ericgedeon@passionflamme.fr</t>
  </si>
  <si>
    <t>A9V Classic</t>
  </si>
  <si>
    <t>VRB0499</t>
  </si>
  <si>
    <t>IR complet</t>
  </si>
  <si>
    <t>Aire 7</t>
  </si>
  <si>
    <t>VRB0500</t>
  </si>
  <si>
    <t>Rib a la bonne adresse/ RIB OK</t>
  </si>
  <si>
    <t>Route de Grenoble</t>
  </si>
  <si>
    <t xml:space="preserve"> 18/09/2023</t>
  </si>
  <si>
    <t>VRB0501</t>
  </si>
  <si>
    <t>Voie des michauds</t>
  </si>
  <si>
    <t xml:space="preserve"> LIGNAC 8kW</t>
  </si>
  <si>
    <t xml:space="preserve">7.5 </t>
  </si>
  <si>
    <t>0.0756</t>
  </si>
  <si>
    <t>VRB0502</t>
  </si>
  <si>
    <t>VRB0503</t>
  </si>
  <si>
    <t>AI/ TF</t>
  </si>
  <si>
    <t>Chemin du savchet</t>
  </si>
  <si>
    <t xml:space="preserve">0.08408 </t>
  </si>
  <si>
    <t>VRB0504</t>
  </si>
  <si>
    <t>problème de labellit°/ Mail demande de confirmat° 19/10 ok</t>
  </si>
  <si>
    <t>Route du saquet</t>
  </si>
  <si>
    <t>ThermoAura</t>
  </si>
  <si>
    <t>VRB0505</t>
  </si>
  <si>
    <t>IMPRESSION L/R 2GS 71.60.34.21</t>
  </si>
  <si>
    <t xml:space="preserve">0.08472 </t>
  </si>
  <si>
    <t>VRB0506</t>
  </si>
  <si>
    <t>rib à la bonne adresse / RIB OK</t>
  </si>
  <si>
    <t>MUSA COMFORT AIR 12 UP! M1</t>
  </si>
  <si>
    <t>0.00704</t>
  </si>
  <si>
    <t>VRB0507</t>
  </si>
  <si>
    <t>rib à la bonne adresse ( rib ok)</t>
  </si>
  <si>
    <t>Chemin des bouleaux</t>
  </si>
  <si>
    <t xml:space="preserve">ILD </t>
  </si>
  <si>
    <t>LD 12 -13 ECO</t>
  </si>
  <si>
    <t xml:space="preserve">8.5 </t>
  </si>
  <si>
    <t>0.0504</t>
  </si>
  <si>
    <t>VRB0508</t>
  </si>
  <si>
    <t>AI</t>
  </si>
  <si>
    <t>80x64 S</t>
  </si>
  <si>
    <t>10.6</t>
  </si>
  <si>
    <t>80.5</t>
  </si>
  <si>
    <t xml:space="preserve">0.1 </t>
  </si>
  <si>
    <t>VRB0509</t>
  </si>
  <si>
    <t>SCAN 68</t>
  </si>
  <si>
    <t>6.1</t>
  </si>
  <si>
    <t>0.04448</t>
  </si>
  <si>
    <t>VRB0510</t>
  </si>
  <si>
    <t>Rue du coteau</t>
  </si>
  <si>
    <t>OFEN 19</t>
  </si>
  <si>
    <t>7.6</t>
  </si>
  <si>
    <t>DC / LS</t>
  </si>
  <si>
    <t>VRB0511</t>
  </si>
  <si>
    <t>Impasse du Mollard</t>
  </si>
  <si>
    <t>&lt;1985</t>
  </si>
  <si>
    <t>LOOP AIR 8 M1</t>
  </si>
  <si>
    <t>VRB0512</t>
  </si>
  <si>
    <t>photo +lettre / demande de confirmat° materiel</t>
  </si>
  <si>
    <t>Chemin des combes</t>
  </si>
  <si>
    <t>JAZZ 4 Kw</t>
  </si>
  <si>
    <t>77.3</t>
  </si>
  <si>
    <t xml:space="preserve">0.10992 </t>
  </si>
  <si>
    <t>DC / LS /FZO</t>
  </si>
  <si>
    <t>VRB0513</t>
  </si>
  <si>
    <t>RIB/ RIB OK</t>
  </si>
  <si>
    <t>Chemin de chamoussière</t>
  </si>
  <si>
    <t>1996 - 2002</t>
  </si>
  <si>
    <t>425GM</t>
  </si>
  <si>
    <t>DC / LS/FZO</t>
  </si>
  <si>
    <t>VRB0514</t>
  </si>
  <si>
    <t>Confirmation poele &lt;2002</t>
  </si>
  <si>
    <t>Jøtul F 305</t>
  </si>
  <si>
    <t>VRB0515</t>
  </si>
  <si>
    <t>demande de confirmat° materiel  OK/ rib a la bonne adresse + Photo plan large</t>
  </si>
  <si>
    <t>Route de Chateaubourg</t>
  </si>
  <si>
    <t>DIK GEURTS par FONTE FLAMME</t>
  </si>
  <si>
    <t>VIDAR TRIPLE et VIDAR WALL</t>
  </si>
  <si>
    <t xml:space="preserve">0.06504 </t>
  </si>
  <si>
    <t>VRB0516</t>
  </si>
  <si>
    <t>AI 22-21 /OK</t>
  </si>
  <si>
    <t xml:space="preserve">ROMOTOP </t>
  </si>
  <si>
    <t xml:space="preserve">83.6 </t>
  </si>
  <si>
    <t xml:space="preserve">0.0736 </t>
  </si>
  <si>
    <t>VRB0517</t>
  </si>
  <si>
    <t>demande de confirmat° materiel / AI / TF / RIB a la bonne adresse</t>
  </si>
  <si>
    <t>Impasse des lauriers</t>
  </si>
  <si>
    <t>CHEMINEES CASTAN</t>
  </si>
  <si>
    <t>LE CHEYLAS</t>
  </si>
  <si>
    <t>M. CASTAN</t>
  </si>
  <si>
    <t>chemineescastan.commercial@gmail.com</t>
  </si>
  <si>
    <t xml:space="preserve">FONDIS </t>
  </si>
  <si>
    <t>V60LDF</t>
  </si>
  <si>
    <t>11.5</t>
  </si>
  <si>
    <t>0.068</t>
  </si>
  <si>
    <t>VRB0518</t>
  </si>
  <si>
    <t>AI/ Attestation</t>
  </si>
  <si>
    <t>Attestation fin de travaux 16/08</t>
  </si>
  <si>
    <t>Rue Dode de  la brunerie</t>
  </si>
  <si>
    <t xml:space="preserve">LORFLAM </t>
  </si>
  <si>
    <t xml:space="preserve"> OFEN 19</t>
  </si>
  <si>
    <t>LS / DC</t>
  </si>
  <si>
    <t>VRB0519</t>
  </si>
  <si>
    <t>Rue des Jonquilles</t>
  </si>
  <si>
    <t xml:space="preserve"> ANTHEM 75</t>
  </si>
  <si>
    <t>LS</t>
  </si>
  <si>
    <t>VRB0520</t>
  </si>
  <si>
    <t>Avis d'imposition ; justificatif de proprété ; devis ; RIB ; photo</t>
  </si>
  <si>
    <t>Rue Alfred de Vigny</t>
  </si>
  <si>
    <t>DOC COMFORT AIR 9 M1</t>
  </si>
  <si>
    <t>VRB0521</t>
  </si>
  <si>
    <t>09 72 17 98 56</t>
  </si>
  <si>
    <t>MIRO 6</t>
  </si>
  <si>
    <t>VRB0522</t>
  </si>
  <si>
    <t>Route de nouvelliere</t>
  </si>
  <si>
    <t>RELAX BIJOU 8</t>
  </si>
  <si>
    <t>VRB0523</t>
  </si>
  <si>
    <t>Chemin du Delphin</t>
  </si>
  <si>
    <t>E228 A - M</t>
  </si>
  <si>
    <t>LS/FZO</t>
  </si>
  <si>
    <t>VRB0524</t>
  </si>
  <si>
    <t>RIB ok</t>
  </si>
  <si>
    <t>Rue Auguste Sonnier</t>
  </si>
  <si>
    <t>VRB0525</t>
  </si>
  <si>
    <t>Formulaire de demande, questionnaire, devis,justificatif de propriété</t>
  </si>
  <si>
    <t>Grand Chinon étuve</t>
  </si>
  <si>
    <t>VRB0526</t>
  </si>
  <si>
    <t>Route de vouise</t>
  </si>
  <si>
    <t>ALO Lorenzo</t>
  </si>
  <si>
    <t>04 76 50 05 50</t>
  </si>
  <si>
    <t>KARL 62-124</t>
  </si>
  <si>
    <t>VRB0527</t>
  </si>
  <si>
    <t>Place de la Sauge</t>
  </si>
  <si>
    <t xml:space="preserve"> PALAZZETTI </t>
  </si>
  <si>
    <t xml:space="preserve"> ECOFIRE ISABEL 9 US</t>
  </si>
  <si>
    <t>VRB0528</t>
  </si>
  <si>
    <t>Les jardins de la Buisse/Traverse du Pirot</t>
  </si>
  <si>
    <t xml:space="preserve"> ROMOTOP</t>
  </si>
  <si>
    <t>VRB0529</t>
  </si>
  <si>
    <t>montée pinet</t>
  </si>
  <si>
    <t xml:space="preserve"> MORVAN</t>
  </si>
  <si>
    <t>Horizon'L</t>
  </si>
  <si>
    <t>VRB0530</t>
  </si>
  <si>
    <t>Route de Tolvon</t>
  </si>
  <si>
    <t>Montany</t>
  </si>
  <si>
    <t>VRB0531</t>
  </si>
  <si>
    <t>attestation de destruction</t>
  </si>
  <si>
    <t>Allée des Treilles</t>
  </si>
  <si>
    <t>renatofarvelli@poelesgranules.fr</t>
  </si>
  <si>
    <t>06 64 56 69 78</t>
  </si>
  <si>
    <t>Cherie 9 Evo</t>
  </si>
  <si>
    <t>VRB0532</t>
  </si>
  <si>
    <t>Chemin du petit ture</t>
  </si>
  <si>
    <t>Panorama</t>
  </si>
  <si>
    <t xml:space="preserve"> Kamine 57/40/85/40</t>
  </si>
  <si>
    <t>VRB0533</t>
  </si>
  <si>
    <t>attestation sur honneur 13/07</t>
  </si>
  <si>
    <t>Allée des lauriers</t>
  </si>
  <si>
    <t>VRB0534</t>
  </si>
  <si>
    <t>Impasse du mollard de la sauge</t>
  </si>
  <si>
    <t>ADOUR-600</t>
  </si>
  <si>
    <t>VRB0535</t>
  </si>
  <si>
    <t>Route du Devez</t>
  </si>
  <si>
    <t>BARD</t>
  </si>
  <si>
    <t>KYO SUR PIED</t>
  </si>
  <si>
    <t>VRB0536</t>
  </si>
  <si>
    <t xml:space="preserve"> JAZZ 4 kW</t>
  </si>
  <si>
    <t>VRB0537</t>
  </si>
  <si>
    <t>Impasse la truitière</t>
  </si>
  <si>
    <t>MARIANNE 6 KW</t>
  </si>
  <si>
    <t>VRB0538</t>
  </si>
  <si>
    <t>rib a la bonne adresse</t>
  </si>
  <si>
    <t>Rue du Bruisson Rond</t>
  </si>
  <si>
    <t>ANTHEM 75</t>
  </si>
  <si>
    <t>VRB0539</t>
  </si>
  <si>
    <t>VRB0540</t>
  </si>
  <si>
    <t>l'appareil pas en foncion /pas de tubage dans le conduit de cheminée</t>
  </si>
  <si>
    <t>Rue de la grande montée</t>
  </si>
  <si>
    <t>M. CALVET</t>
  </si>
  <si>
    <t>&gt;100 ans</t>
  </si>
  <si>
    <t>I-Dea2 Angolare 9 kW UP</t>
  </si>
  <si>
    <t>VRB0541</t>
  </si>
  <si>
    <t>Chemin de simandre</t>
  </si>
  <si>
    <t>commerciale@flammeiseroise.com</t>
  </si>
  <si>
    <t>Ovalis Accum</t>
  </si>
  <si>
    <t>VRB0542</t>
  </si>
  <si>
    <t>Chemin des vignes</t>
  </si>
  <si>
    <t>M. ALBANET</t>
  </si>
  <si>
    <t>CHEMINEES DE CHAZELLES</t>
  </si>
  <si>
    <t>ELANCE FULL GLASS</t>
  </si>
  <si>
    <t>VRB0543</t>
  </si>
  <si>
    <t>Impasse des Tilleuls La Davière</t>
  </si>
  <si>
    <t>Chatelaine</t>
  </si>
  <si>
    <t>VRB0544</t>
  </si>
  <si>
    <t xml:space="preserve"> 21/03/2023</t>
  </si>
  <si>
    <t>CHEMINÉES GODIN</t>
  </si>
  <si>
    <t>CAUCOURT</t>
  </si>
  <si>
    <t>VRB0545</t>
  </si>
  <si>
    <t>Justificatif de domicil + rib à la bn adresse</t>
  </si>
  <si>
    <t>Chemin de Mont Bessey Le Pin</t>
  </si>
  <si>
    <t>VRB0546</t>
  </si>
  <si>
    <t xml:space="preserve">Justificatif de domicil </t>
  </si>
  <si>
    <t>Chemin du Sabot</t>
  </si>
  <si>
    <t>COMO B.20</t>
  </si>
  <si>
    <t>VRB0547</t>
  </si>
  <si>
    <t xml:space="preserve"> Certification RGE expirée</t>
  </si>
  <si>
    <t>Travaux réalisés avant l'autorisation des travaux</t>
  </si>
  <si>
    <t>Route du Trousseau</t>
  </si>
  <si>
    <t>Magma</t>
  </si>
  <si>
    <t>VRB0548</t>
  </si>
  <si>
    <t>Allée de la Chenaie</t>
  </si>
  <si>
    <t>VRB0549</t>
  </si>
  <si>
    <t>VRB0550</t>
  </si>
  <si>
    <t>declarat° sur l'honneur+rib à la bn adresse + photo</t>
  </si>
  <si>
    <t>Travaux réalisés avant la demande de subvention</t>
  </si>
  <si>
    <t>Rue de la sure</t>
  </si>
  <si>
    <t>VRB0551</t>
  </si>
  <si>
    <t>Lotissement les rivoirs</t>
  </si>
  <si>
    <t>VRB0552</t>
  </si>
  <si>
    <t>materiel non trouvé/ en attente de labellisation/ eu le 05/01/23</t>
  </si>
  <si>
    <t>UNICA</t>
  </si>
  <si>
    <t xml:space="preserve">9.3 </t>
  </si>
  <si>
    <t>0.00512</t>
  </si>
  <si>
    <t>VRB0553</t>
  </si>
  <si>
    <t>Photo plan large OK</t>
  </si>
  <si>
    <t>Rue de chantepre</t>
  </si>
  <si>
    <t>FOLKE EA RS</t>
  </si>
  <si>
    <t>VRB0554</t>
  </si>
  <si>
    <t>VRB0555</t>
  </si>
  <si>
    <t>Chemin de la Roche</t>
  </si>
  <si>
    <t>MODIVAR</t>
  </si>
  <si>
    <t>VRB0556</t>
  </si>
  <si>
    <t>AI + TF</t>
  </si>
  <si>
    <t>Route des Forges</t>
  </si>
  <si>
    <t>VRB0557</t>
  </si>
  <si>
    <t>RIB à la bonne adresse</t>
  </si>
  <si>
    <t>Chemin du Pansu Les Tilleuls</t>
  </si>
  <si>
    <t xml:space="preserve">CHEMINÉES GODIN </t>
  </si>
  <si>
    <t>757-2V</t>
  </si>
  <si>
    <t>VRB0558</t>
  </si>
  <si>
    <t>Attestation fin de travaux</t>
  </si>
  <si>
    <t xml:space="preserve"> Eclipse</t>
  </si>
  <si>
    <t>VRB0559</t>
  </si>
  <si>
    <t xml:space="preserve"> HWAM 3110</t>
  </si>
  <si>
    <t>VRB0560</t>
  </si>
  <si>
    <t>VRB0561</t>
  </si>
  <si>
    <t>Route des Abrets</t>
  </si>
  <si>
    <t xml:space="preserve"> BOW</t>
  </si>
  <si>
    <t>VRB0562</t>
  </si>
  <si>
    <t>problème de labellisat°</t>
  </si>
  <si>
    <t>MOGERES</t>
  </si>
  <si>
    <t>VRB0563</t>
  </si>
  <si>
    <t>Déclaration sur l'honneur fin des travaux</t>
  </si>
  <si>
    <t>Chemin du bois Joli</t>
  </si>
  <si>
    <t>FONDIS</t>
  </si>
  <si>
    <t>WOODY LOFT 6KW</t>
  </si>
  <si>
    <t>VRB0564</t>
  </si>
  <si>
    <t>Rue des Marteaux</t>
  </si>
  <si>
    <t>Mila 6</t>
  </si>
  <si>
    <t>VRB0565</t>
  </si>
  <si>
    <t>Chemin de la Pissotte</t>
  </si>
  <si>
    <t>XP68-BOX Ollaire</t>
  </si>
  <si>
    <t>VRB0566</t>
  </si>
  <si>
    <t>Lettre sollicitation / Rib a la bonne adresse</t>
  </si>
  <si>
    <t>Allée de Bouvadière</t>
  </si>
  <si>
    <t>ROCK</t>
  </si>
  <si>
    <t>VRB0567</t>
  </si>
  <si>
    <t>Chemin du Catineau</t>
  </si>
  <si>
    <t>Rosa L</t>
  </si>
  <si>
    <t>VRB0568</t>
  </si>
  <si>
    <t>Rib à la bonne adresse + photo plan large</t>
  </si>
  <si>
    <t>Allée des Terrasses de Criel</t>
  </si>
  <si>
    <t>SKANTHERM</t>
  </si>
  <si>
    <t>Emotion S</t>
  </si>
  <si>
    <t>VRB0569</t>
  </si>
  <si>
    <t>RIB a la  bonne adresse (ok)</t>
  </si>
  <si>
    <t>Route de l'Ayat</t>
  </si>
  <si>
    <t>RUSTIQUE</t>
  </si>
  <si>
    <t>VRB0570</t>
  </si>
  <si>
    <t>Rib à la bonne adresse</t>
  </si>
  <si>
    <t>VRB0571</t>
  </si>
  <si>
    <t>Photo de nouvelle installation 02/05</t>
  </si>
  <si>
    <t>HWAM 3110</t>
  </si>
  <si>
    <t>VRB0572</t>
  </si>
  <si>
    <t>AI + Photo plan large</t>
  </si>
  <si>
    <t>Chemin des vachonnes</t>
  </si>
  <si>
    <t>CLOU 8 KW</t>
  </si>
  <si>
    <t>VRB0573</t>
  </si>
  <si>
    <t>Rue Emile Gilioli</t>
  </si>
  <si>
    <t>SPARTHERM</t>
  </si>
  <si>
    <t>Passo M, Passo S, Passo L</t>
  </si>
  <si>
    <t>VRB0574</t>
  </si>
  <si>
    <t xml:space="preserve">MORVAN </t>
  </si>
  <si>
    <t>0.06</t>
  </si>
  <si>
    <t>VRB0575</t>
  </si>
  <si>
    <t>Questionnaire</t>
  </si>
  <si>
    <t>Allée de Combe chatte</t>
  </si>
  <si>
    <t>13.2</t>
  </si>
  <si>
    <t>75.9</t>
  </si>
  <si>
    <t xml:space="preserve">0.09 </t>
  </si>
  <si>
    <t>VRB0576</t>
  </si>
  <si>
    <t>Route de la Gillibardière</t>
  </si>
  <si>
    <t>ILARY PLUS</t>
  </si>
  <si>
    <t xml:space="preserve">0.00888 </t>
  </si>
  <si>
    <t>VRB0577</t>
  </si>
  <si>
    <t>Besoin de la facture acquitée 20/04</t>
  </si>
  <si>
    <t>ARc 80</t>
  </si>
  <si>
    <t>VRB0578</t>
  </si>
  <si>
    <t>Chemin du Mont Bessey</t>
  </si>
  <si>
    <t>Stromboli</t>
  </si>
  <si>
    <t>79.5</t>
  </si>
  <si>
    <t>0.08408</t>
  </si>
  <si>
    <t>VRB0579</t>
  </si>
  <si>
    <t>Chemin des cochettes</t>
  </si>
  <si>
    <t>F200 / F205</t>
  </si>
  <si>
    <t>0.07712</t>
  </si>
  <si>
    <t>VRB0580</t>
  </si>
  <si>
    <t>VRB0581</t>
  </si>
  <si>
    <t>declarat° sur l'honneur</t>
  </si>
  <si>
    <t>Voie de Basset</t>
  </si>
  <si>
    <t>VRB0582</t>
  </si>
  <si>
    <t xml:space="preserve">22/06/23 Attestation fin de travaux </t>
  </si>
  <si>
    <t>Route du Mercuel</t>
  </si>
  <si>
    <t>SEGUIN DUTERIEZ</t>
  </si>
  <si>
    <t>AURORE</t>
  </si>
  <si>
    <t>VRB0583</t>
  </si>
  <si>
    <t>Besoin de facture aquitée( mail le 06/06)</t>
  </si>
  <si>
    <t>Route de Saint-Etienne de Crossey</t>
  </si>
  <si>
    <t>ghislain.bernier@kbane.com</t>
  </si>
  <si>
    <t>Certificat non dispo</t>
  </si>
  <si>
    <t>Aduro 9-5 LUX</t>
  </si>
  <si>
    <t>VRB0584</t>
  </si>
  <si>
    <t>Impasse de la Crozat</t>
  </si>
  <si>
    <t>HWAM 4660</t>
  </si>
  <si>
    <t>VRB0585</t>
  </si>
  <si>
    <t>Route René Impériali</t>
  </si>
  <si>
    <t xml:space="preserve">HWAM / WIKING </t>
  </si>
  <si>
    <t xml:space="preserve"> LUMA 6</t>
  </si>
  <si>
    <t>VRB0586</t>
  </si>
  <si>
    <t>AI+TF</t>
  </si>
  <si>
    <t>Chemin de Boulun</t>
  </si>
  <si>
    <t>SIGMA 110-50</t>
  </si>
  <si>
    <t>VRB0587</t>
  </si>
  <si>
    <t>Allée des Lucioles</t>
  </si>
  <si>
    <t>POELESGRANULES.FR - BIO BELLEDONNE GRANULES</t>
  </si>
  <si>
    <t>M. MASCLET</t>
  </si>
  <si>
    <t>VRB0588</t>
  </si>
  <si>
    <t>une page de AI</t>
  </si>
  <si>
    <t>SOLVEIG OPTIMA MURAL</t>
  </si>
  <si>
    <t>VRB0589</t>
  </si>
  <si>
    <t>dernière page questionnaire</t>
  </si>
  <si>
    <t xml:space="preserve">apparail postérieur à 2002 ( 2008) </t>
  </si>
  <si>
    <t>VRB0590</t>
  </si>
  <si>
    <t>justificatif de po</t>
  </si>
  <si>
    <t>Chemin de Beauregard</t>
  </si>
  <si>
    <t>LOIRE 800</t>
  </si>
  <si>
    <t>VRB0591</t>
  </si>
  <si>
    <t>VRB0592</t>
  </si>
  <si>
    <t>Rue des Peupliers</t>
  </si>
  <si>
    <t xml:space="preserve">16/78-IN </t>
  </si>
  <si>
    <t>VRB0593</t>
  </si>
  <si>
    <t xml:space="preserve">Verif materiel </t>
  </si>
  <si>
    <t xml:space="preserve"> FONTE FLAMME</t>
  </si>
  <si>
    <t>VRB0594</t>
  </si>
  <si>
    <t>VRB0595</t>
  </si>
  <si>
    <t>Rue des Sources</t>
  </si>
  <si>
    <t>VRB0596</t>
  </si>
  <si>
    <t>Route de Champ Chabert</t>
  </si>
  <si>
    <t>SARL KRATTER</t>
  </si>
  <si>
    <t>M. KRATTER</t>
  </si>
  <si>
    <t>cyrillekratter@kratter.fr</t>
  </si>
  <si>
    <t>NeoHV 30</t>
  </si>
  <si>
    <t>VRB0597</t>
  </si>
  <si>
    <t>Rue du Peuil</t>
  </si>
  <si>
    <t>Rosnay</t>
  </si>
  <si>
    <t>VRB0598</t>
  </si>
  <si>
    <t>declaration sur l'honneur OK</t>
  </si>
  <si>
    <t xml:space="preserve">photo </t>
  </si>
  <si>
    <t>Impasse du Lac Bleu</t>
  </si>
  <si>
    <t xml:space="preserve"> ALTEA-7</t>
  </si>
  <si>
    <t>VRB0599</t>
  </si>
  <si>
    <t>Impasse du Jayet</t>
  </si>
  <si>
    <t xml:space="preserve">LA NORDICA </t>
  </si>
  <si>
    <t>VRB0600</t>
  </si>
  <si>
    <t>declaration sur l'honneur</t>
  </si>
  <si>
    <t>Rue PierreMendesFrance</t>
  </si>
  <si>
    <t xml:space="preserve"> VISION 700-8K</t>
  </si>
  <si>
    <t>VRB0601</t>
  </si>
  <si>
    <t xml:space="preserve"> Fifti - Amplitude</t>
  </si>
  <si>
    <t>VRB0602</t>
  </si>
  <si>
    <t>Lotissement d'Orgeoise</t>
  </si>
  <si>
    <t>EGO AIR 8 M3</t>
  </si>
  <si>
    <t>VRB0603</t>
  </si>
  <si>
    <t>Allée Derain</t>
  </si>
  <si>
    <t>TOURS</t>
  </si>
  <si>
    <t>Plus de 20 ans</t>
  </si>
  <si>
    <t xml:space="preserve"> ELISEO 700 EFFICIENS I</t>
  </si>
  <si>
    <t>VRB0604</t>
  </si>
  <si>
    <t>RIB à la bonne adresse + ohoto plan large</t>
  </si>
  <si>
    <t>Route de Planche Cattin</t>
  </si>
  <si>
    <t>julien.sanchez@kbane.com</t>
  </si>
  <si>
    <t xml:space="preserve">FREEPOINT </t>
  </si>
  <si>
    <t>ONE AIRTIGHT</t>
  </si>
  <si>
    <t>VRB0605</t>
  </si>
  <si>
    <t>Dernière page questionnaire OK+ RIB à la bonne adresse</t>
  </si>
  <si>
    <t>facture acquitée 13/07</t>
  </si>
  <si>
    <t>Laure Le Tellier</t>
  </si>
  <si>
    <t>M. GLENAT</t>
  </si>
  <si>
    <t>POELE AH9</t>
  </si>
  <si>
    <t>VRB0606</t>
  </si>
  <si>
    <t>Meltemi pierre ollaire</t>
  </si>
  <si>
    <t>VRB0607</t>
  </si>
  <si>
    <t>Route de la Croix de Tolvon</t>
  </si>
  <si>
    <t>VRB0608</t>
  </si>
  <si>
    <t>devis</t>
  </si>
  <si>
    <t>Chemin du Boutet</t>
  </si>
  <si>
    <t>Evora T</t>
  </si>
  <si>
    <t>VRB0609</t>
  </si>
  <si>
    <t>Route de Chartreuse</t>
  </si>
  <si>
    <t xml:space="preserve"> Poêle LODI 10</t>
  </si>
  <si>
    <t>VRB0610</t>
  </si>
  <si>
    <t>Route du Châtelard</t>
  </si>
  <si>
    <t>VRB0611</t>
  </si>
  <si>
    <t>problème de labellisation</t>
  </si>
  <si>
    <t>EURL DURAND DEPANNAGE PLOMBERIE</t>
  </si>
  <si>
    <t>M. DURAND</t>
  </si>
  <si>
    <t>durand.depannage@gmail.com</t>
  </si>
  <si>
    <t xml:space="preserve">MORAN </t>
  </si>
  <si>
    <t>Temp'O</t>
  </si>
  <si>
    <t>VRB0612</t>
  </si>
  <si>
    <t>Declarat° sur l'honneur + AI</t>
  </si>
  <si>
    <t>CHEMINEES JAY</t>
  </si>
  <si>
    <t>M. ALO</t>
  </si>
  <si>
    <t xml:space="preserve"> MABLY 5 KW</t>
  </si>
  <si>
    <t>VRB0613</t>
  </si>
  <si>
    <t>Problème de labellisation</t>
  </si>
  <si>
    <t>Chemin de Bourretière</t>
  </si>
  <si>
    <t xml:space="preserve">SEGUIN DUTERIEZ </t>
  </si>
  <si>
    <t>INTREPID II FLEXBURN</t>
  </si>
  <si>
    <t>VRB0614</t>
  </si>
  <si>
    <t>Chemin de Côte Charles</t>
  </si>
  <si>
    <t>VRB0615</t>
  </si>
  <si>
    <t>Copie complète AI</t>
  </si>
  <si>
    <t>Attestation fin de travaux+photo 13/07</t>
  </si>
  <si>
    <t>PF 932 S</t>
  </si>
  <si>
    <t>VRB0616</t>
  </si>
  <si>
    <t>Delacrat° sur honneur + RIB à la bonne adresse</t>
  </si>
  <si>
    <t>Route des Alles</t>
  </si>
  <si>
    <t xml:space="preserve"> UNICA</t>
  </si>
  <si>
    <t>VRB0617</t>
  </si>
  <si>
    <t>RIB a la bonne adresse OK</t>
  </si>
  <si>
    <t>Route de Saint Bueil</t>
  </si>
  <si>
    <t>VRB0618</t>
  </si>
  <si>
    <t>Route de la Tour 1 Lot de la Charmette</t>
  </si>
  <si>
    <t>Nimes Stone 5,1kW</t>
  </si>
  <si>
    <t>VRB0619</t>
  </si>
  <si>
    <t xml:space="preserve">NORDPEIS </t>
  </si>
  <si>
    <t>Quadro1 New/Quadro2 New/Quadro3 New/Quadro Colorado</t>
  </si>
  <si>
    <t>VRB0620</t>
  </si>
  <si>
    <t>rib a la bonne adresse OK</t>
  </si>
  <si>
    <t>Route de Valence</t>
  </si>
  <si>
    <t>VRB0621</t>
  </si>
  <si>
    <t>Route de Celinas</t>
  </si>
  <si>
    <t xml:space="preserve"> Jøtul F 305</t>
  </si>
  <si>
    <t>VRB0622</t>
  </si>
  <si>
    <t>Chemin de la méarie</t>
  </si>
  <si>
    <t>romainchevaleyre@passionflamme.fr</t>
  </si>
  <si>
    <t>VRB0623</t>
  </si>
  <si>
    <t>LGF ENERGY</t>
  </si>
  <si>
    <t>M. JACQUET</t>
  </si>
  <si>
    <t>lgfenergy38@gmail.com</t>
  </si>
  <si>
    <t>VRB0624</t>
  </si>
  <si>
    <t>Route des Combes</t>
  </si>
  <si>
    <t>Jøtul F 164/F166</t>
  </si>
  <si>
    <t>VRB0625</t>
  </si>
  <si>
    <t>Chemin du Chevalier</t>
  </si>
  <si>
    <t>VOIRON POELES A BOIS ET GRANULES</t>
  </si>
  <si>
    <t>M. CHARREL</t>
  </si>
  <si>
    <t>Fox II</t>
  </si>
  <si>
    <t>VRB0626</t>
  </si>
  <si>
    <t>FS 165 / I400</t>
  </si>
  <si>
    <t>VRB0627</t>
  </si>
  <si>
    <t>car la commune de votre maison (APPRIEU) ne fait pas partie de la communauté d’agglomération du pays voironnais</t>
  </si>
  <si>
    <t>Rue du tram</t>
  </si>
  <si>
    <t>APPRIEU</t>
  </si>
  <si>
    <t>VRB0628</t>
  </si>
  <si>
    <t>ED22 VISIO 7 - VISIO 7 PLUS</t>
  </si>
  <si>
    <t>VRB0629</t>
  </si>
  <si>
    <t>Rue du Vercors</t>
  </si>
  <si>
    <t>HWAM / WIKING HWAM</t>
  </si>
  <si>
    <t>3130 IHS</t>
  </si>
  <si>
    <t>VRB0630</t>
  </si>
  <si>
    <t>Rue Noel Perrot Berton</t>
  </si>
  <si>
    <t xml:space="preserve"> 75x57 S 2.0</t>
  </si>
  <si>
    <t xml:space="preserve">   </t>
  </si>
  <si>
    <t>VRB0631</t>
  </si>
  <si>
    <t>Rib à la bonne adresse (ok)</t>
  </si>
  <si>
    <t>Lotissement les Horizons 1</t>
  </si>
  <si>
    <t>VRB0632</t>
  </si>
  <si>
    <t>Saint Pierre Village</t>
  </si>
  <si>
    <t>Saint Pierre Villages</t>
  </si>
  <si>
    <t>ECOFIRE NINA 8 V2</t>
  </si>
  <si>
    <t>VRB0633</t>
  </si>
  <si>
    <t>Formulaire de demande 1ére page, Rib à la bonne adresse + photo plan large</t>
  </si>
  <si>
    <t>Chemin de la Violette</t>
  </si>
  <si>
    <t>Soro</t>
  </si>
  <si>
    <t>VRB0634</t>
  </si>
  <si>
    <t xml:space="preserve">besoin de confirmation materiel </t>
  </si>
  <si>
    <t xml:space="preserve">DRU par FONTE FLAMME </t>
  </si>
  <si>
    <t>44 MF</t>
  </si>
  <si>
    <t>VRB0635</t>
  </si>
  <si>
    <t>Avis d'impot + RIB a la bonne adresse</t>
  </si>
  <si>
    <t>75x57 S 2.0</t>
  </si>
  <si>
    <t>VRB0636</t>
  </si>
  <si>
    <t>Route de la Chevalerie 7 Lotissement le clos de la perriere</t>
  </si>
  <si>
    <t>FZO/LS</t>
  </si>
  <si>
    <t>VRB0637</t>
  </si>
  <si>
    <t>Certicaf RGE Expiré OK / Avis d'impôt (ok)</t>
  </si>
  <si>
    <t>Impasse Guynemer</t>
  </si>
  <si>
    <t>Voreppe</t>
  </si>
  <si>
    <t>VRB0638</t>
  </si>
  <si>
    <t>Lotissement les horizons 2</t>
  </si>
  <si>
    <t>a.caruana@alp-confort.fr</t>
  </si>
  <si>
    <t>I 620</t>
  </si>
  <si>
    <t>VRB0639</t>
  </si>
  <si>
    <t>Chemin de frère Jean</t>
  </si>
  <si>
    <t>F360 ADVANCE V2</t>
  </si>
  <si>
    <t>VRB0640</t>
  </si>
  <si>
    <t>avis d'impôt de TOTTOLI</t>
  </si>
  <si>
    <t>VRB0641</t>
  </si>
  <si>
    <t>avis d'impôt / Déclaration sur l'honneur OK</t>
  </si>
  <si>
    <t>Rue Lavoisier</t>
  </si>
  <si>
    <t>75x51 S II 2.0</t>
  </si>
  <si>
    <t>VRB0642</t>
  </si>
  <si>
    <t>impasse de l'Erinier</t>
  </si>
  <si>
    <t>VRB0643</t>
  </si>
  <si>
    <t>Avis d'impôt / rib a la bonne adresse</t>
  </si>
  <si>
    <t>Chemin les chenes</t>
  </si>
  <si>
    <t>VRB0644</t>
  </si>
  <si>
    <t xml:space="preserve">Rib a la bonne adresse/ </t>
  </si>
  <si>
    <t>A8 V ROUND TOP</t>
  </si>
  <si>
    <t>VRB0645</t>
  </si>
  <si>
    <t>avis d'impôt</t>
  </si>
  <si>
    <t>Avenue Abel Rossignol</t>
  </si>
  <si>
    <t xml:space="preserve"> LUMA 5</t>
  </si>
  <si>
    <t>VRB0646</t>
  </si>
  <si>
    <t>Chemin du Gros Bois</t>
  </si>
  <si>
    <t>VRB0647</t>
  </si>
  <si>
    <t>Avis d'impôt + verso  de TF</t>
  </si>
  <si>
    <t>Route du  Chanin</t>
  </si>
  <si>
    <t>VRB0648</t>
  </si>
  <si>
    <t>Fcature acquitée 21/08</t>
  </si>
  <si>
    <t>Rue du Beal</t>
  </si>
  <si>
    <t xml:space="preserve">CHEMINEES DE CHAZELLES </t>
  </si>
  <si>
    <t>VRB0649</t>
  </si>
  <si>
    <t>Route de St Bueil</t>
  </si>
  <si>
    <t>&gt;2000</t>
  </si>
  <si>
    <t>JENNIFER 2.0</t>
  </si>
  <si>
    <t>VRB0650</t>
  </si>
  <si>
    <t>Rue du Donnier</t>
  </si>
  <si>
    <t>SAUDOY</t>
  </si>
  <si>
    <t>VRB0651</t>
  </si>
  <si>
    <t>RIB+Photo (ok)</t>
  </si>
  <si>
    <t>1990 - 1996</t>
  </si>
  <si>
    <t>VRB0652</t>
  </si>
  <si>
    <t>Route du Paris Le Clochet</t>
  </si>
  <si>
    <t xml:space="preserve">CLASICA </t>
  </si>
  <si>
    <t>VRB0653</t>
  </si>
  <si>
    <t xml:space="preserve">avis d'imposition </t>
  </si>
  <si>
    <t>Rue Louis Magnin</t>
  </si>
  <si>
    <t>AASGARD SAINT PRIEST</t>
  </si>
  <si>
    <t>SAINT PRIEST</t>
  </si>
  <si>
    <t>S,TERRIER</t>
  </si>
  <si>
    <t>stephaneterrier@aasgard.fr</t>
  </si>
  <si>
    <t>SERIE CONTURA C500STYLE</t>
  </si>
  <si>
    <t>VRB0654</t>
  </si>
  <si>
    <t>Route du plan Papon</t>
  </si>
  <si>
    <t>A8 V ROUND</t>
  </si>
  <si>
    <t>VRB0655</t>
  </si>
  <si>
    <t>NICKEL 800</t>
  </si>
  <si>
    <t>VRB0656</t>
  </si>
  <si>
    <t xml:space="preserve">avis d'impôt + RIB a la bonne adresse + formulaire de demande </t>
  </si>
  <si>
    <t>Avenue du 8 Mai 1945</t>
  </si>
  <si>
    <t>Uno Xtra</t>
  </si>
  <si>
    <t>VRB0657</t>
  </si>
  <si>
    <t>Avis d'impot + TF</t>
  </si>
  <si>
    <t>Chemin de pont de pinet</t>
  </si>
  <si>
    <t xml:space="preserve"> Ovalis T</t>
  </si>
  <si>
    <t>VRB0658</t>
  </si>
  <si>
    <t>VRB0659</t>
  </si>
  <si>
    <t>Cuisinière</t>
  </si>
  <si>
    <t>CANDY 4.0</t>
  </si>
  <si>
    <t>VRB0660</t>
  </si>
  <si>
    <t>Dossier complet 25/08 , envoie par courrier</t>
  </si>
  <si>
    <t>ALTEA-7</t>
  </si>
  <si>
    <t>VRB0661</t>
  </si>
  <si>
    <t>VRB0662</t>
  </si>
  <si>
    <t>Copie TF</t>
  </si>
  <si>
    <t>Allée du Hameau des Ayes</t>
  </si>
  <si>
    <t>VRB0663</t>
  </si>
  <si>
    <t>LEVANTE</t>
  </si>
  <si>
    <t>VRB0664</t>
  </si>
  <si>
    <t>Allée des Coquelicots</t>
  </si>
  <si>
    <t>SOLVEIG</t>
  </si>
  <si>
    <t>VRB0665</t>
  </si>
  <si>
    <t>photo / RIB a l'adresse du domicile/ vérif materiel OK</t>
  </si>
  <si>
    <t>Chemin de Boreas</t>
  </si>
  <si>
    <t>VRB0666</t>
  </si>
  <si>
    <t>VRB0667</t>
  </si>
  <si>
    <t>formulaire+questionnaire+lettre+ AI</t>
  </si>
  <si>
    <t>VRB0668</t>
  </si>
  <si>
    <t>Chemin du monnet</t>
  </si>
  <si>
    <t>BOLD</t>
  </si>
  <si>
    <t>VRB0669</t>
  </si>
  <si>
    <t>VRB0670</t>
  </si>
  <si>
    <t>2020-</t>
  </si>
  <si>
    <t>Suivi mensuel FABV</t>
  </si>
  <si>
    <t>Nb dossiers reçus</t>
  </si>
  <si>
    <t>ok</t>
  </si>
  <si>
    <t>Nb de dossier validés (stade devis)</t>
  </si>
  <si>
    <t>Janvier</t>
  </si>
  <si>
    <t>Nb de dossiers refusés</t>
  </si>
  <si>
    <t>Février</t>
  </si>
  <si>
    <t>Nb de dossier validés (stade facture)</t>
  </si>
  <si>
    <t>Mars</t>
  </si>
  <si>
    <t>Nb de dossiers engagés à 800€ (dossiers validés stade devis, éligible à ce jour)</t>
  </si>
  <si>
    <t>Avril</t>
  </si>
  <si>
    <t>Nb de dossiers engagés à 400€ (dossiers validés stade devis, éligible à ce jour)</t>
  </si>
  <si>
    <t>Mai</t>
  </si>
  <si>
    <t>Montant total dossiers engagés</t>
  </si>
  <si>
    <t>Juin</t>
  </si>
  <si>
    <t>Nb de dossiers en attente à 800€ (800?)</t>
  </si>
  <si>
    <t>Juillet</t>
  </si>
  <si>
    <t>Nb de dossiers en attente à 400€ (400?)</t>
  </si>
  <si>
    <t>Août</t>
  </si>
  <si>
    <t>Montant total dossiers en attente</t>
  </si>
  <si>
    <t>Septembre</t>
  </si>
  <si>
    <t>Nb de dossiers validés stade facture à 800€</t>
  </si>
  <si>
    <t>Octobre</t>
  </si>
  <si>
    <t>Nb de dossiers validés stade facture à 400€</t>
  </si>
  <si>
    <t>Novembre</t>
  </si>
  <si>
    <t>Montant dossiers validés stade facture à 800€</t>
  </si>
  <si>
    <t>Décembre</t>
  </si>
  <si>
    <t>Montant dossiers validés stade facture à 400€</t>
  </si>
  <si>
    <t>Montant dossiers engagés + en attente (demande intiale)</t>
  </si>
  <si>
    <t>Total reçu</t>
  </si>
  <si>
    <t>Montant dossiers engagés 800€ (envoi compta pour paiement)</t>
  </si>
  <si>
    <t>Total facturable</t>
  </si>
  <si>
    <t>Montant dossiers engagés 400€ (envoi compta pour paiement)</t>
  </si>
  <si>
    <t>Montant dossiers engagés total (envoi compta pour paiement)</t>
  </si>
  <si>
    <t>Somme allouée au dispositif</t>
  </si>
  <si>
    <t>Somme restante du dispositif</t>
  </si>
  <si>
    <t>Nb de dossiers restants (sur la base de 500€/dossier en moyenne)</t>
  </si>
  <si>
    <t>Début du début du dispositif</t>
  </si>
  <si>
    <t>Nombre de mois depuis le début du dispositif</t>
  </si>
  <si>
    <t>Nb de dossiers payés</t>
  </si>
  <si>
    <t>Nb de dossiers instruction en cours 400?+800?+400+800</t>
  </si>
  <si>
    <t>Montant dossiers intruction en cours 400?+800?+400+800</t>
  </si>
  <si>
    <t>Nb de dossiers engagés à 800€</t>
  </si>
  <si>
    <t>Nb de dossiers engagés à 400€</t>
  </si>
  <si>
    <t>Nb de dossiers en attente à 800€</t>
  </si>
  <si>
    <t>Nb de dossiers en attente à 400€</t>
  </si>
  <si>
    <t>Prime Air Bois</t>
  </si>
  <si>
    <t>Suivi dossier aides</t>
  </si>
  <si>
    <t xml:space="preserve">  N° dossier : VRB</t>
  </si>
  <si>
    <t xml:space="preserve">Dossier reçu le : </t>
  </si>
  <si>
    <t>Reçu par :</t>
  </si>
  <si>
    <t xml:space="preserve">mail </t>
  </si>
  <si>
    <t>Eléments du dossier de demande</t>
  </si>
  <si>
    <t>courrier</t>
  </si>
  <si>
    <t>main-propre</t>
  </si>
  <si>
    <t>Formulaire de demande (2 pages)</t>
  </si>
  <si>
    <t>Questionnaire (2 pages)</t>
  </si>
  <si>
    <t>Lettre de sollicitation</t>
  </si>
  <si>
    <t>Avis d’imposition propriétaire</t>
  </si>
  <si>
    <t>Avis d’imposition locataire ou bail (si le demandeur est un propriétaire bailleur)</t>
  </si>
  <si>
    <t>Justificatif de propriété :</t>
  </si>
  <si>
    <t xml:space="preserve">        Acte de vente (attestation)</t>
  </si>
  <si>
    <t xml:space="preserve">        Taxe foncière</t>
  </si>
  <si>
    <t xml:space="preserve">       autres : …………………………………………………</t>
  </si>
  <si>
    <t>Devis</t>
  </si>
  <si>
    <t>Photo de l’appareil à remplacer</t>
  </si>
  <si>
    <t>Etat de l’instruction avant transfert EPCI pour arrêté d'attribution</t>
  </si>
  <si>
    <t>Dossier complet</t>
  </si>
  <si>
    <t>Dossier non éligible.</t>
  </si>
  <si>
    <t>Raison(s) de la non éligibilité : ……………………………………………………………………………………………………….</t>
  </si>
  <si>
    <t>Eléments de la demande de versement</t>
  </si>
  <si>
    <t>Facture acquitée</t>
  </si>
  <si>
    <t>Attestation CERFA ou certificat sur l'honneur attestant le remplacement du foyer ouvert</t>
  </si>
  <si>
    <t>Photo illustrant la réalisation des travaux</t>
  </si>
  <si>
    <t>Collone concernée</t>
  </si>
  <si>
    <t>Etape dossier - 1</t>
  </si>
  <si>
    <t>Etape dossier - 2</t>
  </si>
  <si>
    <t>Eléments de réponses</t>
  </si>
  <si>
    <t>Colonne D</t>
  </si>
  <si>
    <t>1_dossier_recu</t>
  </si>
  <si>
    <t>Nous avons bien reçu votre dossier mais il n'a pas encore été instruit. Le délai maximum pour instruire les dossiers est de 15 jours.</t>
  </si>
  <si>
    <t>Colonne E</t>
  </si>
  <si>
    <t>Colonne F</t>
  </si>
  <si>
    <t>2_dossier_incomplet (option)</t>
  </si>
  <si>
    <t xml:space="preserve">envoi email "dossier incomplet" au demandeur </t>
  </si>
  <si>
    <t>Dans le cas d'un dossier incomplet, il s'agit de la date de demande déléments complémentaires au particulier, à l'installateur ou de la date de demande d'inscription au regsitre des appareils léigibles à la prime.</t>
  </si>
  <si>
    <t>Colonne G</t>
  </si>
  <si>
    <t>2_dossier_incomplet_pieces_complementaires (option)</t>
  </si>
  <si>
    <t>remarques si incomplet, puis date lorsque dossier complet</t>
  </si>
  <si>
    <t>Nous avons bien reçu votre dossier mais certains éléments sont incomplets. Vous avez du recevoir un mail à ce sujet (si la personne a un mail …)
Les raisons peuvent être un document manquant, une demande de confirmation de matériel envoyé à votre installateur ou une attente de confirmation d'inscription au registre (ce dernier peut prendre entre 1 à plus de 6 mois voire infini ...)
Si dans la case, il y a une date, cela signifie que les éléments manquants ont été reçu par l'instruction</t>
  </si>
  <si>
    <t>Colonne H</t>
  </si>
  <si>
    <t>3_dossier_complet</t>
  </si>
  <si>
    <t>Date de finalisation du dossier</t>
  </si>
  <si>
    <t>Le dossier est complet au vue des éléménts fournis mais n'a pour le moment pas été transféré à la Communauté de communes.</t>
  </si>
  <si>
    <t>Colonne I</t>
  </si>
  <si>
    <t>envoi e-mail AGEDEN --&gt; EPCI</t>
  </si>
  <si>
    <t>Date du transfert du dossier de l'AGEDEN à la Communauté de communes. A partir de ce moment, le démarrage des travaux est autorisé mais pas la facturation (pas avant d'avoir reçu l'arrêté attributif). Pendant ce laps de temps, l'arrêté attributif va être édité puis lors du passage de l'élu à la Communauté de communes, il sera signé puis envoyé par voie postale au particulier</t>
  </si>
  <si>
    <t>Colonne J</t>
  </si>
  <si>
    <t>4_Date_arrêté_attributif</t>
  </si>
  <si>
    <t>à remplir à partir de l'arrêté envoyé par l'EPCI</t>
  </si>
  <si>
    <t>L'arrêté attributif a été édité à cette date.</t>
  </si>
  <si>
    <t>Colonne K</t>
  </si>
  <si>
    <t>envoi courrier de l'EPCI au particulier (arrété attributif)</t>
  </si>
  <si>
    <t>L'arrêté attributif et la demande de versement a été envoyé à cette date. S'il ne l'a pas reçu, vérifier l'adresse postale avec lui. Si nous sommes plus de 15 jours après la date, nous informons le particulier que l'on va faire une demande de duplicata.</t>
  </si>
  <si>
    <t>Colonne L</t>
  </si>
  <si>
    <t>5 _facture_demande_versement_cerfa (option)</t>
  </si>
  <si>
    <t>Nous avons reçu votre demande de versement mais elle n'a pas encore été traitée.</t>
  </si>
  <si>
    <t>Colonne M</t>
  </si>
  <si>
    <t>Date de facturation</t>
  </si>
  <si>
    <t>Colonne N</t>
  </si>
  <si>
    <t>Si demande de versement incomplète, il est écrit ce qu'il manque.
S'il y a une date, c'est que la demande de versement est à présent complète.</t>
  </si>
  <si>
    <t>Colonne O</t>
  </si>
  <si>
    <t>6_transfert_facture_demande_versement_epci</t>
  </si>
  <si>
    <t>envoi de RIB et infos dossier complet a EPCI</t>
  </si>
  <si>
    <t>Votre demande de versement est complète et à été transféré à la Communauté de communes le …
Le traitement peut prendre 2 à 3 semaines puis il y aura à nouveau 2 à 3 semaines pour que le virement soit effectif.</t>
  </si>
  <si>
    <t>Colonne P</t>
  </si>
  <si>
    <t>6_transfert_facture_demande_versement_complet_demandeur</t>
  </si>
  <si>
    <t>"date mandatement" au demandeur</t>
  </si>
  <si>
    <t>Date de l'ordre de virement de la Communauté de communes.
Le virement sera effectif d'ici 2 à 3 semaines.</t>
  </si>
  <si>
    <t>Colonne Q</t>
  </si>
  <si>
    <t>envoi email "date mandatement" au demandeur</t>
  </si>
  <si>
    <t>Envoi du mail comme quoi le virement devrait arriver d'ici 2 à 3 semaines. Si plus d'un mois, prevenir l'instructeur pour informer la Communauté de communes</t>
  </si>
  <si>
    <t>Colonne R</t>
  </si>
  <si>
    <t>Dossier bloqué durant l'instruction</t>
  </si>
  <si>
    <t>Colonne S</t>
  </si>
  <si>
    <t>dossier_non_eligible</t>
  </si>
  <si>
    <t>Date d'envoie du refus du dossier</t>
  </si>
  <si>
    <t>Colonne T</t>
  </si>
  <si>
    <t>rmq_si_non_eligible</t>
  </si>
  <si>
    <t>Raison du refus du dossier</t>
  </si>
  <si>
    <t>Commune particulier</t>
  </si>
  <si>
    <t>Commune pro</t>
  </si>
  <si>
    <t>Bilieu</t>
  </si>
  <si>
    <t>ALBERTVILLE</t>
  </si>
  <si>
    <t>La Buisse</t>
  </si>
  <si>
    <t>Charancieu</t>
  </si>
  <si>
    <t>BARRAUX</t>
  </si>
  <si>
    <t>Charavines</t>
  </si>
  <si>
    <t>Bourg-de-Péage</t>
  </si>
  <si>
    <t>Charnècles</t>
  </si>
  <si>
    <t>Bourgneuf</t>
  </si>
  <si>
    <t>Chirens</t>
  </si>
  <si>
    <t>Bourgoin-Jallieu</t>
  </si>
  <si>
    <t>Coublevie</t>
  </si>
  <si>
    <t>Briançon</t>
  </si>
  <si>
    <t>Massieu</t>
  </si>
  <si>
    <t>Challes-Les-Eaux</t>
  </si>
  <si>
    <t>Merlas</t>
  </si>
  <si>
    <t>Chambéry</t>
  </si>
  <si>
    <t>Moirans</t>
  </si>
  <si>
    <t>Champier</t>
  </si>
  <si>
    <t>Montferrat</t>
  </si>
  <si>
    <t>Chapareillan</t>
  </si>
  <si>
    <t>La Murette</t>
  </si>
  <si>
    <t>Villages-du-Lac-de-Paladru</t>
  </si>
  <si>
    <t>Chatillon-sur-Chalaronne</t>
  </si>
  <si>
    <t>Réaumont</t>
  </si>
  <si>
    <t>Chatte</t>
  </si>
  <si>
    <t xml:space="preserve">Rives </t>
  </si>
  <si>
    <t>Chatuzange-Le-Goubet</t>
  </si>
  <si>
    <t xml:space="preserve">Saint-Aupre </t>
  </si>
  <si>
    <t>Corbas</t>
  </si>
  <si>
    <t>Saint-Blaise-du-Buis</t>
  </si>
  <si>
    <t>Crolles</t>
  </si>
  <si>
    <t>Saint-Bueil</t>
  </si>
  <si>
    <t>Die</t>
  </si>
  <si>
    <t>Saint-Cassien</t>
  </si>
  <si>
    <t>Domène</t>
  </si>
  <si>
    <t>Saint-Étienne-de-Crossey</t>
  </si>
  <si>
    <t>Domessin</t>
  </si>
  <si>
    <t>Saint-Geoire-en-Valdaine</t>
  </si>
  <si>
    <t>Drumettaz-Clarafond</t>
  </si>
  <si>
    <t>Saint-Jean-de-Moirans</t>
  </si>
  <si>
    <t>Echirolles</t>
  </si>
  <si>
    <t>La-Sure- en-Chartreuse</t>
  </si>
  <si>
    <t>Estrablin</t>
  </si>
  <si>
    <t>Saint-Nicolas-de-Macherin</t>
  </si>
  <si>
    <t>Eybens</t>
  </si>
  <si>
    <t>Saint-Sulpice-des-Rivoires</t>
  </si>
  <si>
    <t>Fontanil-Cornillon</t>
  </si>
  <si>
    <t xml:space="preserve">Tullins </t>
  </si>
  <si>
    <t>Frontenex</t>
  </si>
  <si>
    <t>Velanne</t>
  </si>
  <si>
    <t>Gap</t>
  </si>
  <si>
    <t xml:space="preserve">Voiron </t>
  </si>
  <si>
    <t>Goncelin</t>
  </si>
  <si>
    <t>Voissant</t>
  </si>
  <si>
    <t>Grenoble</t>
  </si>
  <si>
    <t>Gresse-en-Vercors</t>
  </si>
  <si>
    <t>Vourey</t>
  </si>
  <si>
    <t>La Bathie</t>
  </si>
  <si>
    <t>La Bâtie-Montgascon</t>
  </si>
  <si>
    <t>La-Chappelle-du-Bard</t>
  </si>
  <si>
    <t>La-Ravoire</t>
  </si>
  <si>
    <t>La-Tour-du-Pin</t>
  </si>
  <si>
    <t>Le-Bourget-du-Lac</t>
  </si>
  <si>
    <t>Le-Cheylas</t>
  </si>
  <si>
    <t>Le-Gua</t>
  </si>
  <si>
    <t>Le-Pont-de-Beauvoison</t>
  </si>
  <si>
    <t>Le-Sappey-en-Chartreuse</t>
  </si>
  <si>
    <t>Les-Avenières</t>
  </si>
  <si>
    <t>Lescheraines</t>
  </si>
  <si>
    <t>Le-Touvet</t>
  </si>
  <si>
    <t>Massieux</t>
  </si>
  <si>
    <t>Meyrie</t>
  </si>
  <si>
    <t>Plan</t>
  </si>
  <si>
    <t>Pontcharra</t>
  </si>
  <si>
    <t>Porte-de-Savoie</t>
  </si>
  <si>
    <t>Renage</t>
  </si>
  <si>
    <t>Revel</t>
  </si>
  <si>
    <t>Ruy-Montceau</t>
  </si>
  <si>
    <t>Sablons</t>
  </si>
  <si>
    <t>Saint-Alban-de-Roche</t>
  </si>
  <si>
    <t>Saint-André-le-Gaz</t>
  </si>
  <si>
    <t>Saint-Aupre</t>
  </si>
  <si>
    <t>Saint-Baldoph</t>
  </si>
  <si>
    <t>Saint-Bonnet-de-Mure</t>
  </si>
  <si>
    <t>Saint-Egrève</t>
  </si>
  <si>
    <t>Saint-Jean-de-Bournay</t>
  </si>
  <si>
    <t>Saint-Jorioz</t>
  </si>
  <si>
    <t>Saint-Laurent-du-Pont</t>
  </si>
  <si>
    <t>Saint-Louis</t>
  </si>
  <si>
    <t>Saint-Martin-d'Hères</t>
  </si>
  <si>
    <t>Saint-Martin-d'Uriage</t>
  </si>
  <si>
    <t>Saint-Maximin</t>
  </si>
  <si>
    <t>Saint-Pierre-d'Albigny</t>
  </si>
  <si>
    <t>Saint-Pierre-de-Chartreuse</t>
  </si>
  <si>
    <t>Saint-Pierre-d'Entremont</t>
  </si>
  <si>
    <t>Saint-Priest</t>
  </si>
  <si>
    <t>Scionzier</t>
  </si>
  <si>
    <t>Séchilienne</t>
  </si>
  <si>
    <t>St-Etienne-de-St-Geoirs</t>
  </si>
  <si>
    <t>Susville</t>
  </si>
  <si>
    <t>Tencin</t>
  </si>
  <si>
    <t>Theys</t>
  </si>
  <si>
    <t>Thonon-les-Bains</t>
  </si>
  <si>
    <t>Torchefelon</t>
  </si>
  <si>
    <t>Tullins</t>
  </si>
  <si>
    <t>Varces</t>
  </si>
  <si>
    <t>Vaulnaveys</t>
  </si>
  <si>
    <t>Vif</t>
  </si>
  <si>
    <t>Villefranche-sur-Saone</t>
  </si>
  <si>
    <t>Villeneuve-d'Asq</t>
  </si>
  <si>
    <t>Voglans</t>
  </si>
  <si>
    <t>Nbre personnes</t>
  </si>
  <si>
    <r>
      <t>Montant aide</t>
    </r>
    <r>
      <rPr>
        <b/>
        <sz val="11"/>
        <color rgb="FFFF0000"/>
        <rFont val="Calibri"/>
        <family val="2"/>
      </rPr>
      <t xml:space="preserve"> 
(pas pris automatiquement dans les formules de BD)</t>
    </r>
  </si>
  <si>
    <t>VRB0671</t>
  </si>
  <si>
    <t>VRB0672</t>
  </si>
  <si>
    <t>VRB0673</t>
  </si>
  <si>
    <t>Chemin de Bourretiere</t>
  </si>
  <si>
    <t>BOW</t>
  </si>
  <si>
    <t>Impasse des Charmettes</t>
  </si>
  <si>
    <t>VRB0674</t>
  </si>
  <si>
    <t>VRB0675</t>
  </si>
  <si>
    <t>VRB0676</t>
  </si>
  <si>
    <t>VRB0677</t>
  </si>
  <si>
    <t>VRB0678</t>
  </si>
  <si>
    <t>VRB0679</t>
  </si>
  <si>
    <t>VRB0680</t>
  </si>
  <si>
    <t>VRB0681</t>
  </si>
  <si>
    <t>VRB0682</t>
  </si>
  <si>
    <t>VRB0683</t>
  </si>
  <si>
    <t>VRB0684</t>
  </si>
  <si>
    <t>VRB0685</t>
  </si>
  <si>
    <t>VRB0686</t>
  </si>
  <si>
    <t>VRB0687</t>
  </si>
  <si>
    <t>VRB0688</t>
  </si>
  <si>
    <t>VRB0689</t>
  </si>
  <si>
    <t>VRB0690</t>
  </si>
  <si>
    <t>VRB0691</t>
  </si>
  <si>
    <t>VRB0692</t>
  </si>
  <si>
    <t>VRB0693</t>
  </si>
  <si>
    <t>VRB0694</t>
  </si>
  <si>
    <t>VRB0695</t>
  </si>
  <si>
    <t>VRB0696</t>
  </si>
  <si>
    <t>VRB0697</t>
  </si>
  <si>
    <t>VRB0698</t>
  </si>
  <si>
    <t>VRB0699</t>
  </si>
  <si>
    <t>VRB0700</t>
  </si>
  <si>
    <t>VRB0701</t>
  </si>
  <si>
    <t>VRB0702</t>
  </si>
  <si>
    <t>VRB0703</t>
  </si>
  <si>
    <t>VRB0704</t>
  </si>
  <si>
    <t>VRB0705</t>
  </si>
  <si>
    <t>VRB0706</t>
  </si>
  <si>
    <t>VRB0707</t>
  </si>
  <si>
    <t>VRB0708</t>
  </si>
  <si>
    <t>VRB0709</t>
  </si>
  <si>
    <t>VRB0710</t>
  </si>
  <si>
    <t>VRB0711</t>
  </si>
  <si>
    <t>VRB0712</t>
  </si>
  <si>
    <t>VRB0713</t>
  </si>
  <si>
    <t>VRB0714</t>
  </si>
  <si>
    <t>VRB0715</t>
  </si>
  <si>
    <t>VRB0716</t>
  </si>
  <si>
    <t>VRB0717</t>
  </si>
  <si>
    <t>VRB0718</t>
  </si>
  <si>
    <t>VRB0719</t>
  </si>
  <si>
    <t>VRB0720</t>
  </si>
  <si>
    <t>VRB0721</t>
  </si>
  <si>
    <t>VRB0722</t>
  </si>
  <si>
    <t>VRB0723</t>
  </si>
  <si>
    <t>VRB0724</t>
  </si>
  <si>
    <t>VRB0725</t>
  </si>
  <si>
    <t>VRB0726</t>
  </si>
  <si>
    <t>VRB0727</t>
  </si>
  <si>
    <t>VRB0728</t>
  </si>
  <si>
    <t>VRB0729</t>
  </si>
  <si>
    <t>VRB0730</t>
  </si>
  <si>
    <t>VRB0731</t>
  </si>
  <si>
    <t>VRB0732</t>
  </si>
  <si>
    <t>VRB0733</t>
  </si>
  <si>
    <t>VRB0734</t>
  </si>
  <si>
    <t>VRB0735</t>
  </si>
  <si>
    <t>VRB0736</t>
  </si>
  <si>
    <t>VRB0737</t>
  </si>
  <si>
    <t>VRB0738</t>
  </si>
  <si>
    <t>VRB0739</t>
  </si>
  <si>
    <t>VRB0740</t>
  </si>
  <si>
    <t>VRB0741</t>
  </si>
  <si>
    <t>VRB0742</t>
  </si>
  <si>
    <t>VRB0743</t>
  </si>
  <si>
    <t>VRB0744</t>
  </si>
  <si>
    <t>VRB0745</t>
  </si>
  <si>
    <t>VRB0746</t>
  </si>
  <si>
    <t>VRB0747</t>
  </si>
  <si>
    <t>VRB0748</t>
  </si>
  <si>
    <t>VRB0749</t>
  </si>
  <si>
    <t>VRB0750</t>
  </si>
  <si>
    <t>Lotissement la Grange des prés</t>
  </si>
  <si>
    <t>Lugo</t>
  </si>
  <si>
    <t>Avis d'impots</t>
  </si>
  <si>
    <t>FOYER EXPERIENCE 120 VITRE LATERALE</t>
  </si>
  <si>
    <t xml:space="preserve"> Clou compact</t>
  </si>
  <si>
    <t>Route Guillermet</t>
  </si>
  <si>
    <t>&lt;1980</t>
  </si>
  <si>
    <t>lettre + photo plan large</t>
  </si>
  <si>
    <t>Route des Gorges</t>
  </si>
  <si>
    <t>Justificatif domicile + AI</t>
  </si>
  <si>
    <t>Chemin de Vouise</t>
  </si>
  <si>
    <t>Recherche RFR</t>
  </si>
  <si>
    <t>Catégories de plafonds</t>
  </si>
  <si>
    <t>2023</t>
  </si>
  <si>
    <t>2024</t>
  </si>
  <si>
    <t>2025</t>
  </si>
  <si>
    <t>Très modestes</t>
  </si>
  <si>
    <t>Modestes</t>
  </si>
  <si>
    <t>Intermédiaire</t>
  </si>
  <si>
    <t>Catégorie MPR</t>
  </si>
  <si>
    <t>Calcul automatique une fois dossier finalisé (attention sibesoin ecrêtement)</t>
  </si>
  <si>
    <t>Très modeste / Modeste / Intermédiaire / Supérieur</t>
  </si>
  <si>
    <t>2021</t>
  </si>
  <si>
    <t>2022</t>
  </si>
  <si>
    <t>MLC</t>
  </si>
  <si>
    <t>BELGOFIRE</t>
  </si>
  <si>
    <t>SAEY 94 EVO</t>
  </si>
  <si>
    <t>Route de Bois vert</t>
  </si>
  <si>
    <t>Petit Carvin</t>
  </si>
  <si>
    <t>SVE</t>
  </si>
  <si>
    <t>Chemin du Bois Marzet</t>
  </si>
  <si>
    <t>Drop</t>
  </si>
  <si>
    <t>Route de la Cascade</t>
  </si>
  <si>
    <t>1975-1990</t>
  </si>
  <si>
    <t>Demande après travaux</t>
  </si>
  <si>
    <t>Avenue Louis Moyroud</t>
  </si>
  <si>
    <t>Route de la planche Cattin</t>
  </si>
  <si>
    <t>04 76 35 43 64</t>
  </si>
  <si>
    <t>Impasse du Grand Ratz</t>
  </si>
  <si>
    <t>Ronky-Pierre Ollaire</t>
  </si>
  <si>
    <t>Manque une partie du devis</t>
  </si>
  <si>
    <t>Manque RIB; Ok le 12/10/23</t>
  </si>
  <si>
    <t>Problem de labellisat° OK</t>
  </si>
  <si>
    <t>SVE/FZO</t>
  </si>
  <si>
    <t>Justificatif domicile + AI OK</t>
  </si>
  <si>
    <t>Facture acquittée +photo+attestation fin de travaux</t>
  </si>
  <si>
    <t>Route de Virieu le Pin</t>
  </si>
  <si>
    <t>Phot de nouvelle installation</t>
  </si>
  <si>
    <t>LUMA 5</t>
  </si>
  <si>
    <t>Route Du Pellet</t>
  </si>
  <si>
    <t>M. JASSAUX</t>
  </si>
  <si>
    <t>Stockton 11 ECO WOOD - 2 DOOR : 721-243</t>
  </si>
  <si>
    <t>Poêle NEOSEN 3V</t>
  </si>
  <si>
    <t>Route de Saint Geaoire La Sauge</t>
  </si>
  <si>
    <t>PANTHERA</t>
  </si>
  <si>
    <t>Facture acquitéé</t>
  </si>
  <si>
    <t>Refusé - pas d'envoi d'enquête</t>
  </si>
  <si>
    <t>Non pour comunication - pas d'envoi d'enquête</t>
  </si>
  <si>
    <t>pas d'adresse mail - pas d'envoi d'enquête</t>
  </si>
  <si>
    <r>
      <t xml:space="preserve">RIB a la bonne adresse OK </t>
    </r>
    <r>
      <rPr>
        <b/>
        <sz val="13"/>
        <color rgb="FF000000"/>
        <rFont val="Calibri"/>
        <family val="2"/>
        <charset val="1"/>
      </rPr>
      <t>(demande d'équivalence fait le 29/06/23) OK</t>
    </r>
  </si>
  <si>
    <t>Avant 2002</t>
  </si>
  <si>
    <t>Villeteau</t>
  </si>
  <si>
    <t>Square Marie Laurencin, Rue Camille Claudel</t>
  </si>
  <si>
    <t>Impasse des Pins</t>
  </si>
  <si>
    <t xml:space="preserve"> 796-3V</t>
  </si>
  <si>
    <t xml:space="preserve">AI + RIB a la bonne adrese </t>
  </si>
  <si>
    <t>RED</t>
  </si>
  <si>
    <t>KUNAL AIR 6 XUP! S1</t>
  </si>
  <si>
    <t>formulaire incorrect</t>
  </si>
  <si>
    <t>20/11 Attestation fin de travaux , photo ,attstation de destruction</t>
  </si>
  <si>
    <t>En attente de labellisation/ Relance par mail 22/06/23</t>
  </si>
  <si>
    <t>TF / relance fait 28/09/ Relance 22/06/23</t>
  </si>
  <si>
    <t>attente infos sur matériel / mail 26/08/22</t>
  </si>
  <si>
    <t>RIB illisible / photo avec feu et en plan large + Relance mail 22/06/23</t>
  </si>
  <si>
    <t>Acte de vente , RIB et Photo, artisan non RGE + Relance 22/06/23</t>
  </si>
  <si>
    <t>Facture acquittée +B Relance mail le 22/06/23</t>
  </si>
  <si>
    <t xml:space="preserve">22/11/23 Message vocal + mail pour la demande de versement </t>
  </si>
  <si>
    <t>Relance le 22/06/23 ( mail )Rib à la bonne adresse OK</t>
  </si>
  <si>
    <t>Reoondeur , mais le numero ne passe pas , mail 10/11, Car le matéreiel a remplacé est posterieur à 2002</t>
  </si>
  <si>
    <t>Dossier non eligible / les délais d'attente pour les pièces justificatives demandées excèdent les 6 mois permis.</t>
  </si>
  <si>
    <t>les délais d'attente pour les pièces justificatives demandées excèdent les 6 mois permis.</t>
  </si>
  <si>
    <t>les délais d'attente pour   les pièces justificatives demandées excèdent les 6 mois permis.</t>
  </si>
  <si>
    <t>problème de labellit° / eu artisan 19/10 en cours d'agrément chez le fabricant/ mail 19/10 + Relance +17/11/22 + Relance le 22/06/23</t>
  </si>
  <si>
    <t xml:space="preserve">Photo plan large / relance 24/11/23 au tel </t>
  </si>
  <si>
    <t>justificatif de po + AI / 24/11/23 Son mari est décédé et n'acces a rien</t>
  </si>
  <si>
    <t>tel + Relance mail demande de versement 24/11/2023</t>
  </si>
  <si>
    <t>Relance demande de versement mail le 24/11/23 +tel</t>
  </si>
  <si>
    <t>Relance demande de versement mail le 24/11/23</t>
  </si>
  <si>
    <t>Relance demande de versement mail le 27/11/23</t>
  </si>
  <si>
    <t>Une page de TF + Relance 22/06/23 / + relance tel  + mail 27/11/23</t>
  </si>
  <si>
    <t>31-10 :  dossiere refusé pour Travaux effectués avant l'arrêté mais dérog accepté par la CAPV</t>
  </si>
  <si>
    <t>date du courrier d'attribution</t>
  </si>
  <si>
    <t>Facture acquittée 04/12/23</t>
  </si>
  <si>
    <t>Attestation fin de travaux 05/12/23</t>
  </si>
  <si>
    <t>Photo de nouvelle installation + attestation de destruction 05/12/23</t>
  </si>
  <si>
    <t>Photo plan large ok/ relance message vocal + mail 27/11/23</t>
  </si>
  <si>
    <t>Montée du Pave</t>
  </si>
  <si>
    <t>Rue des Cerneaux</t>
  </si>
  <si>
    <t>Rue du Village</t>
  </si>
  <si>
    <t>Impasse de Pensadiere</t>
  </si>
  <si>
    <t>Rue de la  Republique</t>
  </si>
  <si>
    <t>Lotissement les murettes</t>
  </si>
  <si>
    <t>Route des Fayolles Pommiers La Placette</t>
  </si>
  <si>
    <t xml:space="preserve">RIB a l'adresse des travaux </t>
  </si>
  <si>
    <t>MABLY 10 KW</t>
  </si>
  <si>
    <t>fZO</t>
  </si>
  <si>
    <t>Cuisiniere</t>
  </si>
  <si>
    <t>Modane 65-F</t>
  </si>
  <si>
    <t>Allée de la plage aux Renards</t>
  </si>
  <si>
    <t>Filo</t>
  </si>
  <si>
    <t>CROSSEY CHAUFFAGE</t>
  </si>
  <si>
    <t>M. VIVIER</t>
  </si>
  <si>
    <t>crosseychauffage@orange.fr</t>
  </si>
  <si>
    <t>KUNAL AIR 6 S1</t>
  </si>
  <si>
    <t>Phot plan large + Justificatif de domicile + déclaration sur l'honneur + AI</t>
  </si>
  <si>
    <t>LAMIA</t>
  </si>
  <si>
    <t>AASGARD LIMONEST</t>
  </si>
  <si>
    <t xml:space="preserve"> LIMONEST</t>
  </si>
  <si>
    <t>M. COULON</t>
  </si>
  <si>
    <t>grenoble@aasgard.fr</t>
  </si>
  <si>
    <t>S31A-N31V</t>
  </si>
  <si>
    <t>04 44 88 01 07</t>
  </si>
  <si>
    <t>Relance demande de versement mail le 24/11/23 +tel/ Attestation fin des travaux</t>
  </si>
  <si>
    <t>Attestation fin de travaux + photo</t>
  </si>
  <si>
    <t xml:space="preserve">Chemin des 3 Chataigniers </t>
  </si>
  <si>
    <t>contact@ambianceetfeu.fr</t>
  </si>
  <si>
    <t xml:space="preserve">HASE </t>
  </si>
  <si>
    <t>HASE SILA</t>
  </si>
  <si>
    <t>Relance demande de versement mail le 24/11/23 +tel/ Mail pour nouvelle facture 12/12/23 + appel 13/12/23</t>
  </si>
  <si>
    <t xml:space="preserve">Déclaration sur l'honneur datée et signée </t>
  </si>
  <si>
    <t>Impasse de la Morge</t>
  </si>
  <si>
    <t>Route de Champfeuillet</t>
  </si>
  <si>
    <t>Paro Bois</t>
  </si>
  <si>
    <t>photo plan large + rib a la bonne adresse</t>
  </si>
  <si>
    <t>X1</t>
  </si>
  <si>
    <t>RIB à la bonne adresse / AI</t>
  </si>
  <si>
    <t>Jsutificatif domicile + Attestation sur l'honneur</t>
  </si>
  <si>
    <t xml:space="preserve">Besoin de confir mataeriel / AI /Déclaration sur l'honneur </t>
  </si>
  <si>
    <t>P64V-3 Canalisable</t>
  </si>
  <si>
    <t>Rue Leon Garcin</t>
  </si>
  <si>
    <t>M. GERENTE PAQUET</t>
  </si>
  <si>
    <t>SMART 60</t>
  </si>
  <si>
    <t>Le Jallas       Saint Julien De Raz</t>
  </si>
  <si>
    <t xml:space="preserve">La Lambertiere Lotissement les Jonquilles </t>
  </si>
  <si>
    <t xml:space="preserve"> ETRUN 8kW</t>
  </si>
  <si>
    <t>Route Saint Nicolas De Macherin</t>
  </si>
  <si>
    <t>Photo de nouvelle installation 21/12/23</t>
  </si>
  <si>
    <t>Habit 93 TC + T</t>
  </si>
  <si>
    <t>Route des 3 Fontaines Pommiers La Placette</t>
  </si>
  <si>
    <t>Chemin du Delard</t>
  </si>
  <si>
    <t>Montée du Cuchet</t>
  </si>
  <si>
    <t>Chemin du Coublevie</t>
  </si>
  <si>
    <t>Route du Burlet</t>
  </si>
  <si>
    <t>Route des Arronds</t>
  </si>
  <si>
    <t>Impasse des Buissonnieres</t>
  </si>
  <si>
    <t>Attestation fin de travaux ok / manque la nouvelle facture 04/01/24</t>
  </si>
  <si>
    <t>ALADINO GLASS A 10</t>
  </si>
  <si>
    <t>Justificatif prté + RIB</t>
  </si>
  <si>
    <t xml:space="preserve"> ED22 INSERT VISIO 7</t>
  </si>
  <si>
    <t>Probleme d'adresse sur la TF /Message vocal</t>
  </si>
  <si>
    <t>voglans@poelegranules.fr</t>
  </si>
  <si>
    <t>Rosa XXL</t>
  </si>
  <si>
    <t>Lotissement les Primeveres</t>
  </si>
  <si>
    <t>VAUCELLES</t>
  </si>
  <si>
    <t>Formulaire + questionnaire+TH</t>
  </si>
  <si>
    <t>Route de chartreuse</t>
  </si>
  <si>
    <t>Route du Rosey</t>
  </si>
  <si>
    <t xml:space="preserve">Impasse Pré Bilieu </t>
  </si>
  <si>
    <t xml:space="preserve">Travaux réalisé avant la demande d'aide/ mail + tel </t>
  </si>
  <si>
    <t>facture acquitée + Attestation fin de travaux  22/06/ Message vocal + mail le 17/01/24</t>
  </si>
  <si>
    <t>Eu la dame au 17/01/24 va nous envoyer la facture d'ici 15 fevrier 2024</t>
  </si>
  <si>
    <t>Message vocal + mail le 17/01/24</t>
  </si>
  <si>
    <t>Message vocal + mail</t>
  </si>
  <si>
    <t>message vocal + mail 17/01/24</t>
  </si>
  <si>
    <t>Eu au tel 17/01/24, elle va nous envoyer dans la semaine + mail</t>
  </si>
  <si>
    <t>Message vocal + mail 17/01/24</t>
  </si>
  <si>
    <t>pas nisponible au tel + mail 17/01/24</t>
  </si>
  <si>
    <t>le travaux vont ternimer la semaine prochaine , eu au tel 17/01/24 et va nous envoyer les documents après + mail</t>
  </si>
  <si>
    <t>Eu au tel 17/01/24 projet abandonné , car son papa est en  EHPAD</t>
  </si>
  <si>
    <t>Travaux effectués par lui-même , eu au tel le 17/01/24</t>
  </si>
  <si>
    <t>projet abandonné, eu au tel 17/01/24</t>
  </si>
  <si>
    <t>projet abandonné , eu au tel 17/01/24</t>
  </si>
  <si>
    <t>Rue de Nardan</t>
  </si>
  <si>
    <t>Lotissement de La Grande Sûre</t>
  </si>
  <si>
    <t>eu au tel + mail 17/01/24/ Facture editée avant dossier complet 23/01/24 et il manque attestation fin de travaux</t>
  </si>
  <si>
    <t>Impasse des Chardons</t>
  </si>
  <si>
    <t>rue du Saint Vincent</t>
  </si>
  <si>
    <t>Rue de la treille</t>
  </si>
  <si>
    <t>Besoin de la facture acquittée 25/01</t>
  </si>
  <si>
    <t>Relance demande de versement mail le 24/11/23 +tel/ Manque la facture acquittéee + (photo ok 24/01/24)</t>
  </si>
  <si>
    <t>En attende de confi date facture 22/12/23/ relance facture acquitée 25/01/24</t>
  </si>
  <si>
    <t>ARc 76 LI</t>
  </si>
  <si>
    <t>Habit 100 DC +T</t>
  </si>
  <si>
    <t>JAZZ CV 7 Kw</t>
  </si>
  <si>
    <t>formulaire+questionnaire</t>
  </si>
  <si>
    <t>Allée Clos de la Magnanerie</t>
  </si>
  <si>
    <t>Poêle</t>
  </si>
  <si>
    <t>Poele REMILLY</t>
  </si>
  <si>
    <t>RIB a l'adresse de travaux</t>
  </si>
  <si>
    <t xml:space="preserve"> 425GM</t>
  </si>
  <si>
    <t xml:space="preserve">TURBO FONTE </t>
  </si>
  <si>
    <t>KARL 76 8,5 Kw</t>
  </si>
  <si>
    <t>0.0696</t>
  </si>
  <si>
    <t>Avis d'impot ok + TH une page reçu le 16/01/24/ manque déclaration d'occupation OK</t>
  </si>
  <si>
    <t>Déclaration sur l'honneur datée et signée +photo de 'appareil + déclaration d'occupation ok 31/01/23</t>
  </si>
  <si>
    <t xml:space="preserve">90.4 </t>
  </si>
  <si>
    <t>0.00784</t>
  </si>
  <si>
    <t>RIB a l'adresse de travaux OK + besoin de confir materiel</t>
  </si>
  <si>
    <t>COMFORT AIR 10 M3</t>
  </si>
  <si>
    <t>message vocal + mail 17/01/24 facture ok , manque l'attestation fin de travaux+certicat destruction+(photo nouvelle installation ok) 23/01/24</t>
  </si>
  <si>
    <t>Besoin de confi matériel</t>
  </si>
  <si>
    <t>Austin 7</t>
  </si>
  <si>
    <t>80.3</t>
  </si>
  <si>
    <t>RIB a l'adresse de travaux ok</t>
  </si>
  <si>
    <t>Route de Benevet</t>
  </si>
  <si>
    <t xml:space="preserve"> FONTE FLAMME </t>
  </si>
  <si>
    <t xml:space="preserve">Lanao - Mazan-Managa </t>
  </si>
  <si>
    <t xml:space="preserve">80.2 </t>
  </si>
  <si>
    <t>Route des Jolis</t>
  </si>
  <si>
    <t>Rue Charauze le Bas</t>
  </si>
  <si>
    <t>Questionnaire/ Message vocal 12/02/24</t>
  </si>
  <si>
    <t>Avis impot , dniere page TF,derniere page questionnaire message vocal 12/02/24</t>
  </si>
  <si>
    <t>voir avec Daniel avant de refuser , car poele 2006/ message vocal/ eu son installateur 17/01/24 il va lui dire de rappeler/</t>
  </si>
  <si>
    <t xml:space="preserve">Apparail postérieur à 2002 ( 2006) </t>
  </si>
  <si>
    <t>Allée du Grand Champ</t>
  </si>
  <si>
    <t>Pallas Back</t>
  </si>
  <si>
    <t>78.7</t>
  </si>
  <si>
    <t>HASE HASE</t>
  </si>
  <si>
    <t xml:space="preserve">6.4 </t>
  </si>
  <si>
    <t>bûche</t>
  </si>
  <si>
    <t>Liste Nouveau Matériel</t>
  </si>
  <si>
    <t>Liste Ancien Matériel</t>
  </si>
  <si>
    <t>Foyer ouvert</t>
  </si>
  <si>
    <t>Insert/ Foyer fermé</t>
  </si>
  <si>
    <t>Bûche</t>
  </si>
  <si>
    <t>Granulé</t>
  </si>
  <si>
    <t>Mixte</t>
  </si>
  <si>
    <t>Combustible</t>
  </si>
  <si>
    <t>VRB0751</t>
  </si>
  <si>
    <t>VRB0752</t>
  </si>
  <si>
    <t>VRB0753</t>
  </si>
  <si>
    <t>VRB0754</t>
  </si>
  <si>
    <t>VRB0755</t>
  </si>
  <si>
    <t>VRB0756</t>
  </si>
  <si>
    <t>VRB0757</t>
  </si>
  <si>
    <t>VRB0758</t>
  </si>
  <si>
    <t>VRB0759</t>
  </si>
  <si>
    <t>VRB0760</t>
  </si>
  <si>
    <t>VRB0761</t>
  </si>
  <si>
    <t>VRB0762</t>
  </si>
  <si>
    <t>VRB0763</t>
  </si>
  <si>
    <t>VRB0764</t>
  </si>
  <si>
    <t>VRB0765</t>
  </si>
  <si>
    <t>VRB0766</t>
  </si>
  <si>
    <t>VRB0767</t>
  </si>
  <si>
    <t>VRB0768</t>
  </si>
  <si>
    <t>VRB0769</t>
  </si>
  <si>
    <t>VRB0770</t>
  </si>
  <si>
    <t>VRB0771</t>
  </si>
  <si>
    <t>VRB0772</t>
  </si>
  <si>
    <t>VRB0773</t>
  </si>
  <si>
    <t>VRB0774</t>
  </si>
  <si>
    <t>VRB0775</t>
  </si>
  <si>
    <t>VRB0776</t>
  </si>
  <si>
    <t>VRB0777</t>
  </si>
  <si>
    <t>VRB0778</t>
  </si>
  <si>
    <t>VRB0779</t>
  </si>
  <si>
    <t>VRB0780</t>
  </si>
  <si>
    <t>VRB0781</t>
  </si>
  <si>
    <t>VRB0782</t>
  </si>
  <si>
    <t>VRB0783</t>
  </si>
  <si>
    <t>VRB0784</t>
  </si>
  <si>
    <t>VRB0785</t>
  </si>
  <si>
    <t>VRB0786</t>
  </si>
  <si>
    <t>VRB0787</t>
  </si>
  <si>
    <t>VRB0788</t>
  </si>
  <si>
    <t>VRB0789</t>
  </si>
  <si>
    <t>VRB0790</t>
  </si>
  <si>
    <t>VRB0791</t>
  </si>
  <si>
    <t>Insert / foyer fermé</t>
  </si>
  <si>
    <t>RUY MONTCEAU</t>
  </si>
  <si>
    <t xml:space="preserve">M. AILLOUD </t>
  </si>
  <si>
    <t>contact@poele-co.fr</t>
  </si>
  <si>
    <t xml:space="preserve"> ARENGA sur pied IPE9</t>
  </si>
  <si>
    <t>89.5</t>
  </si>
  <si>
    <t>photo de  plan lage / RIB à l'adrese de travaux/</t>
  </si>
  <si>
    <t>Route des Charpines</t>
  </si>
  <si>
    <t>SAINT-BUEIL</t>
  </si>
  <si>
    <t>TH ou déclaration d'occupation</t>
  </si>
  <si>
    <t>77.9</t>
  </si>
  <si>
    <t>0.07104</t>
  </si>
  <si>
    <t>Formulaire de demade ilisible + besoin confirm matériel</t>
  </si>
  <si>
    <t xml:space="preserve">RIVES </t>
  </si>
  <si>
    <t>LIGNAC 8kW</t>
  </si>
  <si>
    <t>7.5</t>
  </si>
  <si>
    <t xml:space="preserve">0.0756 </t>
  </si>
  <si>
    <t>Problème nom different facture 27/02/24</t>
  </si>
  <si>
    <t>Heidi Back 2.0</t>
  </si>
  <si>
    <t>0.07504</t>
  </si>
  <si>
    <t>Impasse des Templiers</t>
  </si>
  <si>
    <t>SAINT-JEAN-DE-MOIRANS</t>
  </si>
  <si>
    <t>10.4</t>
  </si>
  <si>
    <t>Chemin du Chapier</t>
  </si>
  <si>
    <t xml:space="preserve">0.09536 </t>
  </si>
  <si>
    <t>Chemin des Lilas BP 78 Rue des pervenches</t>
  </si>
  <si>
    <t>RCr 70</t>
  </si>
  <si>
    <t>Rue du Louvasset</t>
  </si>
  <si>
    <t xml:space="preserve">VOIRON </t>
  </si>
  <si>
    <t>SORIA N</t>
  </si>
  <si>
    <t>5.5</t>
  </si>
  <si>
    <t>83.9</t>
  </si>
  <si>
    <t>0.04952</t>
  </si>
  <si>
    <t>Rue de la Liberté</t>
  </si>
  <si>
    <t>Rue des Pervenches</t>
  </si>
  <si>
    <t>Route de Combes Louvat</t>
  </si>
  <si>
    <t>Navia</t>
  </si>
  <si>
    <t>83.6</t>
  </si>
  <si>
    <t>0.0736</t>
  </si>
  <si>
    <t>CHEMINEES THIERRY PATOUX</t>
  </si>
  <si>
    <t>M. PATOUX</t>
  </si>
  <si>
    <t>ch.patoux@orange.fr</t>
  </si>
  <si>
    <t>ED22 INSERT 800</t>
  </si>
  <si>
    <t>8.2</t>
  </si>
  <si>
    <t>0.06568</t>
  </si>
  <si>
    <t>76.1</t>
  </si>
  <si>
    <t xml:space="preserve">Avis d'impôt </t>
  </si>
  <si>
    <t>Square Marie Vignon</t>
  </si>
  <si>
    <t>BORN</t>
  </si>
  <si>
    <t>0.06504</t>
  </si>
  <si>
    <t>PLOMBERIE PHILIPPE</t>
  </si>
  <si>
    <t>VAL DE VIRIEU</t>
  </si>
  <si>
    <t>M. PELLU</t>
  </si>
  <si>
    <t>contact@plomberiephilippe.com</t>
  </si>
  <si>
    <t>Compact 14 Kw</t>
  </si>
  <si>
    <t xml:space="preserve">96.9 </t>
  </si>
  <si>
    <t>0.00064</t>
  </si>
  <si>
    <t>Appareil posterieur 2002</t>
  </si>
  <si>
    <t>Déclaration sur honneur OK 18/02/24 En attend de certificat QB ok</t>
  </si>
  <si>
    <t>Place du Biez</t>
  </si>
  <si>
    <t>6.6</t>
  </si>
  <si>
    <t>Facture acquittée 27/02/24</t>
  </si>
  <si>
    <t>Avis d'impôt + justificatif de propriété + besoin confir matériel</t>
  </si>
  <si>
    <t>Facture acquittée + photo nouvelle installation</t>
  </si>
  <si>
    <t xml:space="preserve">77.9 </t>
  </si>
  <si>
    <t>RIB à l'adresse de travaux</t>
  </si>
  <si>
    <t>Square la Gardine</t>
  </si>
  <si>
    <t>Route des Galbits - 3 lotissement les Mas de Cernolle</t>
  </si>
  <si>
    <t xml:space="preserve">SAINT-AUPRE </t>
  </si>
  <si>
    <t xml:space="preserve">TULLINS </t>
  </si>
  <si>
    <t>Besoin de confirmation matériel</t>
  </si>
  <si>
    <t xml:space="preserve">0.06288 </t>
  </si>
  <si>
    <t xml:space="preserve"> Aduro 1-1</t>
  </si>
  <si>
    <t>OFEN 17</t>
  </si>
  <si>
    <t>F370 ADVANCE V2</t>
  </si>
  <si>
    <t xml:space="preserve">6.8 </t>
  </si>
  <si>
    <t>0.05848</t>
  </si>
  <si>
    <t>Besoin de confirmation matériel/ Avis d'impôt</t>
  </si>
  <si>
    <t>LK5BNO</t>
  </si>
  <si>
    <t>22/03/24 attestion destruction</t>
  </si>
  <si>
    <t>Fonds propre 2020</t>
  </si>
  <si>
    <t>Chemin des Gorgeraux</t>
  </si>
  <si>
    <t>La demande concerne la communauté de commune de Saint-Marcellin Vercors Isère Communauté</t>
  </si>
  <si>
    <t>09/04/24 attestion de destruction</t>
  </si>
  <si>
    <t>Attestation fin de travaux + nouvelle photo + attestion sur l'honneur 25/01/24 Message vocale 09/04/24</t>
  </si>
  <si>
    <t>Bascule vers PABCAPV</t>
  </si>
  <si>
    <t>Refusé - pas d'envoi de kit</t>
  </si>
  <si>
    <t>Granulé - pas d'envoi de kit</t>
  </si>
  <si>
    <t>Bascule PABCAPV - pas de d'envoi de kit</t>
  </si>
  <si>
    <t>Bascule PABCAPV - pas de d'envoi de questionnaire</t>
  </si>
  <si>
    <t>Attestation fin des travaux 06/05/24</t>
  </si>
  <si>
    <t>Attestation fin de travaux non signée</t>
  </si>
  <si>
    <t>Attestation fin de travaux 07/05/24</t>
  </si>
  <si>
    <t>photo nouvelle installation 07/05/24</t>
  </si>
  <si>
    <t>attestation fin de travaux signée</t>
  </si>
  <si>
    <t>Facture acquitée 07/05/24</t>
  </si>
  <si>
    <t>ADEME</t>
  </si>
  <si>
    <t>Facture acquittée 17/05/2024</t>
  </si>
  <si>
    <t>17/05/24 Facture acquittée + attestat° destruction</t>
  </si>
  <si>
    <t>numero_dossier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</si>
</sst>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mm/yy;@"/>
    <numFmt numFmtId="165" formatCode="d/m/yy"/>
    <numFmt numFmtId="166" formatCode="0000000000"/>
    <numFmt numFmtId="167" formatCode="0#\ ##\ ##\ ##\ ##"/>
    <numFmt numFmtId="168" formatCode="0.000"/>
    <numFmt numFmtId="169" formatCode="0.00000"/>
    <numFmt numFmtId="170" formatCode="0.0"/>
    <numFmt numFmtId="171" formatCode="m/d/yyyy"/>
  </numFmts>
  <fonts count="36">
    <font>
      <sz val="11"/>
      <color rgb="FF000000"/>
      <name val="Calibri"/>
      <family val="2"/>
      <charset val="1"/>
    </font>
    <font>
      <sz val="10"/>
      <color rgb="FF000000"/>
      <name val="Calibri"/>
      <family val="2"/>
      <charset val="1"/>
    </font>
    <font>
      <b/>
      <sz val="10"/>
      <color rgb="FF000000"/>
      <name val="Calibri"/>
      <family val="2"/>
      <charset val="1"/>
    </font>
    <font>
      <sz val="10"/>
      <color rgb="FFFFFFFF"/>
      <name val="Calibri"/>
      <family val="2"/>
      <charset val="1"/>
    </font>
    <font>
      <sz val="11"/>
      <color rgb="FFFFFFFF"/>
      <name val="Calibri"/>
      <family val="2"/>
      <charset val="1"/>
    </font>
    <font>
      <u/>
      <sz val="11"/>
      <color rgb="FF0563C1"/>
      <name val="Calibri"/>
      <family val="2"/>
      <charset val="1"/>
    </font>
    <font>
      <sz val="11"/>
      <name val="Calibri"/>
      <family val="2"/>
      <charset val="1"/>
    </font>
    <font>
      <sz val="9"/>
      <color rgb="FF000000"/>
      <name val="Tahoma"/>
      <family val="2"/>
      <charset val="1"/>
    </font>
    <font>
      <b/>
      <sz val="9"/>
      <color rgb="FF000000"/>
      <name val="Tahoma"/>
      <family val="2"/>
    </font>
    <font>
      <b/>
      <sz val="20"/>
      <color rgb="FFFF0000"/>
      <name val="Calibri"/>
      <family val="2"/>
      <charset val="1"/>
    </font>
    <font>
      <sz val="10"/>
      <color rgb="FF000000"/>
      <name val="Arial Unicode MS"/>
      <family val="2"/>
      <charset val="1"/>
    </font>
    <font>
      <b/>
      <sz val="14"/>
      <color rgb="FF000000"/>
      <name val="Calibri"/>
      <family val="2"/>
      <charset val="1"/>
    </font>
    <font>
      <i/>
      <sz val="14"/>
      <color rgb="FF000000"/>
      <name val="Calibri"/>
      <family val="2"/>
      <charset val="1"/>
    </font>
    <font>
      <b/>
      <sz val="12"/>
      <color rgb="FF000000"/>
      <name val="Calibri"/>
      <family val="2"/>
      <charset val="1"/>
    </font>
    <font>
      <b/>
      <sz val="15"/>
      <color rgb="FF000000"/>
      <name val="Calibri"/>
      <family val="2"/>
      <charset val="1"/>
    </font>
    <font>
      <b/>
      <u/>
      <sz val="15"/>
      <color rgb="FF000000"/>
      <name val="Calibri"/>
      <family val="2"/>
      <charset val="1"/>
    </font>
    <font>
      <b/>
      <i/>
      <sz val="11"/>
      <color rgb="FF000000"/>
      <name val="Calibri"/>
      <family val="2"/>
      <charset val="1"/>
    </font>
    <font>
      <b/>
      <i/>
      <sz val="10"/>
      <color rgb="FF000000"/>
      <name val="Calibri"/>
      <family val="2"/>
      <charset val="1"/>
    </font>
    <font>
      <u/>
      <sz val="11"/>
      <color rgb="FF000000"/>
      <name val="Calibri"/>
      <family val="2"/>
      <charset val="1"/>
    </font>
    <font>
      <sz val="11"/>
      <color rgb="FF0000FF"/>
      <name val="Calibri"/>
      <family val="2"/>
      <charset val="1"/>
    </font>
    <font>
      <sz val="11"/>
      <color rgb="FF000000"/>
      <name val="Calibri"/>
      <family val="2"/>
      <charset val="1"/>
    </font>
    <font>
      <b/>
      <sz val="11"/>
      <color rgb="FF000000"/>
      <name val="Calibri"/>
      <family val="2"/>
    </font>
    <font>
      <i/>
      <sz val="11"/>
      <color rgb="FF000000"/>
      <name val="Calibri"/>
      <family val="2"/>
    </font>
    <font>
      <b/>
      <sz val="9"/>
      <color indexed="81"/>
      <name val="Tahoma"/>
      <family val="2"/>
    </font>
    <font>
      <b/>
      <sz val="11"/>
      <color rgb="FFFF0000"/>
      <name val="Calibri"/>
      <family val="2"/>
    </font>
    <font>
      <sz val="9"/>
      <color indexed="81"/>
      <name val="Tahoma"/>
      <family val="2"/>
    </font>
    <font>
      <sz val="13"/>
      <color rgb="FF000000"/>
      <name val="Calibri"/>
      <family val="2"/>
      <charset val="1"/>
    </font>
    <font>
      <b/>
      <sz val="13"/>
      <color rgb="FFFF0000"/>
      <name val="Calibri"/>
      <family val="2"/>
      <charset val="1"/>
    </font>
    <font>
      <sz val="13"/>
      <color rgb="FFFFFFFF"/>
      <name val="Calibri"/>
      <family val="2"/>
      <charset val="1"/>
    </font>
    <font>
      <i/>
      <sz val="13"/>
      <color rgb="FF000000"/>
      <name val="Calibri"/>
      <family val="2"/>
      <charset val="1"/>
    </font>
    <font>
      <u/>
      <sz val="13"/>
      <color rgb="FF0563C1"/>
      <name val="Calibri"/>
      <family val="2"/>
      <charset val="1"/>
    </font>
    <font>
      <sz val="13"/>
      <name val="Calibri"/>
      <family val="2"/>
      <charset val="1"/>
    </font>
    <font>
      <b/>
      <sz val="13"/>
      <color rgb="FF000000"/>
      <name val="Calibri"/>
      <family val="2"/>
      <charset val="1"/>
    </font>
    <font>
      <sz val="11"/>
      <color rgb="FF000000"/>
      <name val="Calibri"/>
      <family val="2"/>
    </font>
    <font>
      <sz val="9"/>
      <color indexed="81"/>
      <name val="Tahoma"/>
      <charset val="1"/>
    </font>
    <font>
      <b/>
      <sz val="9"/>
      <color indexed="81"/>
      <name val="Tahoma"/>
      <charset val="1"/>
    </font>
  </fonts>
  <fills count="30">
    <fill>
      <patternFill patternType="none"/>
    </fill>
    <fill>
      <patternFill patternType="gray125"/>
    </fill>
    <fill>
      <patternFill patternType="solid">
        <fgColor rgb="FF70AD47"/>
        <bgColor rgb="FF92D050"/>
      </patternFill>
    </fill>
    <fill>
      <patternFill patternType="solid">
        <fgColor rgb="FFED7D31"/>
        <bgColor rgb="FFFF8080"/>
      </patternFill>
    </fill>
    <fill>
      <patternFill patternType="solid">
        <fgColor rgb="FFA5A5A5"/>
        <bgColor rgb="FFA9D08E"/>
      </patternFill>
    </fill>
    <fill>
      <patternFill patternType="solid">
        <fgColor rgb="FFE7E6E6"/>
        <bgColor rgb="FFF2F2F2"/>
      </patternFill>
    </fill>
    <fill>
      <patternFill patternType="solid">
        <fgColor rgb="FFFFC000"/>
        <bgColor rgb="FFFFFF00"/>
      </patternFill>
    </fill>
    <fill>
      <patternFill patternType="solid">
        <fgColor rgb="FFA9D08E"/>
        <bgColor rgb="FF92D050"/>
      </patternFill>
    </fill>
    <fill>
      <patternFill patternType="solid">
        <fgColor rgb="FFFF0000"/>
        <bgColor rgb="FF993300"/>
      </patternFill>
    </fill>
    <fill>
      <patternFill patternType="solid">
        <fgColor rgb="FFD0CECE"/>
        <bgColor rgb="FFD9D9D9"/>
      </patternFill>
    </fill>
    <fill>
      <patternFill patternType="solid">
        <fgColor rgb="FFD9D9D9"/>
        <bgColor rgb="FFD0CECE"/>
      </patternFill>
    </fill>
    <fill>
      <patternFill patternType="solid">
        <fgColor rgb="FFBF9000"/>
        <bgColor rgb="FFED7D31"/>
      </patternFill>
    </fill>
    <fill>
      <patternFill patternType="solid">
        <fgColor rgb="FF7030A0"/>
        <bgColor rgb="FF993366"/>
      </patternFill>
    </fill>
    <fill>
      <patternFill patternType="solid">
        <fgColor rgb="FF5B9BD5"/>
        <bgColor rgb="FF808080"/>
      </patternFill>
    </fill>
    <fill>
      <patternFill patternType="solid">
        <fgColor rgb="FF806000"/>
        <bgColor rgb="FF993300"/>
      </patternFill>
    </fill>
    <fill>
      <patternFill patternType="solid">
        <fgColor rgb="FF92D050"/>
        <bgColor rgb="FFA9D08E"/>
      </patternFill>
    </fill>
    <fill>
      <patternFill patternType="solid">
        <fgColor rgb="FFFFFF00"/>
        <bgColor rgb="FFFFFF00"/>
      </patternFill>
    </fill>
    <fill>
      <patternFill patternType="solid">
        <fgColor rgb="FFF2F2F2"/>
        <bgColor rgb="FFE7E6E6"/>
      </patternFill>
    </fill>
    <fill>
      <patternFill patternType="solid">
        <fgColor rgb="FFFFF2CC"/>
        <bgColor rgb="FFF2F2F2"/>
      </patternFill>
    </fill>
    <fill>
      <patternFill patternType="solid">
        <fgColor rgb="FFFFFFFF"/>
        <bgColor rgb="FFF2F2F2"/>
      </patternFill>
    </fill>
    <fill>
      <patternFill patternType="solid">
        <fgColor theme="7" tint="0.79998168889431442"/>
        <bgColor indexed="64"/>
      </patternFill>
    </fill>
    <fill>
      <patternFill patternType="solid">
        <fgColor theme="2"/>
        <bgColor indexed="64"/>
      </patternFill>
    </fill>
    <fill>
      <patternFill patternType="solid">
        <fgColor rgb="FFFFFF00"/>
        <bgColor indexed="64"/>
      </patternFill>
    </fill>
    <fill>
      <patternFill patternType="solid">
        <fgColor rgb="FFE7E6E6"/>
        <bgColor rgb="FFDBDBDB"/>
      </patternFill>
    </fill>
    <fill>
      <patternFill patternType="solid">
        <fgColor rgb="FFFF0000"/>
        <bgColor rgb="FFF2F2F2"/>
      </patternFill>
    </fill>
    <fill>
      <patternFill patternType="solid">
        <fgColor rgb="FF92D050"/>
        <bgColor rgb="FFF2F2F2"/>
      </patternFill>
    </fill>
    <fill>
      <patternFill patternType="solid">
        <fgColor theme="2"/>
        <bgColor rgb="FFF2F2F2"/>
      </patternFill>
    </fill>
    <fill>
      <patternFill patternType="solid">
        <fgColor rgb="FF92D050"/>
        <bgColor rgb="FF993300"/>
      </patternFill>
    </fill>
    <fill>
      <patternFill patternType="solid">
        <fgColor rgb="FFE7E6E6"/>
        <bgColor rgb="FF993300"/>
      </patternFill>
    </fill>
    <fill>
      <patternFill patternType="solid">
        <fgColor rgb="FFFFFF00"/>
        <bgColor rgb="FFF2F2F2"/>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9">
    <xf numFmtId="0" fontId="0" fillId="0" borderId="0"/>
    <xf numFmtId="0" fontId="5" fillId="0" borderId="0" applyBorder="0" applyProtection="0"/>
    <xf numFmtId="0" fontId="20" fillId="0" borderId="0"/>
    <xf numFmtId="0" fontId="20" fillId="0" borderId="0"/>
    <xf numFmtId="0" fontId="20" fillId="0" borderId="0"/>
    <xf numFmtId="0" fontId="4" fillId="2" borderId="0" applyBorder="0" applyProtection="0"/>
    <xf numFmtId="0" fontId="4" fillId="3" borderId="0" applyBorder="0" applyProtection="0"/>
    <xf numFmtId="0" fontId="4" fillId="3" borderId="0" applyBorder="0" applyProtection="0"/>
    <xf numFmtId="0" fontId="4" fillId="4" borderId="0" applyBorder="0" applyProtection="0"/>
  </cellStyleXfs>
  <cellXfs count="227">
    <xf numFmtId="0" fontId="0" fillId="0" borderId="0" xfId="0"/>
    <xf numFmtId="164" fontId="1" fillId="5" borderId="1" xfId="0" applyNumberFormat="1" applyFont="1" applyFill="1" applyBorder="1" applyAlignment="1">
      <alignment horizontal="center" vertical="center" wrapText="1"/>
    </xf>
    <xf numFmtId="0" fontId="0" fillId="0" borderId="0" xfId="0" applyAlignment="1">
      <alignment horizontal="center"/>
    </xf>
    <xf numFmtId="0" fontId="20" fillId="0" borderId="0" xfId="4"/>
    <xf numFmtId="0" fontId="20" fillId="0" borderId="6" xfId="4" applyBorder="1"/>
    <xf numFmtId="0" fontId="20" fillId="0" borderId="8" xfId="4" applyBorder="1" applyAlignment="1">
      <alignment horizontal="center"/>
    </xf>
    <xf numFmtId="0" fontId="20" fillId="0" borderId="9" xfId="4" applyBorder="1"/>
    <xf numFmtId="0" fontId="20" fillId="0" borderId="0" xfId="4" applyBorder="1"/>
    <xf numFmtId="0" fontId="20" fillId="0" borderId="8" xfId="4" applyBorder="1"/>
    <xf numFmtId="0" fontId="20" fillId="18" borderId="1" xfId="4" applyFill="1" applyBorder="1"/>
    <xf numFmtId="0" fontId="0" fillId="0" borderId="8" xfId="4" applyFont="1" applyBorder="1" applyAlignment="1">
      <alignment horizontal="center"/>
    </xf>
    <xf numFmtId="0" fontId="20" fillId="18" borderId="2" xfId="4" applyFill="1" applyBorder="1"/>
    <xf numFmtId="0" fontId="1" fillId="0" borderId="8" xfId="4" applyFont="1" applyBorder="1" applyAlignment="1">
      <alignment horizontal="center" vertical="center" wrapText="1"/>
    </xf>
    <xf numFmtId="0" fontId="0" fillId="0" borderId="0" xfId="4" applyFont="1" applyBorder="1"/>
    <xf numFmtId="0" fontId="20" fillId="0" borderId="1" xfId="4" applyBorder="1"/>
    <xf numFmtId="49" fontId="1" fillId="0" borderId="8" xfId="4" applyNumberFormat="1" applyFont="1" applyBorder="1" applyAlignment="1">
      <alignment horizontal="center" vertical="center" wrapText="1"/>
    </xf>
    <xf numFmtId="0" fontId="20" fillId="16" borderId="1" xfId="4" applyFill="1" applyBorder="1"/>
    <xf numFmtId="0" fontId="20" fillId="0" borderId="10" xfId="4" applyBorder="1"/>
    <xf numFmtId="0" fontId="20" fillId="0" borderId="11" xfId="4" applyBorder="1"/>
    <xf numFmtId="0" fontId="20" fillId="0" borderId="12" xfId="4" applyBorder="1"/>
    <xf numFmtId="0" fontId="0" fillId="0" borderId="6" xfId="0" applyBorder="1"/>
    <xf numFmtId="0" fontId="0" fillId="0" borderId="13" xfId="0" applyBorder="1" applyAlignment="1">
      <alignment horizontal="right"/>
    </xf>
    <xf numFmtId="14" fontId="0" fillId="0" borderId="7" xfId="0" applyNumberFormat="1" applyBorder="1"/>
    <xf numFmtId="0" fontId="20" fillId="0" borderId="12" xfId="4" applyBorder="1" applyAlignment="1">
      <alignment horizontal="center"/>
    </xf>
    <xf numFmtId="0" fontId="0" fillId="0" borderId="10" xfId="0" applyBorder="1"/>
    <xf numFmtId="0" fontId="0" fillId="0" borderId="11" xfId="0" applyBorder="1"/>
    <xf numFmtId="0" fontId="0" fillId="0" borderId="11" xfId="0" applyFont="1" applyBorder="1" applyAlignment="1">
      <alignment horizontal="right"/>
    </xf>
    <xf numFmtId="0" fontId="10" fillId="18" borderId="12" xfId="0" applyFont="1" applyFill="1" applyBorder="1" applyAlignment="1">
      <alignment vertical="center"/>
    </xf>
    <xf numFmtId="0" fontId="20" fillId="0" borderId="0" xfId="4" applyAlignment="1">
      <alignment horizontal="center"/>
    </xf>
    <xf numFmtId="0" fontId="0" fillId="0" borderId="8" xfId="0" applyFont="1" applyBorder="1" applyAlignment="1">
      <alignment horizontal="center"/>
    </xf>
    <xf numFmtId="0" fontId="0" fillId="0" borderId="9" xfId="4" applyFont="1" applyBorder="1"/>
    <xf numFmtId="0" fontId="0" fillId="0" borderId="12" xfId="0" applyBorder="1" applyAlignment="1">
      <alignment horizontal="center"/>
    </xf>
    <xf numFmtId="0" fontId="0" fillId="19" borderId="0" xfId="0" applyFill="1"/>
    <xf numFmtId="0" fontId="11" fillId="19" borderId="0" xfId="0" applyFont="1" applyFill="1" applyAlignment="1">
      <alignment horizontal="center" vertical="center"/>
    </xf>
    <xf numFmtId="0" fontId="13" fillId="19" borderId="0" xfId="0" applyFont="1" applyFill="1" applyAlignment="1">
      <alignment vertical="center"/>
    </xf>
    <xf numFmtId="0" fontId="15" fillId="19" borderId="0" xfId="0" applyFont="1" applyFill="1" applyAlignment="1">
      <alignment horizontal="center" vertical="center"/>
    </xf>
    <xf numFmtId="0" fontId="2" fillId="0" borderId="0" xfId="0" applyFont="1" applyBorder="1"/>
    <xf numFmtId="0" fontId="2" fillId="19" borderId="0" xfId="0" applyFont="1" applyFill="1" applyBorder="1"/>
    <xf numFmtId="0" fontId="17" fillId="19" borderId="0" xfId="0" applyFont="1" applyFill="1" applyBorder="1" applyAlignment="1">
      <alignment horizontal="center"/>
    </xf>
    <xf numFmtId="0" fontId="16" fillId="19" borderId="0" xfId="0" applyFont="1" applyFill="1" applyAlignment="1">
      <alignment horizontal="center"/>
    </xf>
    <xf numFmtId="0" fontId="0" fillId="19" borderId="0" xfId="0" applyFont="1" applyFill="1" applyAlignment="1">
      <alignment horizontal="left" vertical="center"/>
    </xf>
    <xf numFmtId="0" fontId="18" fillId="19" borderId="0" xfId="0" applyFont="1" applyFill="1" applyAlignment="1">
      <alignment vertical="center"/>
    </xf>
    <xf numFmtId="0" fontId="1" fillId="19" borderId="0" xfId="0" applyFont="1" applyFill="1" applyAlignment="1">
      <alignment vertical="center"/>
    </xf>
    <xf numFmtId="0" fontId="1" fillId="19" borderId="0" xfId="0" applyFont="1" applyFill="1"/>
    <xf numFmtId="0" fontId="1" fillId="19" borderId="0" xfId="0" applyFont="1" applyFill="1" applyAlignment="1">
      <alignment horizontal="right" vertical="center"/>
    </xf>
    <xf numFmtId="0" fontId="0" fillId="19" borderId="0" xfId="0" applyFill="1" applyAlignment="1">
      <alignment vertical="center"/>
    </xf>
    <xf numFmtId="0" fontId="0" fillId="19" borderId="0" xfId="0" applyFill="1" applyAlignment="1"/>
    <xf numFmtId="0" fontId="0" fillId="19" borderId="0" xfId="0" applyFill="1" applyAlignment="1">
      <alignment horizontal="left" vertical="center"/>
    </xf>
    <xf numFmtId="0" fontId="20" fillId="0" borderId="0" xfId="3"/>
    <xf numFmtId="0" fontId="20" fillId="0" borderId="0" xfId="3" applyAlignment="1">
      <alignment wrapText="1"/>
    </xf>
    <xf numFmtId="0" fontId="0" fillId="16" borderId="0" xfId="3" applyFont="1" applyFill="1"/>
    <xf numFmtId="0" fontId="0" fillId="16" borderId="1" xfId="3" applyFont="1" applyFill="1" applyBorder="1"/>
    <xf numFmtId="0" fontId="0" fillId="16" borderId="0" xfId="3" applyFont="1" applyFill="1" applyAlignment="1">
      <alignment wrapText="1"/>
    </xf>
    <xf numFmtId="14" fontId="3" fillId="3" borderId="1" xfId="7" applyNumberFormat="1" applyFont="1" applyBorder="1" applyAlignment="1" applyProtection="1">
      <alignment horizontal="center" vertical="center" wrapText="1"/>
    </xf>
    <xf numFmtId="14" fontId="17" fillId="5" borderId="1" xfId="3" applyNumberFormat="1" applyFont="1" applyFill="1" applyBorder="1" applyAlignment="1">
      <alignment horizontal="center" vertical="center" wrapText="1"/>
    </xf>
    <xf numFmtId="14" fontId="3" fillId="8" borderId="1" xfId="7" applyNumberFormat="1" applyFont="1" applyFill="1" applyBorder="1" applyAlignment="1" applyProtection="1">
      <alignment horizontal="center" vertical="center" wrapText="1"/>
    </xf>
    <xf numFmtId="14" fontId="3" fillId="4" borderId="1" xfId="8" applyNumberFormat="1" applyFont="1" applyBorder="1" applyAlignment="1" applyProtection="1">
      <alignment horizontal="center" vertical="center" wrapText="1"/>
    </xf>
    <xf numFmtId="0" fontId="3" fillId="4" borderId="1" xfId="8" applyFont="1" applyBorder="1" applyAlignment="1" applyProtection="1">
      <alignment horizontal="center" vertical="center" wrapText="1"/>
    </xf>
    <xf numFmtId="0" fontId="2" fillId="5" borderId="1" xfId="3" applyFont="1" applyFill="1" applyBorder="1" applyAlignment="1">
      <alignment horizontal="center" vertical="center" wrapText="1"/>
    </xf>
    <xf numFmtId="0" fontId="6" fillId="0" borderId="0" xfId="0" applyFont="1" applyAlignment="1">
      <alignment horizontal="left" vertical="center" indent="1"/>
    </xf>
    <xf numFmtId="0" fontId="0" fillId="0" borderId="15" xfId="0" applyFont="1" applyBorder="1"/>
    <xf numFmtId="0" fontId="6" fillId="0" borderId="0" xfId="1" applyFont="1" applyBorder="1" applyProtection="1"/>
    <xf numFmtId="0" fontId="19" fillId="0" borderId="0" xfId="1" applyFont="1" applyBorder="1" applyProtection="1"/>
    <xf numFmtId="0" fontId="6" fillId="0" borderId="0" xfId="0" applyFont="1"/>
    <xf numFmtId="0" fontId="21" fillId="20" borderId="1" xfId="0" applyFont="1" applyFill="1" applyBorder="1" applyAlignment="1">
      <alignment horizontal="right" vertical="center"/>
    </xf>
    <xf numFmtId="0" fontId="21" fillId="20" borderId="1" xfId="0" applyFont="1" applyFill="1" applyBorder="1" applyAlignment="1">
      <alignment vertical="center"/>
    </xf>
    <xf numFmtId="0" fontId="0" fillId="0" borderId="0" xfId="0" applyAlignment="1">
      <alignment vertical="center"/>
    </xf>
    <xf numFmtId="0" fontId="22" fillId="0" borderId="1" xfId="0" applyFont="1" applyBorder="1" applyAlignment="1">
      <alignment vertical="center"/>
    </xf>
    <xf numFmtId="0" fontId="0" fillId="0" borderId="1" xfId="0" applyBorder="1" applyAlignment="1">
      <alignment vertical="center"/>
    </xf>
    <xf numFmtId="0" fontId="21" fillId="20" borderId="1" xfId="0" applyFont="1" applyFill="1" applyBorder="1" applyAlignment="1">
      <alignment horizontal="right" vertical="center" wrapText="1"/>
    </xf>
    <xf numFmtId="0" fontId="0" fillId="22" borderId="1" xfId="0" applyFill="1" applyBorder="1" applyAlignment="1">
      <alignment vertical="center"/>
    </xf>
    <xf numFmtId="0" fontId="21" fillId="20" borderId="1" xfId="0" applyFont="1" applyFill="1" applyBorder="1" applyAlignment="1" applyProtection="1">
      <alignment horizontal="left" vertical="center"/>
    </xf>
    <xf numFmtId="0" fontId="21" fillId="20" borderId="1" xfId="0" applyFont="1" applyFill="1" applyBorder="1" applyAlignment="1" applyProtection="1">
      <alignment horizontal="center" vertical="center" wrapText="1"/>
    </xf>
    <xf numFmtId="0" fontId="21" fillId="20" borderId="1" xfId="0" applyFont="1" applyFill="1" applyBorder="1" applyAlignment="1" applyProtection="1">
      <alignment horizontal="center" vertical="center"/>
    </xf>
    <xf numFmtId="0" fontId="21" fillId="20" borderId="16" xfId="0" applyFont="1" applyFill="1" applyBorder="1" applyAlignment="1" applyProtection="1">
      <alignment horizontal="center" vertical="center"/>
    </xf>
    <xf numFmtId="0" fontId="21" fillId="20" borderId="1" xfId="0" applyFont="1" applyFill="1" applyBorder="1" applyAlignment="1" applyProtection="1">
      <alignment vertical="center"/>
    </xf>
    <xf numFmtId="0" fontId="0" fillId="0" borderId="1" xfId="0" applyBorder="1" applyAlignment="1" applyProtection="1">
      <alignment vertical="center"/>
    </xf>
    <xf numFmtId="0" fontId="0" fillId="22" borderId="1" xfId="0" applyFill="1" applyBorder="1" applyAlignment="1" applyProtection="1">
      <alignment vertical="center"/>
      <protection locked="0"/>
    </xf>
    <xf numFmtId="0" fontId="0" fillId="22" borderId="16" xfId="0" applyFill="1" applyBorder="1" applyAlignment="1" applyProtection="1">
      <alignment vertical="center"/>
      <protection locked="0"/>
    </xf>
    <xf numFmtId="0" fontId="26" fillId="0" borderId="0" xfId="0" applyFont="1" applyAlignment="1">
      <alignment horizontal="center"/>
    </xf>
    <xf numFmtId="165" fontId="26" fillId="5" borderId="0" xfId="0" applyNumberFormat="1" applyFont="1" applyFill="1" applyAlignment="1">
      <alignment horizontal="center" vertical="center" wrapText="1"/>
    </xf>
    <xf numFmtId="0" fontId="26" fillId="0" borderId="0" xfId="0" applyFont="1" applyAlignment="1">
      <alignment horizontal="center" vertical="center" wrapText="1"/>
    </xf>
    <xf numFmtId="164" fontId="26" fillId="0" borderId="0" xfId="0" applyNumberFormat="1" applyFont="1"/>
    <xf numFmtId="164" fontId="26" fillId="6" borderId="0" xfId="0" applyNumberFormat="1" applyFont="1" applyFill="1"/>
    <xf numFmtId="14" fontId="26" fillId="0" borderId="0" xfId="0" applyNumberFormat="1" applyFont="1"/>
    <xf numFmtId="14" fontId="26" fillId="7" borderId="0" xfId="0" applyNumberFormat="1" applyFont="1" applyFill="1"/>
    <xf numFmtId="164" fontId="26" fillId="0" borderId="0" xfId="0" applyNumberFormat="1" applyFont="1" applyAlignment="1">
      <alignment horizontal="center" vertical="center"/>
    </xf>
    <xf numFmtId="164" fontId="26" fillId="8" borderId="0" xfId="0" applyNumberFormat="1" applyFont="1" applyFill="1" applyAlignment="1">
      <alignment horizontal="center" vertical="center" wrapText="1"/>
    </xf>
    <xf numFmtId="0" fontId="26" fillId="0" borderId="0" xfId="0" applyFont="1"/>
    <xf numFmtId="49" fontId="26" fillId="0" borderId="0" xfId="0" applyNumberFormat="1" applyFont="1" applyAlignment="1">
      <alignment horizontal="center" vertical="center" wrapText="1"/>
    </xf>
    <xf numFmtId="2" fontId="26" fillId="0" borderId="0" xfId="0" applyNumberFormat="1" applyFont="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8" fillId="13" borderId="0" xfId="5" applyFont="1" applyFill="1" applyBorder="1" applyAlignment="1" applyProtection="1">
      <alignment horizontal="center" vertical="center" wrapText="1"/>
    </xf>
    <xf numFmtId="1" fontId="28" fillId="2" borderId="1" xfId="5" applyNumberFormat="1" applyFont="1" applyBorder="1" applyAlignment="1" applyProtection="1">
      <alignment horizontal="center" vertical="center" wrapText="1"/>
    </xf>
    <xf numFmtId="164" fontId="28" fillId="3" borderId="1" xfId="5" applyNumberFormat="1" applyFont="1" applyFill="1" applyBorder="1" applyAlignment="1" applyProtection="1">
      <alignment horizontal="center" vertical="center" wrapText="1"/>
    </xf>
    <xf numFmtId="14" fontId="28" fillId="3" borderId="1" xfId="5" applyNumberFormat="1" applyFont="1" applyFill="1" applyBorder="1" applyAlignment="1" applyProtection="1">
      <alignment horizontal="center" vertical="center" wrapText="1"/>
    </xf>
    <xf numFmtId="14" fontId="28" fillId="8" borderId="1" xfId="5" applyNumberFormat="1" applyFont="1" applyFill="1" applyBorder="1" applyAlignment="1" applyProtection="1">
      <alignment horizontal="center" vertical="center" wrapText="1"/>
    </xf>
    <xf numFmtId="164" fontId="28" fillId="8" borderId="1" xfId="5" applyNumberFormat="1" applyFont="1" applyFill="1" applyBorder="1" applyAlignment="1" applyProtection="1">
      <alignment horizontal="center" vertical="center" wrapText="1"/>
    </xf>
    <xf numFmtId="0" fontId="28" fillId="3" borderId="1" xfId="5" applyFont="1" applyFill="1" applyBorder="1" applyAlignment="1" applyProtection="1">
      <alignment horizontal="center" vertical="center" wrapText="1"/>
    </xf>
    <xf numFmtId="0" fontId="28" fillId="6" borderId="1" xfId="5" applyFont="1" applyFill="1" applyBorder="1" applyAlignment="1" applyProtection="1">
      <alignment horizontal="center" vertical="center" wrapText="1"/>
    </xf>
    <xf numFmtId="0" fontId="28" fillId="6" borderId="1" xfId="0" applyFont="1" applyFill="1" applyBorder="1" applyAlignment="1">
      <alignment horizontal="center" vertical="center" wrapText="1"/>
    </xf>
    <xf numFmtId="166" fontId="28" fillId="6" borderId="1" xfId="5" applyNumberFormat="1" applyFont="1" applyFill="1" applyBorder="1" applyAlignment="1" applyProtection="1">
      <alignment horizontal="center" vertical="center" wrapText="1"/>
    </xf>
    <xf numFmtId="0" fontId="28" fillId="14" borderId="1" xfId="5" applyFont="1" applyFill="1" applyBorder="1" applyAlignment="1" applyProtection="1">
      <alignment horizontal="center" vertical="center" wrapText="1"/>
    </xf>
    <xf numFmtId="166" fontId="28" fillId="14" borderId="1" xfId="5" applyNumberFormat="1" applyFont="1" applyFill="1" applyBorder="1" applyAlignment="1" applyProtection="1">
      <alignment horizontal="center" vertical="center" wrapText="1"/>
    </xf>
    <xf numFmtId="14" fontId="28" fillId="14" borderId="1" xfId="5" applyNumberFormat="1" applyFont="1" applyFill="1" applyBorder="1" applyAlignment="1" applyProtection="1">
      <alignment horizontal="center" vertical="center" wrapText="1"/>
    </xf>
    <xf numFmtId="0" fontId="28" fillId="11" borderId="1" xfId="5" applyFont="1" applyFill="1" applyBorder="1" applyAlignment="1" applyProtection="1">
      <alignment horizontal="center" vertical="center" wrapText="1"/>
    </xf>
    <xf numFmtId="0" fontId="28" fillId="11" borderId="1" xfId="5" applyNumberFormat="1" applyFont="1" applyFill="1" applyBorder="1" applyAlignment="1" applyProtection="1">
      <alignment horizontal="center" vertical="center" wrapText="1"/>
    </xf>
    <xf numFmtId="49" fontId="28" fillId="11" borderId="1" xfId="5" applyNumberFormat="1" applyFont="1" applyFill="1" applyBorder="1" applyAlignment="1" applyProtection="1">
      <alignment horizontal="center" vertical="center" wrapText="1"/>
    </xf>
    <xf numFmtId="2" fontId="28" fillId="11" borderId="1" xfId="5" applyNumberFormat="1" applyFont="1" applyFill="1" applyBorder="1" applyAlignment="1" applyProtection="1">
      <alignment horizontal="center" vertical="center" wrapText="1"/>
    </xf>
    <xf numFmtId="0" fontId="28" fillId="12" borderId="1" xfId="5" applyFont="1" applyFill="1" applyBorder="1" applyAlignment="1" applyProtection="1">
      <alignment horizontal="center" vertical="center" wrapText="1"/>
    </xf>
    <xf numFmtId="2" fontId="28" fillId="12" borderId="1" xfId="5" applyNumberFormat="1" applyFont="1" applyFill="1" applyBorder="1" applyAlignment="1" applyProtection="1">
      <alignment horizontal="center" vertical="center" wrapText="1"/>
    </xf>
    <xf numFmtId="2" fontId="28" fillId="12" borderId="0" xfId="5" applyNumberFormat="1" applyFont="1" applyFill="1" applyBorder="1" applyAlignment="1" applyProtection="1">
      <alignment horizontal="center" vertical="center" wrapText="1"/>
    </xf>
    <xf numFmtId="0" fontId="28" fillId="2" borderId="0" xfId="5" applyFont="1" applyBorder="1" applyAlignment="1" applyProtection="1">
      <alignment horizontal="center" vertical="center" wrapText="1"/>
    </xf>
    <xf numFmtId="164" fontId="28" fillId="2" borderId="0" xfId="5" applyNumberFormat="1" applyFont="1" applyBorder="1" applyAlignment="1" applyProtection="1">
      <alignment horizontal="center" vertical="center" wrapText="1"/>
    </xf>
    <xf numFmtId="0" fontId="26" fillId="6" borderId="0" xfId="0" applyFont="1" applyFill="1" applyBorder="1" applyAlignment="1">
      <alignment horizontal="center" vertical="center" wrapText="1"/>
    </xf>
    <xf numFmtId="14" fontId="28" fillId="13" borderId="0" xfId="6" applyNumberFormat="1" applyFont="1" applyFill="1" applyBorder="1" applyAlignment="1" applyProtection="1">
      <alignment horizontal="center" vertical="center" wrapText="1"/>
    </xf>
    <xf numFmtId="0" fontId="29" fillId="0" borderId="1" xfId="0" applyFont="1" applyBorder="1" applyAlignment="1">
      <alignment horizontal="center" vertical="center" wrapText="1"/>
    </xf>
    <xf numFmtId="1" fontId="26" fillId="0" borderId="2" xfId="0" applyNumberFormat="1" applyFont="1" applyBorder="1" applyAlignment="1">
      <alignment horizontal="center" vertical="center" wrapText="1"/>
    </xf>
    <xf numFmtId="164" fontId="29" fillId="0" borderId="2" xfId="0" applyNumberFormat="1" applyFont="1" applyBorder="1" applyAlignment="1">
      <alignment horizontal="center" vertical="center" wrapText="1"/>
    </xf>
    <xf numFmtId="14" fontId="29" fillId="0" borderId="2" xfId="0" applyNumberFormat="1" applyFont="1" applyBorder="1" applyAlignment="1">
      <alignment horizontal="center" vertical="center" wrapText="1"/>
    </xf>
    <xf numFmtId="14" fontId="29" fillId="8" borderId="2" xfId="0" applyNumberFormat="1" applyFont="1" applyFill="1" applyBorder="1" applyAlignment="1">
      <alignment horizontal="center" vertical="center" wrapText="1"/>
    </xf>
    <xf numFmtId="164" fontId="29" fillId="8" borderId="2" xfId="0" applyNumberFormat="1" applyFont="1" applyFill="1" applyBorder="1" applyAlignment="1">
      <alignment horizontal="center" vertical="center" wrapText="1"/>
    </xf>
    <xf numFmtId="0" fontId="26"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26" fillId="0" borderId="0" xfId="0" applyFont="1" applyBorder="1" applyAlignment="1">
      <alignment horizontal="center" vertical="center" wrapText="1"/>
    </xf>
    <xf numFmtId="166" fontId="29" fillId="0" borderId="2" xfId="0" applyNumberFormat="1" applyFont="1" applyBorder="1" applyAlignment="1">
      <alignment horizontal="center" vertical="center" wrapText="1"/>
    </xf>
    <xf numFmtId="0" fontId="29" fillId="0" borderId="2" xfId="0" applyNumberFormat="1" applyFont="1" applyBorder="1" applyAlignment="1">
      <alignment horizontal="center" vertical="center" wrapText="1"/>
    </xf>
    <xf numFmtId="49" fontId="29" fillId="0" borderId="2" xfId="0" applyNumberFormat="1" applyFont="1" applyBorder="1" applyAlignment="1">
      <alignment horizontal="center" vertical="center" wrapText="1"/>
    </xf>
    <xf numFmtId="2" fontId="29" fillId="0" borderId="2" xfId="0" applyNumberFormat="1" applyFont="1" applyBorder="1" applyAlignment="1">
      <alignment horizontal="center" vertical="center" wrapText="1"/>
    </xf>
    <xf numFmtId="0" fontId="29" fillId="10" borderId="2" xfId="0" applyFont="1" applyFill="1" applyBorder="1" applyAlignment="1">
      <alignment horizontal="center" vertical="center" wrapText="1"/>
    </xf>
    <xf numFmtId="0" fontId="29"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15" borderId="1" xfId="0" applyFont="1" applyFill="1" applyBorder="1" applyAlignment="1">
      <alignment horizontal="center" vertical="center" wrapText="1"/>
    </xf>
    <xf numFmtId="1" fontId="26" fillId="5" borderId="1" xfId="0" applyNumberFormat="1" applyFont="1" applyFill="1" applyBorder="1" applyAlignment="1">
      <alignment horizontal="center" vertical="center" wrapText="1"/>
    </xf>
    <xf numFmtId="164" fontId="26" fillId="5" borderId="1" xfId="0" applyNumberFormat="1" applyFont="1" applyFill="1" applyBorder="1" applyAlignment="1">
      <alignment horizontal="center" vertical="center" wrapText="1"/>
    </xf>
    <xf numFmtId="164" fontId="26" fillId="5" borderId="3" xfId="0" applyNumberFormat="1" applyFont="1" applyFill="1" applyBorder="1" applyAlignment="1">
      <alignment horizontal="center" vertical="center" wrapText="1"/>
    </xf>
    <xf numFmtId="14" fontId="26" fillId="5" borderId="3" xfId="0" applyNumberFormat="1" applyFont="1" applyFill="1" applyBorder="1" applyAlignment="1">
      <alignment horizontal="center" vertical="center" wrapText="1"/>
    </xf>
    <xf numFmtId="0" fontId="26" fillId="5" borderId="3" xfId="0" applyFont="1" applyFill="1" applyBorder="1" applyAlignment="1">
      <alignment horizontal="center" vertical="center" wrapText="1"/>
    </xf>
    <xf numFmtId="167" fontId="26" fillId="5" borderId="3" xfId="0" applyNumberFormat="1" applyFont="1" applyFill="1" applyBorder="1" applyAlignment="1">
      <alignment horizontal="center" vertical="center" wrapText="1"/>
    </xf>
    <xf numFmtId="0" fontId="30" fillId="5" borderId="3" xfId="0" applyFont="1" applyFill="1" applyBorder="1" applyAlignment="1" applyProtection="1">
      <alignment horizontal="center" vertical="center" wrapText="1"/>
    </xf>
    <xf numFmtId="0" fontId="30" fillId="5" borderId="3" xfId="1" applyFont="1" applyFill="1" applyBorder="1" applyAlignment="1" applyProtection="1">
      <alignment horizontal="center" vertical="center" wrapText="1"/>
    </xf>
    <xf numFmtId="2" fontId="26" fillId="5" borderId="3" xfId="0" applyNumberFormat="1" applyFont="1" applyFill="1" applyBorder="1" applyAlignment="1">
      <alignment horizontal="center" vertical="center"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6" fillId="8" borderId="1" xfId="0" applyFont="1" applyFill="1" applyBorder="1" applyAlignment="1">
      <alignment horizontal="center" vertical="center" wrapText="1"/>
    </xf>
    <xf numFmtId="1" fontId="26" fillId="9" borderId="1" xfId="5" applyNumberFormat="1" applyFont="1" applyFill="1" applyBorder="1" applyAlignment="1" applyProtection="1">
      <alignment horizontal="center" vertical="center" wrapText="1"/>
    </xf>
    <xf numFmtId="14" fontId="26" fillId="5" borderId="1" xfId="0" applyNumberFormat="1" applyFont="1" applyFill="1" applyBorder="1" applyAlignment="1">
      <alignment horizontal="center" vertical="center" wrapText="1"/>
    </xf>
    <xf numFmtId="167" fontId="26" fillId="5" borderId="1" xfId="0" applyNumberFormat="1" applyFont="1" applyFill="1" applyBorder="1" applyAlignment="1">
      <alignment horizontal="center" vertical="center" wrapText="1"/>
    </xf>
    <xf numFmtId="0" fontId="30" fillId="5" borderId="1" xfId="0" applyFont="1" applyFill="1" applyBorder="1" applyAlignment="1" applyProtection="1">
      <alignment horizontal="center" vertical="center" wrapText="1"/>
    </xf>
    <xf numFmtId="0" fontId="30" fillId="5" borderId="1" xfId="1" applyFont="1" applyFill="1" applyBorder="1" applyAlignment="1" applyProtection="1">
      <alignment horizontal="center" vertical="center" wrapText="1"/>
    </xf>
    <xf numFmtId="2" fontId="26" fillId="5" borderId="1" xfId="0" applyNumberFormat="1" applyFont="1" applyFill="1" applyBorder="1" applyAlignment="1">
      <alignment horizontal="center" vertical="center" wrapText="1"/>
    </xf>
    <xf numFmtId="49" fontId="26" fillId="5" borderId="1" xfId="0" applyNumberFormat="1" applyFont="1" applyFill="1" applyBorder="1" applyAlignment="1">
      <alignment horizontal="center" vertical="center" wrapText="1"/>
    </xf>
    <xf numFmtId="0" fontId="26" fillId="5" borderId="1" xfId="0" applyNumberFormat="1" applyFont="1" applyFill="1" applyBorder="1" applyAlignment="1">
      <alignment horizontal="center" vertical="center" wrapText="1"/>
    </xf>
    <xf numFmtId="0" fontId="30" fillId="5" borderId="0" xfId="0" applyFont="1" applyFill="1" applyBorder="1" applyAlignment="1" applyProtection="1">
      <alignment horizontal="center" vertical="center" wrapText="1"/>
    </xf>
    <xf numFmtId="0" fontId="26" fillId="16" borderId="1" xfId="0" applyFont="1" applyFill="1" applyBorder="1" applyAlignment="1">
      <alignment horizontal="center" vertical="center" wrapText="1"/>
    </xf>
    <xf numFmtId="0" fontId="30" fillId="5" borderId="1" xfId="1" applyFont="1" applyFill="1" applyBorder="1" applyAlignment="1" applyProtection="1">
      <alignment horizontal="center" vertical="center"/>
    </xf>
    <xf numFmtId="2" fontId="26" fillId="16" borderId="1" xfId="0" applyNumberFormat="1" applyFont="1" applyFill="1" applyBorder="1" applyAlignment="1">
      <alignment horizontal="center" vertical="center" wrapText="1"/>
    </xf>
    <xf numFmtId="0" fontId="30" fillId="5" borderId="0" xfId="1" applyFont="1" applyFill="1" applyBorder="1" applyAlignment="1" applyProtection="1">
      <alignment horizontal="center" vertical="center" wrapText="1"/>
    </xf>
    <xf numFmtId="0" fontId="30" fillId="5" borderId="0" xfId="1" applyFont="1" applyFill="1" applyBorder="1" applyAlignment="1" applyProtection="1">
      <alignment horizontal="center" vertical="center"/>
    </xf>
    <xf numFmtId="167" fontId="31" fillId="5" borderId="1" xfId="1" applyNumberFormat="1" applyFont="1" applyFill="1" applyBorder="1" applyAlignment="1" applyProtection="1">
      <alignment horizontal="center" vertical="center" wrapText="1"/>
    </xf>
    <xf numFmtId="0" fontId="28" fillId="5" borderId="1" xfId="0" applyFont="1" applyFill="1" applyBorder="1" applyAlignment="1">
      <alignment horizontal="center" vertical="center" wrapText="1"/>
    </xf>
    <xf numFmtId="0" fontId="26" fillId="10" borderId="1" xfId="0" applyFont="1" applyFill="1" applyBorder="1" applyAlignment="1">
      <alignment horizontal="center" vertical="center"/>
    </xf>
    <xf numFmtId="0" fontId="26" fillId="10" borderId="0" xfId="0" applyFont="1" applyFill="1" applyAlignment="1">
      <alignment horizontal="center" vertical="center" wrapText="1"/>
    </xf>
    <xf numFmtId="0" fontId="26" fillId="5" borderId="0" xfId="0" applyFont="1" applyFill="1" applyBorder="1" applyAlignment="1">
      <alignment horizontal="center" vertical="center" wrapText="1"/>
    </xf>
    <xf numFmtId="0" fontId="26" fillId="5" borderId="4" xfId="0" applyFont="1" applyFill="1" applyBorder="1" applyAlignment="1">
      <alignment horizontal="center" vertical="center" wrapText="1"/>
    </xf>
    <xf numFmtId="14" fontId="26" fillId="5" borderId="1" xfId="5" applyNumberFormat="1" applyFont="1" applyFill="1" applyBorder="1" applyAlignment="1" applyProtection="1">
      <alignment horizontal="center" vertical="center" wrapText="1"/>
    </xf>
    <xf numFmtId="0" fontId="26" fillId="5" borderId="0" xfId="0" applyFont="1" applyFill="1"/>
    <xf numFmtId="164" fontId="26" fillId="5" borderId="1" xfId="0" applyNumberFormat="1" applyFont="1" applyFill="1" applyBorder="1"/>
    <xf numFmtId="0" fontId="30" fillId="5" borderId="1" xfId="1" applyFont="1" applyFill="1" applyBorder="1" applyAlignment="1" applyProtection="1">
      <alignment vertical="center" wrapText="1"/>
    </xf>
    <xf numFmtId="0" fontId="30" fillId="5" borderId="1" xfId="1" applyFont="1" applyFill="1" applyBorder="1" applyAlignment="1" applyProtection="1">
      <alignment wrapText="1"/>
    </xf>
    <xf numFmtId="0" fontId="26" fillId="5" borderId="1" xfId="0" applyFont="1" applyFill="1" applyBorder="1"/>
    <xf numFmtId="164" fontId="26" fillId="5" borderId="1" xfId="0" applyNumberFormat="1" applyFont="1" applyFill="1" applyBorder="1" applyAlignment="1">
      <alignment horizontal="center" vertical="center"/>
    </xf>
    <xf numFmtId="0" fontId="26" fillId="5" borderId="1" xfId="0" applyFont="1" applyFill="1" applyBorder="1" applyAlignment="1">
      <alignment wrapText="1"/>
    </xf>
    <xf numFmtId="168" fontId="26" fillId="5" borderId="1" xfId="0" applyNumberFormat="1" applyFont="1" applyFill="1" applyBorder="1" applyAlignment="1">
      <alignment horizontal="center" vertical="center" wrapText="1"/>
    </xf>
    <xf numFmtId="14" fontId="26" fillId="5" borderId="1" xfId="0" applyNumberFormat="1" applyFont="1" applyFill="1" applyBorder="1"/>
    <xf numFmtId="0" fontId="26" fillId="5" borderId="1" xfId="0" applyFont="1" applyFill="1" applyBorder="1" applyAlignment="1">
      <alignment horizontal="center"/>
    </xf>
    <xf numFmtId="164" fontId="26" fillId="5" borderId="1" xfId="0" applyNumberFormat="1" applyFont="1" applyFill="1" applyBorder="1" applyAlignment="1">
      <alignment wrapText="1"/>
    </xf>
    <xf numFmtId="0" fontId="26" fillId="5" borderId="0" xfId="0" applyFont="1" applyFill="1" applyBorder="1"/>
    <xf numFmtId="0" fontId="30" fillId="0" borderId="1" xfId="1" applyFont="1" applyBorder="1" applyProtection="1"/>
    <xf numFmtId="1" fontId="26" fillId="5" borderId="1" xfId="5" applyNumberFormat="1" applyFont="1" applyFill="1" applyBorder="1" applyAlignment="1" applyProtection="1">
      <alignment horizontal="center" vertical="center" wrapText="1"/>
    </xf>
    <xf numFmtId="169" fontId="26" fillId="5" borderId="1" xfId="0" applyNumberFormat="1" applyFont="1" applyFill="1" applyBorder="1" applyAlignment="1">
      <alignment horizontal="center" vertical="center" wrapText="1"/>
    </xf>
    <xf numFmtId="14" fontId="26" fillId="5" borderId="1" xfId="0" applyNumberFormat="1" applyFont="1" applyFill="1" applyBorder="1" applyAlignment="1">
      <alignment horizontal="center" vertical="center"/>
    </xf>
    <xf numFmtId="0" fontId="26" fillId="5" borderId="1" xfId="0" applyFont="1" applyFill="1" applyBorder="1" applyAlignment="1">
      <alignment horizontal="center" wrapText="1"/>
    </xf>
    <xf numFmtId="164" fontId="26" fillId="16" borderId="1" xfId="0" applyNumberFormat="1" applyFont="1" applyFill="1" applyBorder="1" applyAlignment="1">
      <alignment horizontal="center" vertical="center" wrapText="1"/>
    </xf>
    <xf numFmtId="167" fontId="26" fillId="16" borderId="1" xfId="0" applyNumberFormat="1" applyFont="1" applyFill="1" applyBorder="1" applyAlignment="1">
      <alignment horizontal="center" vertical="center" wrapText="1"/>
    </xf>
    <xf numFmtId="0" fontId="26" fillId="5" borderId="0" xfId="0" applyFont="1" applyFill="1" applyBorder="1" applyAlignment="1">
      <alignment horizontal="center" vertical="center"/>
    </xf>
    <xf numFmtId="0" fontId="30" fillId="5" borderId="1" xfId="1" applyFont="1" applyFill="1" applyBorder="1" applyAlignment="1" applyProtection="1">
      <alignment horizontal="center" wrapText="1" shrinkToFit="1"/>
    </xf>
    <xf numFmtId="0" fontId="26" fillId="17" borderId="1" xfId="0" applyFont="1" applyFill="1" applyBorder="1" applyAlignment="1">
      <alignment horizontal="center" vertical="center" wrapText="1"/>
    </xf>
    <xf numFmtId="170" fontId="26" fillId="5" borderId="1" xfId="0" applyNumberFormat="1" applyFont="1" applyFill="1" applyBorder="1" applyAlignment="1">
      <alignment horizontal="center" vertical="center" wrapText="1"/>
    </xf>
    <xf numFmtId="167" fontId="26" fillId="5" borderId="1" xfId="0" applyNumberFormat="1" applyFont="1" applyFill="1" applyBorder="1" applyAlignment="1">
      <alignment horizontal="center" vertical="center"/>
    </xf>
    <xf numFmtId="0" fontId="30" fillId="5" borderId="1" xfId="1" applyFont="1" applyFill="1" applyBorder="1" applyAlignment="1" applyProtection="1">
      <alignment vertical="center"/>
    </xf>
    <xf numFmtId="164" fontId="30" fillId="5" borderId="1" xfId="1" applyNumberFormat="1" applyFont="1" applyFill="1" applyBorder="1" applyAlignment="1" applyProtection="1">
      <alignment vertical="center" wrapText="1"/>
    </xf>
    <xf numFmtId="164" fontId="30" fillId="5" borderId="1" xfId="1" applyNumberFormat="1" applyFont="1" applyFill="1" applyBorder="1" applyAlignment="1" applyProtection="1">
      <alignment horizontal="center" vertical="center" wrapText="1"/>
    </xf>
    <xf numFmtId="0" fontId="30" fillId="5" borderId="1" xfId="1" applyFont="1" applyFill="1" applyBorder="1" applyAlignment="1" applyProtection="1">
      <alignment vertical="top" wrapText="1"/>
    </xf>
    <xf numFmtId="164" fontId="26" fillId="5" borderId="1" xfId="0" applyNumberFormat="1" applyFont="1" applyFill="1" applyBorder="1" applyAlignment="1">
      <alignment horizontal="center" wrapText="1"/>
    </xf>
    <xf numFmtId="0" fontId="30" fillId="5" borderId="1" xfId="1" applyFont="1" applyFill="1" applyBorder="1" applyAlignment="1" applyProtection="1">
      <alignment horizontal="center" wrapText="1"/>
    </xf>
    <xf numFmtId="0" fontId="30" fillId="21" borderId="1" xfId="1" applyFont="1" applyFill="1" applyBorder="1" applyAlignment="1">
      <alignment vertical="center" wrapText="1"/>
    </xf>
    <xf numFmtId="164" fontId="26" fillId="24" borderId="1" xfId="0" applyNumberFormat="1" applyFont="1" applyFill="1" applyBorder="1" applyAlignment="1">
      <alignment horizontal="center" vertical="center" wrapText="1"/>
    </xf>
    <xf numFmtId="164" fontId="26" fillId="0" borderId="0" xfId="0" applyNumberFormat="1" applyFont="1" applyAlignment="1">
      <alignment horizontal="center" vertical="center" wrapText="1"/>
    </xf>
    <xf numFmtId="14" fontId="26" fillId="0" borderId="0" xfId="0" applyNumberFormat="1" applyFont="1" applyAlignment="1">
      <alignment horizontal="center" vertical="center" wrapText="1"/>
    </xf>
    <xf numFmtId="0" fontId="26" fillId="0" borderId="0" xfId="0" applyNumberFormat="1" applyFont="1" applyAlignment="1">
      <alignment horizontal="center" vertical="center" wrapText="1"/>
    </xf>
    <xf numFmtId="0" fontId="5" fillId="21" borderId="1" xfId="1" applyFill="1" applyBorder="1" applyAlignment="1">
      <alignment vertical="center" wrapText="1"/>
    </xf>
    <xf numFmtId="171" fontId="26" fillId="23" borderId="1" xfId="0" applyNumberFormat="1" applyFont="1" applyFill="1" applyBorder="1" applyAlignment="1" applyProtection="1">
      <alignment horizontal="center" vertical="center" wrapText="1"/>
      <protection locked="0"/>
    </xf>
    <xf numFmtId="0" fontId="5" fillId="21" borderId="0" xfId="1" applyFill="1" applyBorder="1" applyAlignment="1">
      <alignment vertical="center" wrapText="1"/>
    </xf>
    <xf numFmtId="164" fontId="26" fillId="25" borderId="1" xfId="0" applyNumberFormat="1" applyFont="1" applyFill="1" applyBorder="1" applyAlignment="1">
      <alignment horizontal="center" vertical="center" wrapText="1"/>
    </xf>
    <xf numFmtId="0" fontId="26" fillId="25" borderId="1" xfId="0" applyFont="1" applyFill="1" applyBorder="1" applyAlignment="1">
      <alignment horizontal="center" vertical="center" wrapText="1"/>
    </xf>
    <xf numFmtId="0" fontId="26" fillId="24" borderId="1" xfId="0" applyFont="1" applyFill="1" applyBorder="1" applyAlignment="1">
      <alignment horizontal="center" vertical="center" wrapText="1"/>
    </xf>
    <xf numFmtId="0" fontId="5" fillId="21" borderId="1" xfId="1" applyFill="1" applyBorder="1" applyAlignment="1" applyProtection="1">
      <alignment vertical="center" wrapText="1"/>
    </xf>
    <xf numFmtId="164" fontId="26" fillId="26" borderId="1" xfId="0" applyNumberFormat="1" applyFont="1" applyFill="1" applyBorder="1" applyAlignment="1">
      <alignment horizontal="center" vertical="center" wrapText="1"/>
    </xf>
    <xf numFmtId="0" fontId="5" fillId="21" borderId="1" xfId="1" applyFill="1" applyBorder="1" applyAlignment="1" applyProtection="1">
      <alignment wrapText="1"/>
    </xf>
    <xf numFmtId="2" fontId="26" fillId="5" borderId="1" xfId="0" applyNumberFormat="1" applyFont="1" applyFill="1" applyBorder="1" applyAlignment="1">
      <alignment horizontal="center" vertical="center"/>
    </xf>
    <xf numFmtId="0" fontId="30" fillId="21" borderId="1" xfId="1" applyFont="1" applyFill="1" applyBorder="1" applyAlignment="1">
      <alignment vertical="center"/>
    </xf>
    <xf numFmtId="0" fontId="5" fillId="21" borderId="1" xfId="1" applyFill="1" applyBorder="1" applyAlignment="1" applyProtection="1">
      <alignment vertical="center"/>
    </xf>
    <xf numFmtId="0" fontId="5" fillId="21" borderId="1" xfId="1" applyFill="1" applyBorder="1" applyAlignment="1" applyProtection="1">
      <alignment vertical="top"/>
    </xf>
    <xf numFmtId="0" fontId="20" fillId="0" borderId="1" xfId="2" applyBorder="1" applyAlignment="1" applyProtection="1">
      <alignment vertical="center"/>
    </xf>
    <xf numFmtId="0" fontId="33" fillId="0" borderId="0" xfId="0" applyFont="1"/>
    <xf numFmtId="0" fontId="5" fillId="21" borderId="1" xfId="1" applyFill="1" applyBorder="1" applyAlignment="1">
      <alignment vertical="top"/>
    </xf>
    <xf numFmtId="0" fontId="26" fillId="27" borderId="1" xfId="0" applyFont="1" applyFill="1" applyBorder="1" applyAlignment="1">
      <alignment horizontal="center" vertical="center" wrapText="1"/>
    </xf>
    <xf numFmtId="0" fontId="26" fillId="28" borderId="1" xfId="0" applyFont="1" applyFill="1" applyBorder="1" applyAlignment="1">
      <alignment horizontal="center" vertical="center" wrapText="1"/>
    </xf>
    <xf numFmtId="164" fontId="26" fillId="29" borderId="1" xfId="0" applyNumberFormat="1" applyFont="1" applyFill="1" applyBorder="1" applyAlignment="1">
      <alignment horizontal="center" vertical="center" wrapText="1"/>
    </xf>
    <xf numFmtId="0" fontId="9" fillId="0" borderId="5" xfId="4" applyFont="1" applyBorder="1" applyAlignment="1">
      <alignment horizontal="center"/>
    </xf>
    <xf numFmtId="0" fontId="9" fillId="0" borderId="7" xfId="4" applyFont="1" applyBorder="1" applyAlignment="1">
      <alignment horizontal="center"/>
    </xf>
    <xf numFmtId="0" fontId="11" fillId="19" borderId="5" xfId="0" applyFont="1" applyFill="1" applyBorder="1" applyAlignment="1">
      <alignment horizontal="center"/>
    </xf>
    <xf numFmtId="0" fontId="12" fillId="19" borderId="14" xfId="0" applyFont="1" applyFill="1" applyBorder="1" applyAlignment="1">
      <alignment horizontal="center" vertical="center"/>
    </xf>
    <xf numFmtId="0" fontId="14" fillId="19" borderId="15" xfId="0" applyFont="1" applyFill="1" applyBorder="1" applyAlignment="1">
      <alignment horizontal="left" vertical="center"/>
    </xf>
    <xf numFmtId="0" fontId="16" fillId="19" borderId="0" xfId="0" applyFont="1" applyFill="1" applyBorder="1" applyAlignment="1">
      <alignment horizontal="center" wrapText="1"/>
    </xf>
  </cellXfs>
  <cellStyles count="9">
    <cellStyle name="Excel Built-in Accent2" xfId="6"/>
    <cellStyle name="Excel Built-in Accent2 1" xfId="7"/>
    <cellStyle name="Excel Built-in Accent3" xfId="8"/>
    <cellStyle name="Excel Built-in Explanatory Text" xfId="5"/>
    <cellStyle name="Lien hypertexte" xfId="1" builtinId="8"/>
    <cellStyle name="Normal" xfId="0" builtinId="0"/>
    <cellStyle name="Normal 2" xfId="2"/>
    <cellStyle name="Normal 3" xfId="3"/>
    <cellStyle name="Normal 35" xfId="4"/>
  </cellStyles>
  <dxfs count="12">
    <dxf>
      <fill>
        <patternFill>
          <bgColor rgb="FFFF0000"/>
        </patternFill>
      </fill>
    </dxf>
    <dxf>
      <fill>
        <patternFill patternType="solid">
          <fgColor indexed="64"/>
          <bgColor rgb="FFFFFF00"/>
        </patternFill>
      </fill>
      <alignment horizontal="general" vertical="center" textRotation="0" wrapText="0" indent="0" justifyLastLine="0" shrinkToFit="0" readingOrder="0"/>
      <border diagonalUp="0" diagonalDown="0">
        <left style="thin">
          <color auto="1"/>
        </left>
        <right/>
        <top style="thin">
          <color auto="1"/>
        </top>
        <bottom style="thin">
          <color auto="1"/>
        </bottom>
      </border>
      <protection locked="0" hidden="0"/>
    </dxf>
    <dxf>
      <fill>
        <patternFill patternType="solid">
          <fgColor indexed="64"/>
          <bgColor rgb="FFFFFF00"/>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protection locked="1" hidden="0"/>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border>
      <protection locked="1" hidden="0"/>
    </dxf>
    <dxf>
      <font>
        <b/>
        <i val="0"/>
        <strike val="0"/>
        <condense val="0"/>
        <extend val="0"/>
        <outline val="0"/>
        <shadow val="0"/>
        <u val="none"/>
        <vertAlign val="baseline"/>
        <sz val="11"/>
        <color rgb="FF000000"/>
        <name val="Calibri"/>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protection locked="1" hidden="0"/>
    </dxf>
    <dxf>
      <font>
        <b/>
        <i val="0"/>
        <strike val="0"/>
        <condense val="0"/>
        <extend val="0"/>
        <outline val="0"/>
        <shadow val="0"/>
        <u val="none"/>
        <vertAlign val="baseline"/>
        <sz val="11"/>
        <color rgb="FF000000"/>
        <name val="Calibri"/>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protection locked="1" hidden="0"/>
    </dxf>
    <dxf>
      <font>
        <b/>
        <i val="0"/>
        <strike val="0"/>
        <condense val="0"/>
        <extend val="0"/>
        <outline val="0"/>
        <shadow val="0"/>
        <u val="none"/>
        <vertAlign val="baseline"/>
        <sz val="11"/>
        <color rgb="FF000000"/>
        <name val="Calibri"/>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protection locked="1" hidden="0"/>
    </dxf>
    <dxf>
      <font>
        <b/>
        <i val="0"/>
        <strike val="0"/>
        <condense val="0"/>
        <extend val="0"/>
        <outline val="0"/>
        <shadow val="0"/>
        <u val="none"/>
        <vertAlign val="baseline"/>
        <sz val="11"/>
        <color rgb="FF000000"/>
        <name val="Calibri"/>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protection locked="1" hidden="0"/>
    </dxf>
    <dxf>
      <protection locked="1" hidden="0"/>
    </dxf>
    <dxf>
      <border outline="0">
        <right style="thin">
          <color auto="1"/>
        </right>
      </border>
    </dxf>
    <dxf>
      <font>
        <b/>
        <i val="0"/>
        <strike val="0"/>
        <condense val="0"/>
        <extend val="0"/>
        <outline val="0"/>
        <shadow val="0"/>
        <u val="none"/>
        <vertAlign val="baseline"/>
        <sz val="11"/>
        <color rgb="FF000000"/>
        <name val="Calibri"/>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rgb="FFFFF2C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D0CECE"/>
      <rgbColor rgb="FF808080"/>
      <rgbColor rgb="FF5B9BD5"/>
      <rgbColor rgb="FF7030A0"/>
      <rgbColor rgb="FFFFF2CC"/>
      <rgbColor rgb="FFF2F2F2"/>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E7E6E6"/>
      <rgbColor rgb="FFCCFFCC"/>
      <rgbColor rgb="FFFFFF99"/>
      <rgbColor rgb="FFA9D08E"/>
      <rgbColor rgb="FFFF99CC"/>
      <rgbColor rgb="FFCC99FF"/>
      <rgbColor rgb="FFFFCC99"/>
      <rgbColor rgb="FF3366FF"/>
      <rgbColor rgb="FF33CCCC"/>
      <rgbColor rgb="FF92D050"/>
      <rgbColor rgb="FFFFC000"/>
      <rgbColor rgb="FFBF9000"/>
      <rgbColor rgb="FFED7D31"/>
      <rgbColor rgb="FF666699"/>
      <rgbColor rgb="FFA5A5A5"/>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27000</xdr:colOff>
      <xdr:row>3</xdr:row>
      <xdr:rowOff>0</xdr:rowOff>
    </xdr:from>
    <xdr:to>
      <xdr:col>12</xdr:col>
      <xdr:colOff>103320</xdr:colOff>
      <xdr:row>420</xdr:row>
      <xdr:rowOff>57600</xdr:rowOff>
    </xdr:to>
    <xdr:sp macro="" textlink="">
      <xdr:nvSpPr>
        <xdr:cNvPr id="2" name="CustomShape 1" hidden="1"/>
        <xdr:cNvSpPr/>
      </xdr:nvSpPr>
      <xdr:spPr>
        <a:xfrm>
          <a:off x="27000" y="0"/>
          <a:ext cx="10833840" cy="23054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27000</xdr:colOff>
      <xdr:row>3</xdr:row>
      <xdr:rowOff>0</xdr:rowOff>
    </xdr:from>
    <xdr:to>
      <xdr:col>12</xdr:col>
      <xdr:colOff>103320</xdr:colOff>
      <xdr:row>420</xdr:row>
      <xdr:rowOff>57600</xdr:rowOff>
    </xdr:to>
    <xdr:sp macro="" textlink="">
      <xdr:nvSpPr>
        <xdr:cNvPr id="3" name="CustomShape 1" hidden="1"/>
        <xdr:cNvSpPr/>
      </xdr:nvSpPr>
      <xdr:spPr>
        <a:xfrm>
          <a:off x="27000" y="0"/>
          <a:ext cx="10833840" cy="23054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27000</xdr:colOff>
      <xdr:row>3</xdr:row>
      <xdr:rowOff>0</xdr:rowOff>
    </xdr:from>
    <xdr:to>
      <xdr:col>12</xdr:col>
      <xdr:colOff>103320</xdr:colOff>
      <xdr:row>420</xdr:row>
      <xdr:rowOff>57600</xdr:rowOff>
    </xdr:to>
    <xdr:sp macro="" textlink="">
      <xdr:nvSpPr>
        <xdr:cNvPr id="4" name="CustomShape 1" hidden="1"/>
        <xdr:cNvSpPr/>
      </xdr:nvSpPr>
      <xdr:spPr>
        <a:xfrm>
          <a:off x="27000" y="0"/>
          <a:ext cx="10833840" cy="23054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27000</xdr:colOff>
      <xdr:row>3</xdr:row>
      <xdr:rowOff>0</xdr:rowOff>
    </xdr:from>
    <xdr:to>
      <xdr:col>12</xdr:col>
      <xdr:colOff>103320</xdr:colOff>
      <xdr:row>420</xdr:row>
      <xdr:rowOff>57600</xdr:rowOff>
    </xdr:to>
    <xdr:sp macro="" textlink="">
      <xdr:nvSpPr>
        <xdr:cNvPr id="5" name="CustomShape 1" hidden="1"/>
        <xdr:cNvSpPr/>
      </xdr:nvSpPr>
      <xdr:spPr>
        <a:xfrm>
          <a:off x="27000" y="0"/>
          <a:ext cx="10833840" cy="230547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605880</xdr:colOff>
      <xdr:row>417</xdr:row>
      <xdr:rowOff>24120</xdr:rowOff>
    </xdr:to>
    <xdr:sp macro="" textlink="">
      <xdr:nvSpPr>
        <xdr:cNvPr id="6" name="CustomShape 1" hidden="1"/>
        <xdr:cNvSpPr/>
      </xdr:nvSpPr>
      <xdr:spPr>
        <a:xfrm>
          <a:off x="0" y="0"/>
          <a:ext cx="11363400" cy="228723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605880</xdr:colOff>
      <xdr:row>417</xdr:row>
      <xdr:rowOff>24120</xdr:rowOff>
    </xdr:to>
    <xdr:sp macro="" textlink="">
      <xdr:nvSpPr>
        <xdr:cNvPr id="7" name="CustomShape 1" hidden="1"/>
        <xdr:cNvSpPr/>
      </xdr:nvSpPr>
      <xdr:spPr>
        <a:xfrm>
          <a:off x="0" y="0"/>
          <a:ext cx="11363400" cy="228723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605880</xdr:colOff>
      <xdr:row>417</xdr:row>
      <xdr:rowOff>24120</xdr:rowOff>
    </xdr:to>
    <xdr:sp macro="" textlink="">
      <xdr:nvSpPr>
        <xdr:cNvPr id="8" name="CustomShape 1" hidden="1"/>
        <xdr:cNvSpPr/>
      </xdr:nvSpPr>
      <xdr:spPr>
        <a:xfrm>
          <a:off x="0" y="0"/>
          <a:ext cx="11363400" cy="228723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605880</xdr:colOff>
      <xdr:row>417</xdr:row>
      <xdr:rowOff>24120</xdr:rowOff>
    </xdr:to>
    <xdr:sp macro="" textlink="">
      <xdr:nvSpPr>
        <xdr:cNvPr id="9" name="CustomShape 1" hidden="1"/>
        <xdr:cNvSpPr/>
      </xdr:nvSpPr>
      <xdr:spPr>
        <a:xfrm>
          <a:off x="0" y="0"/>
          <a:ext cx="11363400" cy="2287231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96120</xdr:colOff>
      <xdr:row>422</xdr:row>
      <xdr:rowOff>43920</xdr:rowOff>
    </xdr:to>
    <xdr:sp macro="" textlink="">
      <xdr:nvSpPr>
        <xdr:cNvPr id="10" name="CustomShape 1" hidden="1"/>
        <xdr:cNvSpPr/>
      </xdr:nvSpPr>
      <xdr:spPr>
        <a:xfrm>
          <a:off x="0" y="0"/>
          <a:ext cx="10853640" cy="231676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96120</xdr:colOff>
      <xdr:row>422</xdr:row>
      <xdr:rowOff>43920</xdr:rowOff>
    </xdr:to>
    <xdr:sp macro="" textlink="">
      <xdr:nvSpPr>
        <xdr:cNvPr id="11" name="CustomShape 1" hidden="1"/>
        <xdr:cNvSpPr/>
      </xdr:nvSpPr>
      <xdr:spPr>
        <a:xfrm>
          <a:off x="0" y="0"/>
          <a:ext cx="10853640" cy="231676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96480</xdr:colOff>
      <xdr:row>420</xdr:row>
      <xdr:rowOff>35280</xdr:rowOff>
    </xdr:to>
    <xdr:sp macro="" textlink="">
      <xdr:nvSpPr>
        <xdr:cNvPr id="12" name="CustomShape 1" hidden="1"/>
        <xdr:cNvSpPr/>
      </xdr:nvSpPr>
      <xdr:spPr>
        <a:xfrm>
          <a:off x="0" y="0"/>
          <a:ext cx="10854000" cy="2305249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3</xdr:row>
      <xdr:rowOff>0</xdr:rowOff>
    </xdr:from>
    <xdr:to>
      <xdr:col>12</xdr:col>
      <xdr:colOff>96480</xdr:colOff>
      <xdr:row>420</xdr:row>
      <xdr:rowOff>35280</xdr:rowOff>
    </xdr:to>
    <xdr:sp macro="" textlink="">
      <xdr:nvSpPr>
        <xdr:cNvPr id="13" name="CustomShape 1" hidden="1"/>
        <xdr:cNvSpPr/>
      </xdr:nvSpPr>
      <xdr:spPr>
        <a:xfrm>
          <a:off x="0" y="0"/>
          <a:ext cx="10854000" cy="2305249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17</xdr:col>
      <xdr:colOff>456480</xdr:colOff>
      <xdr:row>260</xdr:row>
      <xdr:rowOff>720</xdr:rowOff>
    </xdr:from>
    <xdr:to>
      <xdr:col>17</xdr:col>
      <xdr:colOff>456840</xdr:colOff>
      <xdr:row>260</xdr:row>
      <xdr:rowOff>158760</xdr:rowOff>
    </xdr:to>
    <xdr:sp macro="" textlink="">
      <xdr:nvSpPr>
        <xdr:cNvPr id="14" name="CustomShape 1"/>
        <xdr:cNvSpPr/>
      </xdr:nvSpPr>
      <xdr:spPr>
        <a:xfrm>
          <a:off x="15588360" y="142690680"/>
          <a:ext cx="360" cy="158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1</xdr:row>
      <xdr:rowOff>45720</xdr:rowOff>
    </xdr:from>
    <xdr:to>
      <xdr:col>2</xdr:col>
      <xdr:colOff>505080</xdr:colOff>
      <xdr:row>4</xdr:row>
      <xdr:rowOff>77040</xdr:rowOff>
    </xdr:to>
    <xdr:pic>
      <xdr:nvPicPr>
        <xdr:cNvPr id="13" name="Image 21"/>
        <xdr:cNvPicPr/>
      </xdr:nvPicPr>
      <xdr:blipFill>
        <a:blip xmlns:r="http://schemas.openxmlformats.org/officeDocument/2006/relationships" r:embed="rId1"/>
        <a:stretch/>
      </xdr:blipFill>
      <xdr:spPr>
        <a:xfrm>
          <a:off x="91440" y="280440"/>
          <a:ext cx="1542600" cy="698040"/>
        </a:xfrm>
        <a:prstGeom prst="rect">
          <a:avLst/>
        </a:prstGeom>
        <a:ln>
          <a:noFill/>
        </a:ln>
      </xdr:spPr>
    </xdr:pic>
    <xdr:clientData/>
  </xdr:twoCellAnchor>
  <xdr:twoCellAnchor>
    <xdr:from>
      <xdr:col>0</xdr:col>
      <xdr:colOff>68760</xdr:colOff>
      <xdr:row>20</xdr:row>
      <xdr:rowOff>30600</xdr:rowOff>
    </xdr:from>
    <xdr:to>
      <xdr:col>0</xdr:col>
      <xdr:colOff>257400</xdr:colOff>
      <xdr:row>21</xdr:row>
      <xdr:rowOff>15840</xdr:rowOff>
    </xdr:to>
    <xdr:sp macro="" textlink="">
      <xdr:nvSpPr>
        <xdr:cNvPr id="14" name="CustomShape 1"/>
        <xdr:cNvSpPr/>
      </xdr:nvSpPr>
      <xdr:spPr>
        <a:xfrm>
          <a:off x="68760" y="408348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27</xdr:row>
      <xdr:rowOff>0</xdr:rowOff>
    </xdr:from>
    <xdr:to>
      <xdr:col>0</xdr:col>
      <xdr:colOff>257400</xdr:colOff>
      <xdr:row>27</xdr:row>
      <xdr:rowOff>169560</xdr:rowOff>
    </xdr:to>
    <xdr:sp macro="" textlink="">
      <xdr:nvSpPr>
        <xdr:cNvPr id="15" name="CustomShape 1"/>
        <xdr:cNvSpPr/>
      </xdr:nvSpPr>
      <xdr:spPr>
        <a:xfrm>
          <a:off x="68760" y="534204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72360</xdr:colOff>
      <xdr:row>14</xdr:row>
      <xdr:rowOff>11520</xdr:rowOff>
    </xdr:from>
    <xdr:to>
      <xdr:col>0</xdr:col>
      <xdr:colOff>261000</xdr:colOff>
      <xdr:row>14</xdr:row>
      <xdr:rowOff>181080</xdr:rowOff>
    </xdr:to>
    <xdr:sp macro="" textlink="">
      <xdr:nvSpPr>
        <xdr:cNvPr id="16" name="CustomShape 1"/>
        <xdr:cNvSpPr/>
      </xdr:nvSpPr>
      <xdr:spPr>
        <a:xfrm>
          <a:off x="72360" y="295956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25</xdr:row>
      <xdr:rowOff>9720</xdr:rowOff>
    </xdr:from>
    <xdr:to>
      <xdr:col>0</xdr:col>
      <xdr:colOff>257400</xdr:colOff>
      <xdr:row>25</xdr:row>
      <xdr:rowOff>171720</xdr:rowOff>
    </xdr:to>
    <xdr:sp macro="" textlink="">
      <xdr:nvSpPr>
        <xdr:cNvPr id="17" name="CustomShape 1"/>
        <xdr:cNvSpPr/>
      </xdr:nvSpPr>
      <xdr:spPr>
        <a:xfrm>
          <a:off x="68760" y="4983480"/>
          <a:ext cx="188640" cy="16200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16</xdr:row>
      <xdr:rowOff>30600</xdr:rowOff>
    </xdr:from>
    <xdr:to>
      <xdr:col>0</xdr:col>
      <xdr:colOff>257400</xdr:colOff>
      <xdr:row>17</xdr:row>
      <xdr:rowOff>15840</xdr:rowOff>
    </xdr:to>
    <xdr:sp macro="" textlink="">
      <xdr:nvSpPr>
        <xdr:cNvPr id="18" name="CustomShape 1"/>
        <xdr:cNvSpPr/>
      </xdr:nvSpPr>
      <xdr:spPr>
        <a:xfrm>
          <a:off x="68760" y="334692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2</xdr:col>
      <xdr:colOff>10080</xdr:colOff>
      <xdr:row>21</xdr:row>
      <xdr:rowOff>0</xdr:rowOff>
    </xdr:from>
    <xdr:to>
      <xdr:col>2</xdr:col>
      <xdr:colOff>198720</xdr:colOff>
      <xdr:row>21</xdr:row>
      <xdr:rowOff>169560</xdr:rowOff>
    </xdr:to>
    <xdr:sp macro="" textlink="">
      <xdr:nvSpPr>
        <xdr:cNvPr id="19" name="CustomShape 1"/>
        <xdr:cNvSpPr/>
      </xdr:nvSpPr>
      <xdr:spPr>
        <a:xfrm>
          <a:off x="1139040" y="42372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2</xdr:col>
      <xdr:colOff>10080</xdr:colOff>
      <xdr:row>21</xdr:row>
      <xdr:rowOff>720</xdr:rowOff>
    </xdr:from>
    <xdr:to>
      <xdr:col>2</xdr:col>
      <xdr:colOff>198720</xdr:colOff>
      <xdr:row>21</xdr:row>
      <xdr:rowOff>170280</xdr:rowOff>
    </xdr:to>
    <xdr:sp macro="" textlink="">
      <xdr:nvSpPr>
        <xdr:cNvPr id="20" name="CustomShape 1"/>
        <xdr:cNvSpPr/>
      </xdr:nvSpPr>
      <xdr:spPr>
        <a:xfrm>
          <a:off x="1139040" y="423792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2</xdr:col>
      <xdr:colOff>10080</xdr:colOff>
      <xdr:row>23</xdr:row>
      <xdr:rowOff>720</xdr:rowOff>
    </xdr:from>
    <xdr:to>
      <xdr:col>2</xdr:col>
      <xdr:colOff>198720</xdr:colOff>
      <xdr:row>23</xdr:row>
      <xdr:rowOff>170280</xdr:rowOff>
    </xdr:to>
    <xdr:sp macro="" textlink="">
      <xdr:nvSpPr>
        <xdr:cNvPr id="21" name="CustomShape 1"/>
        <xdr:cNvSpPr/>
      </xdr:nvSpPr>
      <xdr:spPr>
        <a:xfrm>
          <a:off x="1139040" y="46062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2</xdr:col>
      <xdr:colOff>10080</xdr:colOff>
      <xdr:row>22</xdr:row>
      <xdr:rowOff>720</xdr:rowOff>
    </xdr:from>
    <xdr:to>
      <xdr:col>2</xdr:col>
      <xdr:colOff>198720</xdr:colOff>
      <xdr:row>22</xdr:row>
      <xdr:rowOff>170280</xdr:rowOff>
    </xdr:to>
    <xdr:sp macro="" textlink="">
      <xdr:nvSpPr>
        <xdr:cNvPr id="22" name="CustomShape 1"/>
        <xdr:cNvSpPr/>
      </xdr:nvSpPr>
      <xdr:spPr>
        <a:xfrm>
          <a:off x="1139040" y="442188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60840</xdr:colOff>
      <xdr:row>29</xdr:row>
      <xdr:rowOff>23040</xdr:rowOff>
    </xdr:from>
    <xdr:to>
      <xdr:col>0</xdr:col>
      <xdr:colOff>249480</xdr:colOff>
      <xdr:row>30</xdr:row>
      <xdr:rowOff>8280</xdr:rowOff>
    </xdr:to>
    <xdr:sp macro="" textlink="">
      <xdr:nvSpPr>
        <xdr:cNvPr id="23" name="CustomShape 1"/>
        <xdr:cNvSpPr/>
      </xdr:nvSpPr>
      <xdr:spPr>
        <a:xfrm>
          <a:off x="60840" y="573336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76320</xdr:colOff>
      <xdr:row>27</xdr:row>
      <xdr:rowOff>0</xdr:rowOff>
    </xdr:from>
    <xdr:to>
      <xdr:col>0</xdr:col>
      <xdr:colOff>264960</xdr:colOff>
      <xdr:row>27</xdr:row>
      <xdr:rowOff>162000</xdr:rowOff>
    </xdr:to>
    <xdr:sp macro="" textlink="">
      <xdr:nvSpPr>
        <xdr:cNvPr id="24" name="CustomShape 1"/>
        <xdr:cNvSpPr/>
      </xdr:nvSpPr>
      <xdr:spPr>
        <a:xfrm>
          <a:off x="76320" y="5342040"/>
          <a:ext cx="188640" cy="16200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66600</xdr:colOff>
      <xdr:row>12</xdr:row>
      <xdr:rowOff>23040</xdr:rowOff>
    </xdr:from>
    <xdr:to>
      <xdr:col>0</xdr:col>
      <xdr:colOff>255240</xdr:colOff>
      <xdr:row>13</xdr:row>
      <xdr:rowOff>8280</xdr:rowOff>
    </xdr:to>
    <xdr:sp macro="" textlink="">
      <xdr:nvSpPr>
        <xdr:cNvPr id="25" name="CustomShape 1"/>
        <xdr:cNvSpPr/>
      </xdr:nvSpPr>
      <xdr:spPr>
        <a:xfrm>
          <a:off x="66600" y="26028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53280</xdr:colOff>
      <xdr:row>33</xdr:row>
      <xdr:rowOff>0</xdr:rowOff>
    </xdr:from>
    <xdr:to>
      <xdr:col>0</xdr:col>
      <xdr:colOff>241920</xdr:colOff>
      <xdr:row>33</xdr:row>
      <xdr:rowOff>177120</xdr:rowOff>
    </xdr:to>
    <xdr:sp macro="" textlink="">
      <xdr:nvSpPr>
        <xdr:cNvPr id="26" name="CustomShape 1"/>
        <xdr:cNvSpPr/>
      </xdr:nvSpPr>
      <xdr:spPr>
        <a:xfrm>
          <a:off x="53280" y="6446880"/>
          <a:ext cx="188640" cy="177120"/>
        </a:xfrm>
        <a:prstGeom prst="rect">
          <a:avLst/>
        </a:prstGeom>
        <a:noFill/>
        <a:ln w="12600">
          <a:noFill/>
        </a:ln>
      </xdr:spPr>
      <xdr:style>
        <a:lnRef idx="0">
          <a:scrgbClr r="0" g="0" b="0"/>
        </a:lnRef>
        <a:fillRef idx="0">
          <a:scrgbClr r="0" g="0" b="0"/>
        </a:fillRef>
        <a:effectRef idx="0">
          <a:scrgbClr r="0" g="0" b="0"/>
        </a:effectRef>
        <a:fontRef idx="minor"/>
      </xdr:style>
    </xdr:sp>
    <xdr:clientData/>
  </xdr:twoCellAnchor>
  <xdr:twoCellAnchor>
    <xdr:from>
      <xdr:col>0</xdr:col>
      <xdr:colOff>53280</xdr:colOff>
      <xdr:row>33</xdr:row>
      <xdr:rowOff>23040</xdr:rowOff>
    </xdr:from>
    <xdr:to>
      <xdr:col>0</xdr:col>
      <xdr:colOff>241920</xdr:colOff>
      <xdr:row>34</xdr:row>
      <xdr:rowOff>8280</xdr:rowOff>
    </xdr:to>
    <xdr:sp macro="" textlink="">
      <xdr:nvSpPr>
        <xdr:cNvPr id="27" name="CustomShape 1"/>
        <xdr:cNvSpPr/>
      </xdr:nvSpPr>
      <xdr:spPr>
        <a:xfrm>
          <a:off x="53280" y="646992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53280</xdr:colOff>
      <xdr:row>35</xdr:row>
      <xdr:rowOff>23040</xdr:rowOff>
    </xdr:from>
    <xdr:to>
      <xdr:col>0</xdr:col>
      <xdr:colOff>241920</xdr:colOff>
      <xdr:row>36</xdr:row>
      <xdr:rowOff>8280</xdr:rowOff>
    </xdr:to>
    <xdr:sp macro="" textlink="">
      <xdr:nvSpPr>
        <xdr:cNvPr id="28" name="CustomShape 1"/>
        <xdr:cNvSpPr/>
      </xdr:nvSpPr>
      <xdr:spPr>
        <a:xfrm>
          <a:off x="53280" y="68382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41</xdr:row>
      <xdr:rowOff>30600</xdr:rowOff>
    </xdr:from>
    <xdr:to>
      <xdr:col>0</xdr:col>
      <xdr:colOff>257400</xdr:colOff>
      <xdr:row>42</xdr:row>
      <xdr:rowOff>15840</xdr:rowOff>
    </xdr:to>
    <xdr:sp macro="" textlink="">
      <xdr:nvSpPr>
        <xdr:cNvPr id="29" name="CustomShape 1"/>
        <xdr:cNvSpPr/>
      </xdr:nvSpPr>
      <xdr:spPr>
        <a:xfrm>
          <a:off x="68760" y="79506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43</xdr:row>
      <xdr:rowOff>23040</xdr:rowOff>
    </xdr:from>
    <xdr:to>
      <xdr:col>0</xdr:col>
      <xdr:colOff>257400</xdr:colOff>
      <xdr:row>44</xdr:row>
      <xdr:rowOff>8280</xdr:rowOff>
    </xdr:to>
    <xdr:sp macro="" textlink="">
      <xdr:nvSpPr>
        <xdr:cNvPr id="30" name="CustomShape 1"/>
        <xdr:cNvSpPr/>
      </xdr:nvSpPr>
      <xdr:spPr>
        <a:xfrm>
          <a:off x="68760" y="8311680"/>
          <a:ext cx="188640" cy="16920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53280</xdr:colOff>
      <xdr:row>45</xdr:row>
      <xdr:rowOff>7560</xdr:rowOff>
    </xdr:from>
    <xdr:to>
      <xdr:col>0</xdr:col>
      <xdr:colOff>241920</xdr:colOff>
      <xdr:row>45</xdr:row>
      <xdr:rowOff>177120</xdr:rowOff>
    </xdr:to>
    <xdr:sp macro="" textlink="">
      <xdr:nvSpPr>
        <xdr:cNvPr id="31" name="CustomShape 1"/>
        <xdr:cNvSpPr/>
      </xdr:nvSpPr>
      <xdr:spPr>
        <a:xfrm>
          <a:off x="53280" y="866448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60840</xdr:colOff>
      <xdr:row>47</xdr:row>
      <xdr:rowOff>15120</xdr:rowOff>
    </xdr:from>
    <xdr:to>
      <xdr:col>0</xdr:col>
      <xdr:colOff>249480</xdr:colOff>
      <xdr:row>47</xdr:row>
      <xdr:rowOff>184680</xdr:rowOff>
    </xdr:to>
    <xdr:sp macro="" textlink="">
      <xdr:nvSpPr>
        <xdr:cNvPr id="32" name="CustomShape 1"/>
        <xdr:cNvSpPr/>
      </xdr:nvSpPr>
      <xdr:spPr>
        <a:xfrm>
          <a:off x="60840" y="904032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2</xdr:col>
      <xdr:colOff>10080</xdr:colOff>
      <xdr:row>23</xdr:row>
      <xdr:rowOff>0</xdr:rowOff>
    </xdr:from>
    <xdr:to>
      <xdr:col>2</xdr:col>
      <xdr:colOff>198720</xdr:colOff>
      <xdr:row>23</xdr:row>
      <xdr:rowOff>169560</xdr:rowOff>
    </xdr:to>
    <xdr:sp macro="" textlink="">
      <xdr:nvSpPr>
        <xdr:cNvPr id="33" name="CustomShape 1"/>
        <xdr:cNvSpPr/>
      </xdr:nvSpPr>
      <xdr:spPr>
        <a:xfrm>
          <a:off x="1139040" y="460548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53280</xdr:colOff>
      <xdr:row>49</xdr:row>
      <xdr:rowOff>23040</xdr:rowOff>
    </xdr:from>
    <xdr:to>
      <xdr:col>0</xdr:col>
      <xdr:colOff>241920</xdr:colOff>
      <xdr:row>50</xdr:row>
      <xdr:rowOff>16200</xdr:rowOff>
    </xdr:to>
    <xdr:sp macro="" textlink="">
      <xdr:nvSpPr>
        <xdr:cNvPr id="34" name="CustomShape 1"/>
        <xdr:cNvSpPr/>
      </xdr:nvSpPr>
      <xdr:spPr>
        <a:xfrm>
          <a:off x="53280" y="9416520"/>
          <a:ext cx="188640" cy="17712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10</xdr:row>
      <xdr:rowOff>30600</xdr:rowOff>
    </xdr:from>
    <xdr:to>
      <xdr:col>0</xdr:col>
      <xdr:colOff>257400</xdr:colOff>
      <xdr:row>11</xdr:row>
      <xdr:rowOff>15840</xdr:rowOff>
    </xdr:to>
    <xdr:sp macro="" textlink="">
      <xdr:nvSpPr>
        <xdr:cNvPr id="35" name="CustomShape 1"/>
        <xdr:cNvSpPr/>
      </xdr:nvSpPr>
      <xdr:spPr>
        <a:xfrm>
          <a:off x="68760" y="224208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xdr:from>
      <xdr:col>0</xdr:col>
      <xdr:colOff>68760</xdr:colOff>
      <xdr:row>18</xdr:row>
      <xdr:rowOff>30600</xdr:rowOff>
    </xdr:from>
    <xdr:to>
      <xdr:col>0</xdr:col>
      <xdr:colOff>257400</xdr:colOff>
      <xdr:row>19</xdr:row>
      <xdr:rowOff>15840</xdr:rowOff>
    </xdr:to>
    <xdr:sp macro="" textlink="">
      <xdr:nvSpPr>
        <xdr:cNvPr id="36" name="CustomShape 1"/>
        <xdr:cNvSpPr/>
      </xdr:nvSpPr>
      <xdr:spPr>
        <a:xfrm>
          <a:off x="68760" y="3715200"/>
          <a:ext cx="188640" cy="169560"/>
        </a:xfrm>
        <a:prstGeom prst="rect">
          <a:avLst/>
        </a:prstGeom>
        <a:noFill/>
        <a:ln w="12600">
          <a:solidFill>
            <a:schemeClr val="tx1"/>
          </a:solidFill>
          <a:miter/>
        </a:ln>
      </xdr:spPr>
      <xdr:style>
        <a:lnRef idx="0">
          <a:scrgbClr r="0" g="0" b="0"/>
        </a:lnRef>
        <a:fillRef idx="0">
          <a:scrgbClr r="0" g="0" b="0"/>
        </a:fillRef>
        <a:effectRef idx="0">
          <a:scrgbClr r="0" g="0" b="0"/>
        </a:effectRef>
        <a:fontRef idx="minor"/>
      </xdr:style>
    </xdr:sp>
    <xdr:clientData/>
  </xdr:twoCellAnchor>
  <xdr:twoCellAnchor editAs="oneCell">
    <xdr:from>
      <xdr:col>7</xdr:col>
      <xdr:colOff>0</xdr:colOff>
      <xdr:row>1</xdr:row>
      <xdr:rowOff>0</xdr:rowOff>
    </xdr:from>
    <xdr:to>
      <xdr:col>9</xdr:col>
      <xdr:colOff>537120</xdr:colOff>
      <xdr:row>4</xdr:row>
      <xdr:rowOff>176400</xdr:rowOff>
    </xdr:to>
    <xdr:pic>
      <xdr:nvPicPr>
        <xdr:cNvPr id="37" name="Image 37"/>
        <xdr:cNvPicPr/>
      </xdr:nvPicPr>
      <xdr:blipFill>
        <a:blip xmlns:r="http://schemas.openxmlformats.org/officeDocument/2006/relationships" r:embed="rId2"/>
        <a:stretch/>
      </xdr:blipFill>
      <xdr:spPr>
        <a:xfrm>
          <a:off x="5008680" y="234720"/>
          <a:ext cx="2089080" cy="843120"/>
        </a:xfrm>
        <a:prstGeom prst="rect">
          <a:avLst/>
        </a:prstGeom>
        <a:ln>
          <a:noFill/>
        </a:ln>
      </xdr:spPr>
    </xdr:pic>
    <xdr:clientData/>
  </xdr:twoCellAnchor>
</xdr:wsDr>
</file>

<file path=xl/tables/table1.xml><?xml version="1.0" encoding="utf-8"?>
<table xmlns="http://schemas.openxmlformats.org/spreadsheetml/2006/main" id="1" name="TabRFR" displayName="TabRFR" ref="A2:H23" totalsRowShown="0" headerRowDxfId="10" tableBorderDxfId="9">
  <autoFilter ref="A2:H23"/>
  <tableColumns count="8">
    <tableColumn id="1" name="Recherche RFR" dataDxfId="8">
      <calculatedColumnFormula>B3&amp;"-"&amp;C3</calculatedColumnFormula>
    </tableColumn>
    <tableColumn id="2" name="Nbre personnes" dataDxfId="7"/>
    <tableColumn id="3" name="Catégories de plafonds" dataDxfId="6"/>
    <tableColumn id="8" name="2021" dataDxfId="5" dataCellStyle="Normal 2"/>
    <tableColumn id="7" name="2022" dataDxfId="4" dataCellStyle="Normal 2"/>
    <tableColumn id="4" name="2023" dataDxfId="3"/>
    <tableColumn id="5" name="2024" dataDxfId="2"/>
    <tableColumn id="6" name="2025" dataDxfId="1"/>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contact@ecvoiron.fr" TargetMode="External"/><Relationship Id="rId671" Type="http://schemas.openxmlformats.org/officeDocument/2006/relationships/hyperlink" Target="https://www.qualit-enr.org/sarl-passion-flamme" TargetMode="External"/><Relationship Id="rId769" Type="http://schemas.openxmlformats.org/officeDocument/2006/relationships/hyperlink" Target="https://www.qualit-enr.org/sarl-duo-cheminees" TargetMode="External"/><Relationship Id="rId976" Type="http://schemas.openxmlformats.org/officeDocument/2006/relationships/hyperlink" Target="mailto:voiron@techni-nature.com" TargetMode="External"/><Relationship Id="rId21" Type="http://schemas.openxmlformats.org/officeDocument/2006/relationships/hyperlink" Target="mailto:contact@philippeisere.fr" TargetMode="External"/><Relationship Id="rId324" Type="http://schemas.openxmlformats.org/officeDocument/2006/relationships/hyperlink" Target="https://www.qualit-enr.org/cheminees-jay" TargetMode="External"/><Relationship Id="rId531" Type="http://schemas.openxmlformats.org/officeDocument/2006/relationships/hyperlink" Target="mailto:jacqu.cheminees@gmail.com" TargetMode="External"/><Relationship Id="rId629" Type="http://schemas.openxmlformats.org/officeDocument/2006/relationships/hyperlink" Target="https://www.qualit-enr.org/cheminees-jay" TargetMode="External"/><Relationship Id="rId170" Type="http://schemas.openxmlformats.org/officeDocument/2006/relationships/hyperlink" Target="mailto:voiron@techni-nature.com" TargetMode="External"/><Relationship Id="rId836" Type="http://schemas.openxmlformats.org/officeDocument/2006/relationships/hyperlink" Target="mailto:voiron@techni-nature.com" TargetMode="External"/><Relationship Id="rId1021" Type="http://schemas.openxmlformats.org/officeDocument/2006/relationships/hyperlink" Target="mailto:grenoble@hase-boutique.fr" TargetMode="External"/><Relationship Id="rId268" Type="http://schemas.openxmlformats.org/officeDocument/2006/relationships/hyperlink" Target="mailto:godin-grenoble@orange.fr" TargetMode="External"/><Relationship Id="rId475" Type="http://schemas.openxmlformats.org/officeDocument/2006/relationships/hyperlink" Target="mailto:sarlpab@orange.fr" TargetMode="External"/><Relationship Id="rId682" Type="http://schemas.openxmlformats.org/officeDocument/2006/relationships/hyperlink" Target="https://www.qualit-enr.org/espace-confort-voironnais" TargetMode="External"/><Relationship Id="rId903" Type="http://schemas.openxmlformats.org/officeDocument/2006/relationships/hyperlink" Target="https://www.qualit-enr.org/cheminees-jay" TargetMode="External"/><Relationship Id="rId32" Type="http://schemas.openxmlformats.org/officeDocument/2006/relationships/hyperlink" Target="mailto:jacques.faure24@wanadoo.fr" TargetMode="External"/><Relationship Id="rId128" Type="http://schemas.openxmlformats.org/officeDocument/2006/relationships/hyperlink" Target="mailto:cheminees.jay@orange.fr" TargetMode="External"/><Relationship Id="rId335" Type="http://schemas.openxmlformats.org/officeDocument/2006/relationships/hyperlink" Target="mailto:38@francechaleur.fr" TargetMode="External"/><Relationship Id="rId542" Type="http://schemas.openxmlformats.org/officeDocument/2006/relationships/hyperlink" Target="https://www.qualit-enr.org/sarl-passion-flamme" TargetMode="External"/><Relationship Id="rId987" Type="http://schemas.openxmlformats.org/officeDocument/2006/relationships/hyperlink" Target="https://www.qualit-enr.org/fralor-poeles-et-cuisinieres-passion" TargetMode="External"/><Relationship Id="rId181" Type="http://schemas.openxmlformats.org/officeDocument/2006/relationships/hyperlink" Target="https://www.qualit-enr.org/techni-nature-05000" TargetMode="External"/><Relationship Id="rId402" Type="http://schemas.openxmlformats.org/officeDocument/2006/relationships/hyperlink" Target="mailto:jonathan.bargel@philippeisere.fr" TargetMode="External"/><Relationship Id="rId847" Type="http://schemas.openxmlformats.org/officeDocument/2006/relationships/hyperlink" Target="https://www.qualit-enr.org/atre-et-loisirs-sarl" TargetMode="External"/><Relationship Id="rId1032" Type="http://schemas.openxmlformats.org/officeDocument/2006/relationships/hyperlink" Target="https://www.qualit-enr.org/voiron-poeles-a-bois-et-granules" TargetMode="External"/><Relationship Id="rId279" Type="http://schemas.openxmlformats.org/officeDocument/2006/relationships/hyperlink" Target="mailto:cheminees.jay@orange.fr" TargetMode="External"/><Relationship Id="rId486" Type="http://schemas.openxmlformats.org/officeDocument/2006/relationships/hyperlink" Target="https://www.qualypso.fr/download_file.php?id=1214672b-53ac-4982-88f9-0d520d89179c" TargetMode="External"/><Relationship Id="rId693" Type="http://schemas.openxmlformats.org/officeDocument/2006/relationships/hyperlink" Target="https://www.qualit-enr.org/sarl-passion-flamme" TargetMode="External"/><Relationship Id="rId707" Type="http://schemas.openxmlformats.org/officeDocument/2006/relationships/hyperlink" Target="mailto:thomas.morey@wattethome.com" TargetMode="External"/><Relationship Id="rId914" Type="http://schemas.openxmlformats.org/officeDocument/2006/relationships/hyperlink" Target="https://www.qualit-enr.org/flamme-iseroise" TargetMode="External"/><Relationship Id="rId43" Type="http://schemas.openxmlformats.org/officeDocument/2006/relationships/hyperlink" Target="mailto:godin-grenoble@orange.fr" TargetMode="External"/><Relationship Id="rId139" Type="http://schemas.openxmlformats.org/officeDocument/2006/relationships/hyperlink" Target="mailto:latredauphinois@gmail.com" TargetMode="External"/><Relationship Id="rId346" Type="http://schemas.openxmlformats.org/officeDocument/2006/relationships/hyperlink" Target="https://www.qualit-enr.org/cheminees-jay" TargetMode="External"/><Relationship Id="rId553" Type="http://schemas.openxmlformats.org/officeDocument/2006/relationships/hyperlink" Target="https://www.qualit-enr.org/entreprises/espace-confort-voironnais/" TargetMode="External"/><Relationship Id="rId760" Type="http://schemas.openxmlformats.org/officeDocument/2006/relationships/hyperlink" Target="mailto:contact@ecvoiron.fr" TargetMode="External"/><Relationship Id="rId998" Type="http://schemas.openxmlformats.org/officeDocument/2006/relationships/hyperlink" Target="https://www.qualit-enr.org/espace-confort-voironnais" TargetMode="External"/><Relationship Id="rId192" Type="http://schemas.openxmlformats.org/officeDocument/2006/relationships/hyperlink" Target="mailto:marketing@carre-f.com" TargetMode="External"/><Relationship Id="rId206" Type="http://schemas.openxmlformats.org/officeDocument/2006/relationships/hyperlink" Target="mailto:contact@ecvoiron.fr" TargetMode="External"/><Relationship Id="rId413" Type="http://schemas.openxmlformats.org/officeDocument/2006/relationships/hyperlink" Target="mailto:poelesetcuisinierespassion@gmail.com" TargetMode="External"/><Relationship Id="rId858" Type="http://schemas.openxmlformats.org/officeDocument/2006/relationships/hyperlink" Target="https://www.qualit-enr.org/jacqu-cheminees" TargetMode="External"/><Relationship Id="rId1043" Type="http://schemas.openxmlformats.org/officeDocument/2006/relationships/hyperlink" Target="https://www.qualit-enr.org/techni-nature-05000" TargetMode="External"/><Relationship Id="rId497" Type="http://schemas.openxmlformats.org/officeDocument/2006/relationships/hyperlink" Target="mailto:latredauphinois@gmail.com" TargetMode="External"/><Relationship Id="rId620" Type="http://schemas.openxmlformats.org/officeDocument/2006/relationships/hyperlink" Target="https://www.qualit-enr.org/techni-nature-05000" TargetMode="External"/><Relationship Id="rId718" Type="http://schemas.openxmlformats.org/officeDocument/2006/relationships/hyperlink" Target="https://www.qualit-enr.org/fralor-poeles-et-cuisinieres-passion" TargetMode="External"/><Relationship Id="rId925" Type="http://schemas.openxmlformats.org/officeDocument/2006/relationships/hyperlink" Target="https://www.qualit-enr.org/atre-decoration" TargetMode="External"/><Relationship Id="rId357" Type="http://schemas.openxmlformats.org/officeDocument/2006/relationships/hyperlink" Target="mailto:sarlpab@orange.fr" TargetMode="External"/><Relationship Id="rId54" Type="http://schemas.openxmlformats.org/officeDocument/2006/relationships/hyperlink" Target="mailto:contact-chaleurbois38@orange.fr" TargetMode="External"/><Relationship Id="rId217" Type="http://schemas.openxmlformats.org/officeDocument/2006/relationships/hyperlink" Target="https://www.qualit-enr.org/techni-nature-05000" TargetMode="External"/><Relationship Id="rId564" Type="http://schemas.openxmlformats.org/officeDocument/2006/relationships/hyperlink" Target="https://www.qualit-enr.org/espace-confort-voironnais" TargetMode="External"/><Relationship Id="rId771" Type="http://schemas.openxmlformats.org/officeDocument/2006/relationships/hyperlink" Target="https://www.qualit-enr.org/espace-confort-voironnais" TargetMode="External"/><Relationship Id="rId869" Type="http://schemas.openxmlformats.org/officeDocument/2006/relationships/hyperlink" Target="https://www.qualit-enr.org/cheminees-jay" TargetMode="External"/><Relationship Id="rId424" Type="http://schemas.openxmlformats.org/officeDocument/2006/relationships/hyperlink" Target="mailto:contact@ecvoiron.fr" TargetMode="External"/><Relationship Id="rId631" Type="http://schemas.openxmlformats.org/officeDocument/2006/relationships/hyperlink" Target="https://www.qualit-enr.org/carre" TargetMode="External"/><Relationship Id="rId729" Type="http://schemas.openxmlformats.org/officeDocument/2006/relationships/hyperlink" Target="https://www.qualit-enr.org/espace-confort-voironnais" TargetMode="External"/><Relationship Id="rId1054" Type="http://schemas.openxmlformats.org/officeDocument/2006/relationships/hyperlink" Target="mailto:voiron@techni-nature.com" TargetMode="External"/><Relationship Id="rId270" Type="http://schemas.openxmlformats.org/officeDocument/2006/relationships/hyperlink" Target="mailto:bois-soleil-chauffage@orange.fr" TargetMode="External"/><Relationship Id="rId936" Type="http://schemas.openxmlformats.org/officeDocument/2006/relationships/hyperlink" Target="mailto:contact@ecvoiron.fr" TargetMode="External"/><Relationship Id="rId65" Type="http://schemas.openxmlformats.org/officeDocument/2006/relationships/hyperlink" Target="mailto:a.caruana@alp-confort.fr" TargetMode="External"/><Relationship Id="rId130" Type="http://schemas.openxmlformats.org/officeDocument/2006/relationships/hyperlink" Target="mailto:contact@alpp-plomberie.fr" TargetMode="External"/><Relationship Id="rId368" Type="http://schemas.openxmlformats.org/officeDocument/2006/relationships/hyperlink" Target="https://www.qualit-enr.org/atre-decoration" TargetMode="External"/><Relationship Id="rId575" Type="http://schemas.openxmlformats.org/officeDocument/2006/relationships/hyperlink" Target="mailto:grenoble@hase-boutique.fr" TargetMode="External"/><Relationship Id="rId782" Type="http://schemas.openxmlformats.org/officeDocument/2006/relationships/hyperlink" Target="https://www.qualit-enr.org/cheminees-jay" TargetMode="External"/><Relationship Id="rId228" Type="http://schemas.openxmlformats.org/officeDocument/2006/relationships/hyperlink" Target="mailto:jacques.faure24@wanadoo.fr" TargetMode="External"/><Relationship Id="rId435" Type="http://schemas.openxmlformats.org/officeDocument/2006/relationships/hyperlink" Target="https://www.qualypso.fr/download_file.php?id=1214672b-53ac-4982-88f9-0d520d89179c" TargetMode="External"/><Relationship Id="rId642" Type="http://schemas.openxmlformats.org/officeDocument/2006/relationships/hyperlink" Target="mailto:laglaceetlefeu38@gmail.com" TargetMode="External"/><Relationship Id="rId1065" Type="http://schemas.openxmlformats.org/officeDocument/2006/relationships/hyperlink" Target="mailto:jcduo@orange.fr" TargetMode="External"/><Relationship Id="rId281" Type="http://schemas.openxmlformats.org/officeDocument/2006/relationships/hyperlink" Target="mailto:contactprojet@orange.fr" TargetMode="External"/><Relationship Id="rId502" Type="http://schemas.openxmlformats.org/officeDocument/2006/relationships/hyperlink" Target="https://www.qualypso.fr/download_file.php?id=0ac6bbaa-cb24-4926-9d7f-8e6b0d1f9099" TargetMode="External"/><Relationship Id="rId947" Type="http://schemas.openxmlformats.org/officeDocument/2006/relationships/hyperlink" Target="mailto:contact@ecvoiron.fr" TargetMode="External"/><Relationship Id="rId76" Type="http://schemas.openxmlformats.org/officeDocument/2006/relationships/hyperlink" Target="mailto:jacques.faure24@wanadoo.fr" TargetMode="External"/><Relationship Id="rId141" Type="http://schemas.openxmlformats.org/officeDocument/2006/relationships/hyperlink" Target="https://www.qualit-enr.org/techni-nature-05000" TargetMode="External"/><Relationship Id="rId379" Type="http://schemas.openxmlformats.org/officeDocument/2006/relationships/hyperlink" Target="mailto:marketing@carre-F.com" TargetMode="External"/><Relationship Id="rId586" Type="http://schemas.openxmlformats.org/officeDocument/2006/relationships/hyperlink" Target="https://www.qualit-enr.org/la-glace-et-le-feu" TargetMode="External"/><Relationship Id="rId793" Type="http://schemas.openxmlformats.org/officeDocument/2006/relationships/hyperlink" Target="https://www.qualit-enr.org/l-atre-dauphinois" TargetMode="External"/><Relationship Id="rId807" Type="http://schemas.openxmlformats.org/officeDocument/2006/relationships/hyperlink" Target="https://www.qualit-enr.org/jacqu-cheminees" TargetMode="External"/><Relationship Id="rId7" Type="http://schemas.openxmlformats.org/officeDocument/2006/relationships/hyperlink" Target="mailto:cheminees.jay@orange.fr" TargetMode="External"/><Relationship Id="rId239" Type="http://schemas.openxmlformats.org/officeDocument/2006/relationships/hyperlink" Target="mailto:bois-soleil-chauffage@orange.fr" TargetMode="External"/><Relationship Id="rId446" Type="http://schemas.openxmlformats.org/officeDocument/2006/relationships/hyperlink" Target="https://www.qualit-enr.org/cheminees-jay" TargetMode="External"/><Relationship Id="rId653" Type="http://schemas.openxmlformats.org/officeDocument/2006/relationships/hyperlink" Target="mailto:pascal.brn@gmail.com" TargetMode="External"/><Relationship Id="rId292" Type="http://schemas.openxmlformats.org/officeDocument/2006/relationships/hyperlink" Target="mailto:jcduo@orange.fr" TargetMode="External"/><Relationship Id="rId306" Type="http://schemas.openxmlformats.org/officeDocument/2006/relationships/hyperlink" Target="mailto:jonathan.bargel@philippeisere.fr" TargetMode="External"/><Relationship Id="rId860" Type="http://schemas.openxmlformats.org/officeDocument/2006/relationships/hyperlink" Target="https://www.qualit-enr.org/espace-confort-voironnais" TargetMode="External"/><Relationship Id="rId958"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87" Type="http://schemas.openxmlformats.org/officeDocument/2006/relationships/hyperlink" Target="mailto:jcduo@orange.fr" TargetMode="External"/><Relationship Id="rId513" Type="http://schemas.openxmlformats.org/officeDocument/2006/relationships/hyperlink" Target="https://www.qualypso.fr/download_file.php?id=e8412679-cbe2-4592-a7ca-e363f85998d9" TargetMode="External"/><Relationship Id="rId597" Type="http://schemas.openxmlformats.org/officeDocument/2006/relationships/hyperlink" Target="https://www.qualit-enr.org/entreprises/j3l-agencements/" TargetMode="External"/><Relationship Id="rId720" Type="http://schemas.openxmlformats.org/officeDocument/2006/relationships/hyperlink" Target="mailto:grenoble@hase-boutique.fr" TargetMode="External"/><Relationship Id="rId818" Type="http://schemas.openxmlformats.org/officeDocument/2006/relationships/hyperlink" Target="mailto:voiron@techni-nature.com" TargetMode="External"/><Relationship Id="rId152" Type="http://schemas.openxmlformats.org/officeDocument/2006/relationships/hyperlink" Target="mailto:jcduo@orange.fr" TargetMode="External"/><Relationship Id="rId457" Type="http://schemas.openxmlformats.org/officeDocument/2006/relationships/hyperlink" Target="https://www.qualit-enr.org/entreprises/espace-confort-voironnais/" TargetMode="External"/><Relationship Id="rId1003" Type="http://schemas.openxmlformats.org/officeDocument/2006/relationships/hyperlink" Target="mailto:bois-soleil.chauffage@orange.fr" TargetMode="External"/><Relationship Id="rId664" Type="http://schemas.openxmlformats.org/officeDocument/2006/relationships/hyperlink" Target="https://www.qualit-enr.org/fralor-poeles-et-cuisinieres-passion" TargetMode="External"/><Relationship Id="rId871" Type="http://schemas.openxmlformats.org/officeDocument/2006/relationships/hyperlink" Target="https://www.qualit-enr.org/sarl-passion-flamme" TargetMode="External"/><Relationship Id="rId969" Type="http://schemas.openxmlformats.org/officeDocument/2006/relationships/hyperlink" Target="mailto:tecnicservices@yahoo.fr" TargetMode="External"/><Relationship Id="rId14" Type="http://schemas.openxmlformats.org/officeDocument/2006/relationships/hyperlink" Target="mailto:contact@ecvoiron.fr" TargetMode="External"/><Relationship Id="rId317" Type="http://schemas.openxmlformats.org/officeDocument/2006/relationships/hyperlink" Target="mailto:jlc.services@orange.fr" TargetMode="External"/><Relationship Id="rId524" Type="http://schemas.openxmlformats.org/officeDocument/2006/relationships/hyperlink" Target="mailto:grenoble@hase-boutique.fr" TargetMode="External"/><Relationship Id="rId731" Type="http://schemas.openxmlformats.org/officeDocument/2006/relationships/hyperlink" Target="https://www.qualit-enr.org/techni-nature-05000" TargetMode="External"/><Relationship Id="rId98" Type="http://schemas.openxmlformats.org/officeDocument/2006/relationships/hyperlink" Target="mailto:contact@ecvoiron.fr" TargetMode="External"/><Relationship Id="rId163" Type="http://schemas.openxmlformats.org/officeDocument/2006/relationships/hyperlink" Target="mailto:jacques.faure24@wanadoo.fr" TargetMode="External"/><Relationship Id="rId370" Type="http://schemas.openxmlformats.org/officeDocument/2006/relationships/hyperlink" Target="https://www.qualypso.fr/download_file.php?id=5a2f7629-04e3-4b62-986f-8be595fd3c43" TargetMode="External"/><Relationship Id="rId829" Type="http://schemas.openxmlformats.org/officeDocument/2006/relationships/hyperlink" Target="mailto:contact@ecvoiron.fr" TargetMode="External"/><Relationship Id="rId1014" Type="http://schemas.openxmlformats.org/officeDocument/2006/relationships/hyperlink" Target="https://www.qualit-enr.org/glenat-pere-et-fils" TargetMode="External"/><Relationship Id="rId230" Type="http://schemas.openxmlformats.org/officeDocument/2006/relationships/hyperlink" Target="https://www.qualit-enr.org/cheminees-jay" TargetMode="External"/><Relationship Id="rId468" Type="http://schemas.openxmlformats.org/officeDocument/2006/relationships/hyperlink" Target="mailto:contact@ecvoiron.fr" TargetMode="External"/><Relationship Id="rId675" Type="http://schemas.openxmlformats.org/officeDocument/2006/relationships/hyperlink" Target="mailto:contact@ecvoiron.fr" TargetMode="External"/><Relationship Id="rId882" Type="http://schemas.openxmlformats.org/officeDocument/2006/relationships/hyperlink" Target="https://www.qualit-enr.org/espace-confort-voironnais" TargetMode="External"/><Relationship Id="rId25" Type="http://schemas.openxmlformats.org/officeDocument/2006/relationships/hyperlink" Target="mailto:jacques.faure24@wanadoo.fr" TargetMode="External"/><Relationship Id="rId328" Type="http://schemas.openxmlformats.org/officeDocument/2006/relationships/hyperlink" Target="https://www.qualit-enr.org/entreprises/espace-confort-voironnais/" TargetMode="External"/><Relationship Id="rId535" Type="http://schemas.openxmlformats.org/officeDocument/2006/relationships/hyperlink" Target="mailto:voiron@techni-nature.com" TargetMode="External"/><Relationship Id="rId742" Type="http://schemas.openxmlformats.org/officeDocument/2006/relationships/hyperlink" Target="mailto:bois-soleil.chauffage@orange.fr" TargetMode="External"/><Relationship Id="rId174" Type="http://schemas.openxmlformats.org/officeDocument/2006/relationships/hyperlink" Target="mailto:cheminees.jay@orange.fr" TargetMode="External"/><Relationship Id="rId381" Type="http://schemas.openxmlformats.org/officeDocument/2006/relationships/hyperlink" Target="mailto:marketing@carre-F.com" TargetMode="External"/><Relationship Id="rId602" Type="http://schemas.openxmlformats.org/officeDocument/2006/relationships/hyperlink" Target="mailto:grenoble@hase-boutique.fr" TargetMode="External"/><Relationship Id="rId1025" Type="http://schemas.openxmlformats.org/officeDocument/2006/relationships/hyperlink" Target="mailto:enerlogis@orange.fr" TargetMode="External"/><Relationship Id="rId241" Type="http://schemas.openxmlformats.org/officeDocument/2006/relationships/hyperlink" Target="mailto:contact@ecvoiron.fr" TargetMode="External"/><Relationship Id="rId479" Type="http://schemas.openxmlformats.org/officeDocument/2006/relationships/hyperlink" Target="https://www.qualit-enr.org/entreprises/entreprise-charat/" TargetMode="External"/><Relationship Id="rId686" Type="http://schemas.openxmlformats.org/officeDocument/2006/relationships/hyperlink" Target="https://www.qualit-enr.org/watthome" TargetMode="External"/><Relationship Id="rId893" Type="http://schemas.openxmlformats.org/officeDocument/2006/relationships/hyperlink" Target="https://www.qualit-enr.org/bois-soleil-chauffage-sarl" TargetMode="External"/><Relationship Id="rId907" Type="http://schemas.openxmlformats.org/officeDocument/2006/relationships/hyperlink" Target="https://www.qualit-enr.org/sasu-ignis-design-hase-la-boutique" TargetMode="External"/><Relationship Id="rId36" Type="http://schemas.openxmlformats.org/officeDocument/2006/relationships/hyperlink" Target="mailto:godin-grenoble@orange.fr" TargetMode="External"/><Relationship Id="rId339" Type="http://schemas.openxmlformats.org/officeDocument/2006/relationships/hyperlink" Target="mailto:p.clavel@alp-confort.fr" TargetMode="External"/><Relationship Id="rId546" Type="http://schemas.openxmlformats.org/officeDocument/2006/relationships/hyperlink" Target="mailto:contact@cpc38.com" TargetMode="External"/><Relationship Id="rId753" Type="http://schemas.openxmlformats.org/officeDocument/2006/relationships/hyperlink" Target="https://www.qualit-enr.org/fralor-poeles-et-cuisinieres-passion" TargetMode="External"/><Relationship Id="rId101" Type="http://schemas.openxmlformats.org/officeDocument/2006/relationships/hyperlink" Target="https://www.qualypso.fr/download_file.php?id=5a2f7629-04e3-4b62-986f-8be595fd3c43" TargetMode="External"/><Relationship Id="rId185" Type="http://schemas.openxmlformats.org/officeDocument/2006/relationships/hyperlink" Target="https://www.qualit-enr.org/cheminees-jay" TargetMode="External"/><Relationship Id="rId406" Type="http://schemas.openxmlformats.org/officeDocument/2006/relationships/hyperlink" Target="https://www.qualit-enr.org/entreprises/poelesgranules-fr-bio-belledonne-granules/" TargetMode="External"/><Relationship Id="rId960" Type="http://schemas.openxmlformats.org/officeDocument/2006/relationships/hyperlink" Target="https://www.qualit-enr.org/fralor-poeles-et-cuisinieres-passion" TargetMode="External"/><Relationship Id="rId1036" Type="http://schemas.openxmlformats.org/officeDocument/2006/relationships/hyperlink" Target="https://www.qualit-enr.org/carre" TargetMode="External"/><Relationship Id="rId392" Type="http://schemas.openxmlformats.org/officeDocument/2006/relationships/hyperlink" Target="mailto:enerlogis@orange.fr" TargetMode="External"/><Relationship Id="rId613" Type="http://schemas.openxmlformats.org/officeDocument/2006/relationships/hyperlink" Target="mailto:godin-grenoble@orange.fr" TargetMode="External"/><Relationship Id="rId697" Type="http://schemas.openxmlformats.org/officeDocument/2006/relationships/hyperlink" Target="https://www.qualit-enr.org/cheminees-jay" TargetMode="External"/><Relationship Id="rId820" Type="http://schemas.openxmlformats.org/officeDocument/2006/relationships/hyperlink" Target="mailto:expertise.ramonage.paquet@gmail.com" TargetMode="External"/><Relationship Id="rId918" Type="http://schemas.openxmlformats.org/officeDocument/2006/relationships/hyperlink" Target="mailto:fellerchauffage@orange.fr" TargetMode="External"/><Relationship Id="rId252" Type="http://schemas.openxmlformats.org/officeDocument/2006/relationships/hyperlink" Target="mailto:contact@alpp-plomberie.fr" TargetMode="External"/><Relationship Id="rId47" Type="http://schemas.openxmlformats.org/officeDocument/2006/relationships/hyperlink" Target="mailto:expertise.ramonage.paquet@gmail.com" TargetMode="External"/><Relationship Id="rId112" Type="http://schemas.openxmlformats.org/officeDocument/2006/relationships/hyperlink" Target="mailto:contact@ecvoiron.fr" TargetMode="External"/><Relationship Id="rId557" Type="http://schemas.openxmlformats.org/officeDocument/2006/relationships/hyperlink" Target="https://www.qualit-enr.org/bois-soleil-chauffage-sarl" TargetMode="External"/><Relationship Id="rId764" Type="http://schemas.openxmlformats.org/officeDocument/2006/relationships/hyperlink" Target="https://www.qualit-enr.org/fralor-poeles-et-cuisinieres-passion" TargetMode="External"/><Relationship Id="rId971" Type="http://schemas.openxmlformats.org/officeDocument/2006/relationships/hyperlink" Target="mailto:cheminees.jay@orange.fr" TargetMode="External"/><Relationship Id="rId196" Type="http://schemas.openxmlformats.org/officeDocument/2006/relationships/hyperlink" Target="mailto:grenoble@hase-boutique.fr" TargetMode="External"/><Relationship Id="rId417" Type="http://schemas.openxmlformats.org/officeDocument/2006/relationships/hyperlink" Target="mailto:poelesetcuisinierespassion@gmail.com" TargetMode="External"/><Relationship Id="rId624" Type="http://schemas.openxmlformats.org/officeDocument/2006/relationships/hyperlink" Target="mailto:sarlpab@orange.fr" TargetMode="External"/><Relationship Id="rId831" Type="http://schemas.openxmlformats.org/officeDocument/2006/relationships/hyperlink" Target="https://www.qualit-enr.org/aviz-energie" TargetMode="External"/><Relationship Id="rId1047" Type="http://schemas.openxmlformats.org/officeDocument/2006/relationships/hyperlink" Target="https://www.qualit-enr.org/bois-soleil-chauffage-sarl" TargetMode="External"/><Relationship Id="rId263" Type="http://schemas.openxmlformats.org/officeDocument/2006/relationships/hyperlink" Target="mailto:contact@fer-et-feu.fr" TargetMode="External"/><Relationship Id="rId470" Type="http://schemas.openxmlformats.org/officeDocument/2006/relationships/hyperlink" Target="https://www.qualit-enr.org/entreprises/espace-confort-voironnais/" TargetMode="External"/><Relationship Id="rId929" Type="http://schemas.openxmlformats.org/officeDocument/2006/relationships/hyperlink" Target="https://www.qualit-enr.org/carre" TargetMode="External"/><Relationship Id="rId58" Type="http://schemas.openxmlformats.org/officeDocument/2006/relationships/hyperlink" Target="mailto:contact@fer-et-feu.fr" TargetMode="External"/><Relationship Id="rId123" Type="http://schemas.openxmlformats.org/officeDocument/2006/relationships/hyperlink" Target="mailto:romainchevaleyre@passionflamme.fr" TargetMode="External"/><Relationship Id="rId330" Type="http://schemas.openxmlformats.org/officeDocument/2006/relationships/hyperlink" Target="https://www.qualit-enr.org/entreprises/espace-confort-voironnais/" TargetMode="External"/><Relationship Id="rId568" Type="http://schemas.openxmlformats.org/officeDocument/2006/relationships/hyperlink" Target="https://www.qualit-enr.org/atre-decoration" TargetMode="External"/><Relationship Id="rId775" Type="http://schemas.openxmlformats.org/officeDocument/2006/relationships/hyperlink" Target="mailto:contact@ecvoiron.fr" TargetMode="External"/><Relationship Id="rId982" Type="http://schemas.openxmlformats.org/officeDocument/2006/relationships/hyperlink" Target="mailto:voiron@techni-nature.com" TargetMode="External"/><Relationship Id="rId428" Type="http://schemas.openxmlformats.org/officeDocument/2006/relationships/hyperlink" Target="mailto:jcduo@orange.fr" TargetMode="External"/><Relationship Id="rId635" Type="http://schemas.openxmlformats.org/officeDocument/2006/relationships/hyperlink" Target="https://www.qualit-enr.org/la-glace-et-le-feu" TargetMode="External"/><Relationship Id="rId842" Type="http://schemas.openxmlformats.org/officeDocument/2006/relationships/hyperlink" Target="mailto:cheminees.jay@orange.fr" TargetMode="External"/><Relationship Id="rId1058" Type="http://schemas.openxmlformats.org/officeDocument/2006/relationships/hyperlink" Target="https://www.qualit-enr.org/jacqu-cheminees" TargetMode="External"/><Relationship Id="rId274" Type="http://schemas.openxmlformats.org/officeDocument/2006/relationships/hyperlink" Target="mailto:voiron@techni-nature.com" TargetMode="External"/><Relationship Id="rId481" Type="http://schemas.openxmlformats.org/officeDocument/2006/relationships/hyperlink" Target="https://www.qualypso.fr/download_file.php?id=1214672b-53ac-4982-88f9-0d520d89179c" TargetMode="External"/><Relationship Id="rId702" Type="http://schemas.openxmlformats.org/officeDocument/2006/relationships/hyperlink" Target="mailto:jcduo@orange.fr" TargetMode="External"/><Relationship Id="rId69" Type="http://schemas.openxmlformats.org/officeDocument/2006/relationships/hyperlink" Target="mailto:godin-grenoble@orange.fr" TargetMode="External"/><Relationship Id="rId134" Type="http://schemas.openxmlformats.org/officeDocument/2006/relationships/hyperlink" Target="mailto:sarl.glenat@wanadoo.fr" TargetMode="External"/><Relationship Id="rId579" Type="http://schemas.openxmlformats.org/officeDocument/2006/relationships/hyperlink" Target="mailto:contact.echirolles@alp-confort.fr" TargetMode="External"/><Relationship Id="rId786" Type="http://schemas.openxmlformats.org/officeDocument/2006/relationships/hyperlink" Target="https://www.qualit-enr.org/espace-confort-voironnais" TargetMode="External"/><Relationship Id="rId993" Type="http://schemas.openxmlformats.org/officeDocument/2006/relationships/hyperlink" Target="https://www.qualit-enr.org/serpolet-bidaud-sas" TargetMode="External"/><Relationship Id="rId341" Type="http://schemas.openxmlformats.org/officeDocument/2006/relationships/hyperlink" Target="mailto:jonathan.barguel@philippeisere.fr" TargetMode="External"/><Relationship Id="rId439" Type="http://schemas.openxmlformats.org/officeDocument/2006/relationships/hyperlink" Target="mailto:enerlogis@orange.fr" TargetMode="External"/><Relationship Id="rId646" Type="http://schemas.openxmlformats.org/officeDocument/2006/relationships/hyperlink" Target="mailto:contact@ecvoiron.fr" TargetMode="External"/><Relationship Id="rId1069" Type="http://schemas.openxmlformats.org/officeDocument/2006/relationships/vmlDrawing" Target="../drawings/vmlDrawing1.vml"/><Relationship Id="rId201" Type="http://schemas.openxmlformats.org/officeDocument/2006/relationships/hyperlink" Target="mailto:cheminees.jay@orange.fr" TargetMode="External"/><Relationship Id="rId285" Type="http://schemas.openxmlformats.org/officeDocument/2006/relationships/hyperlink" Target="mailto:contact@philippeisere.fr" TargetMode="External"/><Relationship Id="rId506" Type="http://schemas.openxmlformats.org/officeDocument/2006/relationships/hyperlink" Target="mailto:voiron@techni-nature.com" TargetMode="External"/><Relationship Id="rId853" Type="http://schemas.openxmlformats.org/officeDocument/2006/relationships/hyperlink" Target="mailto:voiron@techni-nature.com" TargetMode="External"/><Relationship Id="rId492" Type="http://schemas.openxmlformats.org/officeDocument/2006/relationships/hyperlink" Target="https://www.qualypso.fr/download_file.php?id=5a2f7629-04e3-4b62-986f-8be595fd3c43" TargetMode="External"/><Relationship Id="rId713" Type="http://schemas.openxmlformats.org/officeDocument/2006/relationships/hyperlink" Target="https://www.qualit-enr.org/espace-confort-voironnais" TargetMode="External"/><Relationship Id="rId797" Type="http://schemas.openxmlformats.org/officeDocument/2006/relationships/hyperlink" Target="https://www.qualit-enr.org/atre-decoration" TargetMode="External"/><Relationship Id="rId920" Type="http://schemas.openxmlformats.org/officeDocument/2006/relationships/hyperlink" Target="mailto:voiron@techni-nature.com" TargetMode="External"/><Relationship Id="rId145" Type="http://schemas.openxmlformats.org/officeDocument/2006/relationships/hyperlink" Target="mailto:marketing@carre-f.com" TargetMode="External"/><Relationship Id="rId352" Type="http://schemas.openxmlformats.org/officeDocument/2006/relationships/hyperlink" Target="https://www.qualit-enr.org/serpolet-bidaud-sas" TargetMode="External"/><Relationship Id="rId212" Type="http://schemas.openxmlformats.org/officeDocument/2006/relationships/hyperlink" Target="https://www.qualit-enr.org/carre" TargetMode="External"/><Relationship Id="rId657" Type="http://schemas.openxmlformats.org/officeDocument/2006/relationships/hyperlink" Target="https://www.qualit-enr.org/entreprises/sarl-energies/" TargetMode="External"/><Relationship Id="rId864" Type="http://schemas.openxmlformats.org/officeDocument/2006/relationships/hyperlink" Target="https://www.qualit-enr.org/jacqu-cheminees" TargetMode="External"/><Relationship Id="rId296" Type="http://schemas.openxmlformats.org/officeDocument/2006/relationships/hyperlink" Target="mailto:bois-soleil-chauffage@orange.fr" TargetMode="External"/><Relationship Id="rId517" Type="http://schemas.openxmlformats.org/officeDocument/2006/relationships/hyperlink" Target="https://www.qualit-enr.org/alp-confort" TargetMode="External"/><Relationship Id="rId724" Type="http://schemas.openxmlformats.org/officeDocument/2006/relationships/hyperlink" Target="mailto:thomas.morey@wattethome.com" TargetMode="External"/><Relationship Id="rId931" Type="http://schemas.openxmlformats.org/officeDocument/2006/relationships/hyperlink" Target="https://www.qualit-enr.org/cheminees-jay" TargetMode="External"/><Relationship Id="rId60" Type="http://schemas.openxmlformats.org/officeDocument/2006/relationships/hyperlink" Target="mailto:romainchevaleyre@passionflamme.fr" TargetMode="External"/><Relationship Id="rId156" Type="http://schemas.openxmlformats.org/officeDocument/2006/relationships/hyperlink" Target="mailto:jacques.faure24@wanadoo.fr" TargetMode="External"/><Relationship Id="rId363" Type="http://schemas.openxmlformats.org/officeDocument/2006/relationships/hyperlink" Target="mailto:cheminees.jay@orange.fr" TargetMode="External"/><Relationship Id="rId570" Type="http://schemas.openxmlformats.org/officeDocument/2006/relationships/hyperlink" Target="https://www.qualit-enr.org/sarl-enerlogis" TargetMode="External"/><Relationship Id="rId1007" Type="http://schemas.openxmlformats.org/officeDocument/2006/relationships/hyperlink" Target="https://www.qualit-enr.org/bresse-cheminees" TargetMode="External"/><Relationship Id="rId223" Type="http://schemas.openxmlformats.org/officeDocument/2006/relationships/hyperlink" Target="mailto:jonathan.barguel@philippeisere.fr" TargetMode="External"/><Relationship Id="rId430" Type="http://schemas.openxmlformats.org/officeDocument/2006/relationships/hyperlink" Target="https://www.qualypso.fr/download_file.php?id=021a3e1f-f16d-4577-ac80-f3806107cc38" TargetMode="External"/><Relationship Id="rId668" Type="http://schemas.openxmlformats.org/officeDocument/2006/relationships/hyperlink" Target="mailto:cheminees-svcd@orange.fr" TargetMode="External"/><Relationship Id="rId875" Type="http://schemas.openxmlformats.org/officeDocument/2006/relationships/hyperlink" Target="https://www.qualit-enr.org/fralor-poeles-et-cuisinieres-passion" TargetMode="External"/><Relationship Id="rId1060" Type="http://schemas.openxmlformats.org/officeDocument/2006/relationships/hyperlink" Target="https://www.qualit-enr.org/oliger-france-sas" TargetMode="External"/><Relationship Id="rId18" Type="http://schemas.openxmlformats.org/officeDocument/2006/relationships/hyperlink" Target="mailto:contact@ecvoiron.fr" TargetMode="External"/><Relationship Id="rId528" Type="http://schemas.openxmlformats.org/officeDocument/2006/relationships/hyperlink" Target="https://www.qualit-enr.org/entreprises/chartreuse-plomberie-chauffage/" TargetMode="External"/><Relationship Id="rId735" Type="http://schemas.openxmlformats.org/officeDocument/2006/relationships/hyperlink" Target="mailto:adv@atre-loisirs.fr" TargetMode="External"/><Relationship Id="rId942" Type="http://schemas.openxmlformats.org/officeDocument/2006/relationships/hyperlink" Target="https://www.qualit-enr.org/carre" TargetMode="External"/><Relationship Id="rId167" Type="http://schemas.openxmlformats.org/officeDocument/2006/relationships/hyperlink" Target="mailto:jeanfrancois@passionflamme.fr" TargetMode="External"/><Relationship Id="rId374" Type="http://schemas.openxmlformats.org/officeDocument/2006/relationships/hyperlink" Target="mailto:contact@philippeisere.fr" TargetMode="External"/><Relationship Id="rId581" Type="http://schemas.openxmlformats.org/officeDocument/2006/relationships/hyperlink" Target="https://www.qualit-enr.org/sarl-enerlogis" TargetMode="External"/><Relationship Id="rId1018" Type="http://schemas.openxmlformats.org/officeDocument/2006/relationships/hyperlink" Target="https://www.qualit-enr.org/cheminees-jay" TargetMode="External"/><Relationship Id="rId71" Type="http://schemas.openxmlformats.org/officeDocument/2006/relationships/hyperlink" Target="mailto:romainchevaleyre@passionflamme.fr" TargetMode="External"/><Relationship Id="rId234" Type="http://schemas.openxmlformats.org/officeDocument/2006/relationships/hyperlink" Target="mailto:poelesetcuisinierespassion@gmail.com" TargetMode="External"/><Relationship Id="rId679" Type="http://schemas.openxmlformats.org/officeDocument/2006/relationships/hyperlink" Target="https://www.qualit-enr.org/jacqu-cheminees" TargetMode="External"/><Relationship Id="rId802" Type="http://schemas.openxmlformats.org/officeDocument/2006/relationships/hyperlink" Target="mailto:bois-soleil.chauffage@orange.fr" TargetMode="External"/><Relationship Id="rId886" Type="http://schemas.openxmlformats.org/officeDocument/2006/relationships/hyperlink" Target="https://www.qualit-enr.org/bresse-cheminees" TargetMode="External"/><Relationship Id="rId2" Type="http://schemas.openxmlformats.org/officeDocument/2006/relationships/hyperlink" Target="mailto:jcduo@orange.fr" TargetMode="External"/><Relationship Id="rId29" Type="http://schemas.openxmlformats.org/officeDocument/2006/relationships/hyperlink" Target="mailto:cheminees.jay@orange.fr" TargetMode="External"/><Relationship Id="rId276" Type="http://schemas.openxmlformats.org/officeDocument/2006/relationships/hyperlink" Target="https://www.qualit-enr.org/cheminees-jay" TargetMode="External"/><Relationship Id="rId441" Type="http://schemas.openxmlformats.org/officeDocument/2006/relationships/hyperlink" Target="mailto:enerlogis@orange.fr" TargetMode="External"/><Relationship Id="rId483" Type="http://schemas.openxmlformats.org/officeDocument/2006/relationships/hyperlink" Target="https://www.qualit-enr.org/atre-decoration" TargetMode="External"/><Relationship Id="rId539" Type="http://schemas.openxmlformats.org/officeDocument/2006/relationships/hyperlink" Target="mailto:bois-soleil.chauffage@orange.fr" TargetMode="External"/><Relationship Id="rId690"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704" Type="http://schemas.openxmlformats.org/officeDocument/2006/relationships/hyperlink" Target="https://www.qualit-enr.org/bois-soleil-chauffage-sarl" TargetMode="External"/><Relationship Id="rId746" Type="http://schemas.openxmlformats.org/officeDocument/2006/relationships/hyperlink" Target="https://www.qualit-enr.org/atre-decoration" TargetMode="External"/><Relationship Id="rId911" Type="http://schemas.openxmlformats.org/officeDocument/2006/relationships/hyperlink" Target="https://www.qualit-enr.org/carre" TargetMode="External"/><Relationship Id="rId40" Type="http://schemas.openxmlformats.org/officeDocument/2006/relationships/hyperlink" Target="mailto:contact@philippeisere.fr" TargetMode="External"/><Relationship Id="rId136" Type="http://schemas.openxmlformats.org/officeDocument/2006/relationships/hyperlink" Target="mailto:enerlogis@orange.fr" TargetMode="External"/><Relationship Id="rId178" Type="http://schemas.openxmlformats.org/officeDocument/2006/relationships/hyperlink" Target="https://www.qualit-enr.org/sarl-passion-flamme" TargetMode="External"/><Relationship Id="rId301" Type="http://schemas.openxmlformats.org/officeDocument/2006/relationships/hyperlink" Target="mailto:contact@ecvoiron.fr" TargetMode="External"/><Relationship Id="rId343" Type="http://schemas.openxmlformats.org/officeDocument/2006/relationships/hyperlink" Target="mailto:jonathan.bargel@philippeisere.fr" TargetMode="External"/><Relationship Id="rId550" Type="http://schemas.openxmlformats.org/officeDocument/2006/relationships/hyperlink" Target="mailto:voglans@poelesgranules.fr" TargetMode="External"/><Relationship Id="rId788" Type="http://schemas.openxmlformats.org/officeDocument/2006/relationships/hyperlink" Target="https://www.qualit-enr.org/la-glace-et-le-feu" TargetMode="External"/><Relationship Id="rId953" Type="http://schemas.openxmlformats.org/officeDocument/2006/relationships/hyperlink" Target="mailto:cheminees.jay@orange.fr" TargetMode="External"/><Relationship Id="rId995" Type="http://schemas.openxmlformats.org/officeDocument/2006/relationships/hyperlink" Target="https://www.qualit-enr.org/cheminees-jay" TargetMode="External"/><Relationship Id="rId1029" Type="http://schemas.openxmlformats.org/officeDocument/2006/relationships/hyperlink" Target="mailto:contact@ecvoiron.fr" TargetMode="External"/><Relationship Id="rId82" Type="http://schemas.openxmlformats.org/officeDocument/2006/relationships/hyperlink" Target="mailto:a.caruana@alp-confort.fr" TargetMode="External"/><Relationship Id="rId203" Type="http://schemas.openxmlformats.org/officeDocument/2006/relationships/hyperlink" Target="mailto:marketing@carre-f.com" TargetMode="External"/><Relationship Id="rId385" Type="http://schemas.openxmlformats.org/officeDocument/2006/relationships/hyperlink" Target="mailto:sarlpab@orange.fr" TargetMode="External"/><Relationship Id="rId592" Type="http://schemas.openxmlformats.org/officeDocument/2006/relationships/hyperlink" Target="https://www.qualit-enr.org/jacqu-cheminees" TargetMode="External"/><Relationship Id="rId606" Type="http://schemas.openxmlformats.org/officeDocument/2006/relationships/hyperlink" Target="mailto:contact@ecvoiron.fr" TargetMode="External"/><Relationship Id="rId648" Type="http://schemas.openxmlformats.org/officeDocument/2006/relationships/hyperlink" Target="mailto:sarlpab@orange.fr" TargetMode="External"/><Relationship Id="rId813" Type="http://schemas.openxmlformats.org/officeDocument/2006/relationships/hyperlink" Target="mailto:pascal.brn@gmail.com" TargetMode="External"/><Relationship Id="rId855" Type="http://schemas.openxmlformats.org/officeDocument/2006/relationships/hyperlink" Target="mailto:contact@ecvoiron.fr" TargetMode="External"/><Relationship Id="rId1040" Type="http://schemas.openxmlformats.org/officeDocument/2006/relationships/hyperlink" Target="https://www.qualit-enr.org/fralor-poeles-et-cuisinieres-passion" TargetMode="External"/><Relationship Id="rId245" Type="http://schemas.openxmlformats.org/officeDocument/2006/relationships/hyperlink" Target="mailto:contact@alpp-plomberie.fr" TargetMode="External"/><Relationship Id="rId287" Type="http://schemas.openxmlformats.org/officeDocument/2006/relationships/hyperlink" Target="mailto:jcduo@orange.fr" TargetMode="External"/><Relationship Id="rId410" Type="http://schemas.openxmlformats.org/officeDocument/2006/relationships/hyperlink" Target="https://www.qualypso.fr/download_file.php?id=cb11ad74-f948-4beb-902b-43ff2ca9e830" TargetMode="External"/><Relationship Id="rId452" Type="http://schemas.openxmlformats.org/officeDocument/2006/relationships/hyperlink" Target="https://www.qualypso.fr/download_file.php?id=5a2f7629-04e3-4b62-986f-8be595fd3c43" TargetMode="External"/><Relationship Id="rId494" Type="http://schemas.openxmlformats.org/officeDocument/2006/relationships/hyperlink" Target="https://www.qualit-enr.org/entreprises/ramonage-tubage-pros/" TargetMode="External"/><Relationship Id="rId508" Type="http://schemas.openxmlformats.org/officeDocument/2006/relationships/hyperlink" Target="mailto:voiron@techni-nature.com" TargetMode="External"/><Relationship Id="rId715" Type="http://schemas.openxmlformats.org/officeDocument/2006/relationships/hyperlink" Target="https://www.qualit-enr.org/entreprises/tm-entreprise-ei/" TargetMode="External"/><Relationship Id="rId897" Type="http://schemas.openxmlformats.org/officeDocument/2006/relationships/hyperlink" Target="mailto:godin-grenoble@orange.fr" TargetMode="External"/><Relationship Id="rId922" Type="http://schemas.openxmlformats.org/officeDocument/2006/relationships/hyperlink" Target="mailto:contact@ecvoiron.fr" TargetMode="External"/><Relationship Id="rId105" Type="http://schemas.openxmlformats.org/officeDocument/2006/relationships/hyperlink" Target="mailto:contact@philippeisere.fr" TargetMode="External"/><Relationship Id="rId147" Type="http://schemas.openxmlformats.org/officeDocument/2006/relationships/hyperlink" Target="https://www.qualit-enr.org/entreprises/j3l-agencements/" TargetMode="External"/><Relationship Id="rId312" Type="http://schemas.openxmlformats.org/officeDocument/2006/relationships/hyperlink" Target="mailto:jaycheminees@orange.fr" TargetMode="External"/><Relationship Id="rId354" Type="http://schemas.openxmlformats.org/officeDocument/2006/relationships/hyperlink" Target="https://www.qualit-enr.org/entreprises/espace-confort-voironnais/" TargetMode="External"/><Relationship Id="rId757" Type="http://schemas.openxmlformats.org/officeDocument/2006/relationships/hyperlink" Target="https://www.qualibat.com/resultat-de-la-recherche/cheminees-cattarina-189319/" TargetMode="External"/><Relationship Id="rId799" Type="http://schemas.openxmlformats.org/officeDocument/2006/relationships/hyperlink" Target="https://www.qualit-enr.org/cheminees-jay" TargetMode="External"/><Relationship Id="rId964" Type="http://schemas.openxmlformats.org/officeDocument/2006/relationships/hyperlink" Target="mailto:voiron@techni-nature.com" TargetMode="External"/><Relationship Id="rId51" Type="http://schemas.openxmlformats.org/officeDocument/2006/relationships/hyperlink" Target="mailto:contact@ambianceetfeu.fr" TargetMode="External"/><Relationship Id="rId93" Type="http://schemas.openxmlformats.org/officeDocument/2006/relationships/hyperlink" Target="mailto:contact@fer-et-feu.fr" TargetMode="External"/><Relationship Id="rId189" Type="http://schemas.openxmlformats.org/officeDocument/2006/relationships/hyperlink" Target="https://www.qualit-enr.org/entreprises/j3l-agencements/" TargetMode="External"/><Relationship Id="rId396" Type="http://schemas.openxmlformats.org/officeDocument/2006/relationships/hyperlink" Target="mailto:grenoble@hase-boutique.fr" TargetMode="External"/><Relationship Id="rId561" Type="http://schemas.openxmlformats.org/officeDocument/2006/relationships/hyperlink" Target="mailto:contact@fer-et-feu.fr" TargetMode="External"/><Relationship Id="rId617" Type="http://schemas.openxmlformats.org/officeDocument/2006/relationships/hyperlink" Target="mailto:contact@philippeisere.fr" TargetMode="External"/><Relationship Id="rId659" Type="http://schemas.openxmlformats.org/officeDocument/2006/relationships/hyperlink" Target="https://www.qualit-enr.org/carre" TargetMode="External"/><Relationship Id="rId824" Type="http://schemas.openxmlformats.org/officeDocument/2006/relationships/hyperlink" Target="https://www.qualit-enr.org/serpolet-bidaud-sas" TargetMode="External"/><Relationship Id="rId866" Type="http://schemas.openxmlformats.org/officeDocument/2006/relationships/hyperlink" Target="mailto:contact@fer-et-feu.fr" TargetMode="External"/><Relationship Id="rId214" Type="http://schemas.openxmlformats.org/officeDocument/2006/relationships/hyperlink" Target="mailto:cheminees.jay@orange.fr" TargetMode="External"/><Relationship Id="rId256" Type="http://schemas.openxmlformats.org/officeDocument/2006/relationships/hyperlink" Target="mailto:contact@ecvoiron.fr" TargetMode="External"/><Relationship Id="rId298" Type="http://schemas.openxmlformats.org/officeDocument/2006/relationships/hyperlink" Target="mailto:contact@ecvoiron.fr" TargetMode="External"/><Relationship Id="rId421" Type="http://schemas.openxmlformats.org/officeDocument/2006/relationships/hyperlink" Target="https://www.qualit-enr.org/entreprises/espace-confort-voironnais/" TargetMode="External"/><Relationship Id="rId463" Type="http://schemas.openxmlformats.org/officeDocument/2006/relationships/hyperlink" Target="https://www.qualit-enr.org/cheminees-jay" TargetMode="External"/><Relationship Id="rId519" Type="http://schemas.openxmlformats.org/officeDocument/2006/relationships/hyperlink" Target="https://www.qualit-enr.org/sarl-passion-flamme" TargetMode="External"/><Relationship Id="rId670" Type="http://schemas.openxmlformats.org/officeDocument/2006/relationships/hyperlink" Target="https://www.qualit-enr.org/carre" TargetMode="External"/><Relationship Id="rId1051" Type="http://schemas.openxmlformats.org/officeDocument/2006/relationships/hyperlink" Target="https://www.qualit-enr.org/watthome" TargetMode="External"/><Relationship Id="rId116" Type="http://schemas.openxmlformats.org/officeDocument/2006/relationships/hyperlink" Target="mailto:contact@alpp-plomberie.fr" TargetMode="External"/><Relationship Id="rId158" Type="http://schemas.openxmlformats.org/officeDocument/2006/relationships/hyperlink" Target="mailto:jcduo@orange.fr" TargetMode="External"/><Relationship Id="rId323" Type="http://schemas.openxmlformats.org/officeDocument/2006/relationships/hyperlink" Target="mailto:contact.echirolles@alp-confort.fr" TargetMode="External"/><Relationship Id="rId530" Type="http://schemas.openxmlformats.org/officeDocument/2006/relationships/hyperlink" Target="https://www.qualypso.fr/download_file.php?id=59a0d93f-3d9d-4abe-85fc-665fa5310b89" TargetMode="External"/><Relationship Id="rId726" Type="http://schemas.openxmlformats.org/officeDocument/2006/relationships/hyperlink" Target="mailto:contact@fer-et-feu.fr" TargetMode="External"/><Relationship Id="rId768" Type="http://schemas.openxmlformats.org/officeDocument/2006/relationships/hyperlink" Target="mailto:contact@ecvoiron.fr" TargetMode="External"/><Relationship Id="rId933" Type="http://schemas.openxmlformats.org/officeDocument/2006/relationships/hyperlink" Target="https://www.qualit-enr.org/fralor-poeles-et-cuisinieres-passion" TargetMode="External"/><Relationship Id="rId975" Type="http://schemas.openxmlformats.org/officeDocument/2006/relationships/hyperlink" Target="https://www.qualit-enr.org/techni-nature-05000" TargetMode="External"/><Relationship Id="rId1009" Type="http://schemas.openxmlformats.org/officeDocument/2006/relationships/hyperlink" Target="https://www.qualit-enr.org/fralor-poeles-et-cuisinieres-passion" TargetMode="External"/><Relationship Id="rId20" Type="http://schemas.openxmlformats.org/officeDocument/2006/relationships/hyperlink" Target="mailto:cheminees.jay@orange.fr" TargetMode="External"/><Relationship Id="rId62" Type="http://schemas.openxmlformats.org/officeDocument/2006/relationships/hyperlink" Target="mailto:godin-grenoble@orange.fr" TargetMode="External"/><Relationship Id="rId365" Type="http://schemas.openxmlformats.org/officeDocument/2006/relationships/hyperlink" Target="mailto:marketing@carre-F.com" TargetMode="External"/><Relationship Id="rId572" Type="http://schemas.openxmlformats.org/officeDocument/2006/relationships/hyperlink" Target="https://www.qualit-enr.org/espace-confort-voironnais" TargetMode="External"/><Relationship Id="rId628" Type="http://schemas.openxmlformats.org/officeDocument/2006/relationships/hyperlink" Target="mailto:sarlpab@orange.fr" TargetMode="External"/><Relationship Id="rId835" Type="http://schemas.openxmlformats.org/officeDocument/2006/relationships/hyperlink" Target="https://www.qualit-enr.org/techni-nature-05000" TargetMode="External"/><Relationship Id="rId225" Type="http://schemas.openxmlformats.org/officeDocument/2006/relationships/hyperlink" Target="mailto:patrickduranton@passionflamme.fr" TargetMode="External"/><Relationship Id="rId267" Type="http://schemas.openxmlformats.org/officeDocument/2006/relationships/hyperlink" Target="mailto:poelesetcuisinierespassion@gmail.com" TargetMode="External"/><Relationship Id="rId432" Type="http://schemas.openxmlformats.org/officeDocument/2006/relationships/hyperlink" Target="mailto:grenoble@hase-boutique.fr" TargetMode="External"/><Relationship Id="rId474" Type="http://schemas.openxmlformats.org/officeDocument/2006/relationships/hyperlink" Target="https://www.qualit-enr.org/entreprises/sarl-pab-2/" TargetMode="External"/><Relationship Id="rId877" Type="http://schemas.openxmlformats.org/officeDocument/2006/relationships/hyperlink" Target="mailto:aucoindufeu38@gmail.com" TargetMode="External"/><Relationship Id="rId1020" Type="http://schemas.openxmlformats.org/officeDocument/2006/relationships/hyperlink" Target="https://www.qualit-enr.org/sasu-ignis-design-hase-la-boutique" TargetMode="External"/><Relationship Id="rId1062" Type="http://schemas.openxmlformats.org/officeDocument/2006/relationships/hyperlink" Target="https://www.qualit-enr.org/flamme-iseroise" TargetMode="External"/><Relationship Id="rId127" Type="http://schemas.openxmlformats.org/officeDocument/2006/relationships/hyperlink" Target="mailto:contac@laletredauphinois.fr" TargetMode="External"/><Relationship Id="rId681" Type="http://schemas.openxmlformats.org/officeDocument/2006/relationships/hyperlink" Target="mailto:contact.echirolles@alp-confort.fr" TargetMode="External"/><Relationship Id="rId737" Type="http://schemas.openxmlformats.org/officeDocument/2006/relationships/hyperlink" Target="https://www.qualit-enr.org/bois-soleil-chauffage-sarl" TargetMode="External"/><Relationship Id="rId779" Type="http://schemas.openxmlformats.org/officeDocument/2006/relationships/hyperlink" Target="mailto:bois-soleil.chauffage@orange.fr" TargetMode="External"/><Relationship Id="rId902" Type="http://schemas.openxmlformats.org/officeDocument/2006/relationships/hyperlink" Target="mailto:cheminees.jay@orange.fr" TargetMode="External"/><Relationship Id="rId944"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986" Type="http://schemas.openxmlformats.org/officeDocument/2006/relationships/hyperlink" Target="mailto:cheminees.jay@orange.fr" TargetMode="External"/><Relationship Id="rId31" Type="http://schemas.openxmlformats.org/officeDocument/2006/relationships/hyperlink" Target="mailto:sarlpab@orange.fr" TargetMode="External"/><Relationship Id="rId73" Type="http://schemas.openxmlformats.org/officeDocument/2006/relationships/hyperlink" Target="mailto:contact@philippeisere.fr" TargetMode="External"/><Relationship Id="rId169" Type="http://schemas.openxmlformats.org/officeDocument/2006/relationships/hyperlink" Target="https://www.qualit-enr.org/techni-nature-05000" TargetMode="External"/><Relationship Id="rId334" Type="http://schemas.openxmlformats.org/officeDocument/2006/relationships/hyperlink" Target="https://www.qualit-enr.org/cheminees-jay" TargetMode="External"/><Relationship Id="rId376" Type="http://schemas.openxmlformats.org/officeDocument/2006/relationships/hyperlink" Target="mailto:poelesetcuisinierespassion@gmail.com" TargetMode="External"/><Relationship Id="rId541" Type="http://schemas.openxmlformats.org/officeDocument/2006/relationships/hyperlink" Target="mailto:grenoble@hase-boutique.fr" TargetMode="External"/><Relationship Id="rId583" Type="http://schemas.openxmlformats.org/officeDocument/2006/relationships/hyperlink" Target="https://www.qualit-enr.org/alp-confort" TargetMode="External"/><Relationship Id="rId639" Type="http://schemas.openxmlformats.org/officeDocument/2006/relationships/hyperlink" Target="https://www.qualit-enr.org/entreprises/j3l-agencements/" TargetMode="External"/><Relationship Id="rId790" Type="http://schemas.openxmlformats.org/officeDocument/2006/relationships/hyperlink" Target="https://www.qualit-enr.org/jacqu-cheminees" TargetMode="External"/><Relationship Id="rId804" Type="http://schemas.openxmlformats.org/officeDocument/2006/relationships/hyperlink" Target="mailto:voiron@techni-nature.com" TargetMode="External"/><Relationship Id="rId4" Type="http://schemas.openxmlformats.org/officeDocument/2006/relationships/hyperlink" Target="mailto:bois-soleil-chauffage@orange.fr" TargetMode="External"/><Relationship Id="rId180" Type="http://schemas.openxmlformats.org/officeDocument/2006/relationships/hyperlink" Target="mailto:contact@ecvoiron.fr" TargetMode="External"/><Relationship Id="rId236" Type="http://schemas.openxmlformats.org/officeDocument/2006/relationships/hyperlink" Target="https://www.qualit-enr.org/cheminees-jay" TargetMode="External"/><Relationship Id="rId278" Type="http://schemas.openxmlformats.org/officeDocument/2006/relationships/hyperlink" Target="https://www.qualit-enr.org/cheminees-jay" TargetMode="External"/><Relationship Id="rId401" Type="http://schemas.openxmlformats.org/officeDocument/2006/relationships/hyperlink" Target="https://www.qualit-enr.org/cheminees-jay" TargetMode="External"/><Relationship Id="rId443" Type="http://schemas.openxmlformats.org/officeDocument/2006/relationships/hyperlink" Target="mailto:jlc.services@orange.fr" TargetMode="External"/><Relationship Id="rId650" Type="http://schemas.openxmlformats.org/officeDocument/2006/relationships/hyperlink" Target="https://www.qualit-enr.org/espace-confort-voironnais" TargetMode="External"/><Relationship Id="rId846" Type="http://schemas.openxmlformats.org/officeDocument/2006/relationships/hyperlink" Target="https://www.qualit-enr.org/fralor-poeles-et-cuisinieres-passion" TargetMode="External"/><Relationship Id="rId888" Type="http://schemas.openxmlformats.org/officeDocument/2006/relationships/hyperlink" Target="https://www.qualit-enr.org/jacqu-cheminees" TargetMode="External"/><Relationship Id="rId1031" Type="http://schemas.openxmlformats.org/officeDocument/2006/relationships/hyperlink" Target="mailto:voiron@techni-nature.com" TargetMode="External"/><Relationship Id="rId303" Type="http://schemas.openxmlformats.org/officeDocument/2006/relationships/hyperlink" Target="mailto:jlc.services@orange.fr" TargetMode="External"/><Relationship Id="rId485" Type="http://schemas.openxmlformats.org/officeDocument/2006/relationships/hyperlink" Target="https://www.qualit-enr.org/fralor-poeles-et-cuisinieres-passion" TargetMode="External"/><Relationship Id="rId692" Type="http://schemas.openxmlformats.org/officeDocument/2006/relationships/hyperlink" Target="https://www.qualit-enr.org/carre" TargetMode="External"/><Relationship Id="rId706" Type="http://schemas.openxmlformats.org/officeDocument/2006/relationships/hyperlink" Target="https://www.qualit-enr.org/watthome" TargetMode="External"/><Relationship Id="rId748" Type="http://schemas.openxmlformats.org/officeDocument/2006/relationships/hyperlink" Target="https://www.qualit-enr.org/carre" TargetMode="External"/><Relationship Id="rId913" Type="http://schemas.openxmlformats.org/officeDocument/2006/relationships/hyperlink" Target="mailto:jcduo@orange.fr" TargetMode="External"/><Relationship Id="rId955" Type="http://schemas.openxmlformats.org/officeDocument/2006/relationships/hyperlink" Target="mailto:nessfrance38@hotmail.fr" TargetMode="External"/><Relationship Id="rId42" Type="http://schemas.openxmlformats.org/officeDocument/2006/relationships/hyperlink" Target="mailto:a.caruana@alp-confort.fr" TargetMode="External"/><Relationship Id="rId84" Type="http://schemas.openxmlformats.org/officeDocument/2006/relationships/hyperlink" Target="mailto:contact@ecvoiron.fr" TargetMode="External"/><Relationship Id="rId138" Type="http://schemas.openxmlformats.org/officeDocument/2006/relationships/hyperlink" Target="mailto:cyrillekratter@kratter.fr" TargetMode="External"/><Relationship Id="rId345" Type="http://schemas.openxmlformats.org/officeDocument/2006/relationships/hyperlink" Target="mailto:jonathan.bargel@philippeisere.fr" TargetMode="External"/><Relationship Id="rId387" Type="http://schemas.openxmlformats.org/officeDocument/2006/relationships/hyperlink" Target="mailto:contact@ecvoiron.fr" TargetMode="External"/><Relationship Id="rId510" Type="http://schemas.openxmlformats.org/officeDocument/2006/relationships/hyperlink" Target="mailto:jcduo@orange.fr" TargetMode="External"/><Relationship Id="rId552" Type="http://schemas.openxmlformats.org/officeDocument/2006/relationships/hyperlink" Target="mailto:contact@ecvoiron.fr" TargetMode="External"/><Relationship Id="rId594" Type="http://schemas.openxmlformats.org/officeDocument/2006/relationships/hyperlink" Target="mailto:patrickduranton@passionflamme.fr" TargetMode="External"/><Relationship Id="rId608" Type="http://schemas.openxmlformats.org/officeDocument/2006/relationships/hyperlink" Target="mailto:patrickduranton@passionflamme.fr" TargetMode="External"/><Relationship Id="rId815" Type="http://schemas.openxmlformats.org/officeDocument/2006/relationships/hyperlink" Target="mailto:grenoble@hase-boutique.fr" TargetMode="External"/><Relationship Id="rId997" Type="http://schemas.openxmlformats.org/officeDocument/2006/relationships/hyperlink" Target="https://www.qualit-enr.org/carre" TargetMode="External"/><Relationship Id="rId191" Type="http://schemas.openxmlformats.org/officeDocument/2006/relationships/hyperlink" Target="mailto:godin-grenoble@orange.fr" TargetMode="External"/><Relationship Id="rId205" Type="http://schemas.openxmlformats.org/officeDocument/2006/relationships/hyperlink" Target="mailto:cheminees.jay@orange.fr" TargetMode="External"/><Relationship Id="rId247" Type="http://schemas.openxmlformats.org/officeDocument/2006/relationships/hyperlink" Target="mailto:contact@ecvoiron.fr" TargetMode="External"/><Relationship Id="rId412" Type="http://schemas.openxmlformats.org/officeDocument/2006/relationships/hyperlink" Target="https://www.qualypso.fr/download_file.php?id=cb11ad74-f948-4beb-902b-43ff2ca9e830" TargetMode="External"/><Relationship Id="rId857" Type="http://schemas.openxmlformats.org/officeDocument/2006/relationships/hyperlink" Target="mailto:voglans@poelesgranules.fr" TargetMode="External"/><Relationship Id="rId899"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1000" Type="http://schemas.openxmlformats.org/officeDocument/2006/relationships/hyperlink" Target="https://www.qualit-enr.org/carre" TargetMode="External"/><Relationship Id="rId1042" Type="http://schemas.openxmlformats.org/officeDocument/2006/relationships/hyperlink" Target="https://www.qualit-enr.org/carre" TargetMode="External"/><Relationship Id="rId107" Type="http://schemas.openxmlformats.org/officeDocument/2006/relationships/hyperlink" Target="mailto:contact@ecvoiron.fr" TargetMode="External"/><Relationship Id="rId289" Type="http://schemas.openxmlformats.org/officeDocument/2006/relationships/hyperlink" Target="mailto:jlc.services@orange.fr" TargetMode="External"/><Relationship Id="rId454" Type="http://schemas.openxmlformats.org/officeDocument/2006/relationships/hyperlink" Target="https://www.qualit-enr.org/jacqu-cheminees" TargetMode="External"/><Relationship Id="rId496" Type="http://schemas.openxmlformats.org/officeDocument/2006/relationships/hyperlink" Target="https://www.qualit-enr.org/l-atre-dauphinois" TargetMode="External"/><Relationship Id="rId661" Type="http://schemas.openxmlformats.org/officeDocument/2006/relationships/hyperlink" Target="https://www.qualit-enr.org/carre" TargetMode="External"/><Relationship Id="rId717" Type="http://schemas.openxmlformats.org/officeDocument/2006/relationships/hyperlink" Target="https://www.qualit-enr.org/fralor-poeles-et-cuisinieres-passion" TargetMode="External"/><Relationship Id="rId759" Type="http://schemas.openxmlformats.org/officeDocument/2006/relationships/hyperlink" Target="https://www.qualit-enr.org/espace-confort-voironnais" TargetMode="External"/><Relationship Id="rId924" Type="http://schemas.openxmlformats.org/officeDocument/2006/relationships/hyperlink" Target="mailto:bois-soleil.chauffage@orange.fr" TargetMode="External"/><Relationship Id="rId966" Type="http://schemas.openxmlformats.org/officeDocument/2006/relationships/hyperlink" Target="https://www.qualit-enr.org/techni-nature-05000" TargetMode="External"/><Relationship Id="rId11" Type="http://schemas.openxmlformats.org/officeDocument/2006/relationships/hyperlink" Target="mailto:jacques.faure24@wanadoo.fr" TargetMode="External"/><Relationship Id="rId53" Type="http://schemas.openxmlformats.org/officeDocument/2006/relationships/hyperlink" Target="https://www.qualit-enr.org/cheminees-jay" TargetMode="External"/><Relationship Id="rId149" Type="http://schemas.openxmlformats.org/officeDocument/2006/relationships/hyperlink" Target="https://www.qualit-enr.org/entreprises/j3l-agencements/" TargetMode="External"/><Relationship Id="rId314" Type="http://schemas.openxmlformats.org/officeDocument/2006/relationships/hyperlink" Target="mailto:accueil@carre-f.com" TargetMode="External"/><Relationship Id="rId356" Type="http://schemas.openxmlformats.org/officeDocument/2006/relationships/hyperlink" Target="https://www.qualit-enr.org/entreprises/sarl-pab-2/" TargetMode="External"/><Relationship Id="rId398" Type="http://schemas.openxmlformats.org/officeDocument/2006/relationships/hyperlink" Target="mailto:acg.plomberie.renov@gmail.com" TargetMode="External"/><Relationship Id="rId521" Type="http://schemas.openxmlformats.org/officeDocument/2006/relationships/hyperlink" Target="https://www.qualit-enr.org/atre-decoration" TargetMode="External"/><Relationship Id="rId563" Type="http://schemas.openxmlformats.org/officeDocument/2006/relationships/hyperlink" Target="https://www.qualit-enr.org/fralor-poeles-et-cuisinieres-passion" TargetMode="External"/><Relationship Id="rId619" Type="http://schemas.openxmlformats.org/officeDocument/2006/relationships/hyperlink" Target="mailto:godin-grenoble@orange.fr" TargetMode="External"/><Relationship Id="rId770" Type="http://schemas.openxmlformats.org/officeDocument/2006/relationships/hyperlink" Target="mailto:jcduo@orange.fr" TargetMode="External"/><Relationship Id="rId95" Type="http://schemas.openxmlformats.org/officeDocument/2006/relationships/hyperlink" Target="mailto:contact@philippeisere.fr" TargetMode="External"/><Relationship Id="rId160" Type="http://schemas.openxmlformats.org/officeDocument/2006/relationships/hyperlink" Target="mailto:jonathan.bargel@philippeisere.fr" TargetMode="External"/><Relationship Id="rId216" Type="http://schemas.openxmlformats.org/officeDocument/2006/relationships/hyperlink" Target="mailto:jacques.faure24@wanadoo.fr" TargetMode="External"/><Relationship Id="rId423" Type="http://schemas.openxmlformats.org/officeDocument/2006/relationships/hyperlink" Target="https://www.qualit-enr.org/entreprises/espace-confort-voironnais/" TargetMode="External"/><Relationship Id="rId826" Type="http://schemas.openxmlformats.org/officeDocument/2006/relationships/hyperlink" Target="https://www.qualit-enr.org/todeschini" TargetMode="External"/><Relationship Id="rId868" Type="http://schemas.openxmlformats.org/officeDocument/2006/relationships/hyperlink" Target="mailto:contact@ecvoiron.fr" TargetMode="External"/><Relationship Id="rId1011" Type="http://schemas.openxmlformats.org/officeDocument/2006/relationships/hyperlink" Target="mailto:jcduo@orange.fr" TargetMode="External"/><Relationship Id="rId1053" Type="http://schemas.openxmlformats.org/officeDocument/2006/relationships/hyperlink" Target="https://www.qualit-enr.org/techni-nature-05000" TargetMode="External"/><Relationship Id="rId258" Type="http://schemas.openxmlformats.org/officeDocument/2006/relationships/hyperlink" Target="mailto:jcduo@orange.fr" TargetMode="External"/><Relationship Id="rId465" Type="http://schemas.openxmlformats.org/officeDocument/2006/relationships/hyperlink" Target="https://www.qualit-enr.org/entreprises/cheminees-svcd/" TargetMode="External"/><Relationship Id="rId630" Type="http://schemas.openxmlformats.org/officeDocument/2006/relationships/hyperlink" Target="mailto:cheminees.jay@orange.fr" TargetMode="External"/><Relationship Id="rId672" Type="http://schemas.openxmlformats.org/officeDocument/2006/relationships/hyperlink" Target="mailto:patrickduranton@passionflamme.fr" TargetMode="External"/><Relationship Id="rId728" Type="http://schemas.openxmlformats.org/officeDocument/2006/relationships/hyperlink" Target="mailto:cheminees.jay@orange.fr" TargetMode="External"/><Relationship Id="rId935" Type="http://schemas.openxmlformats.org/officeDocument/2006/relationships/hyperlink" Target="https://www.qualit-enr.org/espace-confort-voironnais" TargetMode="External"/><Relationship Id="rId22" Type="http://schemas.openxmlformats.org/officeDocument/2006/relationships/hyperlink" Target="mailto:contact@poele-co.fr" TargetMode="External"/><Relationship Id="rId64" Type="http://schemas.openxmlformats.org/officeDocument/2006/relationships/hyperlink" Target="mailto:kevincd@hotmail.fr" TargetMode="External"/><Relationship Id="rId118" Type="http://schemas.openxmlformats.org/officeDocument/2006/relationships/hyperlink" Target="mailto:contact@ecvoiron.fr" TargetMode="External"/><Relationship Id="rId325" Type="http://schemas.openxmlformats.org/officeDocument/2006/relationships/hyperlink" Target="mailto:commercial@flammeiseroise.com" TargetMode="External"/><Relationship Id="rId367" Type="http://schemas.openxmlformats.org/officeDocument/2006/relationships/hyperlink" Target="mailto:poelesetcuisinierespassion@gmail.com" TargetMode="External"/><Relationship Id="rId532" Type="http://schemas.openxmlformats.org/officeDocument/2006/relationships/hyperlink" Target="https://www.qualypso.fr/download_file.php?id=bf0d4b10-3cb9-4725-8543-e026c8210a10" TargetMode="External"/><Relationship Id="rId574" Type="http://schemas.openxmlformats.org/officeDocument/2006/relationships/hyperlink" Target="https://www.qualit-enr.org/sasu-ignis-design-hase-la-boutique" TargetMode="External"/><Relationship Id="rId977" Type="http://schemas.openxmlformats.org/officeDocument/2006/relationships/hyperlink" Target="https://www.qualit-enr.org/cheminees-jay" TargetMode="External"/><Relationship Id="rId171" Type="http://schemas.openxmlformats.org/officeDocument/2006/relationships/hyperlink" Target="mailto:servicepose.grenoble2@leroymerlin.fr" TargetMode="External"/><Relationship Id="rId227" Type="http://schemas.openxmlformats.org/officeDocument/2006/relationships/hyperlink" Target="mailto:contact@ecvoiron.fr" TargetMode="External"/><Relationship Id="rId781" Type="http://schemas.openxmlformats.org/officeDocument/2006/relationships/hyperlink" Target="mailto:contact.echirolles@alp-confort.fr" TargetMode="External"/><Relationship Id="rId837" Type="http://schemas.openxmlformats.org/officeDocument/2006/relationships/hyperlink" Target="https://www.qualit-enr.org/jacqu-cheminees" TargetMode="External"/><Relationship Id="rId879" Type="http://schemas.openxmlformats.org/officeDocument/2006/relationships/hyperlink" Target="mailto:contact@ecvoiron.fr" TargetMode="External"/><Relationship Id="rId1022"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269" Type="http://schemas.openxmlformats.org/officeDocument/2006/relationships/hyperlink" Target="https://www.qualit-enr.org/bois-soleil-chauffage-sarl" TargetMode="External"/><Relationship Id="rId434" Type="http://schemas.openxmlformats.org/officeDocument/2006/relationships/hyperlink" Target="mailto:jlc.services@orange.fr" TargetMode="External"/><Relationship Id="rId476" Type="http://schemas.openxmlformats.org/officeDocument/2006/relationships/hyperlink" Target="mailto:lscramoncin@ets-payre.fr" TargetMode="External"/><Relationship Id="rId641" Type="http://schemas.openxmlformats.org/officeDocument/2006/relationships/hyperlink" Target="https://www.qualit-enr.org/la-glace-et-le-feu" TargetMode="External"/><Relationship Id="rId683" Type="http://schemas.openxmlformats.org/officeDocument/2006/relationships/hyperlink" Target="mailto:contact@ecvoiron.fr" TargetMode="External"/><Relationship Id="rId739" Type="http://schemas.openxmlformats.org/officeDocument/2006/relationships/hyperlink" Target="https://www.qualit-enr.org/l-atre-dauphinois" TargetMode="External"/><Relationship Id="rId890" Type="http://schemas.openxmlformats.org/officeDocument/2006/relationships/hyperlink" Target="mailto:grenoble@hase-boutique.fr" TargetMode="External"/><Relationship Id="rId904" Type="http://schemas.openxmlformats.org/officeDocument/2006/relationships/hyperlink" Target="mailto:cheminees.jay@orange.fr" TargetMode="External"/><Relationship Id="rId1064"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33" Type="http://schemas.openxmlformats.org/officeDocument/2006/relationships/hyperlink" Target="mailto:ghislain.bernier@kbane.com" TargetMode="External"/><Relationship Id="rId129" Type="http://schemas.openxmlformats.org/officeDocument/2006/relationships/hyperlink" Target="mailto:durand.depannage@gmail.com" TargetMode="External"/><Relationship Id="rId280" Type="http://schemas.openxmlformats.org/officeDocument/2006/relationships/hyperlink" Target="https://www.qualit-enr.org/entreprises/entreprise-charat/" TargetMode="External"/><Relationship Id="rId336" Type="http://schemas.openxmlformats.org/officeDocument/2006/relationships/hyperlink" Target="https://www.qualit-enr.org/cheminees-jay" TargetMode="External"/><Relationship Id="rId501" Type="http://schemas.openxmlformats.org/officeDocument/2006/relationships/hyperlink" Target="mailto:sarlpab@orange.fr" TargetMode="External"/><Relationship Id="rId543" Type="http://schemas.openxmlformats.org/officeDocument/2006/relationships/hyperlink" Target="mailto:patrickduranton@passionflamme.fr" TargetMode="External"/><Relationship Id="rId946" Type="http://schemas.openxmlformats.org/officeDocument/2006/relationships/hyperlink" Target="https://www.qualit-enr.org/espace-confort-voironnais" TargetMode="External"/><Relationship Id="rId988" Type="http://schemas.openxmlformats.org/officeDocument/2006/relationships/hyperlink" Target="https://www.qualit-enr.org/atre-decoration" TargetMode="External"/><Relationship Id="rId75" Type="http://schemas.openxmlformats.org/officeDocument/2006/relationships/hyperlink" Target="mailto:contac@laletredauphinois.fr" TargetMode="External"/><Relationship Id="rId140" Type="http://schemas.openxmlformats.org/officeDocument/2006/relationships/hyperlink" Target="mailto:ghislain.bernier@kbane.com" TargetMode="External"/><Relationship Id="rId182" Type="http://schemas.openxmlformats.org/officeDocument/2006/relationships/hyperlink" Target="mailto:voiron@techni-nature.com" TargetMode="External"/><Relationship Id="rId378" Type="http://schemas.openxmlformats.org/officeDocument/2006/relationships/hyperlink" Target="https://www.qualypso.fr/download_file.php?id=5a2f7629-04e3-4b62-986f-8be595fd3c43" TargetMode="External"/><Relationship Id="rId403" Type="http://schemas.openxmlformats.org/officeDocument/2006/relationships/hyperlink" Target="https://www.qualit-enr.org/cheminees-jay" TargetMode="External"/><Relationship Id="rId585" Type="http://schemas.openxmlformats.org/officeDocument/2006/relationships/hyperlink" Target="https://www.qualit-enr.org/fralor-poeles-et-cuisinieres-passion" TargetMode="External"/><Relationship Id="rId750" Type="http://schemas.openxmlformats.org/officeDocument/2006/relationships/hyperlink" Target="mailto:contact@ecvoiron.fr" TargetMode="External"/><Relationship Id="rId792" Type="http://schemas.openxmlformats.org/officeDocument/2006/relationships/hyperlink" Target="mailto:sarlpab@orange.fr" TargetMode="External"/><Relationship Id="rId806" Type="http://schemas.openxmlformats.org/officeDocument/2006/relationships/hyperlink" Target="mailto:sarlpab@orange.fr" TargetMode="External"/><Relationship Id="rId848" Type="http://schemas.openxmlformats.org/officeDocument/2006/relationships/hyperlink" Target="mailto:adv@atre-loisirs.fr" TargetMode="External"/><Relationship Id="rId1033" Type="http://schemas.openxmlformats.org/officeDocument/2006/relationships/hyperlink" Target="mailto:contact@fer-et-feu.fr" TargetMode="External"/><Relationship Id="rId6" Type="http://schemas.openxmlformats.org/officeDocument/2006/relationships/hyperlink" Target="mailto:ghislain.bernier@kbane.com" TargetMode="External"/><Relationship Id="rId238" Type="http://schemas.openxmlformats.org/officeDocument/2006/relationships/hyperlink" Target="mailto:contact@ecvoiron.fr" TargetMode="External"/><Relationship Id="rId445" Type="http://schemas.openxmlformats.org/officeDocument/2006/relationships/hyperlink" Target="mailto:jcduo@orange.fr" TargetMode="External"/><Relationship Id="rId487" Type="http://schemas.openxmlformats.org/officeDocument/2006/relationships/hyperlink" Target="mailto:jcduo@orange.fr" TargetMode="External"/><Relationship Id="rId610" Type="http://schemas.openxmlformats.org/officeDocument/2006/relationships/hyperlink" Target="mailto:cheminees.jay@orange.fr" TargetMode="External"/><Relationship Id="rId652" Type="http://schemas.openxmlformats.org/officeDocument/2006/relationships/hyperlink" Target="https://www.qualit-enr.org/arc-habitat" TargetMode="External"/><Relationship Id="rId694" Type="http://schemas.openxmlformats.org/officeDocument/2006/relationships/hyperlink" Target="mailto:patrickduranton@passionflamme.fr" TargetMode="External"/><Relationship Id="rId708" Type="http://schemas.openxmlformats.org/officeDocument/2006/relationships/hyperlink" Target="https://www.qualit-enr.org/carre" TargetMode="External"/><Relationship Id="rId915" Type="http://schemas.openxmlformats.org/officeDocument/2006/relationships/hyperlink" Target="https://www.qualit-enr.org/espace-confort-voironnais" TargetMode="External"/><Relationship Id="rId291" Type="http://schemas.openxmlformats.org/officeDocument/2006/relationships/hyperlink" Target="mailto:voiron@techni-nature.com" TargetMode="External"/><Relationship Id="rId305" Type="http://schemas.openxmlformats.org/officeDocument/2006/relationships/hyperlink" Target="https://www.qualit-enr.org/cheminees-jay" TargetMode="External"/><Relationship Id="rId347" Type="http://schemas.openxmlformats.org/officeDocument/2006/relationships/hyperlink" Target="mailto:contact-chaleurbois38@orange.fr" TargetMode="External"/><Relationship Id="rId512" Type="http://schemas.openxmlformats.org/officeDocument/2006/relationships/hyperlink" Target="mailto:f.carre@carre-f.com" TargetMode="External"/><Relationship Id="rId957" Type="http://schemas.openxmlformats.org/officeDocument/2006/relationships/hyperlink" Target="mailto:godin-grenoble@orange.fr" TargetMode="External"/><Relationship Id="rId999" Type="http://schemas.openxmlformats.org/officeDocument/2006/relationships/hyperlink" Target="mailto:contact@ecvoiron.fr" TargetMode="External"/><Relationship Id="rId44" Type="http://schemas.openxmlformats.org/officeDocument/2006/relationships/hyperlink" Target="mailto:jcduo@orange.fr" TargetMode="External"/><Relationship Id="rId86" Type="http://schemas.openxmlformats.org/officeDocument/2006/relationships/hyperlink" Target="mailto:jcduo@orange.fr" TargetMode="External"/><Relationship Id="rId151" Type="http://schemas.openxmlformats.org/officeDocument/2006/relationships/hyperlink" Target="mailto:poelesetcuisinierespassion@gmail.com" TargetMode="External"/><Relationship Id="rId389" Type="http://schemas.openxmlformats.org/officeDocument/2006/relationships/hyperlink" Target="mailto:poelesetcuisinierespassion@gmail.com" TargetMode="External"/><Relationship Id="rId554" Type="http://schemas.openxmlformats.org/officeDocument/2006/relationships/hyperlink" Target="mailto:contact@ecvoiron.fr" TargetMode="External"/><Relationship Id="rId596" Type="http://schemas.openxmlformats.org/officeDocument/2006/relationships/hyperlink" Target="mailto:jcduo@orange.fr" TargetMode="External"/><Relationship Id="rId761" Type="http://schemas.openxmlformats.org/officeDocument/2006/relationships/hyperlink" Target="https://www.qualit-enr.org/jacqu-cheminees" TargetMode="External"/><Relationship Id="rId817" Type="http://schemas.openxmlformats.org/officeDocument/2006/relationships/hyperlink" Target="https://www.qualit-enr.org/techni-nature-05000" TargetMode="External"/><Relationship Id="rId859" Type="http://schemas.openxmlformats.org/officeDocument/2006/relationships/hyperlink" Target="https://www.qualit-enr.org/carre" TargetMode="External"/><Relationship Id="rId1002" Type="http://schemas.openxmlformats.org/officeDocument/2006/relationships/hyperlink" Target="https://www.qualit-enr.org/bois-soleil-chauffage-sarl" TargetMode="External"/><Relationship Id="rId193" Type="http://schemas.openxmlformats.org/officeDocument/2006/relationships/hyperlink" Target="mailto:contact@alpp-plomberie.fr" TargetMode="External"/><Relationship Id="rId207" Type="http://schemas.openxmlformats.org/officeDocument/2006/relationships/hyperlink" Target="https://www.qualit-enr.org/poelesgranules-fr-bio-belledonne-granules" TargetMode="External"/><Relationship Id="rId249" Type="http://schemas.openxmlformats.org/officeDocument/2006/relationships/hyperlink" Target="mailto:ericgedeon@passionflamme.fr" TargetMode="External"/><Relationship Id="rId414" Type="http://schemas.openxmlformats.org/officeDocument/2006/relationships/hyperlink" Target="https://www.qualypso.fr/download_file.php?id=5a2f7629-04e3-4b62-986f-8be595fd3c43" TargetMode="External"/><Relationship Id="rId456" Type="http://schemas.openxmlformats.org/officeDocument/2006/relationships/hyperlink" Target="mailto:contact@ecvoiron.fr" TargetMode="External"/><Relationship Id="rId498" Type="http://schemas.openxmlformats.org/officeDocument/2006/relationships/hyperlink" Target="https://www.qualit-enr.org/entreprises/espace-confort-voironnais/" TargetMode="External"/><Relationship Id="rId621" Type="http://schemas.openxmlformats.org/officeDocument/2006/relationships/hyperlink" Target="mailto:voiron@techni-nature.com" TargetMode="External"/><Relationship Id="rId663" Type="http://schemas.openxmlformats.org/officeDocument/2006/relationships/hyperlink" Target="mailto:sarl.glenat@wanadoo.fr" TargetMode="External"/><Relationship Id="rId870" Type="http://schemas.openxmlformats.org/officeDocument/2006/relationships/hyperlink" Target="mailto:cheminees.jay@orange.fr" TargetMode="External"/><Relationship Id="rId1044" Type="http://schemas.openxmlformats.org/officeDocument/2006/relationships/hyperlink" Target="mailto:voiron@techni-nature.com" TargetMode="External"/><Relationship Id="rId13" Type="http://schemas.openxmlformats.org/officeDocument/2006/relationships/hyperlink" Target="mailto:ch.patoux@orange.fr" TargetMode="External"/><Relationship Id="rId109" Type="http://schemas.openxmlformats.org/officeDocument/2006/relationships/hyperlink" Target="mailto:contact@ecvoiron.fr" TargetMode="External"/><Relationship Id="rId260" Type="http://schemas.openxmlformats.org/officeDocument/2006/relationships/hyperlink" Target="mailto:jonathan.bargel@philippeisere.fr" TargetMode="External"/><Relationship Id="rId316" Type="http://schemas.openxmlformats.org/officeDocument/2006/relationships/hyperlink" Target="https://www.qualypso.fr/download_file.php?id=cb11ad74-f948-4beb-902b-43ff2ca9e830" TargetMode="External"/><Relationship Id="rId523" Type="http://schemas.openxmlformats.org/officeDocument/2006/relationships/hyperlink" Target="https://www.qualit-enr.org/sasu-ignis-design-hase-la-boutique" TargetMode="External"/><Relationship Id="rId719" Type="http://schemas.openxmlformats.org/officeDocument/2006/relationships/hyperlink" Target="https://www.qualit-enr.org/sasu-ignis-design-hase-la-boutique" TargetMode="External"/><Relationship Id="rId926" Type="http://schemas.openxmlformats.org/officeDocument/2006/relationships/hyperlink" Target="mailto:godin-grenoble@orange.fr" TargetMode="External"/><Relationship Id="rId968" Type="http://schemas.openxmlformats.org/officeDocument/2006/relationships/hyperlink" Target="https://www.qualit-enr.org/tecnic-services" TargetMode="External"/><Relationship Id="rId55" Type="http://schemas.openxmlformats.org/officeDocument/2006/relationships/hyperlink" Target="mailto:julien.sanchez@kbane.com" TargetMode="External"/><Relationship Id="rId97" Type="http://schemas.openxmlformats.org/officeDocument/2006/relationships/hyperlink" Target="mailto:contact@ecvoiron.fr" TargetMode="External"/><Relationship Id="rId120" Type="http://schemas.openxmlformats.org/officeDocument/2006/relationships/hyperlink" Target="mailto:contact@fer-et-feu.fr" TargetMode="External"/><Relationship Id="rId358" Type="http://schemas.openxmlformats.org/officeDocument/2006/relationships/hyperlink" Target="https://www.qualypso.fr/download_file.php?id=bf0d4b10-3cb9-4725-8543-e026c8210a10" TargetMode="External"/><Relationship Id="rId565" Type="http://schemas.openxmlformats.org/officeDocument/2006/relationships/hyperlink" Target="mailto:contact@ecvoiron.fr" TargetMode="External"/><Relationship Id="rId730" Type="http://schemas.openxmlformats.org/officeDocument/2006/relationships/hyperlink" Target="mailto:contact@ecvoiron.fr" TargetMode="External"/><Relationship Id="rId772" Type="http://schemas.openxmlformats.org/officeDocument/2006/relationships/hyperlink" Target="mailto:contact@ecvoiron.fr" TargetMode="External"/><Relationship Id="rId828" Type="http://schemas.openxmlformats.org/officeDocument/2006/relationships/hyperlink" Target="https://www.qualit-enr.org/espace-confort-voironnais" TargetMode="External"/><Relationship Id="rId1013" Type="http://schemas.openxmlformats.org/officeDocument/2006/relationships/hyperlink" Target="mailto:bois-soleil.chauffage@orange.fr" TargetMode="External"/><Relationship Id="rId162" Type="http://schemas.openxmlformats.org/officeDocument/2006/relationships/hyperlink" Target="mailto:jcduo@orange.fr" TargetMode="External"/><Relationship Id="rId218" Type="http://schemas.openxmlformats.org/officeDocument/2006/relationships/hyperlink" Target="mailto:voiron@techni-nature.com" TargetMode="External"/><Relationship Id="rId425" Type="http://schemas.openxmlformats.org/officeDocument/2006/relationships/hyperlink" Target="https://www.qualit-enr.org/alp-confort" TargetMode="External"/><Relationship Id="rId467" Type="http://schemas.openxmlformats.org/officeDocument/2006/relationships/hyperlink" Target="https://www.qualit-enr.org/entreprises/espace-confort-voironnais/" TargetMode="External"/><Relationship Id="rId632" Type="http://schemas.openxmlformats.org/officeDocument/2006/relationships/hyperlink" Target="https://www.qualit-enr.org/jacqu-cheminees" TargetMode="External"/><Relationship Id="rId1055" Type="http://schemas.openxmlformats.org/officeDocument/2006/relationships/hyperlink" Target="https://www.qualit-enr.org/techni-nature-05000" TargetMode="External"/><Relationship Id="rId271" Type="http://schemas.openxmlformats.org/officeDocument/2006/relationships/hyperlink" Target="https://www.qualit-enr.org/cheminees-jay" TargetMode="External"/><Relationship Id="rId674" Type="http://schemas.openxmlformats.org/officeDocument/2006/relationships/hyperlink" Target="https://www.qualit-enr.org/espace-confort-voironnais" TargetMode="External"/><Relationship Id="rId881" Type="http://schemas.openxmlformats.org/officeDocument/2006/relationships/hyperlink" Target="mailto:contact@ecvoiron.fr" TargetMode="External"/><Relationship Id="rId937" Type="http://schemas.openxmlformats.org/officeDocument/2006/relationships/hyperlink" Target="https://www.qualit-enr.org/techni-nature-05000" TargetMode="External"/><Relationship Id="rId979" Type="http://schemas.openxmlformats.org/officeDocument/2006/relationships/hyperlink" Target="https://www.qualit-enr.org/alby-eco" TargetMode="External"/><Relationship Id="rId24" Type="http://schemas.openxmlformats.org/officeDocument/2006/relationships/hyperlink" Target="mailto:jcduo@orange.fr" TargetMode="External"/><Relationship Id="rId66" Type="http://schemas.openxmlformats.org/officeDocument/2006/relationships/hyperlink" Target="mailto:godin-grenoble@orange.fr" TargetMode="External"/><Relationship Id="rId131" Type="http://schemas.openxmlformats.org/officeDocument/2006/relationships/hyperlink" Target="mailto:servicepose.grenoble2@leroymerlin.fr" TargetMode="External"/><Relationship Id="rId327" Type="http://schemas.openxmlformats.org/officeDocument/2006/relationships/hyperlink" Target="mailto:contact@ecvoiron.fr" TargetMode="External"/><Relationship Id="rId369" Type="http://schemas.openxmlformats.org/officeDocument/2006/relationships/hyperlink" Target="mailto:godin-grenoble@orange.fr" TargetMode="External"/><Relationship Id="rId534" Type="http://schemas.openxmlformats.org/officeDocument/2006/relationships/hyperlink" Target="https://www.qualypso.fr/download_file.php?id=021a3e1f-f16d-4577-ac80-f3806107cc38" TargetMode="External"/><Relationship Id="rId576" Type="http://schemas.openxmlformats.org/officeDocument/2006/relationships/hyperlink" Target="https://www.qualit-enr.org/fralor-poeles-et-cuisinieres-passion" TargetMode="External"/><Relationship Id="rId741" Type="http://schemas.openxmlformats.org/officeDocument/2006/relationships/hyperlink" Target="https://www.qualit-enr.org/bois-soleil-chauffage-sarl" TargetMode="External"/><Relationship Id="rId783" Type="http://schemas.openxmlformats.org/officeDocument/2006/relationships/hyperlink" Target="mailto:cheminees.jay@orange.fr" TargetMode="External"/><Relationship Id="rId839" Type="http://schemas.openxmlformats.org/officeDocument/2006/relationships/hyperlink" Target="mailto:contact@ecvoiron.fr" TargetMode="External"/><Relationship Id="rId990" Type="http://schemas.openxmlformats.org/officeDocument/2006/relationships/hyperlink" Target="https://www.qualit-enr.org/cheminees-jay" TargetMode="External"/><Relationship Id="rId173" Type="http://schemas.openxmlformats.org/officeDocument/2006/relationships/hyperlink" Target="https://www.qualit-enr.org/cheminees-jay" TargetMode="External"/><Relationship Id="rId229" Type="http://schemas.openxmlformats.org/officeDocument/2006/relationships/hyperlink" Target="mailto:bois-soleil-chauffage@orange.fr" TargetMode="External"/><Relationship Id="rId380" Type="http://schemas.openxmlformats.org/officeDocument/2006/relationships/hyperlink" Target="https://www.qualypso.fr/download_file.php?id=5a2f7629-04e3-4b62-986f-8be595fd3c43" TargetMode="External"/><Relationship Id="rId436" Type="http://schemas.openxmlformats.org/officeDocument/2006/relationships/hyperlink" Target="mailto:jcduo@orange.fr" TargetMode="External"/><Relationship Id="rId601" Type="http://schemas.openxmlformats.org/officeDocument/2006/relationships/hyperlink" Target="https://www.qualit-enr.org/sasu-ignis-design-hase-la-boutique" TargetMode="External"/><Relationship Id="rId643" Type="http://schemas.openxmlformats.org/officeDocument/2006/relationships/hyperlink" Target="https://www.qualit-enr.org/techni-nature-05000" TargetMode="External"/><Relationship Id="rId1024" Type="http://schemas.openxmlformats.org/officeDocument/2006/relationships/hyperlink" Target="https://www.qualit-enr.org/sarl-enerlogis" TargetMode="External"/><Relationship Id="rId1066" Type="http://schemas.openxmlformats.org/officeDocument/2006/relationships/hyperlink" Target="https://www.qualit-enr.org/fralor-poeles-et-cuisinieres-passion" TargetMode="External"/><Relationship Id="rId240" Type="http://schemas.openxmlformats.org/officeDocument/2006/relationships/hyperlink" Target="mailto:poelesetcuisinierespassion@gmail.com" TargetMode="External"/><Relationship Id="rId478" Type="http://schemas.openxmlformats.org/officeDocument/2006/relationships/hyperlink" Target="mailto:laglaceetlefeu38@gmail.com" TargetMode="External"/><Relationship Id="rId685" Type="http://schemas.openxmlformats.org/officeDocument/2006/relationships/hyperlink" Target="mailto:kevincd@hotmail.fr" TargetMode="External"/><Relationship Id="rId850" Type="http://schemas.openxmlformats.org/officeDocument/2006/relationships/hyperlink" Target="https://www.qualit-enr.org/cheminees-jay" TargetMode="External"/><Relationship Id="rId892" Type="http://schemas.openxmlformats.org/officeDocument/2006/relationships/hyperlink" Target="mailto:contact@ecvoiron.fr" TargetMode="External"/><Relationship Id="rId906" Type="http://schemas.openxmlformats.org/officeDocument/2006/relationships/hyperlink" Target="mailto:cheminees.jay@orange.fr" TargetMode="External"/><Relationship Id="rId948" Type="http://schemas.openxmlformats.org/officeDocument/2006/relationships/hyperlink" Target="https://www.qualit-enr.org/fralor-poeles-et-cuisinieres-passion" TargetMode="External"/><Relationship Id="rId35" Type="http://schemas.openxmlformats.org/officeDocument/2006/relationships/hyperlink" Target="mailto:romainchevaleyre@passionflamme.fr" TargetMode="External"/><Relationship Id="rId77" Type="http://schemas.openxmlformats.org/officeDocument/2006/relationships/hyperlink" Target="mailto:contact@philippeisere.fr" TargetMode="External"/><Relationship Id="rId100" Type="http://schemas.openxmlformats.org/officeDocument/2006/relationships/hyperlink" Target="mailto:stephaneterrier@aasgard.fr" TargetMode="External"/><Relationship Id="rId282" Type="http://schemas.openxmlformats.org/officeDocument/2006/relationships/hyperlink" Target="https://www.qualit-enr.org/cheminees-jay" TargetMode="External"/><Relationship Id="rId338" Type="http://schemas.openxmlformats.org/officeDocument/2006/relationships/hyperlink" Target="https://www.qualit-enr.org/cheminees-jay" TargetMode="External"/><Relationship Id="rId503" Type="http://schemas.openxmlformats.org/officeDocument/2006/relationships/hyperlink" Target="mailto:enerlogis@orange.fr" TargetMode="External"/><Relationship Id="rId545" Type="http://schemas.openxmlformats.org/officeDocument/2006/relationships/hyperlink" Target="mailto:tmgranule@gmail.com" TargetMode="External"/><Relationship Id="rId587" Type="http://schemas.openxmlformats.org/officeDocument/2006/relationships/hyperlink" Target="mailto:laglaceetlefeu38@gmail.com" TargetMode="External"/><Relationship Id="rId710" Type="http://schemas.openxmlformats.org/officeDocument/2006/relationships/hyperlink" Target="mailto:latredauphinois@gmail.com" TargetMode="External"/><Relationship Id="rId752" Type="http://schemas.openxmlformats.org/officeDocument/2006/relationships/hyperlink" Target="mailto:bois-soleil.chauffage@orange.fr" TargetMode="External"/><Relationship Id="rId808" Type="http://schemas.openxmlformats.org/officeDocument/2006/relationships/hyperlink" Target="https://www.qualit-enr.org/atre-et-loisirs-sarl" TargetMode="External"/><Relationship Id="rId8" Type="http://schemas.openxmlformats.org/officeDocument/2006/relationships/hyperlink" Target="mailto:jacques.faure24@wanadoo.fr" TargetMode="External"/><Relationship Id="rId142" Type="http://schemas.openxmlformats.org/officeDocument/2006/relationships/hyperlink" Target="mailto:voiron@techni-nature.com" TargetMode="External"/><Relationship Id="rId184" Type="http://schemas.openxmlformats.org/officeDocument/2006/relationships/hyperlink" Target="mailto:jonathan.bargel@philippeisere.fr" TargetMode="External"/><Relationship Id="rId391" Type="http://schemas.openxmlformats.org/officeDocument/2006/relationships/hyperlink" Target="https://www.qualit-enr.org/entreprises/espace-confort-voironnais/" TargetMode="External"/><Relationship Id="rId405" Type="http://schemas.openxmlformats.org/officeDocument/2006/relationships/hyperlink" Target="https://www.qualypso.fr/download_file.php?id=021a3e1f-f16d-4577-ac80-f3806107cc38" TargetMode="External"/><Relationship Id="rId447" Type="http://schemas.openxmlformats.org/officeDocument/2006/relationships/hyperlink" Target="mailto:cheminees.jay@orange.fr" TargetMode="External"/><Relationship Id="rId612" Type="http://schemas.openxmlformats.org/officeDocument/2006/relationships/hyperlink" Target="https://www.qualit-enr.org/atre-decoration" TargetMode="External"/><Relationship Id="rId794" Type="http://schemas.openxmlformats.org/officeDocument/2006/relationships/hyperlink" Target="mailto:latredauphinois@gmail.com" TargetMode="External"/><Relationship Id="rId1035" Type="http://schemas.openxmlformats.org/officeDocument/2006/relationships/hyperlink" Target="mailto:sarlpab@orange.fr" TargetMode="External"/><Relationship Id="rId251" Type="http://schemas.openxmlformats.org/officeDocument/2006/relationships/hyperlink" Target="mailto:jonathan.lamonica010388@gmail.com" TargetMode="External"/><Relationship Id="rId489" Type="http://schemas.openxmlformats.org/officeDocument/2006/relationships/hyperlink" Target="mailto:f.carre@carre-f.com" TargetMode="External"/><Relationship Id="rId654" Type="http://schemas.openxmlformats.org/officeDocument/2006/relationships/hyperlink" Target="https://www.qualit-enr.org/jacqu-cheminees" TargetMode="External"/><Relationship Id="rId696" Type="http://schemas.openxmlformats.org/officeDocument/2006/relationships/hyperlink" Target="mailto:voiron@techni-nature.com" TargetMode="External"/><Relationship Id="rId861" Type="http://schemas.openxmlformats.org/officeDocument/2006/relationships/hyperlink" Target="mailto:contact@ecvoiron.fr" TargetMode="External"/><Relationship Id="rId917" Type="http://schemas.openxmlformats.org/officeDocument/2006/relationships/hyperlink" Target="https://www.qualit-enr.org/feller-chauffage" TargetMode="External"/><Relationship Id="rId959" Type="http://schemas.openxmlformats.org/officeDocument/2006/relationships/hyperlink" Target="mailto:jcduo@orange.fr" TargetMode="External"/><Relationship Id="rId46" Type="http://schemas.openxmlformats.org/officeDocument/2006/relationships/hyperlink" Target="mailto:contact@philippeisere.fr" TargetMode="External"/><Relationship Id="rId293" Type="http://schemas.openxmlformats.org/officeDocument/2006/relationships/hyperlink" Target="mailto:godin-grenoble@orange.fr" TargetMode="External"/><Relationship Id="rId307" Type="http://schemas.openxmlformats.org/officeDocument/2006/relationships/hyperlink" Target="mailto:poeleetcuisinierespassion@gmail.com" TargetMode="External"/><Relationship Id="rId349" Type="http://schemas.openxmlformats.org/officeDocument/2006/relationships/hyperlink" Target="mailto:contact@philippeisere.fr" TargetMode="External"/><Relationship Id="rId514" Type="http://schemas.openxmlformats.org/officeDocument/2006/relationships/hyperlink" Target="mailto:jonathan.bargel@philippeisere.fr" TargetMode="External"/><Relationship Id="rId556" Type="http://schemas.openxmlformats.org/officeDocument/2006/relationships/hyperlink" Target="mailto:thomas.morey@wattethome.com" TargetMode="External"/><Relationship Id="rId721" Type="http://schemas.openxmlformats.org/officeDocument/2006/relationships/hyperlink" Target="https://www.qualit-enr.org/carre" TargetMode="External"/><Relationship Id="rId763" Type="http://schemas.openxmlformats.org/officeDocument/2006/relationships/hyperlink" Target="mailto:jcduo@orange.fr" TargetMode="External"/><Relationship Id="rId88" Type="http://schemas.openxmlformats.org/officeDocument/2006/relationships/hyperlink" Target="mailto:jonathan.bargel@philippeisere.fr" TargetMode="External"/><Relationship Id="rId111" Type="http://schemas.openxmlformats.org/officeDocument/2006/relationships/hyperlink" Target="mailto:cheminees.jay@orange.fr" TargetMode="External"/><Relationship Id="rId153" Type="http://schemas.openxmlformats.org/officeDocument/2006/relationships/hyperlink" Target="mailto:contact@ecvoiron.fr" TargetMode="External"/><Relationship Id="rId195" Type="http://schemas.openxmlformats.org/officeDocument/2006/relationships/hyperlink" Target="mailto:commerciale@flammeiseroise.com" TargetMode="External"/><Relationship Id="rId209" Type="http://schemas.openxmlformats.org/officeDocument/2006/relationships/hyperlink" Target="mailto:godin-grenoble@orange.fr" TargetMode="External"/><Relationship Id="rId360" Type="http://schemas.openxmlformats.org/officeDocument/2006/relationships/hyperlink" Target="https://www.qualit-enr.org/cheminees-jay" TargetMode="External"/><Relationship Id="rId416" Type="http://schemas.openxmlformats.org/officeDocument/2006/relationships/hyperlink" Target="https://www.qualypso.fr/download_file.php?id=cb11ad74-f948-4beb-902b-43ff2ca9e830" TargetMode="External"/><Relationship Id="rId598" Type="http://schemas.openxmlformats.org/officeDocument/2006/relationships/hyperlink" Target="mailto:contact@philippeisere.fr" TargetMode="External"/><Relationship Id="rId819" Type="http://schemas.openxmlformats.org/officeDocument/2006/relationships/hyperlink" Target="https://www.qualit-enr.org/gerente-paquet-herve" TargetMode="External"/><Relationship Id="rId970" Type="http://schemas.openxmlformats.org/officeDocument/2006/relationships/hyperlink" Target="https://www.qualit-enr.org/cheminees-jay" TargetMode="External"/><Relationship Id="rId1004" Type="http://schemas.openxmlformats.org/officeDocument/2006/relationships/hyperlink" Target="https://www.qualit-enr.org/techni-nature-05000" TargetMode="External"/><Relationship Id="rId1046" Type="http://schemas.openxmlformats.org/officeDocument/2006/relationships/hyperlink" Target="mailto:godin-grenoble@orange.fr" TargetMode="External"/><Relationship Id="rId220" Type="http://schemas.openxmlformats.org/officeDocument/2006/relationships/hyperlink" Target="https://www.qualit-enr.org/techni-nature-05000" TargetMode="External"/><Relationship Id="rId458" Type="http://schemas.openxmlformats.org/officeDocument/2006/relationships/hyperlink" Target="mailto:contact@ecvoiron.fr" TargetMode="External"/><Relationship Id="rId623" Type="http://schemas.openxmlformats.org/officeDocument/2006/relationships/hyperlink" Target="https://www.qualit-enr.org/sarl-pab-38490" TargetMode="External"/><Relationship Id="rId665" Type="http://schemas.openxmlformats.org/officeDocument/2006/relationships/hyperlink" Target="https://www.qualit-enr.org/sarl-enerlogis" TargetMode="External"/><Relationship Id="rId830" Type="http://schemas.openxmlformats.org/officeDocument/2006/relationships/hyperlink" Target="https://www.qualit-enr.org/fralor-poeles-et-cuisinieres-passion" TargetMode="External"/><Relationship Id="rId872" Type="http://schemas.openxmlformats.org/officeDocument/2006/relationships/hyperlink" Target="mailto:patrickduranton@passionflamme.fr" TargetMode="External"/><Relationship Id="rId928" Type="http://schemas.openxmlformats.org/officeDocument/2006/relationships/hyperlink" Target="mailto:contact@ecvoiron.fr" TargetMode="External"/><Relationship Id="rId15" Type="http://schemas.openxmlformats.org/officeDocument/2006/relationships/hyperlink" Target="mailto:contact@ecvoiron.fr" TargetMode="External"/><Relationship Id="rId57" Type="http://schemas.openxmlformats.org/officeDocument/2006/relationships/hyperlink" Target="mailto:crosseychauffage@orange.fr" TargetMode="External"/><Relationship Id="rId262" Type="http://schemas.openxmlformats.org/officeDocument/2006/relationships/hyperlink" Target="mailto:jacques.faure24@wanadoo.fr" TargetMode="External"/><Relationship Id="rId318" Type="http://schemas.openxmlformats.org/officeDocument/2006/relationships/hyperlink" Target="mailto:contac@laletredauphinois.fr" TargetMode="External"/><Relationship Id="rId525" Type="http://schemas.openxmlformats.org/officeDocument/2006/relationships/hyperlink" Target="https://www.qualit-enr.org/carre" TargetMode="External"/><Relationship Id="rId567" Type="http://schemas.openxmlformats.org/officeDocument/2006/relationships/hyperlink" Target="mailto:laglaceetlefeu38@gmail.com" TargetMode="External"/><Relationship Id="rId732" Type="http://schemas.openxmlformats.org/officeDocument/2006/relationships/hyperlink" Target="mailto:voiron@techni-nature.com" TargetMode="External"/><Relationship Id="rId99" Type="http://schemas.openxmlformats.org/officeDocument/2006/relationships/hyperlink" Target="mailto:marketing@carre-f.com" TargetMode="External"/><Relationship Id="rId122" Type="http://schemas.openxmlformats.org/officeDocument/2006/relationships/hyperlink" Target="mailto:lgfenergy38@gmail.com" TargetMode="External"/><Relationship Id="rId164" Type="http://schemas.openxmlformats.org/officeDocument/2006/relationships/hyperlink" Target="mailto:grenoble@hase-boutique.fr" TargetMode="External"/><Relationship Id="rId371" Type="http://schemas.openxmlformats.org/officeDocument/2006/relationships/hyperlink" Target="mailto:marketing@carre-F.com" TargetMode="External"/><Relationship Id="rId774" Type="http://schemas.openxmlformats.org/officeDocument/2006/relationships/hyperlink" Target="https://www.qualit-enr.org/espace-confort-voironnais" TargetMode="External"/><Relationship Id="rId981" Type="http://schemas.openxmlformats.org/officeDocument/2006/relationships/hyperlink" Target="https://www.qualit-enr.org/techni-nature-05000" TargetMode="External"/><Relationship Id="rId1015" Type="http://schemas.openxmlformats.org/officeDocument/2006/relationships/hyperlink" Target="mailto:sarl.glenat@wanadoo.fr" TargetMode="External"/><Relationship Id="rId1057" Type="http://schemas.openxmlformats.org/officeDocument/2006/relationships/hyperlink" Target="https://www.qualit-enr.org/jacqu-cheminees" TargetMode="External"/><Relationship Id="rId427" Type="http://schemas.openxmlformats.org/officeDocument/2006/relationships/hyperlink" Target="https://www.qualypso.fr/download_file.php?id=1214672b-53ac-4982-88f9-0d520d89179c" TargetMode="External"/><Relationship Id="rId469" Type="http://schemas.openxmlformats.org/officeDocument/2006/relationships/hyperlink" Target="https://www.qualit-enr.org/flamme-iseroise" TargetMode="External"/><Relationship Id="rId634" Type="http://schemas.openxmlformats.org/officeDocument/2006/relationships/hyperlink" Target="mailto:contact@philippeisere.fr" TargetMode="External"/><Relationship Id="rId676" Type="http://schemas.openxmlformats.org/officeDocument/2006/relationships/hyperlink" Target="https://www.qualit-enr.org/entreprises/j3l-agencements/" TargetMode="External"/><Relationship Id="rId841" Type="http://schemas.openxmlformats.org/officeDocument/2006/relationships/hyperlink" Target="https://www.qualit-enr.org/cheminees-jay" TargetMode="External"/><Relationship Id="rId883" Type="http://schemas.openxmlformats.org/officeDocument/2006/relationships/hyperlink" Target="mailto:contact@ecvoiron.fr" TargetMode="External"/><Relationship Id="rId26" Type="http://schemas.openxmlformats.org/officeDocument/2006/relationships/hyperlink" Target="mailto:cheminees.jay@orange.fr" TargetMode="External"/><Relationship Id="rId231" Type="http://schemas.openxmlformats.org/officeDocument/2006/relationships/hyperlink" Target="mailto:cheminees.jay@orange.fr" TargetMode="External"/><Relationship Id="rId273" Type="http://schemas.openxmlformats.org/officeDocument/2006/relationships/hyperlink" Target="https://www.qualit-enr.org/techni-nature-05000" TargetMode="External"/><Relationship Id="rId329" Type="http://schemas.openxmlformats.org/officeDocument/2006/relationships/hyperlink" Target="mailto:contact@ecvoiron.fr" TargetMode="External"/><Relationship Id="rId480" Type="http://schemas.openxmlformats.org/officeDocument/2006/relationships/hyperlink" Target="mailto:contactprojet@orange.fr" TargetMode="External"/><Relationship Id="rId536" Type="http://schemas.openxmlformats.org/officeDocument/2006/relationships/hyperlink" Target="https://www.qualit-enr.org/atre-decoration" TargetMode="External"/><Relationship Id="rId701"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939" Type="http://schemas.openxmlformats.org/officeDocument/2006/relationships/hyperlink" Target="https://www.qualit-enr.org/jacqu-cheminees" TargetMode="External"/><Relationship Id="rId68" Type="http://schemas.openxmlformats.org/officeDocument/2006/relationships/hyperlink" Target="mailto:julien.sanchez@kbane.com" TargetMode="External"/><Relationship Id="rId133" Type="http://schemas.openxmlformats.org/officeDocument/2006/relationships/hyperlink" Target="mailto:contact@ecvoiron.fr" TargetMode="External"/><Relationship Id="rId175" Type="http://schemas.openxmlformats.org/officeDocument/2006/relationships/hyperlink" Target="mailto:jacques.faure24@wanadoo.fr" TargetMode="External"/><Relationship Id="rId340" Type="http://schemas.openxmlformats.org/officeDocument/2006/relationships/hyperlink" Target="https://www.qualit-enr.org/cheminees-jay" TargetMode="External"/><Relationship Id="rId578" Type="http://schemas.openxmlformats.org/officeDocument/2006/relationships/hyperlink" Target="https://www.qualit-enr.org/alp-confort" TargetMode="External"/><Relationship Id="rId743" Type="http://schemas.openxmlformats.org/officeDocument/2006/relationships/hyperlink" Target="https://www.qualit-enr.org/bois-soleil-chauffage-sarl" TargetMode="External"/><Relationship Id="rId785" Type="http://schemas.openxmlformats.org/officeDocument/2006/relationships/hyperlink" Target="mailto:latredauphinois@gmail.com" TargetMode="External"/><Relationship Id="rId950"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992" Type="http://schemas.openxmlformats.org/officeDocument/2006/relationships/hyperlink" Target="https://www.qualit-enr.org/jacqu-cheminees" TargetMode="External"/><Relationship Id="rId1026" Type="http://schemas.openxmlformats.org/officeDocument/2006/relationships/hyperlink" Target="https://www.qualit-enr.org/espace-confort-voironnais" TargetMode="External"/><Relationship Id="rId200" Type="http://schemas.openxmlformats.org/officeDocument/2006/relationships/hyperlink" Target="https://www.qualit-enr.org/cheminees-jay" TargetMode="External"/><Relationship Id="rId382" Type="http://schemas.openxmlformats.org/officeDocument/2006/relationships/hyperlink" Target="https://www.qualit-enr.org/atre-decoration" TargetMode="External"/><Relationship Id="rId438" Type="http://schemas.openxmlformats.org/officeDocument/2006/relationships/hyperlink" Target="https://www.qualypso.fr/download_file.php?id=0ac6bbaa-cb24-4926-9d7f-8e6b0d1f9099" TargetMode="External"/><Relationship Id="rId603" Type="http://schemas.openxmlformats.org/officeDocument/2006/relationships/hyperlink" Target="https://www.qualit-enr.org/entreprises/entreprise-charat/" TargetMode="External"/><Relationship Id="rId645" Type="http://schemas.openxmlformats.org/officeDocument/2006/relationships/hyperlink" Target="https://www.qualit-enr.org/espace-confort-voironnais" TargetMode="External"/><Relationship Id="rId687" Type="http://schemas.openxmlformats.org/officeDocument/2006/relationships/hyperlink" Target="mailto:thomas.morey@wattethome.com" TargetMode="External"/><Relationship Id="rId810" Type="http://schemas.openxmlformats.org/officeDocument/2006/relationships/hyperlink" Target="https://www.qualit-enr.org/techni-nature-05000" TargetMode="External"/><Relationship Id="rId852" Type="http://schemas.openxmlformats.org/officeDocument/2006/relationships/hyperlink" Target="https://www.qualit-enr.org/techni-nature-05000" TargetMode="External"/><Relationship Id="rId908" Type="http://schemas.openxmlformats.org/officeDocument/2006/relationships/hyperlink" Target="mailto:grenoble@hase-boutique.fr" TargetMode="External"/><Relationship Id="rId1068" Type="http://schemas.openxmlformats.org/officeDocument/2006/relationships/drawing" Target="../drawings/drawing1.xml"/><Relationship Id="rId242" Type="http://schemas.openxmlformats.org/officeDocument/2006/relationships/hyperlink" Target="https://www.qualit-enr.org/entreprises/entreprise-charat/" TargetMode="External"/><Relationship Id="rId284" Type="http://schemas.openxmlformats.org/officeDocument/2006/relationships/hyperlink" Target="https://www.qualit-enr.org/cheminees-jay" TargetMode="External"/><Relationship Id="rId491" Type="http://schemas.openxmlformats.org/officeDocument/2006/relationships/hyperlink" Target="mailto:f.carre@carre-f.com" TargetMode="External"/><Relationship Id="rId505" Type="http://schemas.openxmlformats.org/officeDocument/2006/relationships/hyperlink" Target="https://www.qualypso.fr/download_file.php?id=021a3e1f-f16d-4577-ac80-f3806107cc38" TargetMode="External"/><Relationship Id="rId712" Type="http://schemas.openxmlformats.org/officeDocument/2006/relationships/hyperlink" Target="mailto:jcduo@orange.fr" TargetMode="External"/><Relationship Id="rId894" Type="http://schemas.openxmlformats.org/officeDocument/2006/relationships/hyperlink" Target="mailto:bois-soleil.chauffage@orange.fr" TargetMode="External"/><Relationship Id="rId37" Type="http://schemas.openxmlformats.org/officeDocument/2006/relationships/hyperlink" Target="mailto:contact@ecvoiron.fr" TargetMode="External"/><Relationship Id="rId79" Type="http://schemas.openxmlformats.org/officeDocument/2006/relationships/hyperlink" Target="mailto:godin-grenoble@orange.fr" TargetMode="External"/><Relationship Id="rId102" Type="http://schemas.openxmlformats.org/officeDocument/2006/relationships/hyperlink" Target="mailto:marketing@carre-f.com" TargetMode="External"/><Relationship Id="rId144" Type="http://schemas.openxmlformats.org/officeDocument/2006/relationships/hyperlink" Target="mailto:bois-soleil-chauffage@orange.fr" TargetMode="External"/><Relationship Id="rId547" Type="http://schemas.openxmlformats.org/officeDocument/2006/relationships/hyperlink" Target="https://www.qualit-enr.org/entreprises/chaleur-bois/" TargetMode="External"/><Relationship Id="rId589" Type="http://schemas.openxmlformats.org/officeDocument/2006/relationships/hyperlink" Target="https://www.qualit-enr.org/cheminees-jay" TargetMode="External"/><Relationship Id="rId754" Type="http://schemas.openxmlformats.org/officeDocument/2006/relationships/hyperlink" Target="https://www.qualit-enr.org/espace-confort-voironnais" TargetMode="External"/><Relationship Id="rId796" Type="http://schemas.openxmlformats.org/officeDocument/2006/relationships/hyperlink" Target="mailto:contact@alpisorenov.fr" TargetMode="External"/><Relationship Id="rId961" Type="http://schemas.openxmlformats.org/officeDocument/2006/relationships/hyperlink" Target="https://www.qualit-enr.org/espace-confort-voironnais" TargetMode="External"/><Relationship Id="rId90" Type="http://schemas.openxmlformats.org/officeDocument/2006/relationships/hyperlink" Target="mailto:cheminees.jay@orange.fr" TargetMode="External"/><Relationship Id="rId186" Type="http://schemas.openxmlformats.org/officeDocument/2006/relationships/hyperlink" Target="mailto:cheminees.jay@orange.fr" TargetMode="External"/><Relationship Id="rId351" Type="http://schemas.openxmlformats.org/officeDocument/2006/relationships/hyperlink" Target="mailto:contact@ecvoiron.fr" TargetMode="External"/><Relationship Id="rId393" Type="http://schemas.openxmlformats.org/officeDocument/2006/relationships/hyperlink" Target="https://www.qualit-enr.org/entreprises/espace-confort-voironnais/" TargetMode="External"/><Relationship Id="rId407" Type="http://schemas.openxmlformats.org/officeDocument/2006/relationships/hyperlink" Target="mailto:jeanpierrezeluas@poelesgranules.fr" TargetMode="External"/><Relationship Id="rId449" Type="http://schemas.openxmlformats.org/officeDocument/2006/relationships/hyperlink" Target="mailto:enerlogis@orange.fr" TargetMode="External"/><Relationship Id="rId614" Type="http://schemas.openxmlformats.org/officeDocument/2006/relationships/hyperlink" Target="https://www.qualit-enr.org/sarl-passion-flamme" TargetMode="External"/><Relationship Id="rId656" Type="http://schemas.openxmlformats.org/officeDocument/2006/relationships/hyperlink" Target="mailto:godin-grenoble@orange.fr" TargetMode="External"/><Relationship Id="rId821" Type="http://schemas.openxmlformats.org/officeDocument/2006/relationships/hyperlink" Target="https://www.qualit-enr.org/bois-soleil-chauffage-sarl" TargetMode="External"/><Relationship Id="rId863" Type="http://schemas.openxmlformats.org/officeDocument/2006/relationships/hyperlink" Target="mailto:thomas.morey@wattethome.com" TargetMode="External"/><Relationship Id="rId1037" Type="http://schemas.openxmlformats.org/officeDocument/2006/relationships/hyperlink" Target="https://www.qualit-enr.org/jacqu-cheminees" TargetMode="External"/><Relationship Id="rId211" Type="http://schemas.openxmlformats.org/officeDocument/2006/relationships/hyperlink" Target="mailto:contact@ecvoiron.fr" TargetMode="External"/><Relationship Id="rId253" Type="http://schemas.openxmlformats.org/officeDocument/2006/relationships/hyperlink" Target="mailto:bois-soleil-chauffage@orange.fr" TargetMode="External"/><Relationship Id="rId295" Type="http://schemas.openxmlformats.org/officeDocument/2006/relationships/hyperlink" Target="mailto:contact@philippeisere.fr" TargetMode="External"/><Relationship Id="rId309" Type="http://schemas.openxmlformats.org/officeDocument/2006/relationships/hyperlink" Target="https://www.qualit-enr.org/cheminees-jay" TargetMode="External"/><Relationship Id="rId460" Type="http://schemas.openxmlformats.org/officeDocument/2006/relationships/hyperlink" Target="mailto:grenoble@hase-boutique.fr" TargetMode="External"/><Relationship Id="rId516" Type="http://schemas.openxmlformats.org/officeDocument/2006/relationships/hyperlink" Target="mailto:jlc.services@orange.fr" TargetMode="External"/><Relationship Id="rId698" Type="http://schemas.openxmlformats.org/officeDocument/2006/relationships/hyperlink" Target="mailto:cheminees.jay@orange.fr" TargetMode="External"/><Relationship Id="rId919" Type="http://schemas.openxmlformats.org/officeDocument/2006/relationships/hyperlink" Target="https://www.qualit-enr.org/techni-nature-05000" TargetMode="External"/><Relationship Id="rId48" Type="http://schemas.openxmlformats.org/officeDocument/2006/relationships/hyperlink" Target="mailto:godin-grenoble@orange.fr" TargetMode="External"/><Relationship Id="rId113" Type="http://schemas.openxmlformats.org/officeDocument/2006/relationships/hyperlink" Target="mailto:bois-soleil-chauffage@orange.fr" TargetMode="External"/><Relationship Id="rId320" Type="http://schemas.openxmlformats.org/officeDocument/2006/relationships/hyperlink" Target="mailto:closa.marguet@abidaud.fr" TargetMode="External"/><Relationship Id="rId558" Type="http://schemas.openxmlformats.org/officeDocument/2006/relationships/hyperlink" Target="mailto:bois-soleil.chauffage@orange.fr" TargetMode="External"/><Relationship Id="rId723" Type="http://schemas.openxmlformats.org/officeDocument/2006/relationships/hyperlink" Target="https://www.qualit-enr.org/watthome" TargetMode="External"/><Relationship Id="rId765" Type="http://schemas.openxmlformats.org/officeDocument/2006/relationships/hyperlink" Target="https://www.qualit-enr.org/pur-tech" TargetMode="External"/><Relationship Id="rId930" Type="http://schemas.openxmlformats.org/officeDocument/2006/relationships/hyperlink" Target="https://www.qualit-enr.org/carre" TargetMode="External"/><Relationship Id="rId972" Type="http://schemas.openxmlformats.org/officeDocument/2006/relationships/hyperlink" Target="https://www.qualit-enr.org/techni-nature-05000" TargetMode="External"/><Relationship Id="rId1006" Type="http://schemas.openxmlformats.org/officeDocument/2006/relationships/hyperlink" Target="https://www.qualit-enr.org/flamme-iseroise" TargetMode="External"/><Relationship Id="rId155" Type="http://schemas.openxmlformats.org/officeDocument/2006/relationships/hyperlink" Target="mailto:voiron@techni-nature.com" TargetMode="External"/><Relationship Id="rId197" Type="http://schemas.openxmlformats.org/officeDocument/2006/relationships/hyperlink" Target="https://www.qualit-enr.org/entreprises/j3l-agencements/" TargetMode="External"/><Relationship Id="rId362" Type="http://schemas.openxmlformats.org/officeDocument/2006/relationships/hyperlink" Target="https://www.qualit-enr.org/cheminees-jay" TargetMode="External"/><Relationship Id="rId418" Type="http://schemas.openxmlformats.org/officeDocument/2006/relationships/hyperlink" Target="https://www.qualit-enr.org/entreprises/poelesgranules-fr-bio-belledonne-granules/" TargetMode="External"/><Relationship Id="rId625"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832" Type="http://schemas.openxmlformats.org/officeDocument/2006/relationships/hyperlink" Target="mailto:bureau@avizenergie.fr" TargetMode="External"/><Relationship Id="rId1048" Type="http://schemas.openxmlformats.org/officeDocument/2006/relationships/hyperlink" Target="mailto:bois-soleil.chauffage@orange.fr" TargetMode="External"/><Relationship Id="rId222" Type="http://schemas.openxmlformats.org/officeDocument/2006/relationships/hyperlink" Target="https://www.qualit-enr.org/entreprises/j3l-agencements/" TargetMode="External"/><Relationship Id="rId264" Type="http://schemas.openxmlformats.org/officeDocument/2006/relationships/hyperlink" Target="mailto:contact@ecvoiron.fr" TargetMode="External"/><Relationship Id="rId471" Type="http://schemas.openxmlformats.org/officeDocument/2006/relationships/hyperlink" Target="mailto:contact@ecvoiron.fr" TargetMode="External"/><Relationship Id="rId667" Type="http://schemas.openxmlformats.org/officeDocument/2006/relationships/hyperlink" Target="https://www.qualit-enr.org/entreprises/cheminees-svcd/" TargetMode="External"/><Relationship Id="rId874" Type="http://schemas.openxmlformats.org/officeDocument/2006/relationships/hyperlink" Target="mailto:patrickduranton@passionflamme.fr" TargetMode="External"/><Relationship Id="rId17" Type="http://schemas.openxmlformats.org/officeDocument/2006/relationships/hyperlink" Target="mailto:contact@ecvoiron.fr" TargetMode="External"/><Relationship Id="rId59" Type="http://schemas.openxmlformats.org/officeDocument/2006/relationships/hyperlink" Target="mailto:godin-grenoble@orange.fr" TargetMode="External"/><Relationship Id="rId124" Type="http://schemas.openxmlformats.org/officeDocument/2006/relationships/hyperlink" Target="mailto:p.clavel@alp-confort.fr" TargetMode="External"/><Relationship Id="rId527" Type="http://schemas.openxmlformats.org/officeDocument/2006/relationships/hyperlink" Target="mailto:hdegvalverde@gmail.com" TargetMode="External"/><Relationship Id="rId569" Type="http://schemas.openxmlformats.org/officeDocument/2006/relationships/hyperlink" Target="mailto:godin-grenoble@orange.fr" TargetMode="External"/><Relationship Id="rId734" Type="http://schemas.openxmlformats.org/officeDocument/2006/relationships/hyperlink" Target="https://www.qualit-enr.org/atre-et-loisirs-sarl" TargetMode="External"/><Relationship Id="rId776" Type="http://schemas.openxmlformats.org/officeDocument/2006/relationships/hyperlink" Target="https://www.qualit-enr.org/espace-confort-voironnais" TargetMode="External"/><Relationship Id="rId941" Type="http://schemas.openxmlformats.org/officeDocument/2006/relationships/hyperlink" Target="mailto:bois-soleil.chauffage@orange.fr" TargetMode="External"/><Relationship Id="rId983" Type="http://schemas.openxmlformats.org/officeDocument/2006/relationships/hyperlink" Target="https://www.qualit-enr.org/atre-decoration" TargetMode="External"/><Relationship Id="rId70" Type="http://schemas.openxmlformats.org/officeDocument/2006/relationships/hyperlink" Target="mailto:godin-grenoble@orange.fr" TargetMode="External"/><Relationship Id="rId166" Type="http://schemas.openxmlformats.org/officeDocument/2006/relationships/hyperlink" Target="mailto:jonathan.bargel@philippeisere.fr" TargetMode="External"/><Relationship Id="rId331" Type="http://schemas.openxmlformats.org/officeDocument/2006/relationships/hyperlink" Target="mailto:contact@ecvoiron.fr" TargetMode="External"/><Relationship Id="rId373" Type="http://schemas.openxmlformats.org/officeDocument/2006/relationships/hyperlink" Target="https://www.qualit-enr.org/cheminees-jay" TargetMode="External"/><Relationship Id="rId429" Type="http://schemas.openxmlformats.org/officeDocument/2006/relationships/hyperlink" Target="https://www.qualit-enr.org/jacqu-cheminees" TargetMode="External"/><Relationship Id="rId580" Type="http://schemas.openxmlformats.org/officeDocument/2006/relationships/hyperlink" Target="https://www.qualit-enr.org/carre" TargetMode="External"/><Relationship Id="rId636" Type="http://schemas.openxmlformats.org/officeDocument/2006/relationships/hyperlink" Target="mailto:laglaceetlefeu38@gmail.com" TargetMode="External"/><Relationship Id="rId801" Type="http://schemas.openxmlformats.org/officeDocument/2006/relationships/hyperlink" Target="https://www.qualit-enr.org/bois-soleil-chauffage-sarl" TargetMode="External"/><Relationship Id="rId1017" Type="http://schemas.openxmlformats.org/officeDocument/2006/relationships/hyperlink" Target="mailto:bois-soleil.chauffage@orange.fr" TargetMode="External"/><Relationship Id="rId1059" Type="http://schemas.openxmlformats.org/officeDocument/2006/relationships/hyperlink" Target="https://www.qualit-enr.org/atre-decoration" TargetMode="External"/><Relationship Id="rId1" Type="http://schemas.openxmlformats.org/officeDocument/2006/relationships/hyperlink" Target="https://www.qualit-enr.org/carre" TargetMode="External"/><Relationship Id="rId233" Type="http://schemas.openxmlformats.org/officeDocument/2006/relationships/hyperlink" Target="mailto:cheminees.jay@orange.fr" TargetMode="External"/><Relationship Id="rId440" Type="http://schemas.openxmlformats.org/officeDocument/2006/relationships/hyperlink" Target="https://www.qualypso.fr/download_file.php?id=0ac6bbaa-cb24-4926-9d7f-8e6b0d1f9099" TargetMode="External"/><Relationship Id="rId678" Type="http://schemas.openxmlformats.org/officeDocument/2006/relationships/hyperlink" Target="https://www.qualit-enr.org/fralor-poeles-et-cuisinieres-passion" TargetMode="External"/><Relationship Id="rId843" Type="http://schemas.openxmlformats.org/officeDocument/2006/relationships/hyperlink" Target="https://www.qualit-enr.org/voiron-poeles-a-bois-et-granules" TargetMode="External"/><Relationship Id="rId885" Type="http://schemas.openxmlformats.org/officeDocument/2006/relationships/hyperlink" Target="mailto:jcduo@orange.fr" TargetMode="External"/><Relationship Id="rId1070" Type="http://schemas.openxmlformats.org/officeDocument/2006/relationships/comments" Target="../comments1.xml"/><Relationship Id="rId28" Type="http://schemas.openxmlformats.org/officeDocument/2006/relationships/hyperlink" Target="mailto:cheminees.jay@orange.fr" TargetMode="External"/><Relationship Id="rId275" Type="http://schemas.openxmlformats.org/officeDocument/2006/relationships/hyperlink" Target="https://www.qualit-enr.org/carre" TargetMode="External"/><Relationship Id="rId300" Type="http://schemas.openxmlformats.org/officeDocument/2006/relationships/hyperlink" Target="mailto:cheminees.jay@orange.fr" TargetMode="External"/><Relationship Id="rId482" Type="http://schemas.openxmlformats.org/officeDocument/2006/relationships/hyperlink" Target="mailto:jcduo@orange.fr" TargetMode="External"/><Relationship Id="rId538" Type="http://schemas.openxmlformats.org/officeDocument/2006/relationships/hyperlink" Target="https://www.qualit-enr.org/bois-soleil-chauffage-sarl" TargetMode="External"/><Relationship Id="rId703" Type="http://schemas.openxmlformats.org/officeDocument/2006/relationships/hyperlink" Target="https://www.qualit-enr.org/carre" TargetMode="External"/><Relationship Id="rId745" Type="http://schemas.openxmlformats.org/officeDocument/2006/relationships/hyperlink" Target="https://www.qualit-enr.org/carre" TargetMode="External"/><Relationship Id="rId910" Type="http://schemas.openxmlformats.org/officeDocument/2006/relationships/hyperlink" Target="mailto:bois-soleil.chauffage@orange.fr" TargetMode="External"/><Relationship Id="rId952" Type="http://schemas.openxmlformats.org/officeDocument/2006/relationships/hyperlink" Target="https://www.qualit-enr.org/cheminees-jay" TargetMode="External"/><Relationship Id="rId81" Type="http://schemas.openxmlformats.org/officeDocument/2006/relationships/hyperlink" Target="mailto:jonathan.lamonica010388@gmail.com" TargetMode="External"/><Relationship Id="rId135" Type="http://schemas.openxmlformats.org/officeDocument/2006/relationships/hyperlink" Target="mailto:julien.sanchez@kbane.com" TargetMode="External"/><Relationship Id="rId177" Type="http://schemas.openxmlformats.org/officeDocument/2006/relationships/hyperlink" Target="mailto:jacques.faure24@wanadoo.fr" TargetMode="External"/><Relationship Id="rId342" Type="http://schemas.openxmlformats.org/officeDocument/2006/relationships/hyperlink" Target="https://www.qualit-enr.org/cheminees-jay" TargetMode="External"/><Relationship Id="rId384" Type="http://schemas.openxmlformats.org/officeDocument/2006/relationships/hyperlink" Target="https://www.qualit-enr.org/entreprises/sarl-pab-2/" TargetMode="External"/><Relationship Id="rId591" Type="http://schemas.openxmlformats.org/officeDocument/2006/relationships/hyperlink" Target="https://www.qualit-enr.org/carre" TargetMode="External"/><Relationship Id="rId605" Type="http://schemas.openxmlformats.org/officeDocument/2006/relationships/hyperlink" Target="https://www.qualit-enr.org/espace-confort-voironnais" TargetMode="External"/><Relationship Id="rId787" Type="http://schemas.openxmlformats.org/officeDocument/2006/relationships/hyperlink" Target="mailto:contact@ecvoiron.fr" TargetMode="External"/><Relationship Id="rId812" Type="http://schemas.openxmlformats.org/officeDocument/2006/relationships/hyperlink" Target="https://www.qualit-enr.org/arc-habitat" TargetMode="External"/><Relationship Id="rId994" Type="http://schemas.openxmlformats.org/officeDocument/2006/relationships/hyperlink" Target="mailto:accueil@sbidaud.fr" TargetMode="External"/><Relationship Id="rId1028" Type="http://schemas.openxmlformats.org/officeDocument/2006/relationships/hyperlink" Target="https://www.qualit-enr.org/espace-confort-voironnais" TargetMode="External"/><Relationship Id="rId202" Type="http://schemas.openxmlformats.org/officeDocument/2006/relationships/hyperlink" Target="mailto:bardramonage@orange.fr" TargetMode="External"/><Relationship Id="rId244" Type="http://schemas.openxmlformats.org/officeDocument/2006/relationships/hyperlink" Target="mailto:contact@ecvoiron.fr" TargetMode="External"/><Relationship Id="rId647" Type="http://schemas.openxmlformats.org/officeDocument/2006/relationships/hyperlink" Target="https://www.qualit-enr.org/sarl-pab-38490" TargetMode="External"/><Relationship Id="rId689" Type="http://schemas.openxmlformats.org/officeDocument/2006/relationships/hyperlink" Target="mailto:latredauphinois@gmail.com" TargetMode="External"/><Relationship Id="rId854" Type="http://schemas.openxmlformats.org/officeDocument/2006/relationships/hyperlink" Target="https://www.qualit-enr.org/espace-confort-voironnais" TargetMode="External"/><Relationship Id="rId896" Type="http://schemas.openxmlformats.org/officeDocument/2006/relationships/hyperlink" Target="https://www.qualit-enr.org/atre-decoration" TargetMode="External"/><Relationship Id="rId39" Type="http://schemas.openxmlformats.org/officeDocument/2006/relationships/hyperlink" Target="mailto:jacques.faure24@wanadoo.fr" TargetMode="External"/><Relationship Id="rId286" Type="http://schemas.openxmlformats.org/officeDocument/2006/relationships/hyperlink" Target="mailto:voiron@techni-nature.com" TargetMode="External"/><Relationship Id="rId451" Type="http://schemas.openxmlformats.org/officeDocument/2006/relationships/hyperlink" Target="mailto:pascal.simon@atre-loisirs.fr" TargetMode="External"/><Relationship Id="rId493" Type="http://schemas.openxmlformats.org/officeDocument/2006/relationships/hyperlink" Target="mailto:f.carre@carre-f.com" TargetMode="External"/><Relationship Id="rId507" Type="http://schemas.openxmlformats.org/officeDocument/2006/relationships/hyperlink" Target="https://www.qualypso.fr/download_file.php?id=021a3e1f-f16d-4577-ac80-f3806107cc38" TargetMode="External"/><Relationship Id="rId549" Type="http://schemas.openxmlformats.org/officeDocument/2006/relationships/hyperlink" Target="https://www.qualit-enr.org/poelesgranules-fr-bio-belledonne-granules" TargetMode="External"/><Relationship Id="rId714" Type="http://schemas.openxmlformats.org/officeDocument/2006/relationships/hyperlink" Target="mailto:contact@ecvoiron.fr" TargetMode="External"/><Relationship Id="rId756" Type="http://schemas.openxmlformats.org/officeDocument/2006/relationships/hyperlink" Target="https://www.qualit-enr.org/jacqu-cheminees" TargetMode="External"/><Relationship Id="rId921" Type="http://schemas.openxmlformats.org/officeDocument/2006/relationships/hyperlink" Target="https://www.qualit-enr.org/espace-confort-voironnais" TargetMode="External"/><Relationship Id="rId50" Type="http://schemas.openxmlformats.org/officeDocument/2006/relationships/hyperlink" Target="mailto:contact@fer-et-feu.fr" TargetMode="External"/><Relationship Id="rId104" Type="http://schemas.openxmlformats.org/officeDocument/2006/relationships/hyperlink" Target="mailto:contact@philippeisere.fr" TargetMode="External"/><Relationship Id="rId146" Type="http://schemas.openxmlformats.org/officeDocument/2006/relationships/hyperlink" Target="mailto:jeanfrancois@passionflamme.fr" TargetMode="External"/><Relationship Id="rId188" Type="http://schemas.openxmlformats.org/officeDocument/2006/relationships/hyperlink" Target="mailto:grenoble@hase-boutique.fr" TargetMode="External"/><Relationship Id="rId311" Type="http://schemas.openxmlformats.org/officeDocument/2006/relationships/hyperlink" Target="https://www.qualit-enr.org/cheminees-jay" TargetMode="External"/><Relationship Id="rId353" Type="http://schemas.openxmlformats.org/officeDocument/2006/relationships/hyperlink" Target="mailto:clara.marguet@sbidaud.fr" TargetMode="External"/><Relationship Id="rId395" Type="http://schemas.openxmlformats.org/officeDocument/2006/relationships/hyperlink" Target="https://www.qualypso.fr/download_file.php?id=021a3e1f-f16d-4577-ac80-f3806107cc38" TargetMode="External"/><Relationship Id="rId409" Type="http://schemas.openxmlformats.org/officeDocument/2006/relationships/hyperlink" Target="mailto:cheminees.jay@orange.fr" TargetMode="External"/><Relationship Id="rId560" Type="http://schemas.openxmlformats.org/officeDocument/2006/relationships/hyperlink" Target="https://www.qualit-enr.org/voiron-poeles-a-bois-et-granules" TargetMode="External"/><Relationship Id="rId798" Type="http://schemas.openxmlformats.org/officeDocument/2006/relationships/hyperlink" Target="mailto:godin-grenoble@orange.fr" TargetMode="External"/><Relationship Id="rId963" Type="http://schemas.openxmlformats.org/officeDocument/2006/relationships/hyperlink" Target="https://www.qualit-enr.org/techni-nature-05000" TargetMode="External"/><Relationship Id="rId1039" Type="http://schemas.openxmlformats.org/officeDocument/2006/relationships/hyperlink" Target="mailto:grenoble@hase-boutique.fr" TargetMode="External"/><Relationship Id="rId92" Type="http://schemas.openxmlformats.org/officeDocument/2006/relationships/hyperlink" Target="mailto:marketing@carre-f.com" TargetMode="External"/><Relationship Id="rId213" Type="http://schemas.openxmlformats.org/officeDocument/2006/relationships/hyperlink" Target="https://www.qualit-enr.org/cheminees-jay" TargetMode="External"/><Relationship Id="rId420" Type="http://schemas.openxmlformats.org/officeDocument/2006/relationships/hyperlink" Target="https://www.qualypso.fr/download_file.php?id=021a3e1f-f16d-4577-ac80-f3806107cc38" TargetMode="External"/><Relationship Id="rId616" Type="http://schemas.openxmlformats.org/officeDocument/2006/relationships/hyperlink" Target="https://www.qualit-enr.org/entreprises/j3l-agencements/" TargetMode="External"/><Relationship Id="rId658" Type="http://schemas.openxmlformats.org/officeDocument/2006/relationships/hyperlink" Target="mailto:bardramonage@orange.fr" TargetMode="External"/><Relationship Id="rId823" Type="http://schemas.openxmlformats.org/officeDocument/2006/relationships/hyperlink" Target="https://www.qualit-enr.org/fralor-poeles-et-cuisinieres-passion" TargetMode="External"/><Relationship Id="rId865" Type="http://schemas.openxmlformats.org/officeDocument/2006/relationships/hyperlink" Target="https://www.qualit-enr.org/voiron-poeles-a-bois-et-granules" TargetMode="External"/><Relationship Id="rId1050" Type="http://schemas.openxmlformats.org/officeDocument/2006/relationships/hyperlink" Target="mailto:patrickduranton@passionflamme.fr" TargetMode="External"/><Relationship Id="rId255" Type="http://schemas.openxmlformats.org/officeDocument/2006/relationships/hyperlink" Target="mailto:jcduo@orange.fr" TargetMode="External"/><Relationship Id="rId297" Type="http://schemas.openxmlformats.org/officeDocument/2006/relationships/hyperlink" Target="mailto:bois-soleil-chauffage@orange.fr" TargetMode="External"/><Relationship Id="rId462" Type="http://schemas.openxmlformats.org/officeDocument/2006/relationships/hyperlink" Target="mailto:contact@ecvoiron.fr" TargetMode="External"/><Relationship Id="rId518" Type="http://schemas.openxmlformats.org/officeDocument/2006/relationships/hyperlink" Target="mailto:contact.echirolles@alp-confort.fr" TargetMode="External"/><Relationship Id="rId725" Type="http://schemas.openxmlformats.org/officeDocument/2006/relationships/hyperlink" Target="https://www.qualit-enr.org/voiron-poeles-a-bois-et-granules" TargetMode="External"/><Relationship Id="rId932" Type="http://schemas.openxmlformats.org/officeDocument/2006/relationships/hyperlink" Target="mailto:cheminees.jay@orange.fr" TargetMode="External"/><Relationship Id="rId115" Type="http://schemas.openxmlformats.org/officeDocument/2006/relationships/hyperlink" Target="mailto:a.caruana@alp-confort.fr" TargetMode="External"/><Relationship Id="rId157" Type="http://schemas.openxmlformats.org/officeDocument/2006/relationships/hyperlink" Target="mailto:contact@alpp-plomberie.fr" TargetMode="External"/><Relationship Id="rId322" Type="http://schemas.openxmlformats.org/officeDocument/2006/relationships/hyperlink" Target="https://www.qualit-enr.org/cheminees-jay" TargetMode="External"/><Relationship Id="rId364" Type="http://schemas.openxmlformats.org/officeDocument/2006/relationships/hyperlink" Target="https://www.qualypso.fr/download_file.php?id=5a2f7629-04e3-4b62-986f-8be595fd3c43" TargetMode="External"/><Relationship Id="rId767" Type="http://schemas.openxmlformats.org/officeDocument/2006/relationships/hyperlink" Target="https://www.qualit-enr.org/espace-confort-voironnais" TargetMode="External"/><Relationship Id="rId974" Type="http://schemas.openxmlformats.org/officeDocument/2006/relationships/hyperlink" Target="https://www.qualit-enr.org/fralor-poeles-et-cuisinieres-passion" TargetMode="External"/><Relationship Id="rId1008" Type="http://schemas.openxmlformats.org/officeDocument/2006/relationships/hyperlink" Target="mailto:marie-brossard@femsynergie.fr" TargetMode="External"/><Relationship Id="rId61" Type="http://schemas.openxmlformats.org/officeDocument/2006/relationships/hyperlink" Target="mailto:contact@ecvoiron.fr" TargetMode="External"/><Relationship Id="rId199" Type="http://schemas.openxmlformats.org/officeDocument/2006/relationships/hyperlink" Target="mailto:marketing@carre-f.com" TargetMode="External"/><Relationship Id="rId571" Type="http://schemas.openxmlformats.org/officeDocument/2006/relationships/hyperlink" Target="mailto:enerlogis@orange.fr" TargetMode="External"/><Relationship Id="rId627" Type="http://schemas.openxmlformats.org/officeDocument/2006/relationships/hyperlink" Target="https://www.qualit-enr.org/sarl-pab-38490" TargetMode="External"/><Relationship Id="rId669" Type="http://schemas.openxmlformats.org/officeDocument/2006/relationships/hyperlink" Target="https://www.qualit-enr.org/fralor-poeles-et-cuisinieres-passion" TargetMode="External"/><Relationship Id="rId834" Type="http://schemas.openxmlformats.org/officeDocument/2006/relationships/hyperlink" Target="mailto:voiron@techni-nature.com" TargetMode="External"/><Relationship Id="rId876" Type="http://schemas.openxmlformats.org/officeDocument/2006/relationships/hyperlink" Target="https://www.qualit-enr.org/ramonage-tubage-pros" TargetMode="External"/><Relationship Id="rId19" Type="http://schemas.openxmlformats.org/officeDocument/2006/relationships/hyperlink" Target="mailto:contact@philippeisere.fr" TargetMode="External"/><Relationship Id="rId224" Type="http://schemas.openxmlformats.org/officeDocument/2006/relationships/hyperlink" Target="https://www.qualit-enr.org/sarl-passion-flamme" TargetMode="External"/><Relationship Id="rId266" Type="http://schemas.openxmlformats.org/officeDocument/2006/relationships/hyperlink" Target="mailto:enerlogis@orange.fr" TargetMode="External"/><Relationship Id="rId431" Type="http://schemas.openxmlformats.org/officeDocument/2006/relationships/hyperlink" Target="https://www.qualit-enr.org/sasu-ignis-design-hase-la-boutique" TargetMode="External"/><Relationship Id="rId473" Type="http://schemas.openxmlformats.org/officeDocument/2006/relationships/hyperlink" Target="mailto:enerlogis@orange.fr" TargetMode="External"/><Relationship Id="rId529" Type="http://schemas.openxmlformats.org/officeDocument/2006/relationships/hyperlink" Target="mailto:contact@cpc38.com" TargetMode="External"/><Relationship Id="rId680" Type="http://schemas.openxmlformats.org/officeDocument/2006/relationships/hyperlink" Target="https://www.qualit-enr.org/alp-confort" TargetMode="External"/><Relationship Id="rId736" Type="http://schemas.openxmlformats.org/officeDocument/2006/relationships/hyperlink" Target="https://www.qualit-enr.org/carre" TargetMode="External"/><Relationship Id="rId901" Type="http://schemas.openxmlformats.org/officeDocument/2006/relationships/hyperlink" Target="https://www.qualit-enr.org/cheminees-jay" TargetMode="External"/><Relationship Id="rId1061" Type="http://schemas.openxmlformats.org/officeDocument/2006/relationships/hyperlink" Target="mailto:vf.enr74@gmail.com" TargetMode="External"/><Relationship Id="rId30" Type="http://schemas.openxmlformats.org/officeDocument/2006/relationships/hyperlink" Target="mailto:bois-soleil-chauffage@orange.fr" TargetMode="External"/><Relationship Id="rId126" Type="http://schemas.openxmlformats.org/officeDocument/2006/relationships/hyperlink" Target="mailto:jcduo@orange.fr" TargetMode="External"/><Relationship Id="rId168" Type="http://schemas.openxmlformats.org/officeDocument/2006/relationships/hyperlink" Target="mailto:jacques.faure24@wanadoo.fr" TargetMode="External"/><Relationship Id="rId333" Type="http://schemas.openxmlformats.org/officeDocument/2006/relationships/hyperlink" Target="mailto:contact@passionflamme.fr" TargetMode="External"/><Relationship Id="rId540" Type="http://schemas.openxmlformats.org/officeDocument/2006/relationships/hyperlink" Target="https://www.qualit-enr.org/sasu-ignis-design-hase-la-boutique" TargetMode="External"/><Relationship Id="rId778" Type="http://schemas.openxmlformats.org/officeDocument/2006/relationships/hyperlink" Target="https://www.qualit-enr.org/bois-soleil-chauffage-sarl" TargetMode="External"/><Relationship Id="rId943" Type="http://schemas.openxmlformats.org/officeDocument/2006/relationships/hyperlink" Target="https://www.qualit-enr.org/fralor-poeles-et-cuisinieres-passion" TargetMode="External"/><Relationship Id="rId985" Type="http://schemas.openxmlformats.org/officeDocument/2006/relationships/hyperlink" Target="https://www.qualit-enr.org/cheminees-jay" TargetMode="External"/><Relationship Id="rId1019" Type="http://schemas.openxmlformats.org/officeDocument/2006/relationships/hyperlink" Target="mailto:cheminees.jay@orange.fr" TargetMode="External"/><Relationship Id="rId72" Type="http://schemas.openxmlformats.org/officeDocument/2006/relationships/hyperlink" Target="mailto:stephaneterrier@aasgard.fr" TargetMode="External"/><Relationship Id="rId375" Type="http://schemas.openxmlformats.org/officeDocument/2006/relationships/hyperlink" Target="https://www.qualypso.fr/download_file.php?id=021a3e1f-f16d-4577-ac80-f3806107cc38" TargetMode="External"/><Relationship Id="rId582" Type="http://schemas.openxmlformats.org/officeDocument/2006/relationships/hyperlink" Target="mailto:enerlogis@orange.fr" TargetMode="External"/><Relationship Id="rId638" Type="http://schemas.openxmlformats.org/officeDocument/2006/relationships/hyperlink" Target="mailto:bois-soleil.chauffage@orange.fr" TargetMode="External"/><Relationship Id="rId803" Type="http://schemas.openxmlformats.org/officeDocument/2006/relationships/hyperlink" Target="https://www.qualit-enr.org/techni-nature-05000" TargetMode="External"/><Relationship Id="rId845" Type="http://schemas.openxmlformats.org/officeDocument/2006/relationships/hyperlink" Target="https://www.qualit-enr.org/fralor-poeles-et-cuisinieres-passion" TargetMode="External"/><Relationship Id="rId1030" Type="http://schemas.openxmlformats.org/officeDocument/2006/relationships/hyperlink" Target="https://www.qualit-enr.org/techni-nature-05000" TargetMode="External"/><Relationship Id="rId3" Type="http://schemas.openxmlformats.org/officeDocument/2006/relationships/hyperlink" Target="mailto:jcduo@orange.fr" TargetMode="External"/><Relationship Id="rId235" Type="http://schemas.openxmlformats.org/officeDocument/2006/relationships/hyperlink" Target="mailto:jcduo@orange.fr" TargetMode="External"/><Relationship Id="rId277" Type="http://schemas.openxmlformats.org/officeDocument/2006/relationships/hyperlink" Target="mailto:contact@philippeisere.fr" TargetMode="External"/><Relationship Id="rId400" Type="http://schemas.openxmlformats.org/officeDocument/2006/relationships/hyperlink" Target="mailto:contact-chaleurbois38@orange.fr" TargetMode="External"/><Relationship Id="rId442" Type="http://schemas.openxmlformats.org/officeDocument/2006/relationships/hyperlink" Target="https://www.qualypso.fr/download_file.php?id=cb11ad74-f948-4beb-902b-43ff2ca9e830" TargetMode="External"/><Relationship Id="rId484" Type="http://schemas.openxmlformats.org/officeDocument/2006/relationships/hyperlink" Target="mailto:godin-grenoble@orange.fr" TargetMode="External"/><Relationship Id="rId705" Type="http://schemas.openxmlformats.org/officeDocument/2006/relationships/hyperlink" Target="mailto:bois-soleil.chauffage@orange.fr" TargetMode="External"/><Relationship Id="rId887" Type="http://schemas.openxmlformats.org/officeDocument/2006/relationships/hyperlink" Target="mailto:marie-brossard@femsynergie.fr" TargetMode="External"/><Relationship Id="rId137" Type="http://schemas.openxmlformats.org/officeDocument/2006/relationships/hyperlink" Target="mailto:p.clavel@alp-confort.fr" TargetMode="External"/><Relationship Id="rId302" Type="http://schemas.openxmlformats.org/officeDocument/2006/relationships/hyperlink" Target="https://www.qualypso.fr/download_file.php?id=cb11ad74-f948-4beb-902b-43ff2ca9e830" TargetMode="External"/><Relationship Id="rId344" Type="http://schemas.openxmlformats.org/officeDocument/2006/relationships/hyperlink" Target="https://www.qualit-enr.org/cheminees-jay" TargetMode="External"/><Relationship Id="rId691" Type="http://schemas.openxmlformats.org/officeDocument/2006/relationships/hyperlink" Target="mailto:jcduo@orange.fr" TargetMode="External"/><Relationship Id="rId747" Type="http://schemas.openxmlformats.org/officeDocument/2006/relationships/hyperlink" Target="mailto:commercial-godin@orange.fr" TargetMode="External"/><Relationship Id="rId789" Type="http://schemas.openxmlformats.org/officeDocument/2006/relationships/hyperlink" Target="mailto:laglaceetlefeu38@gmail.com" TargetMode="External"/><Relationship Id="rId912"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954" Type="http://schemas.openxmlformats.org/officeDocument/2006/relationships/hyperlink" Target="https://www.qualit-enr.org/eurl-nessfrance" TargetMode="External"/><Relationship Id="rId996" Type="http://schemas.openxmlformats.org/officeDocument/2006/relationships/hyperlink" Target="mailto:cheminees.jay@orange.fr" TargetMode="External"/><Relationship Id="rId41" Type="http://schemas.openxmlformats.org/officeDocument/2006/relationships/hyperlink" Target="mailto:jcduo@orange.fr" TargetMode="External"/><Relationship Id="rId83" Type="http://schemas.openxmlformats.org/officeDocument/2006/relationships/hyperlink" Target="mailto:contact@ecvoiron.fr" TargetMode="External"/><Relationship Id="rId179" Type="http://schemas.openxmlformats.org/officeDocument/2006/relationships/hyperlink" Target="mailto:patrickduranton@passionflamme.fr" TargetMode="External"/><Relationship Id="rId386" Type="http://schemas.openxmlformats.org/officeDocument/2006/relationships/hyperlink" Target="https://www.qualit-enr.org/entreprises/espace-confort-voironnais/" TargetMode="External"/><Relationship Id="rId551" Type="http://schemas.openxmlformats.org/officeDocument/2006/relationships/hyperlink" Target="https://www.qualit-enr.org/entreprises/espace-confort-voironnais/" TargetMode="External"/><Relationship Id="rId593" Type="http://schemas.openxmlformats.org/officeDocument/2006/relationships/hyperlink" Target="https://www.qualit-enr.org/sarl-passion-flamme" TargetMode="External"/><Relationship Id="rId607" Type="http://schemas.openxmlformats.org/officeDocument/2006/relationships/hyperlink" Target="https://www.qualit-enr.org/sarl-passion-flamme" TargetMode="External"/><Relationship Id="rId649" Type="http://schemas.openxmlformats.org/officeDocument/2006/relationships/hyperlink" Target="https://www.qualit-enr.org/jacqu-cheminees" TargetMode="External"/><Relationship Id="rId814" Type="http://schemas.openxmlformats.org/officeDocument/2006/relationships/hyperlink" Target="https://www.qualit-enr.org/sasu-ignis-design-hase-la-boutique" TargetMode="External"/><Relationship Id="rId856" Type="http://schemas.openxmlformats.org/officeDocument/2006/relationships/hyperlink" Target="https://www.qualit-enr.org/poelesgranules-fr-bio-belledonne-granules" TargetMode="External"/><Relationship Id="rId190" Type="http://schemas.openxmlformats.org/officeDocument/2006/relationships/hyperlink" Target="mailto:jonathan.barguel@philippeisere.fr" TargetMode="External"/><Relationship Id="rId204" Type="http://schemas.openxmlformats.org/officeDocument/2006/relationships/hyperlink" Target="https://www.qualit-enr.org/cheminees-jay" TargetMode="External"/><Relationship Id="rId246" Type="http://schemas.openxmlformats.org/officeDocument/2006/relationships/hyperlink" Target="mailto:jonathan.bargel@philippeisere.fr" TargetMode="External"/><Relationship Id="rId288" Type="http://schemas.openxmlformats.org/officeDocument/2006/relationships/hyperlink" Target="mailto:contact@nordiflam.com" TargetMode="External"/><Relationship Id="rId411" Type="http://schemas.openxmlformats.org/officeDocument/2006/relationships/hyperlink" Target="mailto:poelesetcuisinierespassion@gmail.com" TargetMode="External"/><Relationship Id="rId453" Type="http://schemas.openxmlformats.org/officeDocument/2006/relationships/hyperlink" Target="mailto:f.carre@carre-f.com" TargetMode="External"/><Relationship Id="rId509" Type="http://schemas.openxmlformats.org/officeDocument/2006/relationships/hyperlink" Target="https://www.qualypso.fr/download_file.php?id=1214672b-53ac-4982-88f9-0d520d89179c" TargetMode="External"/><Relationship Id="rId660" Type="http://schemas.openxmlformats.org/officeDocument/2006/relationships/hyperlink" Target="https://www.qualit-enr.org/fralor-poeles-et-cuisinieres-passion" TargetMode="External"/><Relationship Id="rId898" Type="http://schemas.openxmlformats.org/officeDocument/2006/relationships/hyperlink" Target="https://www.qualit-enr.org/jacqu-cheminees" TargetMode="External"/><Relationship Id="rId1041" Type="http://schemas.openxmlformats.org/officeDocument/2006/relationships/hyperlink" Target="https://www.qualit-enr.org/flamme-iseroise" TargetMode="External"/><Relationship Id="rId106" Type="http://schemas.openxmlformats.org/officeDocument/2006/relationships/hyperlink" Target="mailto:contact@alpp-plomberie.fr" TargetMode="External"/><Relationship Id="rId313" Type="http://schemas.openxmlformats.org/officeDocument/2006/relationships/hyperlink" Target="mailto:contact@ecvoiron.fr" TargetMode="External"/><Relationship Id="rId495" Type="http://schemas.openxmlformats.org/officeDocument/2006/relationships/hyperlink" Target="mailto:aucoindufeu38@gmail.com" TargetMode="External"/><Relationship Id="rId716" Type="http://schemas.openxmlformats.org/officeDocument/2006/relationships/hyperlink" Target="mailto:tmgranule@gmail.com" TargetMode="External"/><Relationship Id="rId758" Type="http://schemas.openxmlformats.org/officeDocument/2006/relationships/hyperlink" Target="mailto:kevincd@hotmail.fr" TargetMode="External"/><Relationship Id="rId923" Type="http://schemas.openxmlformats.org/officeDocument/2006/relationships/hyperlink" Target="https://www.qualit-enr.org/bois-soleil-chauffage-sarl" TargetMode="External"/><Relationship Id="rId965" Type="http://schemas.openxmlformats.org/officeDocument/2006/relationships/hyperlink" Target="https://www.qualit-enr.org/jacqu-cheminees" TargetMode="External"/><Relationship Id="rId10" Type="http://schemas.openxmlformats.org/officeDocument/2006/relationships/hyperlink" Target="mailto:contact@plomberiephilippe.com" TargetMode="External"/><Relationship Id="rId52" Type="http://schemas.openxmlformats.org/officeDocument/2006/relationships/hyperlink" Target="mailto:grenoble@aasgard.fr" TargetMode="External"/><Relationship Id="rId94" Type="http://schemas.openxmlformats.org/officeDocument/2006/relationships/hyperlink" Target="mailto:marketing@carre-f.com" TargetMode="External"/><Relationship Id="rId148" Type="http://schemas.openxmlformats.org/officeDocument/2006/relationships/hyperlink" Target="mailto:jonathan.bargel@philippeisere.fr" TargetMode="External"/><Relationship Id="rId355" Type="http://schemas.openxmlformats.org/officeDocument/2006/relationships/hyperlink" Target="mailto:contact@ecvoiron.fr" TargetMode="External"/><Relationship Id="rId397" Type="http://schemas.openxmlformats.org/officeDocument/2006/relationships/hyperlink" Target="https://www.qualypso.fr/download_file.php?id=021a3e1f-f16d-4577-ac80-f3806107cc38" TargetMode="External"/><Relationship Id="rId520" Type="http://schemas.openxmlformats.org/officeDocument/2006/relationships/hyperlink" Target="mailto:contact@passionflamme.fr" TargetMode="External"/><Relationship Id="rId562" Type="http://schemas.openxmlformats.org/officeDocument/2006/relationships/hyperlink" Target="https://www.qualit-enr.org/flamme-iseroise" TargetMode="External"/><Relationship Id="rId618" Type="http://schemas.openxmlformats.org/officeDocument/2006/relationships/hyperlink" Target="https://www.qualit-enr.org/atre-decoration" TargetMode="External"/><Relationship Id="rId825" Type="http://schemas.openxmlformats.org/officeDocument/2006/relationships/hyperlink" Target="mailto:accueil@sbidaud.fr" TargetMode="External"/><Relationship Id="rId215" Type="http://schemas.openxmlformats.org/officeDocument/2006/relationships/hyperlink" Target="mailto:godin-grenoble@orange.fr" TargetMode="External"/><Relationship Id="rId257" Type="http://schemas.openxmlformats.org/officeDocument/2006/relationships/hyperlink" Target="mailto:jonathan.bargel@philippeisere.fr" TargetMode="External"/><Relationship Id="rId422" Type="http://schemas.openxmlformats.org/officeDocument/2006/relationships/hyperlink" Target="mailto:contact@ecvoiron.fr" TargetMode="External"/><Relationship Id="rId464" Type="http://schemas.openxmlformats.org/officeDocument/2006/relationships/hyperlink" Target="mailto:cheminees.jay@orange.fr" TargetMode="External"/><Relationship Id="rId867" Type="http://schemas.openxmlformats.org/officeDocument/2006/relationships/hyperlink" Target="https://www.qualit-enr.org/espace-confort-voironnais" TargetMode="External"/><Relationship Id="rId1010"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1052" Type="http://schemas.openxmlformats.org/officeDocument/2006/relationships/hyperlink" Target="mailto:thomas.morey@wattethome.com" TargetMode="External"/><Relationship Id="rId299" Type="http://schemas.openxmlformats.org/officeDocument/2006/relationships/hyperlink" Target="https://www.qualit-enr.org/cheminees-jay" TargetMode="External"/><Relationship Id="rId727" Type="http://schemas.openxmlformats.org/officeDocument/2006/relationships/hyperlink" Target="https://www.qualit-enr.org/cheminees-jay" TargetMode="External"/><Relationship Id="rId934" Type="http://schemas.openxmlformats.org/officeDocument/2006/relationships/hyperlink" Target="https://www.qualit-enr.org/carre" TargetMode="External"/><Relationship Id="rId63" Type="http://schemas.openxmlformats.org/officeDocument/2006/relationships/hyperlink" Target="https://www.qualibat.com/resultat-de-la-recherche/cheminees-cattarina-189319/" TargetMode="External"/><Relationship Id="rId159" Type="http://schemas.openxmlformats.org/officeDocument/2006/relationships/hyperlink" Target="https://www.qualit-enr.org/entreprises/j3l-agencements/" TargetMode="External"/><Relationship Id="rId366" Type="http://schemas.openxmlformats.org/officeDocument/2006/relationships/hyperlink" Target="https://www.qualypso.fr/download_file.php?id=021a3e1f-f16d-4577-ac80-f3806107cc38" TargetMode="External"/><Relationship Id="rId573" Type="http://schemas.openxmlformats.org/officeDocument/2006/relationships/hyperlink" Target="mailto:contact@ecvoiron.fr" TargetMode="External"/><Relationship Id="rId780" Type="http://schemas.openxmlformats.org/officeDocument/2006/relationships/hyperlink" Target="https://www.qualit-enr.org/alp-confort" TargetMode="External"/><Relationship Id="rId226" Type="http://schemas.openxmlformats.org/officeDocument/2006/relationships/hyperlink" Target="mailto:chemineescastan.commercial@gmail.com" TargetMode="External"/><Relationship Id="rId433" Type="http://schemas.openxmlformats.org/officeDocument/2006/relationships/hyperlink" Target="https://www.qualypso.fr/download_file.php?id=cb11ad74-f948-4beb-902b-43ff2ca9e830" TargetMode="External"/><Relationship Id="rId878" Type="http://schemas.openxmlformats.org/officeDocument/2006/relationships/hyperlink" Target="https://www.qualit-enr.org/espace-confort-voironnais" TargetMode="External"/><Relationship Id="rId1063" Type="http://schemas.openxmlformats.org/officeDocument/2006/relationships/hyperlink" Target="https://www.qualit-enr.org/sarl-duo-cheminees" TargetMode="External"/><Relationship Id="rId640" Type="http://schemas.openxmlformats.org/officeDocument/2006/relationships/hyperlink" Target="mailto:contact@philippeisere.fr" TargetMode="External"/><Relationship Id="rId738" Type="http://schemas.openxmlformats.org/officeDocument/2006/relationships/hyperlink" Target="mailto:bois-soleil.chauffage@orange.fr" TargetMode="External"/><Relationship Id="rId945" Type="http://schemas.openxmlformats.org/officeDocument/2006/relationships/hyperlink" Target="mailto:jcduo@orange.fr" TargetMode="External"/><Relationship Id="rId74" Type="http://schemas.openxmlformats.org/officeDocument/2006/relationships/hyperlink" Target="https://www.qualit-enr.org/carre" TargetMode="External"/><Relationship Id="rId377" Type="http://schemas.openxmlformats.org/officeDocument/2006/relationships/hyperlink" Target="mailto:contact@cpc38.com" TargetMode="External"/><Relationship Id="rId500" Type="http://schemas.openxmlformats.org/officeDocument/2006/relationships/hyperlink" Target="https://www.qualit-enr.org/entreprises/sarl-pab-2/" TargetMode="External"/><Relationship Id="rId584" Type="http://schemas.openxmlformats.org/officeDocument/2006/relationships/hyperlink" Target="mailto:contact.echirolles@alp-confort.fr" TargetMode="External"/><Relationship Id="rId805" Type="http://schemas.openxmlformats.org/officeDocument/2006/relationships/hyperlink" Target="https://www.qualit-enr.org/sarl-pab-38490" TargetMode="External"/><Relationship Id="rId5" Type="http://schemas.openxmlformats.org/officeDocument/2006/relationships/hyperlink" Target="mailto:commercial-godin@orange.fr" TargetMode="External"/><Relationship Id="rId237" Type="http://schemas.openxmlformats.org/officeDocument/2006/relationships/hyperlink" Target="mailto:contact.echirolles@alp-confort.fr" TargetMode="External"/><Relationship Id="rId791" Type="http://schemas.openxmlformats.org/officeDocument/2006/relationships/hyperlink" Target="https://www.qualit-enr.org/sarl-pab-38490" TargetMode="External"/><Relationship Id="rId889" Type="http://schemas.openxmlformats.org/officeDocument/2006/relationships/hyperlink" Target="https://www.qualit-enr.org/sasu-ignis-design-hase-la-boutique" TargetMode="External"/><Relationship Id="rId444" Type="http://schemas.openxmlformats.org/officeDocument/2006/relationships/hyperlink" Target="https://www.qualypso.fr/download_file.php?id=1214672b-53ac-4982-88f9-0d520d89179c" TargetMode="External"/><Relationship Id="rId651" Type="http://schemas.openxmlformats.org/officeDocument/2006/relationships/hyperlink" Target="mailto:contact@ecvoiron.fr" TargetMode="External"/><Relationship Id="rId749" Type="http://schemas.openxmlformats.org/officeDocument/2006/relationships/hyperlink" Target="https://www.qualit-enr.org/espace-confort-voironnais" TargetMode="External"/><Relationship Id="rId290" Type="http://schemas.openxmlformats.org/officeDocument/2006/relationships/hyperlink" Target="mailto:servicepose.grenoble2@leroymerlin.fr" TargetMode="External"/><Relationship Id="rId304" Type="http://schemas.openxmlformats.org/officeDocument/2006/relationships/hyperlink" Target="mailto:accueil@carre-f.com" TargetMode="External"/><Relationship Id="rId388" Type="http://schemas.openxmlformats.org/officeDocument/2006/relationships/hyperlink" Target="https://www.qualypso.fr/download_file.php?id=021a3e1f-f16d-4577-ac80-f3806107cc38" TargetMode="External"/><Relationship Id="rId511" Type="http://schemas.openxmlformats.org/officeDocument/2006/relationships/hyperlink" Target="https://www.qualypso.fr/download_file.php?id=5a2f7629-04e3-4b62-986f-8be595fd3c43" TargetMode="External"/><Relationship Id="rId609" Type="http://schemas.openxmlformats.org/officeDocument/2006/relationships/hyperlink" Target="https://www.qualit-enr.org/cheminees-jay" TargetMode="External"/><Relationship Id="rId956" Type="http://schemas.openxmlformats.org/officeDocument/2006/relationships/hyperlink" Target="https://www.qualit-enr.org/atre-decoration" TargetMode="External"/><Relationship Id="rId85" Type="http://schemas.openxmlformats.org/officeDocument/2006/relationships/hyperlink" Target="mailto:bois-soleil-chauffage@orange.fr" TargetMode="External"/><Relationship Id="rId150" Type="http://schemas.openxmlformats.org/officeDocument/2006/relationships/hyperlink" Target="mailto:jonathan.bargel@philippeisere.fr" TargetMode="External"/><Relationship Id="rId595"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816" Type="http://schemas.openxmlformats.org/officeDocument/2006/relationships/hyperlink" Target="https://www.qualit-enr.org/jacqu-cheminees" TargetMode="External"/><Relationship Id="rId1001" Type="http://schemas.openxmlformats.org/officeDocument/2006/relationships/hyperlink" Target="https://www.qualit-enr.org/jacqu-cheminees" TargetMode="External"/><Relationship Id="rId248" Type="http://schemas.openxmlformats.org/officeDocument/2006/relationships/hyperlink" Target="mailto:contact@ecvoiron.fr" TargetMode="External"/><Relationship Id="rId455" Type="http://schemas.openxmlformats.org/officeDocument/2006/relationships/hyperlink" Target="https://www.qualit-enr.org/entreprises/espace-confort-voironnais/" TargetMode="External"/><Relationship Id="rId662" Type="http://schemas.openxmlformats.org/officeDocument/2006/relationships/hyperlink" Target="https://www.qualit-enr.org/glenat-pere-et-fils" TargetMode="External"/><Relationship Id="rId12" Type="http://schemas.openxmlformats.org/officeDocument/2006/relationships/hyperlink" Target="mailto:jcduo@orange.fr" TargetMode="External"/><Relationship Id="rId108" Type="http://schemas.openxmlformats.org/officeDocument/2006/relationships/hyperlink" Target="mailto:bois-soleil-chauffage@orange.fr" TargetMode="External"/><Relationship Id="rId315" Type="http://schemas.openxmlformats.org/officeDocument/2006/relationships/hyperlink" Target="mailto:todoschini2@orange.fr" TargetMode="External"/><Relationship Id="rId522" Type="http://schemas.openxmlformats.org/officeDocument/2006/relationships/hyperlink" Target="mailto:godin-grenoble@orange.fr" TargetMode="External"/><Relationship Id="rId967" Type="http://schemas.openxmlformats.org/officeDocument/2006/relationships/hyperlink" Target="mailto:voiron@techni-nature.com" TargetMode="External"/><Relationship Id="rId96" Type="http://schemas.openxmlformats.org/officeDocument/2006/relationships/hyperlink" Target="mailto:contact@ecvoiron.fr" TargetMode="External"/><Relationship Id="rId161" Type="http://schemas.openxmlformats.org/officeDocument/2006/relationships/hyperlink" Target="mailto:jeanfrancois@passionflamme.fr" TargetMode="External"/><Relationship Id="rId399" Type="http://schemas.openxmlformats.org/officeDocument/2006/relationships/hyperlink" Target="https://www.qualypso.fr/download_file.php?id=021a3e1f-f16d-4577-ac80-f3806107cc38" TargetMode="External"/><Relationship Id="rId827" Type="http://schemas.openxmlformats.org/officeDocument/2006/relationships/hyperlink" Target="mailto:todeschini@orange.fr" TargetMode="External"/><Relationship Id="rId1012" Type="http://schemas.openxmlformats.org/officeDocument/2006/relationships/hyperlink" Target="https://www.qualit-enr.org/bois-soleil-chauffage-sarl" TargetMode="External"/><Relationship Id="rId259" Type="http://schemas.openxmlformats.org/officeDocument/2006/relationships/hyperlink" Target="mailto:expertise.ramonage.paquet@gmail.com" TargetMode="External"/><Relationship Id="rId466" Type="http://schemas.openxmlformats.org/officeDocument/2006/relationships/hyperlink" Target="mailto:cheminees-svcd@orange.fr" TargetMode="External"/><Relationship Id="rId673" Type="http://schemas.openxmlformats.org/officeDocument/2006/relationships/hyperlink" Target="https://www.qualit-enr.org/fralor-poeles-et-cuisinieres-passion" TargetMode="External"/><Relationship Id="rId880" Type="http://schemas.openxmlformats.org/officeDocument/2006/relationships/hyperlink" Target="https://www.qualit-enr.org/espace-confort-voironnais" TargetMode="External"/><Relationship Id="rId23" Type="http://schemas.openxmlformats.org/officeDocument/2006/relationships/hyperlink" Target="mailto:contact@ecvoiron.fr" TargetMode="External"/><Relationship Id="rId119" Type="http://schemas.openxmlformats.org/officeDocument/2006/relationships/hyperlink" Target="mailto:bois-soleil-chauffage@orange.fr" TargetMode="External"/><Relationship Id="rId326" Type="http://schemas.openxmlformats.org/officeDocument/2006/relationships/hyperlink" Target="https://www.qualit-enr.org/entreprises/espace-confort-voironnais/" TargetMode="External"/><Relationship Id="rId533" Type="http://schemas.openxmlformats.org/officeDocument/2006/relationships/hyperlink" Target="mailto:contact@fer-et-feu.fr" TargetMode="External"/><Relationship Id="rId978" Type="http://schemas.openxmlformats.org/officeDocument/2006/relationships/hyperlink" Target="mailto:cheminees.jay@orange.fr" TargetMode="External"/><Relationship Id="rId740" Type="http://schemas.openxmlformats.org/officeDocument/2006/relationships/hyperlink" Target="mailto:latredauphinois@gmail.com" TargetMode="External"/><Relationship Id="rId838" Type="http://schemas.openxmlformats.org/officeDocument/2006/relationships/hyperlink" Target="https://www.qualit-enr.org/espace-confort-voironnais" TargetMode="External"/><Relationship Id="rId1023" Type="http://schemas.openxmlformats.org/officeDocument/2006/relationships/hyperlink" Target="mailto:jcduo@orange.fr" TargetMode="External"/><Relationship Id="rId172" Type="http://schemas.openxmlformats.org/officeDocument/2006/relationships/hyperlink" Target="mailto:godin-grenoble@orange.fr" TargetMode="External"/><Relationship Id="rId477" Type="http://schemas.openxmlformats.org/officeDocument/2006/relationships/hyperlink" Target="https://www.qualit-enr.org/la-glace-et-le-feu" TargetMode="External"/><Relationship Id="rId600" Type="http://schemas.openxmlformats.org/officeDocument/2006/relationships/hyperlink" Target="mailto:contact@philippeisere.fr" TargetMode="External"/><Relationship Id="rId684" Type="http://schemas.openxmlformats.org/officeDocument/2006/relationships/hyperlink" Target="https://www.qualibat.com/resultat-de-la-recherche/cheminees-cattarina-189319/" TargetMode="External"/><Relationship Id="rId337" Type="http://schemas.openxmlformats.org/officeDocument/2006/relationships/hyperlink" Target="mailto:perre.vodeb@watthome.com" TargetMode="External"/><Relationship Id="rId891" Type="http://schemas.openxmlformats.org/officeDocument/2006/relationships/hyperlink" Target="https://www.qualit-enr.org/espace-confort-voironnais" TargetMode="External"/><Relationship Id="rId905" Type="http://schemas.openxmlformats.org/officeDocument/2006/relationships/hyperlink" Target="https://www.qualit-enr.org/cheminees-jay" TargetMode="External"/><Relationship Id="rId989" Type="http://schemas.openxmlformats.org/officeDocument/2006/relationships/hyperlink" Target="mailto:godin-grenoble@orange.fr" TargetMode="External"/><Relationship Id="rId34" Type="http://schemas.openxmlformats.org/officeDocument/2006/relationships/hyperlink" Target="mailto:romainchevaleyre@passionflamme.fr" TargetMode="External"/><Relationship Id="rId544" Type="http://schemas.openxmlformats.org/officeDocument/2006/relationships/hyperlink" Target="https://www.qualit-enr.org/entreprises/tm-entreprise-ei/" TargetMode="External"/><Relationship Id="rId751" Type="http://schemas.openxmlformats.org/officeDocument/2006/relationships/hyperlink" Target="https://www.qualit-enr.org/bois-soleil-chauffage-sarl" TargetMode="External"/><Relationship Id="rId849" Type="http://schemas.openxmlformats.org/officeDocument/2006/relationships/hyperlink" Target="https://www.qualit-enr.org/jacqu-cheminees" TargetMode="External"/><Relationship Id="rId183" Type="http://schemas.openxmlformats.org/officeDocument/2006/relationships/hyperlink" Target="https://www.qualit-enr.org/entreprises/j3l-agencements/" TargetMode="External"/><Relationship Id="rId390" Type="http://schemas.openxmlformats.org/officeDocument/2006/relationships/hyperlink" Target="https://www.qualypso.fr/download_file.php?id=021a3e1f-f16d-4577-ac80-f3806107cc38" TargetMode="External"/><Relationship Id="rId404" Type="http://schemas.openxmlformats.org/officeDocument/2006/relationships/hyperlink" Target="mailto:cheminees.jay@orange.fr" TargetMode="External"/><Relationship Id="rId611" Type="http://schemas.openxmlformats.org/officeDocument/2006/relationships/hyperlink" Target="https://www.qualit-enr.org/fralor-poeles-et-cuisinieres-passion" TargetMode="External"/><Relationship Id="rId1034" Type="http://schemas.openxmlformats.org/officeDocument/2006/relationships/hyperlink" Target="https://www.qualit-enr.org/sarl-pab-38490" TargetMode="External"/><Relationship Id="rId250" Type="http://schemas.openxmlformats.org/officeDocument/2006/relationships/hyperlink" Target="mailto:jeanfrancois@passionflamme.fr" TargetMode="External"/><Relationship Id="rId488" Type="http://schemas.openxmlformats.org/officeDocument/2006/relationships/hyperlink" Target="https://www.qualypso.fr/download_file.php?id=5a2f7629-04e3-4b62-986f-8be595fd3c43" TargetMode="External"/><Relationship Id="rId695" Type="http://schemas.openxmlformats.org/officeDocument/2006/relationships/hyperlink" Target="https://www.qualit-enr.org/techni-nature-05000" TargetMode="External"/><Relationship Id="rId709" Type="http://schemas.openxmlformats.org/officeDocument/2006/relationships/hyperlink" Target="https://www.qualit-enr.org/l-atre-dauphinois" TargetMode="External"/><Relationship Id="rId916" Type="http://schemas.openxmlformats.org/officeDocument/2006/relationships/hyperlink" Target="mailto:contact@ecvoiron.fr" TargetMode="External"/><Relationship Id="rId45" Type="http://schemas.openxmlformats.org/officeDocument/2006/relationships/hyperlink" Target="https://www.qualit-enr.org/carre" TargetMode="External"/><Relationship Id="rId110" Type="http://schemas.openxmlformats.org/officeDocument/2006/relationships/hyperlink" Target="mailto:poelesetcuisinierespassion@gmail.com" TargetMode="External"/><Relationship Id="rId348" Type="http://schemas.openxmlformats.org/officeDocument/2006/relationships/hyperlink" Target="https://www.qualit-enr.org/cheminees-jay" TargetMode="External"/><Relationship Id="rId555" Type="http://schemas.openxmlformats.org/officeDocument/2006/relationships/hyperlink" Target="https://www.qualit-enr.org/entreprises/watthome/" TargetMode="External"/><Relationship Id="rId762" Type="http://schemas.openxmlformats.org/officeDocument/2006/relationships/hyperlink" Target="https://www.qualit-enr.org/sarl-duo-cheminees" TargetMode="External"/><Relationship Id="rId194" Type="http://schemas.openxmlformats.org/officeDocument/2006/relationships/hyperlink" Target="https://www.qualit-enr.org/flamme-iseroise" TargetMode="External"/><Relationship Id="rId208" Type="http://schemas.openxmlformats.org/officeDocument/2006/relationships/hyperlink" Target="mailto:renatofarvelli@gmail.com" TargetMode="External"/><Relationship Id="rId415" Type="http://schemas.openxmlformats.org/officeDocument/2006/relationships/hyperlink" Target="mailto:f.carre@carre-f.com" TargetMode="External"/><Relationship Id="rId622" Type="http://schemas.openxmlformats.org/officeDocument/2006/relationships/hyperlink" Target="https://www.qualit-enr.org/jacqu-cheminees" TargetMode="External"/><Relationship Id="rId1045" Type="http://schemas.openxmlformats.org/officeDocument/2006/relationships/hyperlink" Target="https://www.qualit-enr.org/atre-decoration" TargetMode="External"/><Relationship Id="rId261" Type="http://schemas.openxmlformats.org/officeDocument/2006/relationships/hyperlink" Target="mailto:marketing@carre-f.com" TargetMode="External"/><Relationship Id="rId499" Type="http://schemas.openxmlformats.org/officeDocument/2006/relationships/hyperlink" Target="mailto:contact@ecvoiron.fr" TargetMode="External"/><Relationship Id="rId927" Type="http://schemas.openxmlformats.org/officeDocument/2006/relationships/hyperlink" Target="https://www.qualit-enr.org/espace-confort-voironnais" TargetMode="External"/><Relationship Id="rId56" Type="http://schemas.openxmlformats.org/officeDocument/2006/relationships/hyperlink" Target="mailto:jacques.faure24@wanadoo.fr" TargetMode="External"/><Relationship Id="rId359" Type="http://schemas.openxmlformats.org/officeDocument/2006/relationships/hyperlink" Target="mailto:contact@fer-et-feu.fr" TargetMode="External"/><Relationship Id="rId566" Type="http://schemas.openxmlformats.org/officeDocument/2006/relationships/hyperlink" Target="https://www.qualit-enr.org/la-glace-et-le-feu" TargetMode="External"/><Relationship Id="rId773" Type="http://schemas.openxmlformats.org/officeDocument/2006/relationships/hyperlink" Target="https://www.qualit-enr.org/carre" TargetMode="External"/><Relationship Id="rId121" Type="http://schemas.openxmlformats.org/officeDocument/2006/relationships/hyperlink" Target="mailto:bois-soleil-chauffage@orange.fr" TargetMode="External"/><Relationship Id="rId219" Type="http://schemas.openxmlformats.org/officeDocument/2006/relationships/hyperlink" Target="mailto:jcduo@orange.fr" TargetMode="External"/><Relationship Id="rId426" Type="http://schemas.openxmlformats.org/officeDocument/2006/relationships/hyperlink" Target="mailto:contact.echirolles@alp-confort.fr" TargetMode="External"/><Relationship Id="rId633" Type="http://schemas.openxmlformats.org/officeDocument/2006/relationships/hyperlink" Target="https://www.qualit-enr.org/entreprises/j3l-agencements/" TargetMode="External"/><Relationship Id="rId980" Type="http://schemas.openxmlformats.org/officeDocument/2006/relationships/hyperlink" Target="mailto:alby-eco@sfr.fr" TargetMode="External"/><Relationship Id="rId1056" Type="http://schemas.openxmlformats.org/officeDocument/2006/relationships/hyperlink" Target="mailto:voiron@techni-nature.com" TargetMode="External"/><Relationship Id="rId840" Type="http://schemas.openxmlformats.org/officeDocument/2006/relationships/hyperlink" Target="https://www.qualit-enr.org/jacqu-cheminees" TargetMode="External"/><Relationship Id="rId938" Type="http://schemas.openxmlformats.org/officeDocument/2006/relationships/hyperlink" Target="mailto:voiron@techni-nature.com" TargetMode="External"/><Relationship Id="rId67" Type="http://schemas.openxmlformats.org/officeDocument/2006/relationships/hyperlink" Target="mailto:romainchevaleyre@passionflamme.fr" TargetMode="External"/><Relationship Id="rId272" Type="http://schemas.openxmlformats.org/officeDocument/2006/relationships/hyperlink" Target="mailto:contact-chaleurbois38@orange.fr" TargetMode="External"/><Relationship Id="rId577" Type="http://schemas.openxmlformats.org/officeDocument/2006/relationships/hyperlink" Target="https://www.qualit-enr.org/jacqu-cheminees" TargetMode="External"/><Relationship Id="rId700" Type="http://schemas.openxmlformats.org/officeDocument/2006/relationships/hyperlink" Target="mailto:laglaceetlefeu38@gmail.com" TargetMode="External"/><Relationship Id="rId132" Type="http://schemas.openxmlformats.org/officeDocument/2006/relationships/hyperlink" Target="mailto:contact@ecvoiron.fr" TargetMode="External"/><Relationship Id="rId784" Type="http://schemas.openxmlformats.org/officeDocument/2006/relationships/hyperlink" Target="https://www.qualit-enr.org/l-atre-dauphinois" TargetMode="External"/><Relationship Id="rId991" Type="http://schemas.openxmlformats.org/officeDocument/2006/relationships/hyperlink" Target="mailto:cheminees.jay@orange.fr" TargetMode="External"/><Relationship Id="rId1067" Type="http://schemas.openxmlformats.org/officeDocument/2006/relationships/printerSettings" Target="../printerSettings/printerSettings1.bin"/><Relationship Id="rId437" Type="http://schemas.openxmlformats.org/officeDocument/2006/relationships/hyperlink" Target="https://www.qualypso.fr/download_file.php?id=021a3e1f-f16d-4577-ac80-f3806107cc38" TargetMode="External"/><Relationship Id="rId644" Type="http://schemas.openxmlformats.org/officeDocument/2006/relationships/hyperlink" Target="mailto:voiron@techni-nature.com" TargetMode="External"/><Relationship Id="rId851" Type="http://schemas.openxmlformats.org/officeDocument/2006/relationships/hyperlink" Target="mailto:cheminees.jay@orange.fr" TargetMode="External"/><Relationship Id="rId283" Type="http://schemas.openxmlformats.org/officeDocument/2006/relationships/hyperlink" Target="mailto:contact@philippeisere.fr" TargetMode="External"/><Relationship Id="rId490" Type="http://schemas.openxmlformats.org/officeDocument/2006/relationships/hyperlink" Target="https://www.qualypso.fr/download_file.php?id=5a2f7629-04e3-4b62-986f-8be595fd3c43" TargetMode="External"/><Relationship Id="rId504" Type="http://schemas.openxmlformats.org/officeDocument/2006/relationships/hyperlink" Target="https://www.qualypso.fr/download_file.php?id=021a3e1f-f16d-4577-ac80-f3806107cc38" TargetMode="External"/><Relationship Id="rId711"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949" Type="http://schemas.openxmlformats.org/officeDocument/2006/relationships/hyperlink" Target="https://www.qualit-enr.org/carre" TargetMode="External"/><Relationship Id="rId78" Type="http://schemas.openxmlformats.org/officeDocument/2006/relationships/hyperlink" Target="mailto:romainchevaleyre@passionflamme.fr" TargetMode="External"/><Relationship Id="rId143" Type="http://schemas.openxmlformats.org/officeDocument/2006/relationships/hyperlink" Target="mailto:bois-soleil-chauffage@orange.fr" TargetMode="External"/><Relationship Id="rId350" Type="http://schemas.openxmlformats.org/officeDocument/2006/relationships/hyperlink" Target="https://www.qualit-enr.org/entreprises/espace-confort-voironnais/" TargetMode="External"/><Relationship Id="rId588" Type="http://schemas.openxmlformats.org/officeDocument/2006/relationships/hyperlink" Target="https://www.qualit-enr.org/carre" TargetMode="External"/><Relationship Id="rId795" Type="http://schemas.openxmlformats.org/officeDocument/2006/relationships/hyperlink" Target="https://www.qualibat.com/resultat-de-la-recherche/alp-iso-renov-eurl--99155/" TargetMode="External"/><Relationship Id="rId809" Type="http://schemas.openxmlformats.org/officeDocument/2006/relationships/hyperlink" Target="mailto:infos38@atre-loisirs.fr" TargetMode="External"/><Relationship Id="rId9" Type="http://schemas.openxmlformats.org/officeDocument/2006/relationships/hyperlink" Target="mailto:contact@ambianceetfeu.fr" TargetMode="External"/><Relationship Id="rId210" Type="http://schemas.openxmlformats.org/officeDocument/2006/relationships/hyperlink" Target="mailto:contact@alpp-plomberie.fr" TargetMode="External"/><Relationship Id="rId448" Type="http://schemas.openxmlformats.org/officeDocument/2006/relationships/hyperlink" Target="https://www.qualypso.fr/download_file.php?id=0ac6bbaa-cb24-4926-9d7f-8e6b0d1f9099" TargetMode="External"/><Relationship Id="rId655" Type="http://schemas.openxmlformats.org/officeDocument/2006/relationships/hyperlink" Target="https://www.qualit-enr.org/atre-decoration" TargetMode="External"/><Relationship Id="rId862" Type="http://schemas.openxmlformats.org/officeDocument/2006/relationships/hyperlink" Target="https://www.qualit-enr.org/watthome" TargetMode="External"/><Relationship Id="rId294" Type="http://schemas.openxmlformats.org/officeDocument/2006/relationships/hyperlink" Target="https://www.qualit-enr.org/cheminees-jay" TargetMode="External"/><Relationship Id="rId308" Type="http://schemas.openxmlformats.org/officeDocument/2006/relationships/hyperlink" Target="mailto:contact@ecvoiron.fr" TargetMode="External"/><Relationship Id="rId515" Type="http://schemas.openxmlformats.org/officeDocument/2006/relationships/hyperlink" Target="https://www.qualypso.fr/download_file.php?id=cb11ad74-f948-4beb-902b-43ff2ca9e830" TargetMode="External"/><Relationship Id="rId722" Type="http://schemas.openxmlformats.org/officeDocument/2006/relationships/hyperlink" Target="https://www.qualit-enr.org/carre" TargetMode="External"/><Relationship Id="rId89" Type="http://schemas.openxmlformats.org/officeDocument/2006/relationships/hyperlink" Target="mailto:marketing@carre-f.com" TargetMode="External"/><Relationship Id="rId154" Type="http://schemas.openxmlformats.org/officeDocument/2006/relationships/hyperlink" Target="https://www.qualit-enr.org/techni-nature-05000" TargetMode="External"/><Relationship Id="rId361" Type="http://schemas.openxmlformats.org/officeDocument/2006/relationships/hyperlink" Target="mailto:contact@latredauphinois.fr" TargetMode="External"/><Relationship Id="rId599" Type="http://schemas.openxmlformats.org/officeDocument/2006/relationships/hyperlink" Target="https://www.qualit-enr.org/entreprises/j3l-agencements/" TargetMode="External"/><Relationship Id="rId1005" Type="http://schemas.openxmlformats.org/officeDocument/2006/relationships/hyperlink" Target="mailto:voiron@techni-nature.com" TargetMode="External"/><Relationship Id="rId459" Type="http://schemas.openxmlformats.org/officeDocument/2006/relationships/hyperlink" Target="https://www.qualit-enr.org/sasu-ignis-design-hase-la-boutique" TargetMode="External"/><Relationship Id="rId666" Type="http://schemas.openxmlformats.org/officeDocument/2006/relationships/hyperlink" Target="mailto:enerlogis@orange.fr" TargetMode="External"/><Relationship Id="rId873" Type="http://schemas.openxmlformats.org/officeDocument/2006/relationships/hyperlink" Target="https://www.qualit-enr.org/sarl-passion-flamme" TargetMode="External"/><Relationship Id="rId16" Type="http://schemas.openxmlformats.org/officeDocument/2006/relationships/hyperlink" Target="mailto:jcduo@orange.fr" TargetMode="External"/><Relationship Id="rId221" Type="http://schemas.openxmlformats.org/officeDocument/2006/relationships/hyperlink" Target="mailto:voiron@techni-nature.com" TargetMode="External"/><Relationship Id="rId319" Type="http://schemas.openxmlformats.org/officeDocument/2006/relationships/hyperlink" Target="mailto:jonathan.bargel@philippeisere.fr" TargetMode="External"/><Relationship Id="rId526" Type="http://schemas.openxmlformats.org/officeDocument/2006/relationships/hyperlink" Target="https://www.qualypso.fr/download_file.php?id=a828c0a7-a901-406a-9f23-760d48af7911" TargetMode="External"/><Relationship Id="rId733" Type="http://schemas.openxmlformats.org/officeDocument/2006/relationships/hyperlink" Target="https://www.qualit-enr.org/carre" TargetMode="External"/><Relationship Id="rId940" Type="http://schemas.openxmlformats.org/officeDocument/2006/relationships/hyperlink" Target="https://www.qualit-enr.org/bois-soleil-chauffage-sarl" TargetMode="External"/><Relationship Id="rId1016" Type="http://schemas.openxmlformats.org/officeDocument/2006/relationships/hyperlink" Target="https://www.qualit-enr.org/bois-soleil-chauffage-sarl" TargetMode="External"/><Relationship Id="rId165" Type="http://schemas.openxmlformats.org/officeDocument/2006/relationships/hyperlink" Target="https://www.qualit-enr.org/entreprises/j3l-agencements/" TargetMode="External"/><Relationship Id="rId372" Type="http://schemas.openxmlformats.org/officeDocument/2006/relationships/hyperlink" Target="https://www.qualit-enr.org/jacqu-cheminees" TargetMode="External"/><Relationship Id="rId677" Type="http://schemas.openxmlformats.org/officeDocument/2006/relationships/hyperlink" Target="mailto:contact@philippeisere.fr" TargetMode="External"/><Relationship Id="rId800" Type="http://schemas.openxmlformats.org/officeDocument/2006/relationships/hyperlink" Target="mailto:cheminees.jay@orange.fr" TargetMode="External"/><Relationship Id="rId232" Type="http://schemas.openxmlformats.org/officeDocument/2006/relationships/hyperlink" Target="https://www.qualit-enr.org/cheminees-jay" TargetMode="External"/><Relationship Id="rId884" Type="http://schemas.openxmlformats.org/officeDocument/2006/relationships/hyperlink" Target="https://cloud.ageden38.org/remote.php/webdav/Shared/Arborescence/4-Territoires/4-5-CAPV/0-Interco/webdav/Shared/Arborescence/03_Territoires/CA%20Pays%20Voironnais/nextcloud/remote.php/webdav/Shared/Arborescence/03_Territoires/CA%20Pays%20Voironnais/0-Interco/2_Actions/2017_instruction%20aides%20CAPV/PABVRB/1_Archives" TargetMode="External"/><Relationship Id="rId27" Type="http://schemas.openxmlformats.org/officeDocument/2006/relationships/hyperlink" Target="mailto:cheminees.jay@orange.fr" TargetMode="External"/><Relationship Id="rId537" Type="http://schemas.openxmlformats.org/officeDocument/2006/relationships/hyperlink" Target="mailto:godin-grenoble@orange.fr" TargetMode="External"/><Relationship Id="rId744" Type="http://schemas.openxmlformats.org/officeDocument/2006/relationships/hyperlink" Target="mailto:bois-soleil.chauffage@orange.fr" TargetMode="External"/><Relationship Id="rId951" Type="http://schemas.openxmlformats.org/officeDocument/2006/relationships/hyperlink" Target="mailto:jcduo@orange.fr" TargetMode="External"/><Relationship Id="rId80" Type="http://schemas.openxmlformats.org/officeDocument/2006/relationships/hyperlink" Target="mailto:cheminees.jay@orange.fr" TargetMode="External"/><Relationship Id="rId176" Type="http://schemas.openxmlformats.org/officeDocument/2006/relationships/hyperlink" Target="mailto:jacques.faure24@wanadoo.fr" TargetMode="External"/><Relationship Id="rId383" Type="http://schemas.openxmlformats.org/officeDocument/2006/relationships/hyperlink" Target="mailto:godin-grenoble@orange.fr" TargetMode="External"/><Relationship Id="rId590" Type="http://schemas.openxmlformats.org/officeDocument/2006/relationships/hyperlink" Target="mailto:cheminees.jay@orange.fr" TargetMode="External"/><Relationship Id="rId604" Type="http://schemas.openxmlformats.org/officeDocument/2006/relationships/hyperlink" Target="mailto:contactprojet@orange.fr" TargetMode="External"/><Relationship Id="rId811" Type="http://schemas.openxmlformats.org/officeDocument/2006/relationships/hyperlink" Target="mailto:voiron@techni-nature.com" TargetMode="External"/><Relationship Id="rId1027" Type="http://schemas.openxmlformats.org/officeDocument/2006/relationships/hyperlink" Target="mailto:contact@ecvoiron.fr" TargetMode="External"/><Relationship Id="rId243" Type="http://schemas.openxmlformats.org/officeDocument/2006/relationships/hyperlink" Target="mailto:contactprojet@orange.fr" TargetMode="External"/><Relationship Id="rId450" Type="http://schemas.openxmlformats.org/officeDocument/2006/relationships/hyperlink" Target="https://www.qualit-enr.org/entreprises/atre-et-loisirs-sarl/" TargetMode="External"/><Relationship Id="rId688" Type="http://schemas.openxmlformats.org/officeDocument/2006/relationships/hyperlink" Target="https://www.qualit-enr.org/l-atre-dauphinois" TargetMode="External"/><Relationship Id="rId895" Type="http://schemas.openxmlformats.org/officeDocument/2006/relationships/hyperlink" Target="https://www.qualit-enr.org/jacqu-cheminees" TargetMode="External"/><Relationship Id="rId909" Type="http://schemas.openxmlformats.org/officeDocument/2006/relationships/hyperlink" Target="https://www.qualit-enr.org/bois-soleil-chauffage-sarl" TargetMode="External"/><Relationship Id="rId38" Type="http://schemas.openxmlformats.org/officeDocument/2006/relationships/hyperlink" Target="mailto:voglans@poelegranules.fr" TargetMode="External"/><Relationship Id="rId103" Type="http://schemas.openxmlformats.org/officeDocument/2006/relationships/hyperlink" Target="mailto:godin-grenoble@orange.fr" TargetMode="External"/><Relationship Id="rId310" Type="http://schemas.openxmlformats.org/officeDocument/2006/relationships/hyperlink" Target="mailto:contact@philippeisere.fr" TargetMode="External"/><Relationship Id="rId548" Type="http://schemas.openxmlformats.org/officeDocument/2006/relationships/hyperlink" Target="mailto:chaleurbois38@orange.fr" TargetMode="External"/><Relationship Id="rId755" Type="http://schemas.openxmlformats.org/officeDocument/2006/relationships/hyperlink" Target="mailto:contact@ecvoiron.fr" TargetMode="External"/><Relationship Id="rId962" Type="http://schemas.openxmlformats.org/officeDocument/2006/relationships/hyperlink" Target="mailto:contact@ecvoiron.fr" TargetMode="External"/><Relationship Id="rId91" Type="http://schemas.openxmlformats.org/officeDocument/2006/relationships/hyperlink" Target="mailto:cheminees.jay@orange.fr" TargetMode="External"/><Relationship Id="rId187" Type="http://schemas.openxmlformats.org/officeDocument/2006/relationships/hyperlink" Target="mailto:poelesetcuisinierespassion@gmail.com" TargetMode="External"/><Relationship Id="rId394" Type="http://schemas.openxmlformats.org/officeDocument/2006/relationships/hyperlink" Target="mailto:contact@ecvoiron.fr" TargetMode="External"/><Relationship Id="rId408" Type="http://schemas.openxmlformats.org/officeDocument/2006/relationships/hyperlink" Target="https://www.qualit-enr.org/cheminees-jay" TargetMode="External"/><Relationship Id="rId615" Type="http://schemas.openxmlformats.org/officeDocument/2006/relationships/hyperlink" Target="mailto:patrickduranton@passionflamme.fr" TargetMode="External"/><Relationship Id="rId822" Type="http://schemas.openxmlformats.org/officeDocument/2006/relationships/hyperlink" Target="mailto:bois-soleil.chauffage@orange.fr" TargetMode="External"/><Relationship Id="rId1038" Type="http://schemas.openxmlformats.org/officeDocument/2006/relationships/hyperlink" Target="https://www.qualit-enr.org/sasu-ignis-design-hase-la-boutique" TargetMode="External"/><Relationship Id="rId254" Type="http://schemas.openxmlformats.org/officeDocument/2006/relationships/hyperlink" Target="mailto:godin-grenoble@orange.fr" TargetMode="External"/><Relationship Id="rId699" Type="http://schemas.openxmlformats.org/officeDocument/2006/relationships/hyperlink" Target="https://www.qualit-enr.org/la-glace-et-le-feu" TargetMode="External"/><Relationship Id="rId49" Type="http://schemas.openxmlformats.org/officeDocument/2006/relationships/hyperlink" Target="mailto:jacques.faure24@wanadoo.fr" TargetMode="External"/><Relationship Id="rId114" Type="http://schemas.openxmlformats.org/officeDocument/2006/relationships/hyperlink" Target="mailto:bois-soleil-chauffage@orange.fr" TargetMode="External"/><Relationship Id="rId461" Type="http://schemas.openxmlformats.org/officeDocument/2006/relationships/hyperlink" Target="https://www.qualit-enr.org/entreprises/espace-confort-voironnais/" TargetMode="External"/><Relationship Id="rId559" Type="http://schemas.openxmlformats.org/officeDocument/2006/relationships/hyperlink" Target="https://www.qualit-enr.org/jacqu-cheminees" TargetMode="External"/><Relationship Id="rId766" Type="http://schemas.openxmlformats.org/officeDocument/2006/relationships/hyperlink" Target="mailto:pur-tech@sfr.fr" TargetMode="External"/><Relationship Id="rId198" Type="http://schemas.openxmlformats.org/officeDocument/2006/relationships/hyperlink" Target="mailto:jonathan.barguel@philippeisere.fr" TargetMode="External"/><Relationship Id="rId321" Type="http://schemas.openxmlformats.org/officeDocument/2006/relationships/hyperlink" Target="mailto:bois-soleil-chauffage@orange.fr" TargetMode="External"/><Relationship Id="rId419" Type="http://schemas.openxmlformats.org/officeDocument/2006/relationships/hyperlink" Target="mailto:jeanpierrezeluas@poelesgranules.fr" TargetMode="External"/><Relationship Id="rId626" Type="http://schemas.openxmlformats.org/officeDocument/2006/relationships/hyperlink" Target="mailto:jcduo@orange.fr" TargetMode="External"/><Relationship Id="rId973" Type="http://schemas.openxmlformats.org/officeDocument/2006/relationships/hyperlink" Target="mailto:voiron@techni-nature.com" TargetMode="External"/><Relationship Id="rId1049" Type="http://schemas.openxmlformats.org/officeDocument/2006/relationships/hyperlink" Target="https://www.qualit-enr.org/sarl-passion-flamme" TargetMode="External"/><Relationship Id="rId833" Type="http://schemas.openxmlformats.org/officeDocument/2006/relationships/hyperlink" Target="https://www.qualit-enr.org/techni-nature-05000" TargetMode="External"/><Relationship Id="rId265" Type="http://schemas.openxmlformats.org/officeDocument/2006/relationships/hyperlink" Target="mailto:jeanfrancois@passionflamme.fr" TargetMode="External"/><Relationship Id="rId472" Type="http://schemas.openxmlformats.org/officeDocument/2006/relationships/hyperlink" Target="https://www.qualypso.fr/download_file.php?id=0ac6bbaa-cb24-4926-9d7f-8e6b0d1f9099" TargetMode="External"/><Relationship Id="rId900" Type="http://schemas.openxmlformats.org/officeDocument/2006/relationships/hyperlink" Target="mailto:jcduo@orange.fr" TargetMode="External"/><Relationship Id="rId125" Type="http://schemas.openxmlformats.org/officeDocument/2006/relationships/hyperlink" Target="mailto:contact@ecvoiron.fr" TargetMode="External"/><Relationship Id="rId332" Type="http://schemas.openxmlformats.org/officeDocument/2006/relationships/hyperlink" Target="https://www.qualit-enr.org/cheminees-jay" TargetMode="External"/><Relationship Id="rId777" Type="http://schemas.openxmlformats.org/officeDocument/2006/relationships/hyperlink" Target="mailto:contact@ecvoiron.fr" TargetMode="External"/><Relationship Id="rId984" Type="http://schemas.openxmlformats.org/officeDocument/2006/relationships/hyperlink" Target="mailto:godin-grenoble@orange.fr" TargetMode="External"/><Relationship Id="rId637" Type="http://schemas.openxmlformats.org/officeDocument/2006/relationships/hyperlink" Target="https://www.qualit-enr.org/bois-soleil-chauffage-sarl" TargetMode="External"/><Relationship Id="rId844" Type="http://schemas.openxmlformats.org/officeDocument/2006/relationships/hyperlink" Target="mailto:contact@fer-et-feu.fr"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insee.fr/fr/metadonnees/cog/commune/COM38222-massieu" TargetMode="External"/><Relationship Id="rId13" Type="http://schemas.openxmlformats.org/officeDocument/2006/relationships/hyperlink" Target="https://www.insee.fr/fr/metadonnees/cog/commune/COM38292-villages-du-lac-de-paladru" TargetMode="External"/><Relationship Id="rId18" Type="http://schemas.openxmlformats.org/officeDocument/2006/relationships/hyperlink" Target="https://www.insee.fr/fr/metadonnees/cog/commune/COM38372-saint-bueil" TargetMode="External"/><Relationship Id="rId26" Type="http://schemas.openxmlformats.org/officeDocument/2006/relationships/hyperlink" Target="https://www.insee.fr/fr/metadonnees/cog/commune/COM38517-tullins" TargetMode="External"/><Relationship Id="rId3" Type="http://schemas.openxmlformats.org/officeDocument/2006/relationships/hyperlink" Target="https://www.insee.fr/fr/metadonnees/cog/commune/COM38080-charancieu" TargetMode="External"/><Relationship Id="rId21" Type="http://schemas.openxmlformats.org/officeDocument/2006/relationships/hyperlink" Target="https://www.insee.fr/fr/metadonnees/cog/commune/COM38386-saint-geoire-en-valdaine" TargetMode="External"/><Relationship Id="rId7" Type="http://schemas.openxmlformats.org/officeDocument/2006/relationships/hyperlink" Target="https://www.insee.fr/fr/metadonnees/cog/commune/COM38133-coublevie" TargetMode="External"/><Relationship Id="rId12" Type="http://schemas.openxmlformats.org/officeDocument/2006/relationships/hyperlink" Target="https://www.insee.fr/fr/metadonnees/cog/commune/COM38270-la-murette" TargetMode="External"/><Relationship Id="rId17" Type="http://schemas.openxmlformats.org/officeDocument/2006/relationships/hyperlink" Target="https://www.insee.fr/fr/metadonnees/cog/commune/COM38368-saint-blaise-du-buis" TargetMode="External"/><Relationship Id="rId25" Type="http://schemas.openxmlformats.org/officeDocument/2006/relationships/hyperlink" Target="https://www.insee.fr/fr/metadonnees/cog/commune/COM38460-saint-sulpice-des-rivoires" TargetMode="External"/><Relationship Id="rId2" Type="http://schemas.openxmlformats.org/officeDocument/2006/relationships/hyperlink" Target="https://www.insee.fr/fr/metadonnees/cog/commune/COM38061-la-buisse" TargetMode="External"/><Relationship Id="rId16" Type="http://schemas.openxmlformats.org/officeDocument/2006/relationships/hyperlink" Target="https://www.insee.fr/fr/metadonnees/cog/commune/COM38362-saint-aupre" TargetMode="External"/><Relationship Id="rId20" Type="http://schemas.openxmlformats.org/officeDocument/2006/relationships/hyperlink" Target="https://www.insee.fr/fr/metadonnees/cog/commune/COM38383-saint-etienne-de-crossey" TargetMode="External"/><Relationship Id="rId29" Type="http://schemas.openxmlformats.org/officeDocument/2006/relationships/hyperlink" Target="https://www.insee.fr/fr/metadonnees/cog/commune/COM38564-voissant" TargetMode="External"/><Relationship Id="rId1" Type="http://schemas.openxmlformats.org/officeDocument/2006/relationships/hyperlink" Target="https://www.insee.fr/fr/metadonnees/cog/commune/COM38043-bilieu" TargetMode="External"/><Relationship Id="rId6" Type="http://schemas.openxmlformats.org/officeDocument/2006/relationships/hyperlink" Target="https://www.insee.fr/fr/metadonnees/cog/commune/COM38105-chirens" TargetMode="External"/><Relationship Id="rId11" Type="http://schemas.openxmlformats.org/officeDocument/2006/relationships/hyperlink" Target="https://www.insee.fr/fr/metadonnees/cog/commune/COM38256-montferrat" TargetMode="External"/><Relationship Id="rId24" Type="http://schemas.openxmlformats.org/officeDocument/2006/relationships/hyperlink" Target="https://www.insee.fr/fr/metadonnees/cog/commune/COM38432-saint-nicolas-de-macherin" TargetMode="External"/><Relationship Id="rId32" Type="http://schemas.openxmlformats.org/officeDocument/2006/relationships/printerSettings" Target="../printerSettings/printerSettings4.bin"/><Relationship Id="rId5" Type="http://schemas.openxmlformats.org/officeDocument/2006/relationships/hyperlink" Target="https://www.insee.fr/fr/metadonnees/cog/commune/COM38084-charnecles" TargetMode="External"/><Relationship Id="rId15" Type="http://schemas.openxmlformats.org/officeDocument/2006/relationships/hyperlink" Target="https://www.insee.fr/fr/metadonnees/cog/commune/COM38337-rives" TargetMode="External"/><Relationship Id="rId23" Type="http://schemas.openxmlformats.org/officeDocument/2006/relationships/hyperlink" Target="https://www.insee.fr/fr/metadonnees/cog/commune/COM38407-la-sure-en-chartreuse" TargetMode="External"/><Relationship Id="rId28" Type="http://schemas.openxmlformats.org/officeDocument/2006/relationships/hyperlink" Target="https://www.insee.fr/fr/metadonnees/cog/commune/COM38563-voiron" TargetMode="External"/><Relationship Id="rId10" Type="http://schemas.openxmlformats.org/officeDocument/2006/relationships/hyperlink" Target="https://www.insee.fr/fr/metadonnees/cog/commune/COM38239-moirans" TargetMode="External"/><Relationship Id="rId19" Type="http://schemas.openxmlformats.org/officeDocument/2006/relationships/hyperlink" Target="https://www.insee.fr/fr/metadonnees/cog/commune/COM38373-saint-cassien" TargetMode="External"/><Relationship Id="rId31" Type="http://schemas.openxmlformats.org/officeDocument/2006/relationships/hyperlink" Target="https://www.insee.fr/fr/metadonnees/cog/commune/COM38566-vourey" TargetMode="External"/><Relationship Id="rId4" Type="http://schemas.openxmlformats.org/officeDocument/2006/relationships/hyperlink" Target="https://www.insee.fr/fr/metadonnees/cog/commune/COM38082-charavines" TargetMode="External"/><Relationship Id="rId9" Type="http://schemas.openxmlformats.org/officeDocument/2006/relationships/hyperlink" Target="https://www.insee.fr/fr/metadonnees/cog/commune/COM38228-merlas" TargetMode="External"/><Relationship Id="rId14" Type="http://schemas.openxmlformats.org/officeDocument/2006/relationships/hyperlink" Target="https://www.insee.fr/fr/metadonnees/cog/commune/COM38331-reaumont" TargetMode="External"/><Relationship Id="rId22" Type="http://schemas.openxmlformats.org/officeDocument/2006/relationships/hyperlink" Target="https://www.insee.fr/fr/metadonnees/cog/commune/COM38400-saint-jean-de-moirans" TargetMode="External"/><Relationship Id="rId27" Type="http://schemas.openxmlformats.org/officeDocument/2006/relationships/hyperlink" Target="https://www.insee.fr/fr/metadonnees/cog/commune/COM38531-velanne" TargetMode="External"/><Relationship Id="rId30" Type="http://schemas.openxmlformats.org/officeDocument/2006/relationships/hyperlink" Target="https://www.insee.fr/fr/metadonnees/cog/commune/COM38565-vorep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796"/>
  <sheetViews>
    <sheetView tabSelected="1" zoomScale="61" zoomScaleNormal="61" workbookViewId="0">
      <pane xSplit="3" ySplit="4" topLeftCell="V5" activePane="bottomRight" state="frozenSplit"/>
      <selection activeCell="A3" sqref="A3"/>
      <selection pane="topRight" activeCell="M3" sqref="M3"/>
      <selection pane="bottomLeft" activeCell="A7" sqref="A7"/>
      <selection pane="bottomRight" activeCell="AA3" sqref="AA3"/>
    </sheetView>
  </sheetViews>
  <sheetFormatPr baseColWidth="10" defaultColWidth="12" defaultRowHeight="41.1" customHeight="1"/>
  <cols>
    <col min="1" max="2" width="12" style="81"/>
    <col min="3" max="3" width="15.7109375" style="81" customWidth="1"/>
    <col min="4" max="5" width="13" style="199" customWidth="1"/>
    <col min="6" max="6" width="17.140625" style="200" customWidth="1"/>
    <col min="7" max="7" width="14.140625" style="199" customWidth="1"/>
    <col min="8" max="8" width="29" style="200" bestFit="1" customWidth="1"/>
    <col min="9" max="9" width="27.7109375" style="200" bestFit="1" customWidth="1"/>
    <col min="10" max="10" width="29.85546875" style="200" customWidth="1"/>
    <col min="11" max="15" width="13" style="199" customWidth="1"/>
    <col min="16" max="16" width="12.85546875" style="199" customWidth="1"/>
    <col min="17" max="17" width="14" style="199" customWidth="1"/>
    <col min="18" max="18" width="16.5703125" style="81" customWidth="1"/>
    <col min="19" max="19" width="14.140625" style="81" customWidth="1"/>
    <col min="20" max="20" width="15.140625" style="81" customWidth="1"/>
    <col min="21" max="21" width="12.140625" style="81" bestFit="1" customWidth="1"/>
    <col min="22" max="22" width="12.85546875" style="81" bestFit="1" customWidth="1"/>
    <col min="23" max="23" width="15.42578125" style="81" customWidth="1"/>
    <col min="24" max="24" width="12.140625" style="81" bestFit="1" customWidth="1"/>
    <col min="25" max="25" width="15.28515625" style="81" customWidth="1"/>
    <col min="26" max="26" width="12.140625" style="81" bestFit="1" customWidth="1"/>
    <col min="27" max="27" width="16.140625" style="81" customWidth="1"/>
    <col min="28" max="28" width="18.5703125" style="81" customWidth="1"/>
    <col min="29" max="29" width="12" style="81"/>
    <col min="30" max="30" width="12" style="81" customWidth="1"/>
    <col min="31" max="32" width="9.85546875" style="81" customWidth="1"/>
    <col min="33" max="33" width="6.85546875" style="81" customWidth="1"/>
    <col min="34" max="34" width="9" style="81" customWidth="1"/>
    <col min="35" max="35" width="14.140625" style="81" customWidth="1"/>
    <col min="36" max="36" width="13.140625" style="81" customWidth="1"/>
    <col min="37" max="38" width="12" style="81" customWidth="1"/>
    <col min="39" max="39" width="18.85546875" style="81" customWidth="1"/>
    <col min="40" max="41" width="12.140625" style="81" customWidth="1"/>
    <col min="42" max="42" width="13" style="200" customWidth="1"/>
    <col min="43" max="43" width="13.42578125" style="81" customWidth="1"/>
    <col min="44" max="44" width="12.140625" style="201" customWidth="1"/>
    <col min="45" max="45" width="16.28515625" style="81" customWidth="1"/>
    <col min="46" max="46" width="12" style="81" customWidth="1"/>
    <col min="47" max="47" width="13.5703125" style="81" customWidth="1"/>
    <col min="48" max="48" width="12.140625" style="89" customWidth="1"/>
    <col min="49" max="50" width="14.140625" style="90" customWidth="1"/>
    <col min="51" max="51" width="12" style="90" customWidth="1"/>
    <col min="52" max="52" width="14.140625" style="90" customWidth="1"/>
    <col min="53" max="53" width="12" style="90" customWidth="1"/>
    <col min="54" max="54" width="12.5703125" style="88" customWidth="1"/>
    <col min="55" max="55" width="12.140625" style="90" customWidth="1"/>
    <col min="56" max="56" width="12.5703125" style="88" customWidth="1"/>
    <col min="57" max="57" width="11" style="90" customWidth="1"/>
    <col min="58" max="58" width="13" style="90" customWidth="1"/>
    <col min="59" max="60" width="12.140625" style="90" customWidth="1"/>
    <col min="61" max="61" width="19.42578125" style="90" customWidth="1"/>
    <col min="62" max="64" width="12" style="81" customWidth="1"/>
    <col min="65" max="65" width="41.5703125" style="81" customWidth="1"/>
    <col min="66" max="67" width="19.42578125" style="81" customWidth="1"/>
    <col min="68" max="68" width="12.5703125" style="81" customWidth="1"/>
    <col min="69" max="69" width="14.85546875" style="81" customWidth="1"/>
    <col min="70" max="16384" width="12" style="88"/>
  </cols>
  <sheetData>
    <row r="1" spans="1:69" ht="41.1" hidden="1" customHeight="1">
      <c r="A1" s="79"/>
      <c r="B1" s="80"/>
      <c r="C1" s="81">
        <f>INDEX('RFR 2'!B$3:G$9,MATCH(U7,'RFR 2'!A$3:A$9),MATCH(YEAR(D7),'RFR 2'!B$2:G$2))</f>
        <v>27896</v>
      </c>
      <c r="D1" s="82"/>
      <c r="E1" s="83"/>
      <c r="F1" s="84" t="s">
        <v>0</v>
      </c>
      <c r="G1" s="82"/>
      <c r="H1" s="84"/>
      <c r="I1" s="85"/>
      <c r="J1" s="84" t="s">
        <v>1</v>
      </c>
      <c r="K1" s="86"/>
      <c r="L1" s="87"/>
      <c r="M1" s="86" t="s">
        <v>2</v>
      </c>
      <c r="N1" s="82"/>
      <c r="O1" s="82"/>
      <c r="P1" s="82"/>
      <c r="Q1" s="82"/>
      <c r="AD1" s="79"/>
      <c r="AP1" s="84"/>
      <c r="AR1" s="81"/>
      <c r="BM1" s="91"/>
      <c r="BN1" s="91"/>
      <c r="BO1" s="91"/>
      <c r="BP1" s="91"/>
      <c r="BQ1" s="91"/>
    </row>
    <row r="2" spans="1:69" ht="41.1" hidden="1" customHeight="1">
      <c r="A2" s="92"/>
      <c r="D2" s="82"/>
      <c r="E2" s="82"/>
      <c r="F2" s="84"/>
      <c r="G2" s="82"/>
      <c r="H2" s="84"/>
      <c r="I2" s="84"/>
      <c r="J2" s="84"/>
      <c r="K2" s="86"/>
      <c r="L2" s="86"/>
      <c r="M2" s="86"/>
      <c r="N2" s="82"/>
      <c r="O2" s="82"/>
      <c r="P2" s="82"/>
      <c r="Q2" s="82"/>
      <c r="AD2" s="79"/>
      <c r="AP2" s="84"/>
      <c r="AR2" s="81"/>
      <c r="BM2" s="91"/>
      <c r="BN2" s="91"/>
      <c r="BO2" s="91"/>
      <c r="BP2" s="91"/>
      <c r="BQ2" s="91"/>
    </row>
    <row r="3" spans="1:69" ht="41.1" customHeight="1">
      <c r="A3" s="93" t="s">
        <v>3</v>
      </c>
      <c r="B3" s="93" t="s">
        <v>3595</v>
      </c>
      <c r="C3" s="94" t="s">
        <v>4</v>
      </c>
      <c r="D3" s="95" t="s">
        <v>5</v>
      </c>
      <c r="E3" s="95" t="s">
        <v>5</v>
      </c>
      <c r="F3" s="96" t="s">
        <v>6</v>
      </c>
      <c r="G3" s="95" t="s">
        <v>7</v>
      </c>
      <c r="H3" s="96" t="s">
        <v>8</v>
      </c>
      <c r="I3" s="96" t="s">
        <v>9</v>
      </c>
      <c r="J3" s="97" t="s">
        <v>3308</v>
      </c>
      <c r="K3" s="95" t="s">
        <v>10</v>
      </c>
      <c r="L3" s="95" t="s">
        <v>11</v>
      </c>
      <c r="M3" s="95" t="s">
        <v>12</v>
      </c>
      <c r="N3" s="95" t="s">
        <v>13</v>
      </c>
      <c r="O3" s="95" t="s">
        <v>14</v>
      </c>
      <c r="P3" s="98" t="s">
        <v>15</v>
      </c>
      <c r="Q3" s="95" t="s">
        <v>16</v>
      </c>
      <c r="R3" s="99" t="s">
        <v>17</v>
      </c>
      <c r="S3" s="100"/>
      <c r="T3" s="100"/>
      <c r="U3" s="100" t="s">
        <v>18</v>
      </c>
      <c r="V3" s="101" t="s">
        <v>19</v>
      </c>
      <c r="W3" s="101" t="s">
        <v>3236</v>
      </c>
      <c r="X3" s="100"/>
      <c r="Y3" s="100" t="s">
        <v>20</v>
      </c>
      <c r="Z3" s="100" t="s">
        <v>21</v>
      </c>
      <c r="AA3" s="100" t="s">
        <v>22</v>
      </c>
      <c r="AB3" s="102"/>
      <c r="AC3" s="100"/>
      <c r="AD3" s="100" t="s">
        <v>23</v>
      </c>
      <c r="AE3" s="100" t="s">
        <v>24</v>
      </c>
      <c r="AF3" s="100" t="s">
        <v>25</v>
      </c>
      <c r="AG3" s="100" t="s">
        <v>26</v>
      </c>
      <c r="AH3" s="100" t="s">
        <v>27</v>
      </c>
      <c r="AI3" s="103" t="s">
        <v>28</v>
      </c>
      <c r="AJ3" s="103" t="s">
        <v>29</v>
      </c>
      <c r="AK3" s="103" t="s">
        <v>30</v>
      </c>
      <c r="AL3" s="103" t="s">
        <v>31</v>
      </c>
      <c r="AM3" s="104" t="s">
        <v>32</v>
      </c>
      <c r="AN3" s="103" t="s">
        <v>33</v>
      </c>
      <c r="AO3" s="103" t="s">
        <v>34</v>
      </c>
      <c r="AP3" s="105" t="s">
        <v>35</v>
      </c>
      <c r="AQ3" s="106" t="s">
        <v>36</v>
      </c>
      <c r="AR3" s="107" t="s">
        <v>37</v>
      </c>
      <c r="AS3" s="106" t="s">
        <v>38</v>
      </c>
      <c r="AT3" s="106" t="s">
        <v>39</v>
      </c>
      <c r="AU3" s="106" t="s">
        <v>40</v>
      </c>
      <c r="AV3" s="108" t="s">
        <v>41</v>
      </c>
      <c r="AW3" s="109" t="s">
        <v>42</v>
      </c>
      <c r="AX3" s="109" t="s">
        <v>43</v>
      </c>
      <c r="AY3" s="109" t="s">
        <v>44</v>
      </c>
      <c r="AZ3" s="109" t="s">
        <v>45</v>
      </c>
      <c r="BA3" s="109" t="s">
        <v>46</v>
      </c>
      <c r="BB3" s="110" t="s">
        <v>47</v>
      </c>
      <c r="BC3" s="111" t="s">
        <v>48</v>
      </c>
      <c r="BD3" s="111" t="s">
        <v>49</v>
      </c>
      <c r="BE3" s="111" t="s">
        <v>50</v>
      </c>
      <c r="BF3" s="111" t="s">
        <v>51</v>
      </c>
      <c r="BG3" s="111" t="s">
        <v>52</v>
      </c>
      <c r="BH3" s="111" t="s">
        <v>53</v>
      </c>
      <c r="BI3" s="112" t="s">
        <v>53</v>
      </c>
      <c r="BJ3" s="113" t="s">
        <v>54</v>
      </c>
      <c r="BK3" s="113" t="s">
        <v>55</v>
      </c>
      <c r="BL3" s="114" t="s">
        <v>56</v>
      </c>
      <c r="BM3" s="115" t="s">
        <v>57</v>
      </c>
      <c r="BN3" s="115" t="s">
        <v>58</v>
      </c>
      <c r="BO3" s="116" t="s">
        <v>59</v>
      </c>
      <c r="BP3" s="115" t="s">
        <v>60</v>
      </c>
      <c r="BQ3" s="115" t="s">
        <v>61</v>
      </c>
    </row>
    <row r="4" spans="1:69" ht="41.1" customHeight="1">
      <c r="A4" s="117" t="s">
        <v>62</v>
      </c>
      <c r="B4" s="117" t="s">
        <v>63</v>
      </c>
      <c r="C4" s="118" t="s">
        <v>3237</v>
      </c>
      <c r="D4" s="119" t="s">
        <v>64</v>
      </c>
      <c r="E4" s="119" t="s">
        <v>65</v>
      </c>
      <c r="F4" s="120" t="s">
        <v>66</v>
      </c>
      <c r="G4" s="119" t="s">
        <v>67</v>
      </c>
      <c r="H4" s="120" t="s">
        <v>68</v>
      </c>
      <c r="I4" s="120" t="s">
        <v>69</v>
      </c>
      <c r="J4" s="121"/>
      <c r="K4" s="119" t="s">
        <v>70</v>
      </c>
      <c r="L4" s="119" t="s">
        <v>71</v>
      </c>
      <c r="M4" s="119" t="s">
        <v>72</v>
      </c>
      <c r="N4" s="119" t="s">
        <v>73</v>
      </c>
      <c r="O4" s="119" t="s">
        <v>74</v>
      </c>
      <c r="P4" s="122"/>
      <c r="Q4" s="119" t="s">
        <v>75</v>
      </c>
      <c r="R4" s="123" t="s">
        <v>76</v>
      </c>
      <c r="S4" s="124"/>
      <c r="T4" s="124"/>
      <c r="U4" s="123"/>
      <c r="V4" s="125"/>
      <c r="W4" s="125" t="s">
        <v>3238</v>
      </c>
      <c r="X4" s="124"/>
      <c r="Y4" s="124"/>
      <c r="Z4" s="124"/>
      <c r="AA4" s="124"/>
      <c r="AB4" s="126"/>
      <c r="AC4" s="124"/>
      <c r="AD4" s="124"/>
      <c r="AE4" s="124"/>
      <c r="AF4" s="124"/>
      <c r="AG4" s="124"/>
      <c r="AH4" s="124"/>
      <c r="AI4" s="124" t="s">
        <v>77</v>
      </c>
      <c r="AJ4" s="124"/>
      <c r="AK4" s="124"/>
      <c r="AL4" s="124"/>
      <c r="AM4" s="126"/>
      <c r="AN4" s="124"/>
      <c r="AO4" s="124"/>
      <c r="AP4" s="120"/>
      <c r="AQ4" s="124"/>
      <c r="AR4" s="127"/>
      <c r="AS4" s="124"/>
      <c r="AT4" s="124"/>
      <c r="AU4" s="124"/>
      <c r="AV4" s="128"/>
      <c r="AW4" s="129"/>
      <c r="AX4" s="129"/>
      <c r="AY4" s="129"/>
      <c r="AZ4" s="129" t="s">
        <v>78</v>
      </c>
      <c r="BA4" s="129" t="s">
        <v>79</v>
      </c>
      <c r="BB4" s="124"/>
      <c r="BC4" s="129"/>
      <c r="BD4" s="130"/>
      <c r="BE4" s="129"/>
      <c r="BF4" s="129"/>
      <c r="BG4" s="129" t="s">
        <v>80</v>
      </c>
      <c r="BH4" s="129" t="s">
        <v>81</v>
      </c>
      <c r="BI4" s="129" t="s">
        <v>82</v>
      </c>
      <c r="BJ4" s="117" t="s">
        <v>83</v>
      </c>
      <c r="BK4" s="131"/>
      <c r="BL4" s="131"/>
      <c r="BM4" s="132" t="s">
        <v>84</v>
      </c>
      <c r="BN4" s="132" t="s">
        <v>85</v>
      </c>
      <c r="BO4" s="132"/>
      <c r="BP4" s="132"/>
      <c r="BQ4" s="132"/>
    </row>
    <row r="5" spans="1:69" ht="41.1" customHeight="1">
      <c r="A5" s="145" t="s">
        <v>86</v>
      </c>
      <c r="B5" s="145" t="s">
        <v>63</v>
      </c>
      <c r="C5" s="146" t="s">
        <v>76</v>
      </c>
      <c r="D5" s="135">
        <v>43837</v>
      </c>
      <c r="E5" s="136">
        <v>43837</v>
      </c>
      <c r="F5" s="137">
        <v>43839</v>
      </c>
      <c r="G5" s="136" t="s">
        <v>87</v>
      </c>
      <c r="H5" s="137" t="s">
        <v>76</v>
      </c>
      <c r="I5" s="137" t="s">
        <v>76</v>
      </c>
      <c r="J5" s="137" t="s">
        <v>76</v>
      </c>
      <c r="K5" s="136" t="s">
        <v>76</v>
      </c>
      <c r="L5" s="136" t="s">
        <v>76</v>
      </c>
      <c r="M5" s="136" t="s">
        <v>76</v>
      </c>
      <c r="N5" s="136" t="s">
        <v>76</v>
      </c>
      <c r="O5" s="136" t="s">
        <v>76</v>
      </c>
      <c r="P5" s="136" t="s">
        <v>76</v>
      </c>
      <c r="Q5" s="136">
        <v>44165</v>
      </c>
      <c r="R5" s="138" t="s">
        <v>88</v>
      </c>
      <c r="S5" s="138"/>
      <c r="T5" s="138"/>
      <c r="U5" s="138">
        <v>2</v>
      </c>
      <c r="V5" s="138">
        <v>40801</v>
      </c>
      <c r="W5" s="143" t="str">
        <f ca="1">IF(H5="",IF(D5="","",IF(U5+V5&lt;15,"Données Nb pers ou RFR manquantes",IF(COUNTA(INDIRECT("TabRFR["&amp;YEAR(D5)&amp;"]"))&lt;&gt;COUNTA(TabRFR[Recherche RFR]),"Data RFR manquantes", IF(V5&lt;=INDEX(TabRFR[[2021]:[2025]],MATCH(BD!U5&amp;"-Très modestes",TabRFR[Recherche RFR],0),MATCH(TEXT(YEAR(BD!D5),"Standard"),TabRFR[[#Headers],[2021]:[2025]],0)),"Très Modeste",IF(V5&lt;=INDEX(TabRFR[[2021]:[2025]],MATCH(BD!U5&amp;"-modestes",TabRFR[Recherche RFR],0),MATCH(TEXT(YEAR(BD!D5),"Standard"),TabRFR[[#Headers],[2021]:[2025]],0)),"Modeste",IF(V5&lt;=INDEX(TabRFR[[2021]:[2025]],MATCH(BD!U5&amp;"-Intermédiaire",TabRFR[Recherche RFR],0),MATCH(TEXT(YEAR(BD!D5),"Standard"),TabRFR[[#Headers],[2021]:[2025]],0)),"Intermédiaire","Supérieur")))))),IF(D5="","",IF(U5+V5&lt;15,"Données Nb pers ou RFR manquantes",IF(COUNTA(INDIRECT("TabRFR["&amp;YEAR(H5)&amp;"]"))&lt;&gt;COUNTA(TabRFR[Recherche RFR]),"Data RFR manquantes", IF(V5&lt;=INDEX(TabRFR[[2021]:[2025]],MATCH(BD!U5&amp;"-Très modestes",TabRFR[Recherche RFR],0),MATCH(TEXT(YEAR(BD!H5),"Standard"),TabRFR[[#Headers],[2021]:[2025]],0)),"Très Modeste",IF(V5&lt;=INDEX(TabRFR[[2021]:[2025]],MATCH(BD!U5&amp;"-modestes",TabRFR[Recherche RFR],0),MATCH(TEXT(YEAR(BD!H5),"Standard"),TabRFR[[#Headers],[2021]:[2025]],0)),"Modeste",IF(V5&lt;=INDEX(TabRFR[[2021]:[2025]],MATCH(BD!U5&amp;"-Intermédiaire",TabRFR[Recherche RFR],0),MATCH(TEXT(YEAR(BD!H5),"Standard"),TabRFR[[#Headers],[2021]:[2025]],0)),"Intermédiaire","Supérieur")))))))</f>
        <v>Data RFR manquantes</v>
      </c>
      <c r="X5" s="138"/>
      <c r="Y5" s="138" t="s">
        <v>89</v>
      </c>
      <c r="Z5" s="138">
        <v>38620</v>
      </c>
      <c r="AA5" s="138" t="s">
        <v>90</v>
      </c>
      <c r="AB5" s="139"/>
      <c r="AC5" s="140"/>
      <c r="AD5" s="138" t="s">
        <v>91</v>
      </c>
      <c r="AE5" s="138" t="s">
        <v>76</v>
      </c>
      <c r="AF5" s="138" t="s">
        <v>76</v>
      </c>
      <c r="AG5" s="138" t="s">
        <v>76</v>
      </c>
      <c r="AH5" s="138" t="s">
        <v>76</v>
      </c>
      <c r="AI5" s="138" t="s">
        <v>92</v>
      </c>
      <c r="AJ5" s="138" t="s">
        <v>93</v>
      </c>
      <c r="AK5" s="138" t="s">
        <v>94</v>
      </c>
      <c r="AL5" s="140" t="s">
        <v>95</v>
      </c>
      <c r="AM5" s="139" t="s">
        <v>96</v>
      </c>
      <c r="AN5" s="138" t="s">
        <v>76</v>
      </c>
      <c r="AO5" s="141" t="s">
        <v>97</v>
      </c>
      <c r="AP5" s="137">
        <v>44152</v>
      </c>
      <c r="AQ5" s="135" t="s">
        <v>3449</v>
      </c>
      <c r="AR5" s="138">
        <v>2001</v>
      </c>
      <c r="AS5" s="143" t="s">
        <v>3413</v>
      </c>
      <c r="AT5" s="138" t="s">
        <v>98</v>
      </c>
      <c r="AU5" s="138" t="s">
        <v>99</v>
      </c>
      <c r="AV5" s="138" t="s">
        <v>100</v>
      </c>
      <c r="AW5" s="138">
        <v>11</v>
      </c>
      <c r="AX5" s="138">
        <v>12</v>
      </c>
      <c r="AY5" s="138">
        <v>88.5</v>
      </c>
      <c r="AZ5" s="138">
        <v>0.01</v>
      </c>
      <c r="BA5" s="138" t="s">
        <v>101</v>
      </c>
      <c r="BB5" s="138"/>
      <c r="BC5" s="138">
        <v>6334.64</v>
      </c>
      <c r="BD5" s="138"/>
      <c r="BE5" s="142">
        <v>590</v>
      </c>
      <c r="BF5" s="138">
        <f t="shared" ref="BF5:BF68" si="0">BC5+BE5</f>
        <v>6924.64</v>
      </c>
      <c r="BG5" s="142">
        <f t="shared" ref="BG5:BG68" si="1">BF5*0.055</f>
        <v>380.85520000000002</v>
      </c>
      <c r="BH5" s="142">
        <f t="shared" ref="BH5:BH68" si="2">BF5+BG5</f>
        <v>7305.4952000000003</v>
      </c>
      <c r="BI5" s="142"/>
      <c r="BJ5" s="138" t="s">
        <v>102</v>
      </c>
      <c r="BK5" s="143"/>
      <c r="BL5" s="143"/>
      <c r="BM5" s="144">
        <v>0</v>
      </c>
      <c r="BN5" s="144" t="s">
        <v>103</v>
      </c>
      <c r="BO5" s="144" t="s">
        <v>103</v>
      </c>
      <c r="BP5" s="203" t="s">
        <v>3582</v>
      </c>
      <c r="BQ5" s="203" t="s">
        <v>3273</v>
      </c>
    </row>
    <row r="6" spans="1:69" ht="41.1" customHeight="1">
      <c r="A6" s="145" t="s">
        <v>86</v>
      </c>
      <c r="B6" s="145" t="s">
        <v>104</v>
      </c>
      <c r="C6" s="146" t="s">
        <v>76</v>
      </c>
      <c r="D6" s="135">
        <v>43844</v>
      </c>
      <c r="E6" s="135">
        <v>43844</v>
      </c>
      <c r="F6" s="147">
        <v>43847</v>
      </c>
      <c r="G6" s="135" t="s">
        <v>105</v>
      </c>
      <c r="H6" s="147">
        <v>44169</v>
      </c>
      <c r="I6" s="147">
        <v>44169</v>
      </c>
      <c r="J6" s="147">
        <v>44176</v>
      </c>
      <c r="K6" s="135">
        <v>44245</v>
      </c>
      <c r="L6" s="135">
        <v>44195</v>
      </c>
      <c r="M6" s="135" t="s">
        <v>76</v>
      </c>
      <c r="N6" s="135">
        <v>44246</v>
      </c>
      <c r="O6" s="135">
        <v>44246</v>
      </c>
      <c r="P6" s="135">
        <v>44309</v>
      </c>
      <c r="Q6" s="135">
        <v>44293</v>
      </c>
      <c r="R6" s="143" t="s">
        <v>106</v>
      </c>
      <c r="S6" s="143"/>
      <c r="T6" s="143"/>
      <c r="U6" s="143">
        <v>1</v>
      </c>
      <c r="V6" s="143">
        <v>19533</v>
      </c>
      <c r="W6" s="143" t="str">
        <f ca="1">IF(H6="",IF(D6="","",IF(U6+V6&lt;15,"Données Nb pers ou RFR manquantes",IF(COUNTA(INDIRECT("TabRFR["&amp;YEAR(D6)&amp;"]"))&lt;&gt;COUNTA(TabRFR[Recherche RFR]),"Data RFR manquantes", IF(V6&lt;=INDEX(TabRFR[[2021]:[2025]],MATCH(BD!U6&amp;"-Très modestes",TabRFR[Recherche RFR],0),MATCH(TEXT(YEAR(BD!D6),"Standard"),TabRFR[[#Headers],[2021]:[2025]],0)),"Très Modeste",IF(V6&lt;=INDEX(TabRFR[[2021]:[2025]],MATCH(BD!U6&amp;"-modestes",TabRFR[Recherche RFR],0),MATCH(TEXT(YEAR(BD!D6),"Standard"),TabRFR[[#Headers],[2021]:[2025]],0)),"Modeste",IF(V6&lt;=INDEX(TabRFR[[2021]:[2025]],MATCH(BD!U6&amp;"-Intermédiaire",TabRFR[Recherche RFR],0),MATCH(TEXT(YEAR(BD!D6),"Standard"),TabRFR[[#Headers],[2021]:[2025]],0)),"Intermédiaire","Supérieur")))))),IF(D6="","",IF(U6+V6&lt;15,"Données Nb pers ou RFR manquantes",IF(COUNTA(INDIRECT("TabRFR["&amp;YEAR(H6)&amp;"]"))&lt;&gt;COUNTA(TabRFR[Recherche RFR]),"Data RFR manquantes", IF(V6&lt;=INDEX(TabRFR[[2021]:[2025]],MATCH(BD!U6&amp;"-Très modestes",TabRFR[Recherche RFR],0),MATCH(TEXT(YEAR(BD!H6),"Standard"),TabRFR[[#Headers],[2021]:[2025]],0)),"Très Modeste",IF(V6&lt;=INDEX(TabRFR[[2021]:[2025]],MATCH(BD!U6&amp;"-modestes",TabRFR[Recherche RFR],0),MATCH(TEXT(YEAR(BD!H6),"Standard"),TabRFR[[#Headers],[2021]:[2025]],0)),"Modeste",IF(V6&lt;=INDEX(TabRFR[[2021]:[2025]],MATCH(BD!U6&amp;"-Intermédiaire",TabRFR[Recherche RFR],0),MATCH(TEXT(YEAR(BD!H6),"Standard"),TabRFR[[#Headers],[2021]:[2025]],0)),"Intermédiaire","Supérieur")))))))</f>
        <v>Data RFR manquantes</v>
      </c>
      <c r="X6" s="143"/>
      <c r="Y6" s="143" t="s">
        <v>107</v>
      </c>
      <c r="Z6" s="143">
        <v>38500</v>
      </c>
      <c r="AA6" s="143" t="s">
        <v>108</v>
      </c>
      <c r="AB6" s="148"/>
      <c r="AC6" s="149"/>
      <c r="AD6" s="143" t="s">
        <v>91</v>
      </c>
      <c r="AE6" s="143" t="s">
        <v>76</v>
      </c>
      <c r="AF6" s="143" t="s">
        <v>76</v>
      </c>
      <c r="AG6" s="143" t="s">
        <v>76</v>
      </c>
      <c r="AH6" s="143" t="s">
        <v>76</v>
      </c>
      <c r="AI6" s="143" t="s">
        <v>109</v>
      </c>
      <c r="AJ6" s="143" t="s">
        <v>108</v>
      </c>
      <c r="AK6" s="143" t="s">
        <v>110</v>
      </c>
      <c r="AL6" s="149" t="s">
        <v>111</v>
      </c>
      <c r="AM6" s="148" t="s">
        <v>112</v>
      </c>
      <c r="AN6" s="143" t="s">
        <v>76</v>
      </c>
      <c r="AO6" s="150" t="s">
        <v>102</v>
      </c>
      <c r="AP6" s="147">
        <v>44138</v>
      </c>
      <c r="AQ6" s="143" t="s">
        <v>3413</v>
      </c>
      <c r="AR6" s="143">
        <v>1999</v>
      </c>
      <c r="AS6" s="143" t="s">
        <v>3413</v>
      </c>
      <c r="AT6" s="143" t="s">
        <v>98</v>
      </c>
      <c r="AU6" s="143" t="s">
        <v>113</v>
      </c>
      <c r="AV6" s="143" t="s">
        <v>114</v>
      </c>
      <c r="AW6" s="143">
        <v>17</v>
      </c>
      <c r="AX6" s="143">
        <v>8.1</v>
      </c>
      <c r="AY6" s="143">
        <v>90.9</v>
      </c>
      <c r="AZ6" s="143">
        <v>2E-3</v>
      </c>
      <c r="BA6" s="143" t="s">
        <v>101</v>
      </c>
      <c r="BB6" s="143"/>
      <c r="BC6" s="143">
        <v>3591.47</v>
      </c>
      <c r="BD6" s="143"/>
      <c r="BE6" s="143">
        <v>420</v>
      </c>
      <c r="BF6" s="143">
        <f t="shared" si="0"/>
        <v>4011.47</v>
      </c>
      <c r="BG6" s="151">
        <f t="shared" si="1"/>
        <v>220.63084999999998</v>
      </c>
      <c r="BH6" s="151">
        <f t="shared" si="2"/>
        <v>4232.1008499999998</v>
      </c>
      <c r="BI6" s="151"/>
      <c r="BJ6" s="143" t="s">
        <v>115</v>
      </c>
      <c r="BK6" s="143"/>
      <c r="BL6" s="143"/>
      <c r="BM6" s="143">
        <v>0</v>
      </c>
      <c r="BN6" s="144" t="s">
        <v>103</v>
      </c>
      <c r="BO6" s="144" t="s">
        <v>103</v>
      </c>
      <c r="BP6" s="203" t="s">
        <v>3582</v>
      </c>
      <c r="BQ6" s="203" t="s">
        <v>3273</v>
      </c>
    </row>
    <row r="7" spans="1:69" ht="41.1" customHeight="1">
      <c r="A7" s="145" t="s">
        <v>86</v>
      </c>
      <c r="B7" s="145" t="s">
        <v>116</v>
      </c>
      <c r="C7" s="146" t="s">
        <v>76</v>
      </c>
      <c r="D7" s="135">
        <v>44000</v>
      </c>
      <c r="E7" s="135">
        <v>44001</v>
      </c>
      <c r="F7" s="147">
        <v>44005</v>
      </c>
      <c r="G7" s="135" t="s">
        <v>117</v>
      </c>
      <c r="H7" s="147">
        <v>44014</v>
      </c>
      <c r="I7" s="147">
        <v>44014</v>
      </c>
      <c r="J7" s="147">
        <v>44018</v>
      </c>
      <c r="K7" s="135">
        <v>44034</v>
      </c>
      <c r="L7" s="135">
        <v>44019</v>
      </c>
      <c r="M7" s="135" t="s">
        <v>76</v>
      </c>
      <c r="N7" s="135">
        <v>44077</v>
      </c>
      <c r="O7" s="135">
        <v>44077</v>
      </c>
      <c r="P7" s="135">
        <v>44078</v>
      </c>
      <c r="Q7" s="135">
        <v>44293</v>
      </c>
      <c r="R7" s="143" t="s">
        <v>106</v>
      </c>
      <c r="S7" s="143"/>
      <c r="T7" s="143"/>
      <c r="U7" s="143">
        <v>2</v>
      </c>
      <c r="V7" s="143">
        <v>41987</v>
      </c>
      <c r="W7" s="143" t="str">
        <f ca="1">IF(H7="",IF(D7="","",IF(U7+V7&lt;15,"Données Nb pers ou RFR manquantes",IF(COUNTA(INDIRECT("TabRFR["&amp;YEAR(D7)&amp;"]"))&lt;&gt;COUNTA(TabRFR[Recherche RFR]),"Data RFR manquantes", IF(V7&lt;=INDEX(TabRFR[[2021]:[2025]],MATCH(BD!U7&amp;"-Très modestes",TabRFR[Recherche RFR],0),MATCH(TEXT(YEAR(BD!D7),"Standard"),TabRFR[[#Headers],[2021]:[2025]],0)),"Très Modeste",IF(V7&lt;=INDEX(TabRFR[[2021]:[2025]],MATCH(BD!U7&amp;"-modestes",TabRFR[Recherche RFR],0),MATCH(TEXT(YEAR(BD!D7),"Standard"),TabRFR[[#Headers],[2021]:[2025]],0)),"Modeste",IF(V7&lt;=INDEX(TabRFR[[2021]:[2025]],MATCH(BD!U7&amp;"-Intermédiaire",TabRFR[Recherche RFR],0),MATCH(TEXT(YEAR(BD!D7),"Standard"),TabRFR[[#Headers],[2021]:[2025]],0)),"Intermédiaire","Supérieur")))))),IF(D7="","",IF(U7+V7&lt;15,"Données Nb pers ou RFR manquantes",IF(COUNTA(INDIRECT("TabRFR["&amp;YEAR(H7)&amp;"]"))&lt;&gt;COUNTA(TabRFR[Recherche RFR]),"Data RFR manquantes", IF(V7&lt;=INDEX(TabRFR[[2021]:[2025]],MATCH(BD!U7&amp;"-Très modestes",TabRFR[Recherche RFR],0),MATCH(TEXT(YEAR(BD!H7),"Standard"),TabRFR[[#Headers],[2021]:[2025]],0)),"Très Modeste",IF(V7&lt;=INDEX(TabRFR[[2021]:[2025]],MATCH(BD!U7&amp;"-modestes",TabRFR[Recherche RFR],0),MATCH(TEXT(YEAR(BD!H7),"Standard"),TabRFR[[#Headers],[2021]:[2025]],0)),"Modeste",IF(V7&lt;=INDEX(TabRFR[[2021]:[2025]],MATCH(BD!U7&amp;"-Intermédiaire",TabRFR[Recherche RFR],0),MATCH(TEXT(YEAR(BD!H7),"Standard"),TabRFR[[#Headers],[2021]:[2025]],0)),"Intermédiaire","Supérieur")))))))</f>
        <v>Data RFR manquantes</v>
      </c>
      <c r="X7" s="143"/>
      <c r="Y7" s="143" t="s">
        <v>118</v>
      </c>
      <c r="Z7" s="143">
        <v>38430</v>
      </c>
      <c r="AA7" s="143" t="s">
        <v>119</v>
      </c>
      <c r="AB7" s="148"/>
      <c r="AC7" s="149"/>
      <c r="AD7" s="143" t="s">
        <v>91</v>
      </c>
      <c r="AE7" s="143" t="s">
        <v>76</v>
      </c>
      <c r="AF7" s="143" t="s">
        <v>76</v>
      </c>
      <c r="AG7" s="143" t="s">
        <v>76</v>
      </c>
      <c r="AH7" s="143" t="s">
        <v>76</v>
      </c>
      <c r="AI7" s="143" t="s">
        <v>120</v>
      </c>
      <c r="AJ7" s="143" t="s">
        <v>121</v>
      </c>
      <c r="AK7" s="143" t="s">
        <v>122</v>
      </c>
      <c r="AL7" s="150" t="s">
        <v>123</v>
      </c>
      <c r="AM7" s="148">
        <v>608287337</v>
      </c>
      <c r="AN7" s="143" t="s">
        <v>76</v>
      </c>
      <c r="AO7" s="150" t="s">
        <v>102</v>
      </c>
      <c r="AP7" s="147">
        <v>44417</v>
      </c>
      <c r="AQ7" s="135" t="s">
        <v>3496</v>
      </c>
      <c r="AR7" s="143">
        <v>1990</v>
      </c>
      <c r="AS7" s="143" t="s">
        <v>3413</v>
      </c>
      <c r="AT7" s="143" t="s">
        <v>98</v>
      </c>
      <c r="AU7" s="143" t="s">
        <v>124</v>
      </c>
      <c r="AV7" s="143" t="s">
        <v>125</v>
      </c>
      <c r="AW7" s="143">
        <v>15.1</v>
      </c>
      <c r="AX7" s="143">
        <v>10.4</v>
      </c>
      <c r="AY7" s="143">
        <v>90.8</v>
      </c>
      <c r="AZ7" s="143">
        <v>1.2E-2</v>
      </c>
      <c r="BA7" s="143" t="s">
        <v>126</v>
      </c>
      <c r="BB7" s="143"/>
      <c r="BC7" s="143">
        <f>3577+201+230+115+325+86</f>
        <v>4534</v>
      </c>
      <c r="BD7" s="143"/>
      <c r="BE7" s="143">
        <f>386+850</f>
        <v>1236</v>
      </c>
      <c r="BF7" s="143">
        <f t="shared" si="0"/>
        <v>5770</v>
      </c>
      <c r="BG7" s="151">
        <f t="shared" si="1"/>
        <v>317.35000000000002</v>
      </c>
      <c r="BH7" s="151">
        <f t="shared" si="2"/>
        <v>6087.35</v>
      </c>
      <c r="BI7" s="151">
        <v>4950</v>
      </c>
      <c r="BJ7" s="143" t="s">
        <v>102</v>
      </c>
      <c r="BK7" s="143"/>
      <c r="BL7" s="143"/>
      <c r="BM7" s="144">
        <v>0</v>
      </c>
      <c r="BN7" s="144" t="s">
        <v>103</v>
      </c>
      <c r="BO7" s="144" t="s">
        <v>103</v>
      </c>
      <c r="BP7" s="203" t="s">
        <v>3582</v>
      </c>
      <c r="BQ7" s="203" t="s">
        <v>3273</v>
      </c>
    </row>
    <row r="8" spans="1:69" ht="41.1" customHeight="1">
      <c r="A8" s="145" t="s">
        <v>86</v>
      </c>
      <c r="B8" s="145" t="s">
        <v>127</v>
      </c>
      <c r="C8" s="146" t="s">
        <v>76</v>
      </c>
      <c r="D8" s="135">
        <v>43873</v>
      </c>
      <c r="E8" s="135">
        <v>43874</v>
      </c>
      <c r="F8" s="147">
        <v>43874</v>
      </c>
      <c r="G8" s="135" t="s">
        <v>128</v>
      </c>
      <c r="H8" s="147" t="s">
        <v>76</v>
      </c>
      <c r="I8" s="147" t="s">
        <v>76</v>
      </c>
      <c r="J8" s="147" t="s">
        <v>76</v>
      </c>
      <c r="K8" s="135" t="s">
        <v>76</v>
      </c>
      <c r="L8" s="135" t="s">
        <v>76</v>
      </c>
      <c r="M8" s="135" t="s">
        <v>76</v>
      </c>
      <c r="N8" s="135" t="s">
        <v>76</v>
      </c>
      <c r="O8" s="135" t="s">
        <v>76</v>
      </c>
      <c r="P8" s="135" t="s">
        <v>76</v>
      </c>
      <c r="Q8" s="135">
        <v>44165</v>
      </c>
      <c r="R8" s="143" t="s">
        <v>88</v>
      </c>
      <c r="S8" s="143"/>
      <c r="T8" s="143"/>
      <c r="U8" s="143">
        <v>2</v>
      </c>
      <c r="V8" s="143">
        <v>42444</v>
      </c>
      <c r="W8" s="143" t="str">
        <f ca="1">IF(H8="",IF(D8="","",IF(U8+V8&lt;15,"Données Nb pers ou RFR manquantes",IF(COUNTA(INDIRECT("TabRFR["&amp;YEAR(D8)&amp;"]"))&lt;&gt;COUNTA(TabRFR[Recherche RFR]),"Data RFR manquantes", IF(V8&lt;=INDEX(TabRFR[[2021]:[2025]],MATCH(BD!U8&amp;"-Très modestes",TabRFR[Recherche RFR],0),MATCH(TEXT(YEAR(BD!D8),"Standard"),TabRFR[[#Headers],[2021]:[2025]],0)),"Très Modeste",IF(V8&lt;=INDEX(TabRFR[[2021]:[2025]],MATCH(BD!U8&amp;"-modestes",TabRFR[Recherche RFR],0),MATCH(TEXT(YEAR(BD!D8),"Standard"),TabRFR[[#Headers],[2021]:[2025]],0)),"Modeste",IF(V8&lt;=INDEX(TabRFR[[2021]:[2025]],MATCH(BD!U8&amp;"-Intermédiaire",TabRFR[Recherche RFR],0),MATCH(TEXT(YEAR(BD!D8),"Standard"),TabRFR[[#Headers],[2021]:[2025]],0)),"Intermédiaire","Supérieur")))))),IF(D8="","",IF(U8+V8&lt;15,"Données Nb pers ou RFR manquantes",IF(COUNTA(INDIRECT("TabRFR["&amp;YEAR(H8)&amp;"]"))&lt;&gt;COUNTA(TabRFR[Recherche RFR]),"Data RFR manquantes", IF(V8&lt;=INDEX(TabRFR[[2021]:[2025]],MATCH(BD!U8&amp;"-Très modestes",TabRFR[Recherche RFR],0),MATCH(TEXT(YEAR(BD!H8),"Standard"),TabRFR[[#Headers],[2021]:[2025]],0)),"Très Modeste",IF(V8&lt;=INDEX(TabRFR[[2021]:[2025]],MATCH(BD!U8&amp;"-modestes",TabRFR[Recherche RFR],0),MATCH(TEXT(YEAR(BD!H8),"Standard"),TabRFR[[#Headers],[2021]:[2025]],0)),"Modeste",IF(V8&lt;=INDEX(TabRFR[[2021]:[2025]],MATCH(BD!U8&amp;"-Intermédiaire",TabRFR[Recherche RFR],0),MATCH(TEXT(YEAR(BD!H8),"Standard"),TabRFR[[#Headers],[2021]:[2025]],0)),"Intermédiaire","Supérieur")))))))</f>
        <v>Data RFR manquantes</v>
      </c>
      <c r="X8" s="143"/>
      <c r="Y8" s="143" t="s">
        <v>129</v>
      </c>
      <c r="Z8" s="143">
        <v>38210</v>
      </c>
      <c r="AA8" s="143" t="s">
        <v>130</v>
      </c>
      <c r="AB8" s="148"/>
      <c r="AC8" s="149"/>
      <c r="AD8" s="143" t="s">
        <v>91</v>
      </c>
      <c r="AE8" s="143" t="s">
        <v>76</v>
      </c>
      <c r="AF8" s="143" t="s">
        <v>76</v>
      </c>
      <c r="AG8" s="143" t="s">
        <v>76</v>
      </c>
      <c r="AH8" s="143" t="s">
        <v>76</v>
      </c>
      <c r="AI8" s="143" t="s">
        <v>120</v>
      </c>
      <c r="AJ8" s="143" t="s">
        <v>121</v>
      </c>
      <c r="AK8" s="143" t="s">
        <v>122</v>
      </c>
      <c r="AL8" s="150" t="s">
        <v>123</v>
      </c>
      <c r="AM8" s="148">
        <v>608287337</v>
      </c>
      <c r="AN8" s="143" t="s">
        <v>76</v>
      </c>
      <c r="AO8" s="150" t="s">
        <v>102</v>
      </c>
      <c r="AP8" s="147">
        <v>44417</v>
      </c>
      <c r="AQ8" s="135" t="s">
        <v>3496</v>
      </c>
      <c r="AR8" s="143">
        <v>1987</v>
      </c>
      <c r="AS8" s="143" t="s">
        <v>3413</v>
      </c>
      <c r="AT8" s="143" t="s">
        <v>98</v>
      </c>
      <c r="AU8" s="143" t="s">
        <v>124</v>
      </c>
      <c r="AV8" s="143" t="s">
        <v>76</v>
      </c>
      <c r="AW8" s="143" t="s">
        <v>76</v>
      </c>
      <c r="AX8" s="143" t="s">
        <v>76</v>
      </c>
      <c r="AY8" s="143" t="s">
        <v>76</v>
      </c>
      <c r="AZ8" s="143" t="s">
        <v>76</v>
      </c>
      <c r="BA8" s="143" t="s">
        <v>76</v>
      </c>
      <c r="BB8" s="143"/>
      <c r="BC8" s="143"/>
      <c r="BD8" s="143"/>
      <c r="BE8" s="143"/>
      <c r="BF8" s="143">
        <f t="shared" si="0"/>
        <v>0</v>
      </c>
      <c r="BG8" s="151">
        <f t="shared" si="1"/>
        <v>0</v>
      </c>
      <c r="BH8" s="151">
        <f t="shared" si="2"/>
        <v>0</v>
      </c>
      <c r="BI8" s="151"/>
      <c r="BJ8" s="143"/>
      <c r="BK8" s="143"/>
      <c r="BL8" s="143"/>
      <c r="BM8" s="144">
        <v>0</v>
      </c>
      <c r="BN8" s="144" t="s">
        <v>103</v>
      </c>
      <c r="BO8" s="144" t="s">
        <v>103</v>
      </c>
      <c r="BP8" s="203" t="s">
        <v>3582</v>
      </c>
      <c r="BQ8" s="203" t="s">
        <v>3273</v>
      </c>
    </row>
    <row r="9" spans="1:69" ht="41.1" customHeight="1">
      <c r="A9" s="133" t="s">
        <v>86</v>
      </c>
      <c r="B9" s="133" t="s">
        <v>131</v>
      </c>
      <c r="C9" s="134">
        <v>400</v>
      </c>
      <c r="D9" s="135">
        <v>43978</v>
      </c>
      <c r="E9" s="135">
        <v>43987</v>
      </c>
      <c r="F9" s="147">
        <v>43990</v>
      </c>
      <c r="G9" s="135" t="s">
        <v>132</v>
      </c>
      <c r="H9" s="147">
        <v>44015</v>
      </c>
      <c r="I9" s="147">
        <v>44015</v>
      </c>
      <c r="J9" s="147">
        <v>44020</v>
      </c>
      <c r="K9" s="135">
        <v>44145</v>
      </c>
      <c r="L9" s="135">
        <v>44120</v>
      </c>
      <c r="M9" s="135" t="s">
        <v>76</v>
      </c>
      <c r="N9" s="135">
        <v>44148</v>
      </c>
      <c r="O9" s="135">
        <v>44148</v>
      </c>
      <c r="P9" s="135">
        <v>44153</v>
      </c>
      <c r="Q9" s="135"/>
      <c r="R9" s="143"/>
      <c r="S9" s="143"/>
      <c r="T9" s="143"/>
      <c r="U9" s="143">
        <v>3</v>
      </c>
      <c r="V9" s="143">
        <v>64803</v>
      </c>
      <c r="W9" s="143" t="str">
        <f ca="1">IF(H9="",IF(D9="","",IF(U9+V9&lt;15,"Données Nb pers ou RFR manquantes",IF(COUNTA(INDIRECT("TabRFR["&amp;YEAR(D9)&amp;"]"))&lt;&gt;COUNTA(TabRFR[Recherche RFR]),"Data RFR manquantes", IF(V9&lt;=INDEX(TabRFR[[2021]:[2025]],MATCH(BD!U9&amp;"-Très modestes",TabRFR[Recherche RFR],0),MATCH(TEXT(YEAR(BD!D9),"Standard"),TabRFR[[#Headers],[2021]:[2025]],0)),"Très Modeste",IF(V9&lt;=INDEX(TabRFR[[2021]:[2025]],MATCH(BD!U9&amp;"-modestes",TabRFR[Recherche RFR],0),MATCH(TEXT(YEAR(BD!D9),"Standard"),TabRFR[[#Headers],[2021]:[2025]],0)),"Modeste",IF(V9&lt;=INDEX(TabRFR[[2021]:[2025]],MATCH(BD!U9&amp;"-Intermédiaire",TabRFR[Recherche RFR],0),MATCH(TEXT(YEAR(BD!D9),"Standard"),TabRFR[[#Headers],[2021]:[2025]],0)),"Intermédiaire","Supérieur")))))),IF(D9="","",IF(U9+V9&lt;15,"Données Nb pers ou RFR manquantes",IF(COUNTA(INDIRECT("TabRFR["&amp;YEAR(H9)&amp;"]"))&lt;&gt;COUNTA(TabRFR[Recherche RFR]),"Data RFR manquantes", IF(V9&lt;=INDEX(TabRFR[[2021]:[2025]],MATCH(BD!U9&amp;"-Très modestes",TabRFR[Recherche RFR],0),MATCH(TEXT(YEAR(BD!H9),"Standard"),TabRFR[[#Headers],[2021]:[2025]],0)),"Très Modeste",IF(V9&lt;=INDEX(TabRFR[[2021]:[2025]],MATCH(BD!U9&amp;"-modestes",TabRFR[Recherche RFR],0),MATCH(TEXT(YEAR(BD!H9),"Standard"),TabRFR[[#Headers],[2021]:[2025]],0)),"Modeste",IF(V9&lt;=INDEX(TabRFR[[2021]:[2025]],MATCH(BD!U9&amp;"-Intermédiaire",TabRFR[Recherche RFR],0),MATCH(TEXT(YEAR(BD!H9),"Standard"),TabRFR[[#Headers],[2021]:[2025]],0)),"Intermédiaire","Supérieur")))))))</f>
        <v>Data RFR manquantes</v>
      </c>
      <c r="X9" s="143"/>
      <c r="Y9" s="143" t="s">
        <v>133</v>
      </c>
      <c r="Z9" s="143">
        <v>38500</v>
      </c>
      <c r="AA9" s="143" t="s">
        <v>134</v>
      </c>
      <c r="AB9" s="148"/>
      <c r="AC9" s="149"/>
      <c r="AD9" s="143" t="s">
        <v>91</v>
      </c>
      <c r="AE9" s="143" t="s">
        <v>76</v>
      </c>
      <c r="AF9" s="143" t="s">
        <v>76</v>
      </c>
      <c r="AG9" s="143" t="s">
        <v>76</v>
      </c>
      <c r="AH9" s="143" t="s">
        <v>76</v>
      </c>
      <c r="AI9" s="143" t="s">
        <v>135</v>
      </c>
      <c r="AJ9" s="143" t="s">
        <v>136</v>
      </c>
      <c r="AK9" s="143" t="s">
        <v>137</v>
      </c>
      <c r="AL9" s="149" t="s">
        <v>138</v>
      </c>
      <c r="AM9" s="148">
        <v>474937373</v>
      </c>
      <c r="AN9" s="143" t="s">
        <v>76</v>
      </c>
      <c r="AO9" s="150" t="s">
        <v>102</v>
      </c>
      <c r="AP9" s="147">
        <v>44314</v>
      </c>
      <c r="AQ9" s="135" t="s">
        <v>3449</v>
      </c>
      <c r="AR9" s="153" t="s">
        <v>139</v>
      </c>
      <c r="AS9" s="143" t="s">
        <v>3413</v>
      </c>
      <c r="AT9" s="135" t="s">
        <v>3446</v>
      </c>
      <c r="AU9" s="143" t="s">
        <v>140</v>
      </c>
      <c r="AV9" s="143" t="s">
        <v>141</v>
      </c>
      <c r="AW9" s="143">
        <v>25</v>
      </c>
      <c r="AX9" s="143">
        <v>10.199999999999999</v>
      </c>
      <c r="AY9" s="143">
        <v>76</v>
      </c>
      <c r="AZ9" s="143">
        <v>7.0000000000000007E-2</v>
      </c>
      <c r="BA9" s="143" t="s">
        <v>101</v>
      </c>
      <c r="BB9" s="143"/>
      <c r="BC9" s="143">
        <f>2920+30</f>
        <v>2950</v>
      </c>
      <c r="BD9" s="143"/>
      <c r="BE9" s="143">
        <v>1380</v>
      </c>
      <c r="BF9" s="143">
        <f t="shared" si="0"/>
        <v>4330</v>
      </c>
      <c r="BG9" s="151">
        <f t="shared" si="1"/>
        <v>238.15</v>
      </c>
      <c r="BH9" s="151">
        <f t="shared" si="2"/>
        <v>4568.1499999999996</v>
      </c>
      <c r="BI9" s="151">
        <v>4500</v>
      </c>
      <c r="BJ9" s="143" t="s">
        <v>102</v>
      </c>
      <c r="BK9" s="143"/>
      <c r="BL9" s="143"/>
      <c r="BM9" s="144" t="s">
        <v>142</v>
      </c>
      <c r="BN9" s="144" t="s">
        <v>103</v>
      </c>
      <c r="BO9" s="144" t="s">
        <v>143</v>
      </c>
      <c r="BP9" s="144">
        <v>2020</v>
      </c>
      <c r="BQ9" s="203" t="s">
        <v>144</v>
      </c>
    </row>
    <row r="10" spans="1:69" ht="41.1" customHeight="1">
      <c r="A10" s="133" t="s">
        <v>86</v>
      </c>
      <c r="B10" s="133" t="s">
        <v>145</v>
      </c>
      <c r="C10" s="134">
        <v>800</v>
      </c>
      <c r="D10" s="135">
        <v>44002</v>
      </c>
      <c r="E10" s="135">
        <v>44007</v>
      </c>
      <c r="F10" s="147">
        <v>44014</v>
      </c>
      <c r="G10" s="135" t="s">
        <v>146</v>
      </c>
      <c r="H10" s="147">
        <v>44043</v>
      </c>
      <c r="I10" s="147">
        <v>44043</v>
      </c>
      <c r="J10" s="147">
        <v>44074</v>
      </c>
      <c r="K10" s="135">
        <v>44250</v>
      </c>
      <c r="L10" s="135">
        <v>44165</v>
      </c>
      <c r="M10" s="135" t="s">
        <v>76</v>
      </c>
      <c r="N10" s="135">
        <v>44252</v>
      </c>
      <c r="O10" s="135">
        <v>44252</v>
      </c>
      <c r="P10" s="135">
        <v>44264</v>
      </c>
      <c r="Q10" s="135"/>
      <c r="R10" s="143"/>
      <c r="S10" s="143"/>
      <c r="T10" s="143"/>
      <c r="U10" s="143">
        <v>3</v>
      </c>
      <c r="V10" s="143">
        <v>30558</v>
      </c>
      <c r="W10" s="143" t="str">
        <f ca="1">IF(H10="",IF(D10="","",IF(U10+V10&lt;15,"Données Nb pers ou RFR manquantes",IF(COUNTA(INDIRECT("TabRFR["&amp;YEAR(D10)&amp;"]"))&lt;&gt;COUNTA(TabRFR[Recherche RFR]),"Data RFR manquantes", IF(V10&lt;=INDEX(TabRFR[[2021]:[2025]],MATCH(BD!U10&amp;"-Très modestes",TabRFR[Recherche RFR],0),MATCH(TEXT(YEAR(BD!D10),"Standard"),TabRFR[[#Headers],[2021]:[2025]],0)),"Très Modeste",IF(V10&lt;=INDEX(TabRFR[[2021]:[2025]],MATCH(BD!U10&amp;"-modestes",TabRFR[Recherche RFR],0),MATCH(TEXT(YEAR(BD!D10),"Standard"),TabRFR[[#Headers],[2021]:[2025]],0)),"Modeste",IF(V10&lt;=INDEX(TabRFR[[2021]:[2025]],MATCH(BD!U10&amp;"-Intermédiaire",TabRFR[Recherche RFR],0),MATCH(TEXT(YEAR(BD!D10),"Standard"),TabRFR[[#Headers],[2021]:[2025]],0)),"Intermédiaire","Supérieur")))))),IF(D10="","",IF(U10+V10&lt;15,"Données Nb pers ou RFR manquantes",IF(COUNTA(INDIRECT("TabRFR["&amp;YEAR(H10)&amp;"]"))&lt;&gt;COUNTA(TabRFR[Recherche RFR]),"Data RFR manquantes", IF(V10&lt;=INDEX(TabRFR[[2021]:[2025]],MATCH(BD!U10&amp;"-Très modestes",TabRFR[Recherche RFR],0),MATCH(TEXT(YEAR(BD!H10),"Standard"),TabRFR[[#Headers],[2021]:[2025]],0)),"Très Modeste",IF(V10&lt;=INDEX(TabRFR[[2021]:[2025]],MATCH(BD!U10&amp;"-modestes",TabRFR[Recherche RFR],0),MATCH(TEXT(YEAR(BD!H10),"Standard"),TabRFR[[#Headers],[2021]:[2025]],0)),"Modeste",IF(V10&lt;=INDEX(TabRFR[[2021]:[2025]],MATCH(BD!U10&amp;"-Intermédiaire",TabRFR[Recherche RFR],0),MATCH(TEXT(YEAR(BD!H10),"Standard"),TabRFR[[#Headers],[2021]:[2025]],0)),"Intermédiaire","Supérieur")))))))</f>
        <v>Data RFR manquantes</v>
      </c>
      <c r="X10" s="143"/>
      <c r="Y10" s="143" t="s">
        <v>147</v>
      </c>
      <c r="Z10" s="143">
        <v>38850</v>
      </c>
      <c r="AA10" s="143" t="s">
        <v>148</v>
      </c>
      <c r="AB10" s="148"/>
      <c r="AC10" s="149"/>
      <c r="AD10" s="143" t="s">
        <v>91</v>
      </c>
      <c r="AE10" s="143" t="s">
        <v>76</v>
      </c>
      <c r="AF10" s="143" t="s">
        <v>76</v>
      </c>
      <c r="AG10" s="143" t="s">
        <v>76</v>
      </c>
      <c r="AH10" s="143" t="s">
        <v>76</v>
      </c>
      <c r="AI10" s="143" t="s">
        <v>149</v>
      </c>
      <c r="AJ10" s="143" t="s">
        <v>150</v>
      </c>
      <c r="AK10" s="143" t="s">
        <v>151</v>
      </c>
      <c r="AL10" s="150" t="s">
        <v>152</v>
      </c>
      <c r="AM10" s="148">
        <v>609856323</v>
      </c>
      <c r="AN10" s="143" t="s">
        <v>76</v>
      </c>
      <c r="AO10" s="150" t="s">
        <v>102</v>
      </c>
      <c r="AP10" s="147">
        <v>44395</v>
      </c>
      <c r="AQ10" s="135" t="s">
        <v>3496</v>
      </c>
      <c r="AR10" s="143">
        <v>2000</v>
      </c>
      <c r="AS10" s="143" t="s">
        <v>2862</v>
      </c>
      <c r="AT10" s="135" t="s">
        <v>3446</v>
      </c>
      <c r="AU10" s="143" t="s">
        <v>153</v>
      </c>
      <c r="AV10" s="143" t="s">
        <v>154</v>
      </c>
      <c r="AW10" s="143">
        <v>30</v>
      </c>
      <c r="AX10" s="143">
        <v>14.5</v>
      </c>
      <c r="AY10" s="143">
        <v>81</v>
      </c>
      <c r="AZ10" s="143">
        <v>0.09</v>
      </c>
      <c r="BA10" s="143" t="s">
        <v>101</v>
      </c>
      <c r="BB10" s="143"/>
      <c r="BC10" s="143">
        <f>6063+54+51+44+35+18</f>
        <v>6265</v>
      </c>
      <c r="BD10" s="143"/>
      <c r="BE10" s="143">
        <f>964.81+375.9</f>
        <v>1340.71</v>
      </c>
      <c r="BF10" s="143">
        <f t="shared" si="0"/>
        <v>7605.71</v>
      </c>
      <c r="BG10" s="151">
        <f t="shared" si="1"/>
        <v>418.31405000000001</v>
      </c>
      <c r="BH10" s="151">
        <f t="shared" si="2"/>
        <v>8024.02405</v>
      </c>
      <c r="BI10" s="151">
        <v>8024.02</v>
      </c>
      <c r="BJ10" s="143" t="s">
        <v>102</v>
      </c>
      <c r="BK10" s="143"/>
      <c r="BL10" s="143"/>
      <c r="BM10" s="144" t="s">
        <v>142</v>
      </c>
      <c r="BN10" s="144" t="s">
        <v>103</v>
      </c>
      <c r="BO10" s="135" t="s">
        <v>155</v>
      </c>
      <c r="BP10" s="144">
        <v>2020</v>
      </c>
      <c r="BQ10" s="203" t="s">
        <v>144</v>
      </c>
    </row>
    <row r="11" spans="1:69" ht="41.1" customHeight="1">
      <c r="A11" s="133" t="s">
        <v>86</v>
      </c>
      <c r="B11" s="133" t="s">
        <v>156</v>
      </c>
      <c r="C11" s="134">
        <v>400</v>
      </c>
      <c r="D11" s="135">
        <v>44004</v>
      </c>
      <c r="E11" s="135">
        <v>44007</v>
      </c>
      <c r="F11" s="147">
        <v>44012</v>
      </c>
      <c r="G11" s="135" t="s">
        <v>157</v>
      </c>
      <c r="H11" s="147">
        <v>44015</v>
      </c>
      <c r="I11" s="147">
        <v>44015</v>
      </c>
      <c r="J11" s="147">
        <v>44020</v>
      </c>
      <c r="K11" s="135">
        <v>44123</v>
      </c>
      <c r="L11" s="135">
        <v>44033</v>
      </c>
      <c r="M11" s="135" t="s">
        <v>76</v>
      </c>
      <c r="N11" s="135">
        <v>44126</v>
      </c>
      <c r="O11" s="135">
        <v>44126</v>
      </c>
      <c r="P11" s="135">
        <v>44139</v>
      </c>
      <c r="Q11" s="135"/>
      <c r="R11" s="143"/>
      <c r="S11" s="143"/>
      <c r="T11" s="143"/>
      <c r="U11" s="143">
        <v>2</v>
      </c>
      <c r="V11" s="143">
        <v>56056</v>
      </c>
      <c r="W11" s="143" t="str">
        <f ca="1">IF(H11="",IF(D11="","",IF(U11+V11&lt;15,"Données Nb pers ou RFR manquantes",IF(COUNTA(INDIRECT("TabRFR["&amp;YEAR(D11)&amp;"]"))&lt;&gt;COUNTA(TabRFR[Recherche RFR]),"Data RFR manquantes", IF(V11&lt;=INDEX(TabRFR[[2021]:[2025]],MATCH(BD!U11&amp;"-Très modestes",TabRFR[Recherche RFR],0),MATCH(TEXT(YEAR(BD!D11),"Standard"),TabRFR[[#Headers],[2021]:[2025]],0)),"Très Modeste",IF(V11&lt;=INDEX(TabRFR[[2021]:[2025]],MATCH(BD!U11&amp;"-modestes",TabRFR[Recherche RFR],0),MATCH(TEXT(YEAR(BD!D11),"Standard"),TabRFR[[#Headers],[2021]:[2025]],0)),"Modeste",IF(V11&lt;=INDEX(TabRFR[[2021]:[2025]],MATCH(BD!U11&amp;"-Intermédiaire",TabRFR[Recherche RFR],0),MATCH(TEXT(YEAR(BD!D11),"Standard"),TabRFR[[#Headers],[2021]:[2025]],0)),"Intermédiaire","Supérieur")))))),IF(D11="","",IF(U11+V11&lt;15,"Données Nb pers ou RFR manquantes",IF(COUNTA(INDIRECT("TabRFR["&amp;YEAR(H11)&amp;"]"))&lt;&gt;COUNTA(TabRFR[Recherche RFR]),"Data RFR manquantes", IF(V11&lt;=INDEX(TabRFR[[2021]:[2025]],MATCH(BD!U11&amp;"-Très modestes",TabRFR[Recherche RFR],0),MATCH(TEXT(YEAR(BD!H11),"Standard"),TabRFR[[#Headers],[2021]:[2025]],0)),"Très Modeste",IF(V11&lt;=INDEX(TabRFR[[2021]:[2025]],MATCH(BD!U11&amp;"-modestes",TabRFR[Recherche RFR],0),MATCH(TEXT(YEAR(BD!H11),"Standard"),TabRFR[[#Headers],[2021]:[2025]],0)),"Modeste",IF(V11&lt;=INDEX(TabRFR[[2021]:[2025]],MATCH(BD!U11&amp;"-Intermédiaire",TabRFR[Recherche RFR],0),MATCH(TEXT(YEAR(BD!H11),"Standard"),TabRFR[[#Headers],[2021]:[2025]],0)),"Intermédiaire","Supérieur")))))))</f>
        <v>Data RFR manquantes</v>
      </c>
      <c r="X11" s="143"/>
      <c r="Y11" s="143" t="s">
        <v>158</v>
      </c>
      <c r="Z11" s="143">
        <v>38140</v>
      </c>
      <c r="AA11" s="143" t="s">
        <v>159</v>
      </c>
      <c r="AB11" s="148"/>
      <c r="AC11" s="149"/>
      <c r="AD11" s="143" t="s">
        <v>91</v>
      </c>
      <c r="AE11" s="143" t="s">
        <v>76</v>
      </c>
      <c r="AF11" s="143" t="s">
        <v>76</v>
      </c>
      <c r="AG11" s="143" t="s">
        <v>76</v>
      </c>
      <c r="AH11" s="143" t="s">
        <v>76</v>
      </c>
      <c r="AI11" s="143" t="s">
        <v>160</v>
      </c>
      <c r="AJ11" s="143" t="s">
        <v>161</v>
      </c>
      <c r="AK11" s="143" t="s">
        <v>162</v>
      </c>
      <c r="AL11" s="150" t="s">
        <v>163</v>
      </c>
      <c r="AM11" s="148">
        <v>474934316</v>
      </c>
      <c r="AN11" s="143" t="s">
        <v>76</v>
      </c>
      <c r="AO11" s="150" t="s">
        <v>102</v>
      </c>
      <c r="AP11" s="147">
        <v>44276</v>
      </c>
      <c r="AQ11" s="135" t="s">
        <v>3449</v>
      </c>
      <c r="AR11" s="143">
        <v>1998</v>
      </c>
      <c r="AS11" s="135" t="s">
        <v>3496</v>
      </c>
      <c r="AT11" s="135" t="s">
        <v>3446</v>
      </c>
      <c r="AU11" s="143" t="s">
        <v>164</v>
      </c>
      <c r="AV11" s="143">
        <v>3268</v>
      </c>
      <c r="AW11" s="143">
        <v>18</v>
      </c>
      <c r="AX11" s="143">
        <v>13</v>
      </c>
      <c r="AY11" s="143">
        <v>76</v>
      </c>
      <c r="AZ11" s="143">
        <v>0.09</v>
      </c>
      <c r="BA11" s="143" t="s">
        <v>101</v>
      </c>
      <c r="BB11" s="143"/>
      <c r="BC11" s="143">
        <f>3847+2177+92+142+117+698+200+300+95+67+400</f>
        <v>8135</v>
      </c>
      <c r="BD11" s="143"/>
      <c r="BE11" s="143">
        <f>662+892</f>
        <v>1554</v>
      </c>
      <c r="BF11" s="143">
        <f t="shared" si="0"/>
        <v>9689</v>
      </c>
      <c r="BG11" s="151">
        <f t="shared" si="1"/>
        <v>532.89499999999998</v>
      </c>
      <c r="BH11" s="151">
        <f t="shared" si="2"/>
        <v>10221.895</v>
      </c>
      <c r="BI11" s="151">
        <v>8275</v>
      </c>
      <c r="BJ11" s="143" t="s">
        <v>102</v>
      </c>
      <c r="BK11" s="143"/>
      <c r="BL11" s="143"/>
      <c r="BM11" s="144" t="s">
        <v>142</v>
      </c>
      <c r="BN11" s="144" t="s">
        <v>103</v>
      </c>
      <c r="BO11" s="144" t="s">
        <v>143</v>
      </c>
      <c r="BP11" s="144">
        <v>2020</v>
      </c>
      <c r="BQ11" s="203" t="s">
        <v>144</v>
      </c>
    </row>
    <row r="12" spans="1:69" ht="41.1" customHeight="1">
      <c r="A12" s="133" t="s">
        <v>86</v>
      </c>
      <c r="B12" s="133" t="s">
        <v>165</v>
      </c>
      <c r="C12" s="134">
        <v>400</v>
      </c>
      <c r="D12" s="135">
        <v>44004</v>
      </c>
      <c r="E12" s="135">
        <v>44007</v>
      </c>
      <c r="F12" s="147">
        <v>44012</v>
      </c>
      <c r="G12" s="135" t="s">
        <v>166</v>
      </c>
      <c r="H12" s="147">
        <v>44133</v>
      </c>
      <c r="I12" s="147">
        <v>44133</v>
      </c>
      <c r="J12" s="147">
        <v>44137</v>
      </c>
      <c r="K12" s="135">
        <v>44210</v>
      </c>
      <c r="L12" s="135">
        <v>44133</v>
      </c>
      <c r="M12" s="135" t="s">
        <v>76</v>
      </c>
      <c r="N12" s="135">
        <v>44214</v>
      </c>
      <c r="O12" s="135">
        <v>44214</v>
      </c>
      <c r="P12" s="135">
        <v>44242</v>
      </c>
      <c r="Q12" s="135"/>
      <c r="R12" s="143"/>
      <c r="S12" s="143"/>
      <c r="T12" s="143"/>
      <c r="U12" s="143">
        <v>4</v>
      </c>
      <c r="V12" s="143">
        <v>160304</v>
      </c>
      <c r="W12" s="143" t="str">
        <f ca="1">IF(H12="",IF(D12="","",IF(U12+V12&lt;15,"Données Nb pers ou RFR manquantes",IF(COUNTA(INDIRECT("TabRFR["&amp;YEAR(D12)&amp;"]"))&lt;&gt;COUNTA(TabRFR[Recherche RFR]),"Data RFR manquantes", IF(V12&lt;=INDEX(TabRFR[[2021]:[2025]],MATCH(BD!U12&amp;"-Très modestes",TabRFR[Recherche RFR],0),MATCH(TEXT(YEAR(BD!D12),"Standard"),TabRFR[[#Headers],[2021]:[2025]],0)),"Très Modeste",IF(V12&lt;=INDEX(TabRFR[[2021]:[2025]],MATCH(BD!U12&amp;"-modestes",TabRFR[Recherche RFR],0),MATCH(TEXT(YEAR(BD!D12),"Standard"),TabRFR[[#Headers],[2021]:[2025]],0)),"Modeste",IF(V12&lt;=INDEX(TabRFR[[2021]:[2025]],MATCH(BD!U12&amp;"-Intermédiaire",TabRFR[Recherche RFR],0),MATCH(TEXT(YEAR(BD!D12),"Standard"),TabRFR[[#Headers],[2021]:[2025]],0)),"Intermédiaire","Supérieur")))))),IF(D12="","",IF(U12+V12&lt;15,"Données Nb pers ou RFR manquantes",IF(COUNTA(INDIRECT("TabRFR["&amp;YEAR(H12)&amp;"]"))&lt;&gt;COUNTA(TabRFR[Recherche RFR]),"Data RFR manquantes", IF(V12&lt;=INDEX(TabRFR[[2021]:[2025]],MATCH(BD!U12&amp;"-Très modestes",TabRFR[Recherche RFR],0),MATCH(TEXT(YEAR(BD!H12),"Standard"),TabRFR[[#Headers],[2021]:[2025]],0)),"Très Modeste",IF(V12&lt;=INDEX(TabRFR[[2021]:[2025]],MATCH(BD!U12&amp;"-modestes",TabRFR[Recherche RFR],0),MATCH(TEXT(YEAR(BD!H12),"Standard"),TabRFR[[#Headers],[2021]:[2025]],0)),"Modeste",IF(V12&lt;=INDEX(TabRFR[[2021]:[2025]],MATCH(BD!U12&amp;"-Intermédiaire",TabRFR[Recherche RFR],0),MATCH(TEXT(YEAR(BD!H12),"Standard"),TabRFR[[#Headers],[2021]:[2025]],0)),"Intermédiaire","Supérieur")))))))</f>
        <v>Data RFR manquantes</v>
      </c>
      <c r="X12" s="143"/>
      <c r="Y12" s="143" t="s">
        <v>167</v>
      </c>
      <c r="Z12" s="143">
        <v>38850</v>
      </c>
      <c r="AA12" s="143" t="s">
        <v>168</v>
      </c>
      <c r="AB12" s="148"/>
      <c r="AC12" s="149"/>
      <c r="AD12" s="143" t="s">
        <v>91</v>
      </c>
      <c r="AE12" s="143" t="s">
        <v>76</v>
      </c>
      <c r="AF12" s="143" t="s">
        <v>76</v>
      </c>
      <c r="AG12" s="143" t="s">
        <v>76</v>
      </c>
      <c r="AH12" s="143" t="s">
        <v>76</v>
      </c>
      <c r="AI12" s="143" t="s">
        <v>169</v>
      </c>
      <c r="AJ12" s="143" t="s">
        <v>119</v>
      </c>
      <c r="AK12" s="143" t="s">
        <v>170</v>
      </c>
      <c r="AL12" s="149" t="s">
        <v>171</v>
      </c>
      <c r="AM12" s="148">
        <v>476355605</v>
      </c>
      <c r="AN12" s="143" t="s">
        <v>76</v>
      </c>
      <c r="AO12" s="150" t="s">
        <v>102</v>
      </c>
      <c r="AP12" s="147">
        <v>44495</v>
      </c>
      <c r="AQ12" s="135" t="s">
        <v>3449</v>
      </c>
      <c r="AR12" s="143" t="s">
        <v>172</v>
      </c>
      <c r="AS12" s="143" t="s">
        <v>3413</v>
      </c>
      <c r="AT12" s="143" t="s">
        <v>98</v>
      </c>
      <c r="AU12" s="143" t="s">
        <v>173</v>
      </c>
      <c r="AV12" s="143" t="s">
        <v>174</v>
      </c>
      <c r="AW12" s="143">
        <v>8</v>
      </c>
      <c r="AX12" s="143">
        <v>8.1999999999999993</v>
      </c>
      <c r="AY12" s="143">
        <v>87.7</v>
      </c>
      <c r="AZ12" s="143">
        <v>0.01</v>
      </c>
      <c r="BA12" s="143" t="s">
        <v>101</v>
      </c>
      <c r="BB12" s="143"/>
      <c r="BC12" s="143">
        <f>172.31+94+320+99.09+94+242.38+104.65+140.69+69.15+70.27+2099.5+62.35</f>
        <v>3568.39</v>
      </c>
      <c r="BD12" s="143"/>
      <c r="BE12" s="143">
        <f>609.8+425</f>
        <v>1034.8</v>
      </c>
      <c r="BF12" s="143">
        <f t="shared" si="0"/>
        <v>4603.1899999999996</v>
      </c>
      <c r="BG12" s="151">
        <f t="shared" si="1"/>
        <v>253.17544999999998</v>
      </c>
      <c r="BH12" s="151">
        <f t="shared" si="2"/>
        <v>4856.3654499999993</v>
      </c>
      <c r="BI12" s="151">
        <v>4856.37</v>
      </c>
      <c r="BJ12" s="143" t="s">
        <v>115</v>
      </c>
      <c r="BK12" s="143"/>
      <c r="BL12" s="143"/>
      <c r="BM12" s="144" t="s">
        <v>142</v>
      </c>
      <c r="BN12" s="144" t="s">
        <v>103</v>
      </c>
      <c r="BO12" s="144" t="s">
        <v>143</v>
      </c>
      <c r="BP12" s="143" t="s">
        <v>3583</v>
      </c>
      <c r="BQ12" s="203" t="s">
        <v>3274</v>
      </c>
    </row>
    <row r="13" spans="1:69" ht="41.1" customHeight="1">
      <c r="A13" s="145" t="s">
        <v>86</v>
      </c>
      <c r="B13" s="145" t="s">
        <v>175</v>
      </c>
      <c r="C13" s="146" t="s">
        <v>76</v>
      </c>
      <c r="D13" s="135">
        <v>43981</v>
      </c>
      <c r="E13" s="135">
        <v>43987</v>
      </c>
      <c r="F13" s="147">
        <v>43990</v>
      </c>
      <c r="G13" s="135" t="s">
        <v>176</v>
      </c>
      <c r="H13" s="147" t="s">
        <v>76</v>
      </c>
      <c r="I13" s="147" t="s">
        <v>76</v>
      </c>
      <c r="J13" s="147" t="s">
        <v>76</v>
      </c>
      <c r="K13" s="135" t="s">
        <v>76</v>
      </c>
      <c r="L13" s="135" t="s">
        <v>76</v>
      </c>
      <c r="M13" s="135" t="s">
        <v>76</v>
      </c>
      <c r="N13" s="135" t="s">
        <v>76</v>
      </c>
      <c r="O13" s="135" t="s">
        <v>76</v>
      </c>
      <c r="P13" s="135" t="s">
        <v>76</v>
      </c>
      <c r="Q13" s="135">
        <v>44033</v>
      </c>
      <c r="R13" s="135" t="s">
        <v>177</v>
      </c>
      <c r="S13" s="143"/>
      <c r="T13" s="143"/>
      <c r="U13" s="143">
        <v>4</v>
      </c>
      <c r="V13" s="143">
        <v>52921</v>
      </c>
      <c r="W13" s="143" t="str">
        <f ca="1">IF(H13="",IF(D13="","",IF(U13+V13&lt;15,"Données Nb pers ou RFR manquantes",IF(COUNTA(INDIRECT("TabRFR["&amp;YEAR(D13)&amp;"]"))&lt;&gt;COUNTA(TabRFR[Recherche RFR]),"Data RFR manquantes", IF(V13&lt;=INDEX(TabRFR[[2021]:[2025]],MATCH(BD!U13&amp;"-Très modestes",TabRFR[Recherche RFR],0),MATCH(TEXT(YEAR(BD!D13),"Standard"),TabRFR[[#Headers],[2021]:[2025]],0)),"Très Modeste",IF(V13&lt;=INDEX(TabRFR[[2021]:[2025]],MATCH(BD!U13&amp;"-modestes",TabRFR[Recherche RFR],0),MATCH(TEXT(YEAR(BD!D13),"Standard"),TabRFR[[#Headers],[2021]:[2025]],0)),"Modeste",IF(V13&lt;=INDEX(TabRFR[[2021]:[2025]],MATCH(BD!U13&amp;"-Intermédiaire",TabRFR[Recherche RFR],0),MATCH(TEXT(YEAR(BD!D13),"Standard"),TabRFR[[#Headers],[2021]:[2025]],0)),"Intermédiaire","Supérieur")))))),IF(D13="","",IF(U13+V13&lt;15,"Données Nb pers ou RFR manquantes",IF(COUNTA(INDIRECT("TabRFR["&amp;YEAR(H13)&amp;"]"))&lt;&gt;COUNTA(TabRFR[Recherche RFR]),"Data RFR manquantes", IF(V13&lt;=INDEX(TabRFR[[2021]:[2025]],MATCH(BD!U13&amp;"-Très modestes",TabRFR[Recherche RFR],0),MATCH(TEXT(YEAR(BD!H13),"Standard"),TabRFR[[#Headers],[2021]:[2025]],0)),"Très Modeste",IF(V13&lt;=INDEX(TabRFR[[2021]:[2025]],MATCH(BD!U13&amp;"-modestes",TabRFR[Recherche RFR],0),MATCH(TEXT(YEAR(BD!H13),"Standard"),TabRFR[[#Headers],[2021]:[2025]],0)),"Modeste",IF(V13&lt;=INDEX(TabRFR[[2021]:[2025]],MATCH(BD!U13&amp;"-Intermédiaire",TabRFR[Recherche RFR],0),MATCH(TEXT(YEAR(BD!H13),"Standard"),TabRFR[[#Headers],[2021]:[2025]],0)),"Intermédiaire","Supérieur")))))))</f>
        <v>Data RFR manquantes</v>
      </c>
      <c r="X13" s="143"/>
      <c r="Y13" s="143" t="s">
        <v>178</v>
      </c>
      <c r="Z13" s="143">
        <v>38210</v>
      </c>
      <c r="AA13" s="143" t="s">
        <v>130</v>
      </c>
      <c r="AB13" s="148"/>
      <c r="AC13" s="149"/>
      <c r="AD13" s="143" t="s">
        <v>91</v>
      </c>
      <c r="AE13" s="143" t="s">
        <v>76</v>
      </c>
      <c r="AF13" s="143" t="s">
        <v>76</v>
      </c>
      <c r="AG13" s="143" t="s">
        <v>76</v>
      </c>
      <c r="AH13" s="143" t="s">
        <v>76</v>
      </c>
      <c r="AI13" s="143" t="s">
        <v>169</v>
      </c>
      <c r="AJ13" s="143" t="s">
        <v>119</v>
      </c>
      <c r="AK13" s="143" t="s">
        <v>170</v>
      </c>
      <c r="AL13" s="149" t="s">
        <v>171</v>
      </c>
      <c r="AM13" s="148">
        <v>476355605</v>
      </c>
      <c r="AN13" s="143" t="s">
        <v>76</v>
      </c>
      <c r="AO13" s="150" t="s">
        <v>102</v>
      </c>
      <c r="AP13" s="147">
        <v>44495</v>
      </c>
      <c r="AQ13" s="135" t="s">
        <v>3496</v>
      </c>
      <c r="AR13" s="143">
        <v>2001</v>
      </c>
      <c r="AS13" s="143" t="s">
        <v>3413</v>
      </c>
      <c r="AT13" s="135" t="s">
        <v>3446</v>
      </c>
      <c r="AU13" s="143" t="s">
        <v>173</v>
      </c>
      <c r="AV13" s="143" t="s">
        <v>179</v>
      </c>
      <c r="AW13" s="143">
        <v>23</v>
      </c>
      <c r="AX13" s="143">
        <v>7</v>
      </c>
      <c r="AY13" s="143">
        <v>79</v>
      </c>
      <c r="AZ13" s="143">
        <v>0.09</v>
      </c>
      <c r="BA13" s="143" t="s">
        <v>115</v>
      </c>
      <c r="BB13" s="143"/>
      <c r="BC13" s="143">
        <v>3467.63</v>
      </c>
      <c r="BD13" s="143"/>
      <c r="BE13" s="143">
        <v>525</v>
      </c>
      <c r="BF13" s="143">
        <f t="shared" si="0"/>
        <v>3992.63</v>
      </c>
      <c r="BG13" s="151">
        <f t="shared" si="1"/>
        <v>219.59465</v>
      </c>
      <c r="BH13" s="151">
        <f t="shared" si="2"/>
        <v>4212.2246500000001</v>
      </c>
      <c r="BI13" s="151">
        <v>4212.22</v>
      </c>
      <c r="BJ13" s="143" t="s">
        <v>115</v>
      </c>
      <c r="BK13" s="143"/>
      <c r="BL13" s="143"/>
      <c r="BM13" s="144">
        <v>0</v>
      </c>
      <c r="BN13" s="144" t="s">
        <v>103</v>
      </c>
      <c r="BO13" s="144" t="s">
        <v>103</v>
      </c>
      <c r="BP13" s="203" t="s">
        <v>3582</v>
      </c>
      <c r="BQ13" s="203" t="s">
        <v>3273</v>
      </c>
    </row>
    <row r="14" spans="1:69" ht="41.1" customHeight="1">
      <c r="A14" s="133" t="s">
        <v>86</v>
      </c>
      <c r="B14" s="133" t="s">
        <v>180</v>
      </c>
      <c r="C14" s="134">
        <v>400</v>
      </c>
      <c r="D14" s="135">
        <v>43985</v>
      </c>
      <c r="E14" s="135">
        <v>43987</v>
      </c>
      <c r="F14" s="147">
        <v>43990</v>
      </c>
      <c r="G14" s="135" t="s">
        <v>181</v>
      </c>
      <c r="H14" s="147">
        <v>44014</v>
      </c>
      <c r="I14" s="147">
        <v>44014</v>
      </c>
      <c r="J14" s="147">
        <v>44018</v>
      </c>
      <c r="K14" s="135">
        <v>44102</v>
      </c>
      <c r="L14" s="135">
        <v>44100</v>
      </c>
      <c r="M14" s="135" t="s">
        <v>182</v>
      </c>
      <c r="N14" s="135">
        <v>44172</v>
      </c>
      <c r="O14" s="135">
        <v>44172</v>
      </c>
      <c r="P14" s="135">
        <v>44174</v>
      </c>
      <c r="Q14" s="135"/>
      <c r="R14" s="143"/>
      <c r="S14" s="143"/>
      <c r="T14" s="143"/>
      <c r="U14" s="143">
        <v>3</v>
      </c>
      <c r="V14" s="143">
        <v>66803</v>
      </c>
      <c r="W14" s="143" t="str">
        <f ca="1">IF(H14="",IF(D14="","",IF(U14+V14&lt;15,"Données Nb pers ou RFR manquantes",IF(COUNTA(INDIRECT("TabRFR["&amp;YEAR(D14)&amp;"]"))&lt;&gt;COUNTA(TabRFR[Recherche RFR]),"Data RFR manquantes", IF(V14&lt;=INDEX(TabRFR[[2021]:[2025]],MATCH(BD!U14&amp;"-Très modestes",TabRFR[Recherche RFR],0),MATCH(TEXT(YEAR(BD!D14),"Standard"),TabRFR[[#Headers],[2021]:[2025]],0)),"Très Modeste",IF(V14&lt;=INDEX(TabRFR[[2021]:[2025]],MATCH(BD!U14&amp;"-modestes",TabRFR[Recherche RFR],0),MATCH(TEXT(YEAR(BD!D14),"Standard"),TabRFR[[#Headers],[2021]:[2025]],0)),"Modeste",IF(V14&lt;=INDEX(TabRFR[[2021]:[2025]],MATCH(BD!U14&amp;"-Intermédiaire",TabRFR[Recherche RFR],0),MATCH(TEXT(YEAR(BD!D14),"Standard"),TabRFR[[#Headers],[2021]:[2025]],0)),"Intermédiaire","Supérieur")))))),IF(D14="","",IF(U14+V14&lt;15,"Données Nb pers ou RFR manquantes",IF(COUNTA(INDIRECT("TabRFR["&amp;YEAR(H14)&amp;"]"))&lt;&gt;COUNTA(TabRFR[Recherche RFR]),"Data RFR manquantes", IF(V14&lt;=INDEX(TabRFR[[2021]:[2025]],MATCH(BD!U14&amp;"-Très modestes",TabRFR[Recherche RFR],0),MATCH(TEXT(YEAR(BD!H14),"Standard"),TabRFR[[#Headers],[2021]:[2025]],0)),"Très Modeste",IF(V14&lt;=INDEX(TabRFR[[2021]:[2025]],MATCH(BD!U14&amp;"-modestes",TabRFR[Recherche RFR],0),MATCH(TEXT(YEAR(BD!H14),"Standard"),TabRFR[[#Headers],[2021]:[2025]],0)),"Modeste",IF(V14&lt;=INDEX(TabRFR[[2021]:[2025]],MATCH(BD!U14&amp;"-Intermédiaire",TabRFR[Recherche RFR],0),MATCH(TEXT(YEAR(BD!H14),"Standard"),TabRFR[[#Headers],[2021]:[2025]],0)),"Intermédiaire","Supérieur")))))))</f>
        <v>Data RFR manquantes</v>
      </c>
      <c r="X14" s="143"/>
      <c r="Y14" s="143" t="s">
        <v>183</v>
      </c>
      <c r="Z14" s="143">
        <v>38140</v>
      </c>
      <c r="AA14" s="143" t="s">
        <v>184</v>
      </c>
      <c r="AB14" s="148"/>
      <c r="AC14" s="149"/>
      <c r="AD14" s="143" t="s">
        <v>91</v>
      </c>
      <c r="AE14" s="143" t="s">
        <v>76</v>
      </c>
      <c r="AF14" s="143" t="s">
        <v>76</v>
      </c>
      <c r="AG14" s="143" t="s">
        <v>76</v>
      </c>
      <c r="AH14" s="143" t="s">
        <v>76</v>
      </c>
      <c r="AI14" s="143" t="s">
        <v>185</v>
      </c>
      <c r="AJ14" s="143" t="s">
        <v>108</v>
      </c>
      <c r="AK14" s="143" t="s">
        <v>186</v>
      </c>
      <c r="AL14" s="150" t="s">
        <v>187</v>
      </c>
      <c r="AM14" s="148">
        <v>951096343</v>
      </c>
      <c r="AN14" s="143" t="s">
        <v>76</v>
      </c>
      <c r="AO14" s="150" t="s">
        <v>102</v>
      </c>
      <c r="AP14" s="147">
        <v>44433</v>
      </c>
      <c r="AQ14" s="135" t="s">
        <v>3449</v>
      </c>
      <c r="AR14" s="143" t="s">
        <v>139</v>
      </c>
      <c r="AS14" s="143" t="s">
        <v>3413</v>
      </c>
      <c r="AT14" s="138" t="s">
        <v>98</v>
      </c>
      <c r="AU14" s="143" t="s">
        <v>188</v>
      </c>
      <c r="AV14" s="143" t="s">
        <v>189</v>
      </c>
      <c r="AW14" s="143">
        <v>20</v>
      </c>
      <c r="AX14" s="143">
        <v>8.3000000000000007</v>
      </c>
      <c r="AY14" s="143">
        <v>87</v>
      </c>
      <c r="AZ14" s="143">
        <v>1.7999999999999999E-2</v>
      </c>
      <c r="BA14" s="143" t="s">
        <v>126</v>
      </c>
      <c r="BB14" s="143"/>
      <c r="BC14" s="143">
        <f>6490+444.22+271.35+354</f>
        <v>7559.5700000000006</v>
      </c>
      <c r="BD14" s="143"/>
      <c r="BE14" s="143">
        <v>630</v>
      </c>
      <c r="BF14" s="143">
        <f t="shared" si="0"/>
        <v>8189.5700000000006</v>
      </c>
      <c r="BG14" s="151">
        <f t="shared" si="1"/>
        <v>450.42635000000001</v>
      </c>
      <c r="BH14" s="151">
        <f t="shared" si="2"/>
        <v>8639.9963500000013</v>
      </c>
      <c r="BI14" s="151">
        <v>7800</v>
      </c>
      <c r="BJ14" s="143" t="s">
        <v>102</v>
      </c>
      <c r="BK14" s="143"/>
      <c r="BL14" s="143"/>
      <c r="BM14" s="144" t="s">
        <v>142</v>
      </c>
      <c r="BN14" s="144" t="s">
        <v>103</v>
      </c>
      <c r="BO14" s="144" t="s">
        <v>143</v>
      </c>
      <c r="BP14" s="143" t="s">
        <v>3583</v>
      </c>
      <c r="BQ14" s="203" t="s">
        <v>144</v>
      </c>
    </row>
    <row r="15" spans="1:69" ht="41.1" customHeight="1">
      <c r="A15" s="133" t="s">
        <v>86</v>
      </c>
      <c r="B15" s="133" t="s">
        <v>190</v>
      </c>
      <c r="C15" s="134">
        <v>400</v>
      </c>
      <c r="D15" s="135">
        <v>43987</v>
      </c>
      <c r="E15" s="135">
        <v>43990</v>
      </c>
      <c r="F15" s="147">
        <v>43991</v>
      </c>
      <c r="G15" s="135" t="s">
        <v>191</v>
      </c>
      <c r="H15" s="147">
        <v>44014</v>
      </c>
      <c r="I15" s="147">
        <v>44014</v>
      </c>
      <c r="J15" s="147">
        <v>44018</v>
      </c>
      <c r="K15" s="135">
        <v>44046</v>
      </c>
      <c r="L15" s="135">
        <v>44034</v>
      </c>
      <c r="M15" s="135" t="s">
        <v>76</v>
      </c>
      <c r="N15" s="135">
        <v>44056</v>
      </c>
      <c r="O15" s="135">
        <v>44056</v>
      </c>
      <c r="P15" s="135">
        <v>44074</v>
      </c>
      <c r="Q15" s="135"/>
      <c r="R15" s="143"/>
      <c r="S15" s="143"/>
      <c r="T15" s="143"/>
      <c r="U15" s="143">
        <v>1</v>
      </c>
      <c r="V15" s="143">
        <v>19593</v>
      </c>
      <c r="W15" s="143" t="str">
        <f ca="1">IF(H15="",IF(D15="","",IF(U15+V15&lt;15,"Données Nb pers ou RFR manquantes",IF(COUNTA(INDIRECT("TabRFR["&amp;YEAR(D15)&amp;"]"))&lt;&gt;COUNTA(TabRFR[Recherche RFR]),"Data RFR manquantes", IF(V15&lt;=INDEX(TabRFR[[2021]:[2025]],MATCH(BD!U15&amp;"-Très modestes",TabRFR[Recherche RFR],0),MATCH(TEXT(YEAR(BD!D15),"Standard"),TabRFR[[#Headers],[2021]:[2025]],0)),"Très Modeste",IF(V15&lt;=INDEX(TabRFR[[2021]:[2025]],MATCH(BD!U15&amp;"-modestes",TabRFR[Recherche RFR],0),MATCH(TEXT(YEAR(BD!D15),"Standard"),TabRFR[[#Headers],[2021]:[2025]],0)),"Modeste",IF(V15&lt;=INDEX(TabRFR[[2021]:[2025]],MATCH(BD!U15&amp;"-Intermédiaire",TabRFR[Recherche RFR],0),MATCH(TEXT(YEAR(BD!D15),"Standard"),TabRFR[[#Headers],[2021]:[2025]],0)),"Intermédiaire","Supérieur")))))),IF(D15="","",IF(U15+V15&lt;15,"Données Nb pers ou RFR manquantes",IF(COUNTA(INDIRECT("TabRFR["&amp;YEAR(H15)&amp;"]"))&lt;&gt;COUNTA(TabRFR[Recherche RFR]),"Data RFR manquantes", IF(V15&lt;=INDEX(TabRFR[[2021]:[2025]],MATCH(BD!U15&amp;"-Très modestes",TabRFR[Recherche RFR],0),MATCH(TEXT(YEAR(BD!H15),"Standard"),TabRFR[[#Headers],[2021]:[2025]],0)),"Très Modeste",IF(V15&lt;=INDEX(TabRFR[[2021]:[2025]],MATCH(BD!U15&amp;"-modestes",TabRFR[Recherche RFR],0),MATCH(TEXT(YEAR(BD!H15),"Standard"),TabRFR[[#Headers],[2021]:[2025]],0)),"Modeste",IF(V15&lt;=INDEX(TabRFR[[2021]:[2025]],MATCH(BD!U15&amp;"-Intermédiaire",TabRFR[Recherche RFR],0),MATCH(TEXT(YEAR(BD!H15),"Standard"),TabRFR[[#Headers],[2021]:[2025]],0)),"Intermédiaire","Supérieur")))))))</f>
        <v>Data RFR manquantes</v>
      </c>
      <c r="X15" s="143"/>
      <c r="Y15" s="143" t="s">
        <v>192</v>
      </c>
      <c r="Z15" s="143">
        <v>38850</v>
      </c>
      <c r="AA15" s="143" t="s">
        <v>193</v>
      </c>
      <c r="AB15" s="148"/>
      <c r="AC15" s="149"/>
      <c r="AD15" s="143" t="s">
        <v>91</v>
      </c>
      <c r="AE15" s="143" t="s">
        <v>76</v>
      </c>
      <c r="AF15" s="143" t="s">
        <v>76</v>
      </c>
      <c r="AG15" s="143" t="s">
        <v>76</v>
      </c>
      <c r="AH15" s="143" t="s">
        <v>76</v>
      </c>
      <c r="AI15" s="143" t="s">
        <v>185</v>
      </c>
      <c r="AJ15" s="143" t="s">
        <v>108</v>
      </c>
      <c r="AK15" s="143" t="s">
        <v>186</v>
      </c>
      <c r="AL15" s="150" t="s">
        <v>187</v>
      </c>
      <c r="AM15" s="148">
        <v>951096343</v>
      </c>
      <c r="AN15" s="143" t="s">
        <v>76</v>
      </c>
      <c r="AO15" s="150" t="s">
        <v>102</v>
      </c>
      <c r="AP15" s="147">
        <v>44068</v>
      </c>
      <c r="AQ15" s="135" t="s">
        <v>3496</v>
      </c>
      <c r="AR15" s="143">
        <v>1984</v>
      </c>
      <c r="AS15" s="143" t="s">
        <v>3413</v>
      </c>
      <c r="AT15" s="135" t="s">
        <v>3446</v>
      </c>
      <c r="AU15" s="143" t="s">
        <v>194</v>
      </c>
      <c r="AV15" s="143" t="s">
        <v>195</v>
      </c>
      <c r="AW15" s="143">
        <v>17</v>
      </c>
      <c r="AX15" s="143">
        <v>9</v>
      </c>
      <c r="AY15" s="143">
        <v>84</v>
      </c>
      <c r="AZ15" s="143">
        <v>0.09</v>
      </c>
      <c r="BA15" s="143" t="s">
        <v>101</v>
      </c>
      <c r="BB15" s="143"/>
      <c r="BC15" s="143">
        <f>4860+369+222.32</f>
        <v>5451.32</v>
      </c>
      <c r="BD15" s="143"/>
      <c r="BE15" s="143">
        <v>1070</v>
      </c>
      <c r="BF15" s="143">
        <f t="shared" si="0"/>
        <v>6521.32</v>
      </c>
      <c r="BG15" s="151">
        <f t="shared" si="1"/>
        <v>358.67259999999999</v>
      </c>
      <c r="BH15" s="151">
        <f t="shared" si="2"/>
        <v>6879.9925999999996</v>
      </c>
      <c r="BI15" s="151">
        <v>6300.01</v>
      </c>
      <c r="BJ15" s="143" t="s">
        <v>115</v>
      </c>
      <c r="BK15" s="143"/>
      <c r="BL15" s="143"/>
      <c r="BM15" s="144" t="s">
        <v>142</v>
      </c>
      <c r="BN15" s="144" t="s">
        <v>103</v>
      </c>
      <c r="BO15" s="144" t="s">
        <v>143</v>
      </c>
      <c r="BP15" s="144">
        <v>2020</v>
      </c>
      <c r="BQ15" s="203" t="s">
        <v>3274</v>
      </c>
    </row>
    <row r="16" spans="1:69" ht="41.1" customHeight="1">
      <c r="A16" s="133" t="s">
        <v>86</v>
      </c>
      <c r="B16" s="133" t="s">
        <v>196</v>
      </c>
      <c r="C16" s="134">
        <v>400</v>
      </c>
      <c r="D16" s="135">
        <v>44011</v>
      </c>
      <c r="E16" s="135">
        <v>44012</v>
      </c>
      <c r="F16" s="147">
        <v>44012</v>
      </c>
      <c r="G16" s="135" t="s">
        <v>197</v>
      </c>
      <c r="H16" s="147">
        <v>44014</v>
      </c>
      <c r="I16" s="147">
        <v>44014</v>
      </c>
      <c r="J16" s="147">
        <v>44018</v>
      </c>
      <c r="K16" s="135">
        <v>44172</v>
      </c>
      <c r="L16" s="135">
        <v>44165</v>
      </c>
      <c r="M16" s="135" t="s">
        <v>198</v>
      </c>
      <c r="N16" s="135">
        <v>44217</v>
      </c>
      <c r="O16" s="135">
        <v>44217</v>
      </c>
      <c r="P16" s="135">
        <v>44242</v>
      </c>
      <c r="Q16" s="135"/>
      <c r="R16" s="143"/>
      <c r="S16" s="143"/>
      <c r="T16" s="143"/>
      <c r="U16" s="143">
        <v>4</v>
      </c>
      <c r="V16" s="143">
        <v>53947</v>
      </c>
      <c r="W16" s="143" t="str">
        <f ca="1">IF(H16="",IF(D16="","",IF(U16+V16&lt;15,"Données Nb pers ou RFR manquantes",IF(COUNTA(INDIRECT("TabRFR["&amp;YEAR(D16)&amp;"]"))&lt;&gt;COUNTA(TabRFR[Recherche RFR]),"Data RFR manquantes", IF(V16&lt;=INDEX(TabRFR[[2021]:[2025]],MATCH(BD!U16&amp;"-Très modestes",TabRFR[Recherche RFR],0),MATCH(TEXT(YEAR(BD!D16),"Standard"),TabRFR[[#Headers],[2021]:[2025]],0)),"Très Modeste",IF(V16&lt;=INDEX(TabRFR[[2021]:[2025]],MATCH(BD!U16&amp;"-modestes",TabRFR[Recherche RFR],0),MATCH(TEXT(YEAR(BD!D16),"Standard"),TabRFR[[#Headers],[2021]:[2025]],0)),"Modeste",IF(V16&lt;=INDEX(TabRFR[[2021]:[2025]],MATCH(BD!U16&amp;"-Intermédiaire",TabRFR[Recherche RFR],0),MATCH(TEXT(YEAR(BD!D16),"Standard"),TabRFR[[#Headers],[2021]:[2025]],0)),"Intermédiaire","Supérieur")))))),IF(D16="","",IF(U16+V16&lt;15,"Données Nb pers ou RFR manquantes",IF(COUNTA(INDIRECT("TabRFR["&amp;YEAR(H16)&amp;"]"))&lt;&gt;COUNTA(TabRFR[Recherche RFR]),"Data RFR manquantes", IF(V16&lt;=INDEX(TabRFR[[2021]:[2025]],MATCH(BD!U16&amp;"-Très modestes",TabRFR[Recherche RFR],0),MATCH(TEXT(YEAR(BD!H16),"Standard"),TabRFR[[#Headers],[2021]:[2025]],0)),"Très Modeste",IF(V16&lt;=INDEX(TabRFR[[2021]:[2025]],MATCH(BD!U16&amp;"-modestes",TabRFR[Recherche RFR],0),MATCH(TEXT(YEAR(BD!H16),"Standard"),TabRFR[[#Headers],[2021]:[2025]],0)),"Modeste",IF(V16&lt;=INDEX(TabRFR[[2021]:[2025]],MATCH(BD!U16&amp;"-Intermédiaire",TabRFR[Recherche RFR],0),MATCH(TEXT(YEAR(BD!H16),"Standard"),TabRFR[[#Headers],[2021]:[2025]],0)),"Intermédiaire","Supérieur")))))))</f>
        <v>Data RFR manquantes</v>
      </c>
      <c r="X16" s="143"/>
      <c r="Y16" s="143" t="s">
        <v>199</v>
      </c>
      <c r="Z16" s="143">
        <v>38140</v>
      </c>
      <c r="AA16" s="143" t="s">
        <v>200</v>
      </c>
      <c r="AB16" s="148"/>
      <c r="AC16" s="149"/>
      <c r="AD16" s="143" t="s">
        <v>91</v>
      </c>
      <c r="AE16" s="143" t="s">
        <v>76</v>
      </c>
      <c r="AF16" s="143" t="s">
        <v>76</v>
      </c>
      <c r="AG16" s="143" t="s">
        <v>76</v>
      </c>
      <c r="AH16" s="143" t="s">
        <v>76</v>
      </c>
      <c r="AI16" s="143" t="s">
        <v>201</v>
      </c>
      <c r="AJ16" s="143" t="s">
        <v>202</v>
      </c>
      <c r="AK16" s="143" t="s">
        <v>203</v>
      </c>
      <c r="AL16" s="150" t="s">
        <v>204</v>
      </c>
      <c r="AM16" s="148">
        <v>476065876</v>
      </c>
      <c r="AN16" s="143" t="s">
        <v>76</v>
      </c>
      <c r="AO16" s="150" t="s">
        <v>102</v>
      </c>
      <c r="AP16" s="147">
        <v>44398</v>
      </c>
      <c r="AQ16" s="135" t="s">
        <v>3496</v>
      </c>
      <c r="AR16" s="143" t="s">
        <v>172</v>
      </c>
      <c r="AS16" s="143" t="s">
        <v>3413</v>
      </c>
      <c r="AT16" s="143" t="s">
        <v>98</v>
      </c>
      <c r="AU16" s="143" t="s">
        <v>99</v>
      </c>
      <c r="AV16" s="143" t="s">
        <v>205</v>
      </c>
      <c r="AW16" s="143">
        <v>8</v>
      </c>
      <c r="AX16" s="143">
        <v>9</v>
      </c>
      <c r="AY16" s="143">
        <v>90.5</v>
      </c>
      <c r="AZ16" s="143">
        <v>8.9999999999999993E-3</v>
      </c>
      <c r="BA16" s="143" t="s">
        <v>101</v>
      </c>
      <c r="BB16" s="143"/>
      <c r="BC16" s="143">
        <f>2934+270+130+720</f>
        <v>4054</v>
      </c>
      <c r="BD16" s="143"/>
      <c r="BE16" s="143">
        <f>640</f>
        <v>640</v>
      </c>
      <c r="BF16" s="143">
        <f t="shared" si="0"/>
        <v>4694</v>
      </c>
      <c r="BG16" s="151">
        <f t="shared" si="1"/>
        <v>258.17</v>
      </c>
      <c r="BH16" s="151">
        <f t="shared" si="2"/>
        <v>4952.17</v>
      </c>
      <c r="BI16" s="151">
        <v>4952.17</v>
      </c>
      <c r="BJ16" s="143" t="s">
        <v>102</v>
      </c>
      <c r="BK16" s="143"/>
      <c r="BL16" s="143"/>
      <c r="BM16" s="144" t="s">
        <v>142</v>
      </c>
      <c r="BN16" s="144" t="s">
        <v>103</v>
      </c>
      <c r="BO16" s="144" t="s">
        <v>143</v>
      </c>
      <c r="BP16" s="143" t="s">
        <v>3583</v>
      </c>
      <c r="BQ16" s="203" t="s">
        <v>144</v>
      </c>
    </row>
    <row r="17" spans="1:69" ht="41.1" customHeight="1">
      <c r="A17" s="133" t="s">
        <v>86</v>
      </c>
      <c r="B17" s="133" t="s">
        <v>206</v>
      </c>
      <c r="C17" s="134">
        <v>400</v>
      </c>
      <c r="D17" s="135">
        <v>44012</v>
      </c>
      <c r="E17" s="135">
        <v>44014</v>
      </c>
      <c r="F17" s="147">
        <v>44014</v>
      </c>
      <c r="G17" s="135" t="s">
        <v>207</v>
      </c>
      <c r="H17" s="147">
        <v>44033</v>
      </c>
      <c r="I17" s="147">
        <v>44033</v>
      </c>
      <c r="J17" s="147">
        <v>44046</v>
      </c>
      <c r="K17" s="135">
        <v>44085</v>
      </c>
      <c r="L17" s="135">
        <v>44084</v>
      </c>
      <c r="M17" s="135" t="s">
        <v>76</v>
      </c>
      <c r="N17" s="135">
        <v>44116</v>
      </c>
      <c r="O17" s="135">
        <v>44116</v>
      </c>
      <c r="P17" s="135">
        <v>44116</v>
      </c>
      <c r="Q17" s="135"/>
      <c r="R17" s="143"/>
      <c r="S17" s="143"/>
      <c r="T17" s="143"/>
      <c r="U17" s="143">
        <v>2</v>
      </c>
      <c r="V17" s="143">
        <v>37714</v>
      </c>
      <c r="W17" s="143" t="str">
        <f ca="1">IF(H17="",IF(D17="","",IF(U17+V17&lt;15,"Données Nb pers ou RFR manquantes",IF(COUNTA(INDIRECT("TabRFR["&amp;YEAR(D17)&amp;"]"))&lt;&gt;COUNTA(TabRFR[Recherche RFR]),"Data RFR manquantes", IF(V17&lt;=INDEX(TabRFR[[2021]:[2025]],MATCH(BD!U17&amp;"-Très modestes",TabRFR[Recherche RFR],0),MATCH(TEXT(YEAR(BD!D17),"Standard"),TabRFR[[#Headers],[2021]:[2025]],0)),"Très Modeste",IF(V17&lt;=INDEX(TabRFR[[2021]:[2025]],MATCH(BD!U17&amp;"-modestes",TabRFR[Recherche RFR],0),MATCH(TEXT(YEAR(BD!D17),"Standard"),TabRFR[[#Headers],[2021]:[2025]],0)),"Modeste",IF(V17&lt;=INDEX(TabRFR[[2021]:[2025]],MATCH(BD!U17&amp;"-Intermédiaire",TabRFR[Recherche RFR],0),MATCH(TEXT(YEAR(BD!D17),"Standard"),TabRFR[[#Headers],[2021]:[2025]],0)),"Intermédiaire","Supérieur")))))),IF(D17="","",IF(U17+V17&lt;15,"Données Nb pers ou RFR manquantes",IF(COUNTA(INDIRECT("TabRFR["&amp;YEAR(H17)&amp;"]"))&lt;&gt;COUNTA(TabRFR[Recherche RFR]),"Data RFR manquantes", IF(V17&lt;=INDEX(TabRFR[[2021]:[2025]],MATCH(BD!U17&amp;"-Très modestes",TabRFR[Recherche RFR],0),MATCH(TEXT(YEAR(BD!H17),"Standard"),TabRFR[[#Headers],[2021]:[2025]],0)),"Très Modeste",IF(V17&lt;=INDEX(TabRFR[[2021]:[2025]],MATCH(BD!U17&amp;"-modestes",TabRFR[Recherche RFR],0),MATCH(TEXT(YEAR(BD!H17),"Standard"),TabRFR[[#Headers],[2021]:[2025]],0)),"Modeste",IF(V17&lt;=INDEX(TabRFR[[2021]:[2025]],MATCH(BD!U17&amp;"-Intermédiaire",TabRFR[Recherche RFR],0),MATCH(TEXT(YEAR(BD!H17),"Standard"),TabRFR[[#Headers],[2021]:[2025]],0)),"Intermédiaire","Supérieur")))))))</f>
        <v>Data RFR manquantes</v>
      </c>
      <c r="X17" s="143"/>
      <c r="Y17" s="143" t="s">
        <v>208</v>
      </c>
      <c r="Z17" s="143">
        <v>38960</v>
      </c>
      <c r="AA17" s="143" t="s">
        <v>209</v>
      </c>
      <c r="AB17" s="148"/>
      <c r="AC17" s="149"/>
      <c r="AD17" s="143" t="s">
        <v>91</v>
      </c>
      <c r="AE17" s="143" t="s">
        <v>76</v>
      </c>
      <c r="AF17" s="143" t="s">
        <v>76</v>
      </c>
      <c r="AG17" s="143" t="s">
        <v>76</v>
      </c>
      <c r="AH17" s="143" t="s">
        <v>76</v>
      </c>
      <c r="AI17" s="143" t="s">
        <v>210</v>
      </c>
      <c r="AJ17" s="143" t="s">
        <v>136</v>
      </c>
      <c r="AK17" s="143" t="s">
        <v>211</v>
      </c>
      <c r="AL17" s="150" t="s">
        <v>212</v>
      </c>
      <c r="AM17" s="148">
        <v>474432868</v>
      </c>
      <c r="AN17" s="143" t="s">
        <v>76</v>
      </c>
      <c r="AO17" s="150" t="s">
        <v>102</v>
      </c>
      <c r="AP17" s="147">
        <v>44149</v>
      </c>
      <c r="AQ17" s="135" t="s">
        <v>3449</v>
      </c>
      <c r="AR17" s="143" t="s">
        <v>213</v>
      </c>
      <c r="AS17" s="143" t="s">
        <v>3413</v>
      </c>
      <c r="AT17" s="143" t="s">
        <v>98</v>
      </c>
      <c r="AU17" s="143" t="s">
        <v>214</v>
      </c>
      <c r="AV17" s="143" t="s">
        <v>215</v>
      </c>
      <c r="AW17" s="143">
        <v>14.6</v>
      </c>
      <c r="AX17" s="143">
        <v>7.9</v>
      </c>
      <c r="AY17" s="143">
        <v>91.4</v>
      </c>
      <c r="AZ17" s="143">
        <v>4.0000000000000001E-3</v>
      </c>
      <c r="BA17" s="143" t="s">
        <v>126</v>
      </c>
      <c r="BB17" s="143"/>
      <c r="BC17" s="143">
        <f>3070+216+634+96+212</f>
        <v>4228</v>
      </c>
      <c r="BD17" s="143"/>
      <c r="BE17" s="143">
        <v>650</v>
      </c>
      <c r="BF17" s="143">
        <f t="shared" si="0"/>
        <v>4878</v>
      </c>
      <c r="BG17" s="151">
        <f t="shared" si="1"/>
        <v>268.29000000000002</v>
      </c>
      <c r="BH17" s="151">
        <f t="shared" si="2"/>
        <v>5146.29</v>
      </c>
      <c r="BI17" s="151">
        <v>4528.0600000000004</v>
      </c>
      <c r="BJ17" s="143" t="s">
        <v>115</v>
      </c>
      <c r="BK17" s="143"/>
      <c r="BL17" s="143"/>
      <c r="BM17" s="144" t="s">
        <v>142</v>
      </c>
      <c r="BN17" s="144" t="s">
        <v>103</v>
      </c>
      <c r="BO17" s="144" t="s">
        <v>143</v>
      </c>
      <c r="BP17" s="143" t="s">
        <v>3583</v>
      </c>
      <c r="BQ17" s="203" t="s">
        <v>3274</v>
      </c>
    </row>
    <row r="18" spans="1:69" ht="41.1" customHeight="1">
      <c r="A18" s="133" t="s">
        <v>86</v>
      </c>
      <c r="B18" s="133" t="s">
        <v>216</v>
      </c>
      <c r="C18" s="134">
        <v>400</v>
      </c>
      <c r="D18" s="135">
        <v>44013</v>
      </c>
      <c r="E18" s="135">
        <v>44014</v>
      </c>
      <c r="F18" s="147">
        <v>44015</v>
      </c>
      <c r="G18" s="135" t="s">
        <v>217</v>
      </c>
      <c r="H18" s="147">
        <v>44102</v>
      </c>
      <c r="I18" s="147">
        <v>44102</v>
      </c>
      <c r="J18" s="147">
        <v>44125</v>
      </c>
      <c r="K18" s="135">
        <v>44144</v>
      </c>
      <c r="L18" s="135">
        <v>44130</v>
      </c>
      <c r="M18" s="135" t="s">
        <v>76</v>
      </c>
      <c r="N18" s="135">
        <v>44145</v>
      </c>
      <c r="O18" s="135">
        <v>44145</v>
      </c>
      <c r="P18" s="135">
        <v>44147</v>
      </c>
      <c r="Q18" s="135"/>
      <c r="R18" s="143"/>
      <c r="S18" s="143"/>
      <c r="T18" s="143"/>
      <c r="U18" s="143">
        <v>1</v>
      </c>
      <c r="V18" s="143">
        <v>22291</v>
      </c>
      <c r="W18" s="143" t="str">
        <f ca="1">IF(H18="",IF(D18="","",IF(U18+V18&lt;15,"Données Nb pers ou RFR manquantes",IF(COUNTA(INDIRECT("TabRFR["&amp;YEAR(D18)&amp;"]"))&lt;&gt;COUNTA(TabRFR[Recherche RFR]),"Data RFR manquantes", IF(V18&lt;=INDEX(TabRFR[[2021]:[2025]],MATCH(BD!U18&amp;"-Très modestes",TabRFR[Recherche RFR],0),MATCH(TEXT(YEAR(BD!D18),"Standard"),TabRFR[[#Headers],[2021]:[2025]],0)),"Très Modeste",IF(V18&lt;=INDEX(TabRFR[[2021]:[2025]],MATCH(BD!U18&amp;"-modestes",TabRFR[Recherche RFR],0),MATCH(TEXT(YEAR(BD!D18),"Standard"),TabRFR[[#Headers],[2021]:[2025]],0)),"Modeste",IF(V18&lt;=INDEX(TabRFR[[2021]:[2025]],MATCH(BD!U18&amp;"-Intermédiaire",TabRFR[Recherche RFR],0),MATCH(TEXT(YEAR(BD!D18),"Standard"),TabRFR[[#Headers],[2021]:[2025]],0)),"Intermédiaire","Supérieur")))))),IF(D18="","",IF(U18+V18&lt;15,"Données Nb pers ou RFR manquantes",IF(COUNTA(INDIRECT("TabRFR["&amp;YEAR(H18)&amp;"]"))&lt;&gt;COUNTA(TabRFR[Recherche RFR]),"Data RFR manquantes", IF(V18&lt;=INDEX(TabRFR[[2021]:[2025]],MATCH(BD!U18&amp;"-Très modestes",TabRFR[Recherche RFR],0),MATCH(TEXT(YEAR(BD!H18),"Standard"),TabRFR[[#Headers],[2021]:[2025]],0)),"Très Modeste",IF(V18&lt;=INDEX(TabRFR[[2021]:[2025]],MATCH(BD!U18&amp;"-modestes",TabRFR[Recherche RFR],0),MATCH(TEXT(YEAR(BD!H18),"Standard"),TabRFR[[#Headers],[2021]:[2025]],0)),"Modeste",IF(V18&lt;=INDEX(TabRFR[[2021]:[2025]],MATCH(BD!U18&amp;"-Intermédiaire",TabRFR[Recherche RFR],0),MATCH(TEXT(YEAR(BD!H18),"Standard"),TabRFR[[#Headers],[2021]:[2025]],0)),"Intermédiaire","Supérieur")))))))</f>
        <v>Data RFR manquantes</v>
      </c>
      <c r="X18" s="143"/>
      <c r="Y18" s="143" t="s">
        <v>218</v>
      </c>
      <c r="Z18" s="143">
        <v>38140</v>
      </c>
      <c r="AA18" s="143" t="s">
        <v>219</v>
      </c>
      <c r="AB18" s="148"/>
      <c r="AC18" s="149"/>
      <c r="AD18" s="143" t="s">
        <v>91</v>
      </c>
      <c r="AE18" s="143" t="s">
        <v>76</v>
      </c>
      <c r="AF18" s="143" t="s">
        <v>76</v>
      </c>
      <c r="AG18" s="143" t="s">
        <v>76</v>
      </c>
      <c r="AH18" s="143" t="s">
        <v>76</v>
      </c>
      <c r="AI18" s="135" t="s">
        <v>220</v>
      </c>
      <c r="AJ18" s="143" t="s">
        <v>108</v>
      </c>
      <c r="AK18" s="143" t="s">
        <v>221</v>
      </c>
      <c r="AL18" s="150" t="s">
        <v>222</v>
      </c>
      <c r="AM18" s="148">
        <v>476323235</v>
      </c>
      <c r="AN18" s="143" t="s">
        <v>76</v>
      </c>
      <c r="AO18" s="150" t="s">
        <v>102</v>
      </c>
      <c r="AP18" s="147">
        <v>44429</v>
      </c>
      <c r="AQ18" s="135" t="s">
        <v>3496</v>
      </c>
      <c r="AR18" s="143">
        <v>1984</v>
      </c>
      <c r="AS18" s="143" t="s">
        <v>3413</v>
      </c>
      <c r="AT18" s="135" t="s">
        <v>3446</v>
      </c>
      <c r="AU18" s="143" t="s">
        <v>223</v>
      </c>
      <c r="AV18" s="143" t="s">
        <v>224</v>
      </c>
      <c r="AW18" s="143">
        <v>12</v>
      </c>
      <c r="AX18" s="143">
        <v>9.1999999999999993</v>
      </c>
      <c r="AY18" s="143">
        <v>77</v>
      </c>
      <c r="AZ18" s="143">
        <v>0.04</v>
      </c>
      <c r="BA18" s="143" t="s">
        <v>101</v>
      </c>
      <c r="BB18" s="143"/>
      <c r="BC18" s="143">
        <f>550+40+135+2350+80+90+69+41+41+29+26+120</f>
        <v>3571</v>
      </c>
      <c r="BD18" s="143"/>
      <c r="BE18" s="143">
        <f>30+235+30+285+35</f>
        <v>615</v>
      </c>
      <c r="BF18" s="143">
        <f t="shared" si="0"/>
        <v>4186</v>
      </c>
      <c r="BG18" s="151">
        <f t="shared" si="1"/>
        <v>230.23</v>
      </c>
      <c r="BH18" s="151">
        <f t="shared" si="2"/>
        <v>4416.2299999999996</v>
      </c>
      <c r="BI18" s="151">
        <v>4214.21</v>
      </c>
      <c r="BJ18" s="143" t="s">
        <v>102</v>
      </c>
      <c r="BK18" s="143"/>
      <c r="BL18" s="143"/>
      <c r="BM18" s="144" t="s">
        <v>142</v>
      </c>
      <c r="BN18" s="144" t="s">
        <v>103</v>
      </c>
      <c r="BO18" s="144" t="s">
        <v>143</v>
      </c>
      <c r="BP18" s="144">
        <v>2020</v>
      </c>
      <c r="BQ18" s="203" t="s">
        <v>144</v>
      </c>
    </row>
    <row r="19" spans="1:69" ht="41.1" customHeight="1">
      <c r="A19" s="133" t="s">
        <v>86</v>
      </c>
      <c r="B19" s="133" t="s">
        <v>225</v>
      </c>
      <c r="C19" s="134">
        <v>400</v>
      </c>
      <c r="D19" s="135">
        <v>44013</v>
      </c>
      <c r="E19" s="135">
        <v>44014</v>
      </c>
      <c r="F19" s="147" t="s">
        <v>76</v>
      </c>
      <c r="G19" s="135" t="s">
        <v>76</v>
      </c>
      <c r="H19" s="147">
        <v>44015</v>
      </c>
      <c r="I19" s="147">
        <v>44015</v>
      </c>
      <c r="J19" s="147">
        <v>44020</v>
      </c>
      <c r="K19" s="135">
        <v>44092</v>
      </c>
      <c r="L19" s="135">
        <v>44028</v>
      </c>
      <c r="M19" s="135" t="s">
        <v>76</v>
      </c>
      <c r="N19" s="135">
        <v>44096</v>
      </c>
      <c r="O19" s="135">
        <v>44096</v>
      </c>
      <c r="P19" s="135">
        <v>44096</v>
      </c>
      <c r="Q19" s="135"/>
      <c r="R19" s="143"/>
      <c r="S19" s="143"/>
      <c r="T19" s="143"/>
      <c r="U19" s="143">
        <v>2</v>
      </c>
      <c r="V19" s="143">
        <v>31407</v>
      </c>
      <c r="W19" s="143" t="str">
        <f ca="1">IF(H19="",IF(D19="","",IF(U19+V19&lt;15,"Données Nb pers ou RFR manquantes",IF(COUNTA(INDIRECT("TabRFR["&amp;YEAR(D19)&amp;"]"))&lt;&gt;COUNTA(TabRFR[Recherche RFR]),"Data RFR manquantes", IF(V19&lt;=INDEX(TabRFR[[2021]:[2025]],MATCH(BD!U19&amp;"-Très modestes",TabRFR[Recherche RFR],0),MATCH(TEXT(YEAR(BD!D19),"Standard"),TabRFR[[#Headers],[2021]:[2025]],0)),"Très Modeste",IF(V19&lt;=INDEX(TabRFR[[2021]:[2025]],MATCH(BD!U19&amp;"-modestes",TabRFR[Recherche RFR],0),MATCH(TEXT(YEAR(BD!D19),"Standard"),TabRFR[[#Headers],[2021]:[2025]],0)),"Modeste",IF(V19&lt;=INDEX(TabRFR[[2021]:[2025]],MATCH(BD!U19&amp;"-Intermédiaire",TabRFR[Recherche RFR],0),MATCH(TEXT(YEAR(BD!D19),"Standard"),TabRFR[[#Headers],[2021]:[2025]],0)),"Intermédiaire","Supérieur")))))),IF(D19="","",IF(U19+V19&lt;15,"Données Nb pers ou RFR manquantes",IF(COUNTA(INDIRECT("TabRFR["&amp;YEAR(H19)&amp;"]"))&lt;&gt;COUNTA(TabRFR[Recherche RFR]),"Data RFR manquantes", IF(V19&lt;=INDEX(TabRFR[[2021]:[2025]],MATCH(BD!U19&amp;"-Très modestes",TabRFR[Recherche RFR],0),MATCH(TEXT(YEAR(BD!H19),"Standard"),TabRFR[[#Headers],[2021]:[2025]],0)),"Très Modeste",IF(V19&lt;=INDEX(TabRFR[[2021]:[2025]],MATCH(BD!U19&amp;"-modestes",TabRFR[Recherche RFR],0),MATCH(TEXT(YEAR(BD!H19),"Standard"),TabRFR[[#Headers],[2021]:[2025]],0)),"Modeste",IF(V19&lt;=INDEX(TabRFR[[2021]:[2025]],MATCH(BD!U19&amp;"-Intermédiaire",TabRFR[Recherche RFR],0),MATCH(TEXT(YEAR(BD!H19),"Standard"),TabRFR[[#Headers],[2021]:[2025]],0)),"Intermédiaire","Supérieur")))))))</f>
        <v>Data RFR manquantes</v>
      </c>
      <c r="X19" s="143"/>
      <c r="Y19" s="143" t="s">
        <v>226</v>
      </c>
      <c r="Z19" s="143">
        <v>38140</v>
      </c>
      <c r="AA19" s="143" t="s">
        <v>184</v>
      </c>
      <c r="AB19" s="148"/>
      <c r="AC19" s="149"/>
      <c r="AD19" s="143" t="s">
        <v>91</v>
      </c>
      <c r="AE19" s="143" t="s">
        <v>76</v>
      </c>
      <c r="AF19" s="143" t="s">
        <v>76</v>
      </c>
      <c r="AG19" s="143" t="s">
        <v>76</v>
      </c>
      <c r="AH19" s="143" t="s">
        <v>76</v>
      </c>
      <c r="AI19" s="143" t="s">
        <v>160</v>
      </c>
      <c r="AJ19" s="143" t="s">
        <v>161</v>
      </c>
      <c r="AK19" s="143" t="s">
        <v>227</v>
      </c>
      <c r="AL19" s="150" t="s">
        <v>228</v>
      </c>
      <c r="AM19" s="148">
        <v>438021901</v>
      </c>
      <c r="AN19" s="143" t="s">
        <v>76</v>
      </c>
      <c r="AO19" s="150" t="s">
        <v>102</v>
      </c>
      <c r="AP19" s="147">
        <v>44276</v>
      </c>
      <c r="AQ19" s="135" t="s">
        <v>3496</v>
      </c>
      <c r="AR19" s="143">
        <v>1985</v>
      </c>
      <c r="AS19" s="143" t="s">
        <v>3413</v>
      </c>
      <c r="AT19" s="143" t="s">
        <v>98</v>
      </c>
      <c r="AU19" s="143" t="s">
        <v>229</v>
      </c>
      <c r="AV19" s="143" t="s">
        <v>230</v>
      </c>
      <c r="AW19" s="143">
        <v>20</v>
      </c>
      <c r="AX19" s="143">
        <v>11.5</v>
      </c>
      <c r="AY19" s="143">
        <v>87</v>
      </c>
      <c r="AZ19" s="143">
        <v>0.02</v>
      </c>
      <c r="BA19" s="143" t="s">
        <v>101</v>
      </c>
      <c r="BB19" s="143"/>
      <c r="BC19" s="143">
        <f>5028+1461+800</f>
        <v>7289</v>
      </c>
      <c r="BD19" s="143"/>
      <c r="BE19" s="143">
        <v>1492</v>
      </c>
      <c r="BF19" s="143">
        <f t="shared" si="0"/>
        <v>8781</v>
      </c>
      <c r="BG19" s="151">
        <f t="shared" si="1"/>
        <v>482.95499999999998</v>
      </c>
      <c r="BH19" s="151">
        <f t="shared" si="2"/>
        <v>9263.9549999999999</v>
      </c>
      <c r="BI19" s="151">
        <v>9300</v>
      </c>
      <c r="BJ19" s="143" t="s">
        <v>102</v>
      </c>
      <c r="BK19" s="143"/>
      <c r="BL19" s="143"/>
      <c r="BM19" s="144" t="s">
        <v>142</v>
      </c>
      <c r="BN19" s="144" t="s">
        <v>103</v>
      </c>
      <c r="BO19" s="144" t="s">
        <v>143</v>
      </c>
      <c r="BP19" s="143" t="s">
        <v>3583</v>
      </c>
      <c r="BQ19" s="203" t="s">
        <v>144</v>
      </c>
    </row>
    <row r="20" spans="1:69" ht="41.1" customHeight="1">
      <c r="A20" s="133" t="s">
        <v>86</v>
      </c>
      <c r="B20" s="133" t="s">
        <v>231</v>
      </c>
      <c r="C20" s="134">
        <v>400</v>
      </c>
      <c r="D20" s="135">
        <v>44014</v>
      </c>
      <c r="E20" s="135">
        <v>44015</v>
      </c>
      <c r="F20" s="147">
        <v>44015</v>
      </c>
      <c r="G20" s="135" t="s">
        <v>217</v>
      </c>
      <c r="H20" s="147">
        <v>44033</v>
      </c>
      <c r="I20" s="147">
        <v>44033</v>
      </c>
      <c r="J20" s="147">
        <v>44046</v>
      </c>
      <c r="K20" s="135">
        <v>44464</v>
      </c>
      <c r="L20" s="135">
        <v>44141</v>
      </c>
      <c r="M20" s="135" t="s">
        <v>76</v>
      </c>
      <c r="N20" s="135">
        <v>44469</v>
      </c>
      <c r="O20" s="135">
        <v>44469</v>
      </c>
      <c r="P20" s="135">
        <v>44469</v>
      </c>
      <c r="Q20" s="135"/>
      <c r="R20" s="143"/>
      <c r="S20" s="143"/>
      <c r="T20" s="143"/>
      <c r="U20" s="143">
        <v>2</v>
      </c>
      <c r="V20" s="143">
        <v>78641</v>
      </c>
      <c r="W20" s="143" t="str">
        <f ca="1">IF(H20="",IF(D20="","",IF(U20+V20&lt;15,"Données Nb pers ou RFR manquantes",IF(COUNTA(INDIRECT("TabRFR["&amp;YEAR(D20)&amp;"]"))&lt;&gt;COUNTA(TabRFR[Recherche RFR]),"Data RFR manquantes", IF(V20&lt;=INDEX(TabRFR[[2021]:[2025]],MATCH(BD!U20&amp;"-Très modestes",TabRFR[Recherche RFR],0),MATCH(TEXT(YEAR(BD!D20),"Standard"),TabRFR[[#Headers],[2021]:[2025]],0)),"Très Modeste",IF(V20&lt;=INDEX(TabRFR[[2021]:[2025]],MATCH(BD!U20&amp;"-modestes",TabRFR[Recherche RFR],0),MATCH(TEXT(YEAR(BD!D20),"Standard"),TabRFR[[#Headers],[2021]:[2025]],0)),"Modeste",IF(V20&lt;=INDEX(TabRFR[[2021]:[2025]],MATCH(BD!U20&amp;"-Intermédiaire",TabRFR[Recherche RFR],0),MATCH(TEXT(YEAR(BD!D20),"Standard"),TabRFR[[#Headers],[2021]:[2025]],0)),"Intermédiaire","Supérieur")))))),IF(D20="","",IF(U20+V20&lt;15,"Données Nb pers ou RFR manquantes",IF(COUNTA(INDIRECT("TabRFR["&amp;YEAR(H20)&amp;"]"))&lt;&gt;COUNTA(TabRFR[Recherche RFR]),"Data RFR manquantes", IF(V20&lt;=INDEX(TabRFR[[2021]:[2025]],MATCH(BD!U20&amp;"-Très modestes",TabRFR[Recherche RFR],0),MATCH(TEXT(YEAR(BD!H20),"Standard"),TabRFR[[#Headers],[2021]:[2025]],0)),"Très Modeste",IF(V20&lt;=INDEX(TabRFR[[2021]:[2025]],MATCH(BD!U20&amp;"-modestes",TabRFR[Recherche RFR],0),MATCH(TEXT(YEAR(BD!H20),"Standard"),TabRFR[[#Headers],[2021]:[2025]],0)),"Modeste",IF(V20&lt;=INDEX(TabRFR[[2021]:[2025]],MATCH(BD!U20&amp;"-Intermédiaire",TabRFR[Recherche RFR],0),MATCH(TEXT(YEAR(BD!H20),"Standard"),TabRFR[[#Headers],[2021]:[2025]],0)),"Intermédiaire","Supérieur")))))))</f>
        <v>Data RFR manquantes</v>
      </c>
      <c r="X20" s="143"/>
      <c r="Y20" s="143" t="s">
        <v>232</v>
      </c>
      <c r="Z20" s="143">
        <v>38850</v>
      </c>
      <c r="AA20" s="143" t="s">
        <v>193</v>
      </c>
      <c r="AB20" s="148"/>
      <c r="AC20" s="149"/>
      <c r="AD20" s="143" t="s">
        <v>91</v>
      </c>
      <c r="AE20" s="143" t="s">
        <v>76</v>
      </c>
      <c r="AF20" s="143" t="s">
        <v>76</v>
      </c>
      <c r="AG20" s="143" t="s">
        <v>76</v>
      </c>
      <c r="AH20" s="143" t="s">
        <v>76</v>
      </c>
      <c r="AI20" s="143" t="s">
        <v>185</v>
      </c>
      <c r="AJ20" s="143" t="s">
        <v>108</v>
      </c>
      <c r="AK20" s="143" t="s">
        <v>186</v>
      </c>
      <c r="AL20" s="150" t="s">
        <v>187</v>
      </c>
      <c r="AM20" s="148">
        <v>951096343</v>
      </c>
      <c r="AN20" s="143" t="s">
        <v>76</v>
      </c>
      <c r="AO20" s="150" t="s">
        <v>102</v>
      </c>
      <c r="AP20" s="147">
        <v>44068</v>
      </c>
      <c r="AQ20" s="135" t="s">
        <v>3496</v>
      </c>
      <c r="AR20" s="143">
        <v>1988</v>
      </c>
      <c r="AS20" s="143" t="s">
        <v>3413</v>
      </c>
      <c r="AT20" s="143" t="s">
        <v>98</v>
      </c>
      <c r="AU20" s="143" t="s">
        <v>188</v>
      </c>
      <c r="AV20" s="143" t="s">
        <v>189</v>
      </c>
      <c r="AW20" s="143">
        <v>20</v>
      </c>
      <c r="AX20" s="143">
        <v>8.3000000000000007</v>
      </c>
      <c r="AY20" s="143">
        <v>87</v>
      </c>
      <c r="AZ20" s="143">
        <v>1.7999999999999999E-2</v>
      </c>
      <c r="BA20" s="143" t="s">
        <v>126</v>
      </c>
      <c r="BB20" s="143"/>
      <c r="BC20" s="143">
        <f>4953.67+401.06+269.37+263.57</f>
        <v>5887.67</v>
      </c>
      <c r="BD20" s="143"/>
      <c r="BE20" s="143">
        <v>625.39</v>
      </c>
      <c r="BF20" s="143">
        <f t="shared" si="0"/>
        <v>6513.06</v>
      </c>
      <c r="BG20" s="151">
        <f t="shared" si="1"/>
        <v>358.2183</v>
      </c>
      <c r="BH20" s="151">
        <f t="shared" si="2"/>
        <v>6871.2782999999999</v>
      </c>
      <c r="BI20" s="151">
        <v>6400</v>
      </c>
      <c r="BJ20" s="143" t="s">
        <v>115</v>
      </c>
      <c r="BK20" s="143"/>
      <c r="BL20" s="143"/>
      <c r="BM20" s="144" t="s">
        <v>3576</v>
      </c>
      <c r="BN20" s="144" t="s">
        <v>103</v>
      </c>
      <c r="BO20" s="144" t="s">
        <v>143</v>
      </c>
      <c r="BP20" s="143" t="s">
        <v>3583</v>
      </c>
      <c r="BQ20" s="203" t="s">
        <v>3274</v>
      </c>
    </row>
    <row r="21" spans="1:69" ht="41.1" customHeight="1">
      <c r="A21" s="133" t="s">
        <v>86</v>
      </c>
      <c r="B21" s="133" t="s">
        <v>233</v>
      </c>
      <c r="C21" s="134">
        <v>400</v>
      </c>
      <c r="D21" s="135">
        <v>44018</v>
      </c>
      <c r="E21" s="135">
        <v>44036</v>
      </c>
      <c r="F21" s="147">
        <v>44036</v>
      </c>
      <c r="G21" s="135" t="s">
        <v>234</v>
      </c>
      <c r="H21" s="147">
        <v>44043</v>
      </c>
      <c r="I21" s="147">
        <v>44043</v>
      </c>
      <c r="J21" s="147">
        <v>44074</v>
      </c>
      <c r="K21" s="135">
        <v>44070</v>
      </c>
      <c r="L21" s="135">
        <v>44119</v>
      </c>
      <c r="M21" s="135" t="s">
        <v>76</v>
      </c>
      <c r="N21" s="135">
        <v>44126</v>
      </c>
      <c r="O21" s="135">
        <v>44126</v>
      </c>
      <c r="P21" s="135">
        <v>44139</v>
      </c>
      <c r="Q21" s="135"/>
      <c r="R21" s="143"/>
      <c r="S21" s="143"/>
      <c r="T21" s="143"/>
      <c r="U21" s="143">
        <v>2</v>
      </c>
      <c r="V21" s="143">
        <v>34556</v>
      </c>
      <c r="W21" s="143" t="str">
        <f ca="1">IF(H21="",IF(D21="","",IF(U21+V21&lt;15,"Données Nb pers ou RFR manquantes",IF(COUNTA(INDIRECT("TabRFR["&amp;YEAR(D21)&amp;"]"))&lt;&gt;COUNTA(TabRFR[Recherche RFR]),"Data RFR manquantes", IF(V21&lt;=INDEX(TabRFR[[2021]:[2025]],MATCH(BD!U21&amp;"-Très modestes",TabRFR[Recherche RFR],0),MATCH(TEXT(YEAR(BD!D21),"Standard"),TabRFR[[#Headers],[2021]:[2025]],0)),"Très Modeste",IF(V21&lt;=INDEX(TabRFR[[2021]:[2025]],MATCH(BD!U21&amp;"-modestes",TabRFR[Recherche RFR],0),MATCH(TEXT(YEAR(BD!D21),"Standard"),TabRFR[[#Headers],[2021]:[2025]],0)),"Modeste",IF(V21&lt;=INDEX(TabRFR[[2021]:[2025]],MATCH(BD!U21&amp;"-Intermédiaire",TabRFR[Recherche RFR],0),MATCH(TEXT(YEAR(BD!D21),"Standard"),TabRFR[[#Headers],[2021]:[2025]],0)),"Intermédiaire","Supérieur")))))),IF(D21="","",IF(U21+V21&lt;15,"Données Nb pers ou RFR manquantes",IF(COUNTA(INDIRECT("TabRFR["&amp;YEAR(H21)&amp;"]"))&lt;&gt;COUNTA(TabRFR[Recherche RFR]),"Data RFR manquantes", IF(V21&lt;=INDEX(TabRFR[[2021]:[2025]],MATCH(BD!U21&amp;"-Très modestes",TabRFR[Recherche RFR],0),MATCH(TEXT(YEAR(BD!H21),"Standard"),TabRFR[[#Headers],[2021]:[2025]],0)),"Très Modeste",IF(V21&lt;=INDEX(TabRFR[[2021]:[2025]],MATCH(BD!U21&amp;"-modestes",TabRFR[Recherche RFR],0),MATCH(TEXT(YEAR(BD!H21),"Standard"),TabRFR[[#Headers],[2021]:[2025]],0)),"Modeste",IF(V21&lt;=INDEX(TabRFR[[2021]:[2025]],MATCH(BD!U21&amp;"-Intermédiaire",TabRFR[Recherche RFR],0),MATCH(TEXT(YEAR(BD!H21),"Standard"),TabRFR[[#Headers],[2021]:[2025]],0)),"Intermédiaire","Supérieur")))))))</f>
        <v>Data RFR manquantes</v>
      </c>
      <c r="X21" s="143"/>
      <c r="Y21" s="143" t="s">
        <v>235</v>
      </c>
      <c r="Z21" s="143">
        <v>38500</v>
      </c>
      <c r="AA21" s="143" t="s">
        <v>219</v>
      </c>
      <c r="AB21" s="148"/>
      <c r="AC21" s="149"/>
      <c r="AD21" s="143" t="s">
        <v>91</v>
      </c>
      <c r="AE21" s="143" t="s">
        <v>76</v>
      </c>
      <c r="AF21" s="143" t="s">
        <v>76</v>
      </c>
      <c r="AG21" s="143" t="s">
        <v>76</v>
      </c>
      <c r="AH21" s="143" t="s">
        <v>76</v>
      </c>
      <c r="AI21" s="143" t="s">
        <v>92</v>
      </c>
      <c r="AJ21" s="143" t="s">
        <v>93</v>
      </c>
      <c r="AK21" s="143" t="s">
        <v>94</v>
      </c>
      <c r="AL21" s="149" t="s">
        <v>95</v>
      </c>
      <c r="AM21" s="148" t="s">
        <v>96</v>
      </c>
      <c r="AN21" s="143" t="s">
        <v>76</v>
      </c>
      <c r="AO21" s="150" t="s">
        <v>97</v>
      </c>
      <c r="AP21" s="147">
        <v>44152</v>
      </c>
      <c r="AQ21" s="143" t="s">
        <v>3413</v>
      </c>
      <c r="AR21" s="143" t="s">
        <v>236</v>
      </c>
      <c r="AS21" s="143" t="s">
        <v>3413</v>
      </c>
      <c r="AT21" s="143" t="s">
        <v>98</v>
      </c>
      <c r="AU21" s="143" t="s">
        <v>99</v>
      </c>
      <c r="AV21" s="143" t="s">
        <v>237</v>
      </c>
      <c r="AW21" s="143">
        <v>11</v>
      </c>
      <c r="AX21" s="143">
        <v>12</v>
      </c>
      <c r="AY21" s="143">
        <v>88.5</v>
      </c>
      <c r="AZ21" s="143">
        <v>0.01</v>
      </c>
      <c r="BA21" s="143" t="s">
        <v>101</v>
      </c>
      <c r="BB21" s="143"/>
      <c r="BC21" s="143">
        <f>2850+695+258.5+263+198+165</f>
        <v>4429.5</v>
      </c>
      <c r="BD21" s="143"/>
      <c r="BE21" s="143">
        <f>590</f>
        <v>590</v>
      </c>
      <c r="BF21" s="143">
        <f t="shared" si="0"/>
        <v>5019.5</v>
      </c>
      <c r="BG21" s="151">
        <f t="shared" si="1"/>
        <v>276.07249999999999</v>
      </c>
      <c r="BH21" s="151">
        <f t="shared" si="2"/>
        <v>5295.5725000000002</v>
      </c>
      <c r="BI21" s="151">
        <v>5295.57</v>
      </c>
      <c r="BJ21" s="143" t="s">
        <v>102</v>
      </c>
      <c r="BK21" s="143"/>
      <c r="BL21" s="143"/>
      <c r="BM21" s="144" t="s">
        <v>142</v>
      </c>
      <c r="BN21" s="144" t="s">
        <v>103</v>
      </c>
      <c r="BO21" s="144" t="s">
        <v>143</v>
      </c>
      <c r="BP21" s="143" t="s">
        <v>3583</v>
      </c>
      <c r="BQ21" s="203" t="s">
        <v>3275</v>
      </c>
    </row>
    <row r="22" spans="1:69" ht="41.1" customHeight="1">
      <c r="A22" s="133" t="s">
        <v>86</v>
      </c>
      <c r="B22" s="133" t="s">
        <v>238</v>
      </c>
      <c r="C22" s="134">
        <v>400</v>
      </c>
      <c r="D22" s="135">
        <v>44016</v>
      </c>
      <c r="E22" s="135">
        <v>44019</v>
      </c>
      <c r="F22" s="147" t="s">
        <v>76</v>
      </c>
      <c r="G22" s="135" t="s">
        <v>76</v>
      </c>
      <c r="H22" s="147">
        <v>44036</v>
      </c>
      <c r="I22" s="147">
        <v>44036</v>
      </c>
      <c r="J22" s="147">
        <v>44046</v>
      </c>
      <c r="K22" s="135">
        <v>44123</v>
      </c>
      <c r="L22" s="135">
        <v>44088</v>
      </c>
      <c r="M22" s="135" t="s">
        <v>239</v>
      </c>
      <c r="N22" s="135">
        <v>44140</v>
      </c>
      <c r="O22" s="135">
        <v>44140</v>
      </c>
      <c r="P22" s="135">
        <v>44147</v>
      </c>
      <c r="Q22" s="135"/>
      <c r="R22" s="143"/>
      <c r="S22" s="143"/>
      <c r="T22" s="143"/>
      <c r="U22" s="143">
        <v>2</v>
      </c>
      <c r="V22" s="143">
        <v>39775</v>
      </c>
      <c r="W22" s="143" t="str">
        <f ca="1">IF(H22="",IF(D22="","",IF(U22+V22&lt;15,"Données Nb pers ou RFR manquantes",IF(COUNTA(INDIRECT("TabRFR["&amp;YEAR(D22)&amp;"]"))&lt;&gt;COUNTA(TabRFR[Recherche RFR]),"Data RFR manquantes", IF(V22&lt;=INDEX(TabRFR[[2021]:[2025]],MATCH(BD!U22&amp;"-Très modestes",TabRFR[Recherche RFR],0),MATCH(TEXT(YEAR(BD!D22),"Standard"),TabRFR[[#Headers],[2021]:[2025]],0)),"Très Modeste",IF(V22&lt;=INDEX(TabRFR[[2021]:[2025]],MATCH(BD!U22&amp;"-modestes",TabRFR[Recherche RFR],0),MATCH(TEXT(YEAR(BD!D22),"Standard"),TabRFR[[#Headers],[2021]:[2025]],0)),"Modeste",IF(V22&lt;=INDEX(TabRFR[[2021]:[2025]],MATCH(BD!U22&amp;"-Intermédiaire",TabRFR[Recherche RFR],0),MATCH(TEXT(YEAR(BD!D22),"Standard"),TabRFR[[#Headers],[2021]:[2025]],0)),"Intermédiaire","Supérieur")))))),IF(D22="","",IF(U22+V22&lt;15,"Données Nb pers ou RFR manquantes",IF(COUNTA(INDIRECT("TabRFR["&amp;YEAR(H22)&amp;"]"))&lt;&gt;COUNTA(TabRFR[Recherche RFR]),"Data RFR manquantes", IF(V22&lt;=INDEX(TabRFR[[2021]:[2025]],MATCH(BD!U22&amp;"-Très modestes",TabRFR[Recherche RFR],0),MATCH(TEXT(YEAR(BD!H22),"Standard"),TabRFR[[#Headers],[2021]:[2025]],0)),"Très Modeste",IF(V22&lt;=INDEX(TabRFR[[2021]:[2025]],MATCH(BD!U22&amp;"-modestes",TabRFR[Recherche RFR],0),MATCH(TEXT(YEAR(BD!H22),"Standard"),TabRFR[[#Headers],[2021]:[2025]],0)),"Modeste",IF(V22&lt;=INDEX(TabRFR[[2021]:[2025]],MATCH(BD!U22&amp;"-Intermédiaire",TabRFR[Recherche RFR],0),MATCH(TEXT(YEAR(BD!H22),"Standard"),TabRFR[[#Headers],[2021]:[2025]],0)),"Intermédiaire","Supérieur")))))))</f>
        <v>Data RFR manquantes</v>
      </c>
      <c r="X22" s="143"/>
      <c r="Y22" s="143" t="s">
        <v>240</v>
      </c>
      <c r="Z22" s="143">
        <v>38620</v>
      </c>
      <c r="AA22" s="143" t="s">
        <v>241</v>
      </c>
      <c r="AB22" s="148"/>
      <c r="AC22" s="149"/>
      <c r="AD22" s="143" t="s">
        <v>91</v>
      </c>
      <c r="AE22" s="143" t="s">
        <v>76</v>
      </c>
      <c r="AF22" s="143" t="s">
        <v>76</v>
      </c>
      <c r="AG22" s="143" t="s">
        <v>76</v>
      </c>
      <c r="AH22" s="143" t="s">
        <v>76</v>
      </c>
      <c r="AI22" s="143" t="s">
        <v>135</v>
      </c>
      <c r="AJ22" s="143" t="s">
        <v>136</v>
      </c>
      <c r="AK22" s="143" t="s">
        <v>137</v>
      </c>
      <c r="AL22" s="149" t="s">
        <v>138</v>
      </c>
      <c r="AM22" s="148">
        <v>474937373</v>
      </c>
      <c r="AN22" s="143" t="s">
        <v>76</v>
      </c>
      <c r="AO22" s="150" t="s">
        <v>102</v>
      </c>
      <c r="AP22" s="147">
        <v>44314</v>
      </c>
      <c r="AQ22" s="135" t="s">
        <v>3449</v>
      </c>
      <c r="AR22" s="143" t="s">
        <v>213</v>
      </c>
      <c r="AS22" s="143" t="s">
        <v>3413</v>
      </c>
      <c r="AT22" s="143" t="s">
        <v>98</v>
      </c>
      <c r="AU22" s="143" t="s">
        <v>124</v>
      </c>
      <c r="AV22" s="143" t="s">
        <v>242</v>
      </c>
      <c r="AW22" s="143">
        <v>17.899999999999999</v>
      </c>
      <c r="AX22" s="143">
        <v>9.61</v>
      </c>
      <c r="AY22" s="143">
        <v>87.5</v>
      </c>
      <c r="AZ22" s="143">
        <v>0.02</v>
      </c>
      <c r="BA22" s="143" t="s">
        <v>126</v>
      </c>
      <c r="BB22" s="143"/>
      <c r="BC22" s="143">
        <v>3490</v>
      </c>
      <c r="BD22" s="143"/>
      <c r="BE22" s="143">
        <v>1890</v>
      </c>
      <c r="BF22" s="143">
        <f t="shared" si="0"/>
        <v>5380</v>
      </c>
      <c r="BG22" s="151">
        <f t="shared" si="1"/>
        <v>295.89999999999998</v>
      </c>
      <c r="BH22" s="151">
        <f t="shared" si="2"/>
        <v>5675.9</v>
      </c>
      <c r="BI22" s="151">
        <v>5675.9</v>
      </c>
      <c r="BJ22" s="143" t="s">
        <v>103</v>
      </c>
      <c r="BK22" s="143"/>
      <c r="BL22" s="143"/>
      <c r="BM22" s="144" t="s">
        <v>142</v>
      </c>
      <c r="BN22" s="144" t="s">
        <v>103</v>
      </c>
      <c r="BO22" s="144" t="s">
        <v>143</v>
      </c>
      <c r="BP22" s="143" t="s">
        <v>3583</v>
      </c>
      <c r="BQ22" s="203" t="s">
        <v>3274</v>
      </c>
    </row>
    <row r="23" spans="1:69" ht="41.1" customHeight="1">
      <c r="A23" s="133" t="s">
        <v>86</v>
      </c>
      <c r="B23" s="133" t="s">
        <v>243</v>
      </c>
      <c r="C23" s="134">
        <v>400</v>
      </c>
      <c r="D23" s="135">
        <v>44027</v>
      </c>
      <c r="E23" s="135">
        <v>44028</v>
      </c>
      <c r="F23" s="147">
        <v>44036</v>
      </c>
      <c r="G23" s="135" t="s">
        <v>244</v>
      </c>
      <c r="H23" s="147">
        <v>44043</v>
      </c>
      <c r="I23" s="147">
        <v>44043</v>
      </c>
      <c r="J23" s="147">
        <v>44074</v>
      </c>
      <c r="K23" s="135">
        <v>44102</v>
      </c>
      <c r="L23" s="135">
        <v>44074</v>
      </c>
      <c r="M23" s="135" t="s">
        <v>76</v>
      </c>
      <c r="N23" s="135">
        <v>44109</v>
      </c>
      <c r="O23" s="135">
        <v>44109</v>
      </c>
      <c r="P23" s="135">
        <v>44109</v>
      </c>
      <c r="Q23" s="135"/>
      <c r="R23" s="143"/>
      <c r="S23" s="143"/>
      <c r="T23" s="143"/>
      <c r="U23" s="143">
        <v>2</v>
      </c>
      <c r="V23" s="143">
        <v>34847</v>
      </c>
      <c r="W23" s="143" t="str">
        <f ca="1">IF(H23="",IF(D23="","",IF(U23+V23&lt;15,"Données Nb pers ou RFR manquantes",IF(COUNTA(INDIRECT("TabRFR["&amp;YEAR(D23)&amp;"]"))&lt;&gt;COUNTA(TabRFR[Recherche RFR]),"Data RFR manquantes", IF(V23&lt;=INDEX(TabRFR[[2021]:[2025]],MATCH(BD!U23&amp;"-Très modestes",TabRFR[Recherche RFR],0),MATCH(TEXT(YEAR(BD!D23),"Standard"),TabRFR[[#Headers],[2021]:[2025]],0)),"Très Modeste",IF(V23&lt;=INDEX(TabRFR[[2021]:[2025]],MATCH(BD!U23&amp;"-modestes",TabRFR[Recherche RFR],0),MATCH(TEXT(YEAR(BD!D23),"Standard"),TabRFR[[#Headers],[2021]:[2025]],0)),"Modeste",IF(V23&lt;=INDEX(TabRFR[[2021]:[2025]],MATCH(BD!U23&amp;"-Intermédiaire",TabRFR[Recherche RFR],0),MATCH(TEXT(YEAR(BD!D23),"Standard"),TabRFR[[#Headers],[2021]:[2025]],0)),"Intermédiaire","Supérieur")))))),IF(D23="","",IF(U23+V23&lt;15,"Données Nb pers ou RFR manquantes",IF(COUNTA(INDIRECT("TabRFR["&amp;YEAR(H23)&amp;"]"))&lt;&gt;COUNTA(TabRFR[Recherche RFR]),"Data RFR manquantes", IF(V23&lt;=INDEX(TabRFR[[2021]:[2025]],MATCH(BD!U23&amp;"-Très modestes",TabRFR[Recherche RFR],0),MATCH(TEXT(YEAR(BD!H23),"Standard"),TabRFR[[#Headers],[2021]:[2025]],0)),"Très Modeste",IF(V23&lt;=INDEX(TabRFR[[2021]:[2025]],MATCH(BD!U23&amp;"-modestes",TabRFR[Recherche RFR],0),MATCH(TEXT(YEAR(BD!H23),"Standard"),TabRFR[[#Headers],[2021]:[2025]],0)),"Modeste",IF(V23&lt;=INDEX(TabRFR[[2021]:[2025]],MATCH(BD!U23&amp;"-Intermédiaire",TabRFR[Recherche RFR],0),MATCH(TEXT(YEAR(BD!H23),"Standard"),TabRFR[[#Headers],[2021]:[2025]],0)),"Intermédiaire","Supérieur")))))))</f>
        <v>Data RFR manquantes</v>
      </c>
      <c r="X23" s="143"/>
      <c r="Y23" s="143" t="s">
        <v>245</v>
      </c>
      <c r="Z23" s="143">
        <v>38210</v>
      </c>
      <c r="AA23" s="143" t="s">
        <v>130</v>
      </c>
      <c r="AB23" s="148"/>
      <c r="AC23" s="149"/>
      <c r="AD23" s="143" t="s">
        <v>91</v>
      </c>
      <c r="AE23" s="143" t="s">
        <v>76</v>
      </c>
      <c r="AF23" s="143" t="s">
        <v>76</v>
      </c>
      <c r="AG23" s="143" t="s">
        <v>76</v>
      </c>
      <c r="AH23" s="143" t="s">
        <v>76</v>
      </c>
      <c r="AI23" s="143" t="s">
        <v>109</v>
      </c>
      <c r="AJ23" s="143" t="s">
        <v>108</v>
      </c>
      <c r="AK23" s="143" t="s">
        <v>110</v>
      </c>
      <c r="AL23" s="149" t="s">
        <v>111</v>
      </c>
      <c r="AM23" s="148" t="s">
        <v>112</v>
      </c>
      <c r="AN23" s="143" t="s">
        <v>76</v>
      </c>
      <c r="AO23" s="150" t="s">
        <v>102</v>
      </c>
      <c r="AP23" s="147">
        <v>44138</v>
      </c>
      <c r="AQ23" s="143" t="s">
        <v>3413</v>
      </c>
      <c r="AR23" s="143">
        <v>2000</v>
      </c>
      <c r="AS23" s="143" t="s">
        <v>3413</v>
      </c>
      <c r="AT23" s="143" t="s">
        <v>98</v>
      </c>
      <c r="AU23" s="143" t="s">
        <v>113</v>
      </c>
      <c r="AV23" s="143" t="s">
        <v>246</v>
      </c>
      <c r="AW23" s="143">
        <v>17</v>
      </c>
      <c r="AX23" s="143">
        <v>6.3</v>
      </c>
      <c r="AY23" s="143">
        <v>91.5</v>
      </c>
      <c r="AZ23" s="143">
        <v>0.01</v>
      </c>
      <c r="BA23" s="143" t="s">
        <v>101</v>
      </c>
      <c r="BB23" s="143"/>
      <c r="BC23" s="143">
        <f>1705+89+62+90+120+132+31+15</f>
        <v>2244</v>
      </c>
      <c r="BD23" s="143"/>
      <c r="BE23" s="143">
        <f>50+420</f>
        <v>470</v>
      </c>
      <c r="BF23" s="143">
        <f t="shared" si="0"/>
        <v>2714</v>
      </c>
      <c r="BG23" s="151">
        <f t="shared" si="1"/>
        <v>149.27000000000001</v>
      </c>
      <c r="BH23" s="151">
        <f t="shared" si="2"/>
        <v>2863.27</v>
      </c>
      <c r="BI23" s="151">
        <v>2724.01</v>
      </c>
      <c r="BJ23" s="143" t="s">
        <v>102</v>
      </c>
      <c r="BK23" s="143"/>
      <c r="BL23" s="143"/>
      <c r="BM23" s="143" t="s">
        <v>142</v>
      </c>
      <c r="BN23" s="144" t="s">
        <v>103</v>
      </c>
      <c r="BO23" s="144" t="s">
        <v>143</v>
      </c>
      <c r="BP23" s="143" t="s">
        <v>3583</v>
      </c>
      <c r="BQ23" s="203" t="s">
        <v>144</v>
      </c>
    </row>
    <row r="24" spans="1:69" ht="41.1" customHeight="1">
      <c r="A24" s="133" t="s">
        <v>86</v>
      </c>
      <c r="B24" s="133" t="s">
        <v>247</v>
      </c>
      <c r="C24" s="134">
        <v>400</v>
      </c>
      <c r="D24" s="135">
        <v>44029</v>
      </c>
      <c r="E24" s="135">
        <v>44029</v>
      </c>
      <c r="F24" s="147">
        <v>44036</v>
      </c>
      <c r="G24" s="135" t="s">
        <v>248</v>
      </c>
      <c r="H24" s="147">
        <v>44056</v>
      </c>
      <c r="I24" s="147">
        <v>44056</v>
      </c>
      <c r="J24" s="147">
        <v>44076</v>
      </c>
      <c r="K24" s="135">
        <v>44104</v>
      </c>
      <c r="L24" s="135">
        <v>44092</v>
      </c>
      <c r="M24" s="135" t="s">
        <v>76</v>
      </c>
      <c r="N24" s="135">
        <v>44109</v>
      </c>
      <c r="O24" s="135">
        <v>44109</v>
      </c>
      <c r="P24" s="135">
        <v>44109</v>
      </c>
      <c r="Q24" s="135"/>
      <c r="R24" s="143"/>
      <c r="S24" s="143"/>
      <c r="T24" s="143"/>
      <c r="U24" s="143">
        <v>2</v>
      </c>
      <c r="V24" s="143">
        <v>49157</v>
      </c>
      <c r="W24" s="143" t="str">
        <f ca="1">IF(H24="",IF(D24="","",IF(U24+V24&lt;15,"Données Nb pers ou RFR manquantes",IF(COUNTA(INDIRECT("TabRFR["&amp;YEAR(D24)&amp;"]"))&lt;&gt;COUNTA(TabRFR[Recherche RFR]),"Data RFR manquantes", IF(V24&lt;=INDEX(TabRFR[[2021]:[2025]],MATCH(BD!U24&amp;"-Très modestes",TabRFR[Recherche RFR],0),MATCH(TEXT(YEAR(BD!D24),"Standard"),TabRFR[[#Headers],[2021]:[2025]],0)),"Très Modeste",IF(V24&lt;=INDEX(TabRFR[[2021]:[2025]],MATCH(BD!U24&amp;"-modestes",TabRFR[Recherche RFR],0),MATCH(TEXT(YEAR(BD!D24),"Standard"),TabRFR[[#Headers],[2021]:[2025]],0)),"Modeste",IF(V24&lt;=INDEX(TabRFR[[2021]:[2025]],MATCH(BD!U24&amp;"-Intermédiaire",TabRFR[Recherche RFR],0),MATCH(TEXT(YEAR(BD!D24),"Standard"),TabRFR[[#Headers],[2021]:[2025]],0)),"Intermédiaire","Supérieur")))))),IF(D24="","",IF(U24+V24&lt;15,"Données Nb pers ou RFR manquantes",IF(COUNTA(INDIRECT("TabRFR["&amp;YEAR(H24)&amp;"]"))&lt;&gt;COUNTA(TabRFR[Recherche RFR]),"Data RFR manquantes", IF(V24&lt;=INDEX(TabRFR[[2021]:[2025]],MATCH(BD!U24&amp;"-Très modestes",TabRFR[Recherche RFR],0),MATCH(TEXT(YEAR(BD!H24),"Standard"),TabRFR[[#Headers],[2021]:[2025]],0)),"Très Modeste",IF(V24&lt;=INDEX(TabRFR[[2021]:[2025]],MATCH(BD!U24&amp;"-modestes",TabRFR[Recherche RFR],0),MATCH(TEXT(YEAR(BD!H24),"Standard"),TabRFR[[#Headers],[2021]:[2025]],0)),"Modeste",IF(V24&lt;=INDEX(TabRFR[[2021]:[2025]],MATCH(BD!U24&amp;"-Intermédiaire",TabRFR[Recherche RFR],0),MATCH(TEXT(YEAR(BD!H24),"Standard"),TabRFR[[#Headers],[2021]:[2025]],0)),"Intermédiaire","Supérieur")))))))</f>
        <v>Data RFR manquantes</v>
      </c>
      <c r="X24" s="143"/>
      <c r="Y24" s="143" t="s">
        <v>249</v>
      </c>
      <c r="Z24" s="143">
        <v>38210</v>
      </c>
      <c r="AA24" s="143" t="s">
        <v>130</v>
      </c>
      <c r="AB24" s="148"/>
      <c r="AC24" s="149"/>
      <c r="AD24" s="143" t="s">
        <v>91</v>
      </c>
      <c r="AE24" s="143" t="s">
        <v>76</v>
      </c>
      <c r="AF24" s="143" t="s">
        <v>76</v>
      </c>
      <c r="AG24" s="143" t="s">
        <v>76</v>
      </c>
      <c r="AH24" s="143" t="s">
        <v>76</v>
      </c>
      <c r="AI24" s="143" t="s">
        <v>250</v>
      </c>
      <c r="AJ24" s="143" t="s">
        <v>121</v>
      </c>
      <c r="AK24" s="143" t="s">
        <v>251</v>
      </c>
      <c r="AL24" s="150" t="s">
        <v>252</v>
      </c>
      <c r="AM24" s="148">
        <v>476452433</v>
      </c>
      <c r="AN24" s="143" t="s">
        <v>76</v>
      </c>
      <c r="AO24" s="150" t="s">
        <v>102</v>
      </c>
      <c r="AP24" s="147">
        <v>44118</v>
      </c>
      <c r="AQ24" s="135" t="s">
        <v>3496</v>
      </c>
      <c r="AR24" s="143">
        <v>2001</v>
      </c>
      <c r="AS24" s="143" t="s">
        <v>3413</v>
      </c>
      <c r="AT24" s="135" t="s">
        <v>3446</v>
      </c>
      <c r="AU24" s="143" t="s">
        <v>253</v>
      </c>
      <c r="AV24" s="143" t="s">
        <v>254</v>
      </c>
      <c r="AW24" s="143">
        <v>16</v>
      </c>
      <c r="AX24" s="143">
        <v>6.4</v>
      </c>
      <c r="AY24" s="143">
        <v>81</v>
      </c>
      <c r="AZ24" s="143">
        <v>0.08</v>
      </c>
      <c r="BA24" s="143" t="s">
        <v>101</v>
      </c>
      <c r="BB24" s="143"/>
      <c r="BC24" s="143">
        <f>3971.56+765.62+255+175.3+354.98+304.38+279.8</f>
        <v>6106.6400000000012</v>
      </c>
      <c r="BD24" s="143"/>
      <c r="BE24" s="143">
        <f>580+450+400</f>
        <v>1430</v>
      </c>
      <c r="BF24" s="143">
        <f t="shared" si="0"/>
        <v>7536.6400000000012</v>
      </c>
      <c r="BG24" s="151">
        <f t="shared" si="1"/>
        <v>414.51520000000005</v>
      </c>
      <c r="BH24" s="151">
        <f t="shared" si="2"/>
        <v>7951.1552000000011</v>
      </c>
      <c r="BI24" s="151">
        <v>6896.16</v>
      </c>
      <c r="BJ24" s="143" t="s">
        <v>103</v>
      </c>
      <c r="BK24" s="143"/>
      <c r="BL24" s="143"/>
      <c r="BM24" s="144" t="s">
        <v>142</v>
      </c>
      <c r="BN24" s="144" t="s">
        <v>103</v>
      </c>
      <c r="BO24" s="144" t="s">
        <v>143</v>
      </c>
      <c r="BP24" s="144">
        <v>2020</v>
      </c>
      <c r="BQ24" s="203" t="s">
        <v>3274</v>
      </c>
    </row>
    <row r="25" spans="1:69" ht="41.1" customHeight="1">
      <c r="A25" s="133" t="s">
        <v>86</v>
      </c>
      <c r="B25" s="133" t="s">
        <v>255</v>
      </c>
      <c r="C25" s="134">
        <v>800</v>
      </c>
      <c r="D25" s="135">
        <v>44032</v>
      </c>
      <c r="E25" s="135">
        <v>44033</v>
      </c>
      <c r="F25" s="147">
        <v>44036</v>
      </c>
      <c r="G25" s="135" t="s">
        <v>256</v>
      </c>
      <c r="H25" s="147">
        <v>44043</v>
      </c>
      <c r="I25" s="147">
        <v>44043</v>
      </c>
      <c r="J25" s="147">
        <v>44074</v>
      </c>
      <c r="K25" s="135">
        <v>44096</v>
      </c>
      <c r="L25" s="135">
        <v>44088</v>
      </c>
      <c r="M25" s="135" t="s">
        <v>76</v>
      </c>
      <c r="N25" s="135">
        <v>44096</v>
      </c>
      <c r="O25" s="135">
        <v>44102</v>
      </c>
      <c r="P25" s="135">
        <v>44102</v>
      </c>
      <c r="Q25" s="135"/>
      <c r="R25" s="143"/>
      <c r="S25" s="143"/>
      <c r="T25" s="143"/>
      <c r="U25" s="143">
        <v>4</v>
      </c>
      <c r="V25" s="143">
        <v>23841</v>
      </c>
      <c r="W25" s="143" t="str">
        <f ca="1">IF(H25="",IF(D25="","",IF(U25+V25&lt;15,"Données Nb pers ou RFR manquantes",IF(COUNTA(INDIRECT("TabRFR["&amp;YEAR(D25)&amp;"]"))&lt;&gt;COUNTA(TabRFR[Recherche RFR]),"Data RFR manquantes", IF(V25&lt;=INDEX(TabRFR[[2021]:[2025]],MATCH(BD!U25&amp;"-Très modestes",TabRFR[Recherche RFR],0),MATCH(TEXT(YEAR(BD!D25),"Standard"),TabRFR[[#Headers],[2021]:[2025]],0)),"Très Modeste",IF(V25&lt;=INDEX(TabRFR[[2021]:[2025]],MATCH(BD!U25&amp;"-modestes",TabRFR[Recherche RFR],0),MATCH(TEXT(YEAR(BD!D25),"Standard"),TabRFR[[#Headers],[2021]:[2025]],0)),"Modeste",IF(V25&lt;=INDEX(TabRFR[[2021]:[2025]],MATCH(BD!U25&amp;"-Intermédiaire",TabRFR[Recherche RFR],0),MATCH(TEXT(YEAR(BD!D25),"Standard"),TabRFR[[#Headers],[2021]:[2025]],0)),"Intermédiaire","Supérieur")))))),IF(D25="","",IF(U25+V25&lt;15,"Données Nb pers ou RFR manquantes",IF(COUNTA(INDIRECT("TabRFR["&amp;YEAR(H25)&amp;"]"))&lt;&gt;COUNTA(TabRFR[Recherche RFR]),"Data RFR manquantes", IF(V25&lt;=INDEX(TabRFR[[2021]:[2025]],MATCH(BD!U25&amp;"-Très modestes",TabRFR[Recherche RFR],0),MATCH(TEXT(YEAR(BD!H25),"Standard"),TabRFR[[#Headers],[2021]:[2025]],0)),"Très Modeste",IF(V25&lt;=INDEX(TabRFR[[2021]:[2025]],MATCH(BD!U25&amp;"-modestes",TabRFR[Recherche RFR],0),MATCH(TEXT(YEAR(BD!H25),"Standard"),TabRFR[[#Headers],[2021]:[2025]],0)),"Modeste",IF(V25&lt;=INDEX(TabRFR[[2021]:[2025]],MATCH(BD!U25&amp;"-Intermédiaire",TabRFR[Recherche RFR],0),MATCH(TEXT(YEAR(BD!H25),"Standard"),TabRFR[[#Headers],[2021]:[2025]],0)),"Intermédiaire","Supérieur")))))))</f>
        <v>Data RFR manquantes</v>
      </c>
      <c r="X25" s="143"/>
      <c r="Y25" s="143" t="s">
        <v>257</v>
      </c>
      <c r="Z25" s="143">
        <v>38210</v>
      </c>
      <c r="AA25" s="143" t="s">
        <v>202</v>
      </c>
      <c r="AB25" s="148"/>
      <c r="AC25" s="149"/>
      <c r="AD25" s="143" t="s">
        <v>91</v>
      </c>
      <c r="AE25" s="143" t="s">
        <v>76</v>
      </c>
      <c r="AF25" s="143" t="s">
        <v>76</v>
      </c>
      <c r="AG25" s="143" t="s">
        <v>76</v>
      </c>
      <c r="AH25" s="143" t="s">
        <v>76</v>
      </c>
      <c r="AI25" s="143" t="s">
        <v>169</v>
      </c>
      <c r="AJ25" s="143" t="s">
        <v>119</v>
      </c>
      <c r="AK25" s="143" t="s">
        <v>170</v>
      </c>
      <c r="AL25" s="149" t="s">
        <v>171</v>
      </c>
      <c r="AM25" s="148">
        <v>476355605</v>
      </c>
      <c r="AN25" s="143" t="s">
        <v>76</v>
      </c>
      <c r="AO25" s="150" t="s">
        <v>102</v>
      </c>
      <c r="AP25" s="147">
        <v>44495</v>
      </c>
      <c r="AQ25" s="135" t="s">
        <v>3449</v>
      </c>
      <c r="AR25" s="143">
        <v>1990</v>
      </c>
      <c r="AS25" s="143" t="s">
        <v>3413</v>
      </c>
      <c r="AT25" s="135" t="s">
        <v>3446</v>
      </c>
      <c r="AU25" s="143" t="s">
        <v>258</v>
      </c>
      <c r="AV25" s="143" t="s">
        <v>259</v>
      </c>
      <c r="AW25" s="143">
        <v>34</v>
      </c>
      <c r="AX25" s="143">
        <v>7.3</v>
      </c>
      <c r="AY25" s="143">
        <v>77</v>
      </c>
      <c r="AZ25" s="143">
        <v>0.04</v>
      </c>
      <c r="BA25" s="143" t="s">
        <v>101</v>
      </c>
      <c r="BB25" s="143"/>
      <c r="BC25" s="143">
        <f>540+24.5+41.4+74+94+47.56+1980+198+89.6+33.54</f>
        <v>3122.6</v>
      </c>
      <c r="BD25" s="143"/>
      <c r="BE25" s="143">
        <f>99.09+350+425</f>
        <v>874.09</v>
      </c>
      <c r="BF25" s="143">
        <f t="shared" si="0"/>
        <v>3996.69</v>
      </c>
      <c r="BG25" s="151">
        <f t="shared" si="1"/>
        <v>219.81795</v>
      </c>
      <c r="BH25" s="151">
        <f t="shared" si="2"/>
        <v>4216.5079500000002</v>
      </c>
      <c r="BI25" s="151">
        <v>4216.51</v>
      </c>
      <c r="BJ25" s="143" t="s">
        <v>102</v>
      </c>
      <c r="BK25" s="143"/>
      <c r="BL25" s="143"/>
      <c r="BM25" s="144" t="s">
        <v>142</v>
      </c>
      <c r="BN25" s="144" t="s">
        <v>103</v>
      </c>
      <c r="BO25" s="135" t="s">
        <v>155</v>
      </c>
      <c r="BP25" s="144">
        <v>2020</v>
      </c>
      <c r="BQ25" s="203" t="s">
        <v>144</v>
      </c>
    </row>
    <row r="26" spans="1:69" ht="41.1" customHeight="1">
      <c r="A26" s="133" t="s">
        <v>86</v>
      </c>
      <c r="B26" s="133" t="s">
        <v>260</v>
      </c>
      <c r="C26" s="134">
        <v>400</v>
      </c>
      <c r="D26" s="135">
        <v>44033</v>
      </c>
      <c r="E26" s="135">
        <v>44035</v>
      </c>
      <c r="F26" s="147" t="s">
        <v>76</v>
      </c>
      <c r="G26" s="135" t="s">
        <v>76</v>
      </c>
      <c r="H26" s="147">
        <v>44036</v>
      </c>
      <c r="I26" s="147">
        <v>44036</v>
      </c>
      <c r="J26" s="147">
        <v>44046</v>
      </c>
      <c r="K26" s="135">
        <v>44158</v>
      </c>
      <c r="L26" s="135">
        <v>44135</v>
      </c>
      <c r="M26" s="135" t="s">
        <v>76</v>
      </c>
      <c r="N26" s="135">
        <v>44161</v>
      </c>
      <c r="O26" s="135">
        <v>44161</v>
      </c>
      <c r="P26" s="135">
        <v>44166</v>
      </c>
      <c r="Q26" s="135"/>
      <c r="R26" s="143"/>
      <c r="S26" s="143"/>
      <c r="T26" s="143"/>
      <c r="U26" s="143">
        <v>1</v>
      </c>
      <c r="V26" s="143">
        <v>21341</v>
      </c>
      <c r="W26" s="143" t="str">
        <f ca="1">IF(H26="",IF(D26="","",IF(U26+V26&lt;15,"Données Nb pers ou RFR manquantes",IF(COUNTA(INDIRECT("TabRFR["&amp;YEAR(D26)&amp;"]"))&lt;&gt;COUNTA(TabRFR[Recherche RFR]),"Data RFR manquantes", IF(V26&lt;=INDEX(TabRFR[[2021]:[2025]],MATCH(BD!U26&amp;"-Très modestes",TabRFR[Recherche RFR],0),MATCH(TEXT(YEAR(BD!D26),"Standard"),TabRFR[[#Headers],[2021]:[2025]],0)),"Très Modeste",IF(V26&lt;=INDEX(TabRFR[[2021]:[2025]],MATCH(BD!U26&amp;"-modestes",TabRFR[Recherche RFR],0),MATCH(TEXT(YEAR(BD!D26),"Standard"),TabRFR[[#Headers],[2021]:[2025]],0)),"Modeste",IF(V26&lt;=INDEX(TabRFR[[2021]:[2025]],MATCH(BD!U26&amp;"-Intermédiaire",TabRFR[Recherche RFR],0),MATCH(TEXT(YEAR(BD!D26),"Standard"),TabRFR[[#Headers],[2021]:[2025]],0)),"Intermédiaire","Supérieur")))))),IF(D26="","",IF(U26+V26&lt;15,"Données Nb pers ou RFR manquantes",IF(COUNTA(INDIRECT("TabRFR["&amp;YEAR(H26)&amp;"]"))&lt;&gt;COUNTA(TabRFR[Recherche RFR]),"Data RFR manquantes", IF(V26&lt;=INDEX(TabRFR[[2021]:[2025]],MATCH(BD!U26&amp;"-Très modestes",TabRFR[Recherche RFR],0),MATCH(TEXT(YEAR(BD!H26),"Standard"),TabRFR[[#Headers],[2021]:[2025]],0)),"Très Modeste",IF(V26&lt;=INDEX(TabRFR[[2021]:[2025]],MATCH(BD!U26&amp;"-modestes",TabRFR[Recherche RFR],0),MATCH(TEXT(YEAR(BD!H26),"Standard"),TabRFR[[#Headers],[2021]:[2025]],0)),"Modeste",IF(V26&lt;=INDEX(TabRFR[[2021]:[2025]],MATCH(BD!U26&amp;"-Intermédiaire",TabRFR[Recherche RFR],0),MATCH(TEXT(YEAR(BD!H26),"Standard"),TabRFR[[#Headers],[2021]:[2025]],0)),"Intermédiaire","Supérieur")))))))</f>
        <v>Data RFR manquantes</v>
      </c>
      <c r="X26" s="143"/>
      <c r="Y26" s="143" t="s">
        <v>261</v>
      </c>
      <c r="Z26" s="143">
        <v>38620</v>
      </c>
      <c r="AA26" s="143" t="s">
        <v>262</v>
      </c>
      <c r="AB26" s="148"/>
      <c r="AC26" s="149"/>
      <c r="AD26" s="143" t="s">
        <v>91</v>
      </c>
      <c r="AE26" s="143" t="s">
        <v>76</v>
      </c>
      <c r="AF26" s="143" t="s">
        <v>76</v>
      </c>
      <c r="AG26" s="143" t="s">
        <v>76</v>
      </c>
      <c r="AH26" s="143" t="s">
        <v>76</v>
      </c>
      <c r="AI26" s="143" t="s">
        <v>92</v>
      </c>
      <c r="AJ26" s="143" t="s">
        <v>93</v>
      </c>
      <c r="AK26" s="143" t="s">
        <v>94</v>
      </c>
      <c r="AL26" s="149" t="s">
        <v>95</v>
      </c>
      <c r="AM26" s="148" t="s">
        <v>96</v>
      </c>
      <c r="AN26" s="143" t="s">
        <v>76</v>
      </c>
      <c r="AO26" s="150" t="s">
        <v>97</v>
      </c>
      <c r="AP26" s="147">
        <v>44517</v>
      </c>
      <c r="AQ26" s="135" t="s">
        <v>3496</v>
      </c>
      <c r="AR26" s="143">
        <v>1999</v>
      </c>
      <c r="AS26" s="143" t="s">
        <v>3413</v>
      </c>
      <c r="AT26" s="143" t="s">
        <v>98</v>
      </c>
      <c r="AU26" s="143" t="s">
        <v>99</v>
      </c>
      <c r="AV26" s="143" t="s">
        <v>263</v>
      </c>
      <c r="AW26" s="143">
        <v>10</v>
      </c>
      <c r="AX26" s="143">
        <v>9.1</v>
      </c>
      <c r="AY26" s="143">
        <v>90</v>
      </c>
      <c r="AZ26" s="143">
        <v>0.01</v>
      </c>
      <c r="BA26" s="143" t="s">
        <v>101</v>
      </c>
      <c r="BB26" s="143"/>
      <c r="BC26" s="143">
        <f>3560+595+288.5+163+138</f>
        <v>4744.5</v>
      </c>
      <c r="BD26" s="143"/>
      <c r="BE26" s="143">
        <v>590</v>
      </c>
      <c r="BF26" s="143">
        <f t="shared" si="0"/>
        <v>5334.5</v>
      </c>
      <c r="BG26" s="151">
        <f t="shared" si="1"/>
        <v>293.39749999999998</v>
      </c>
      <c r="BH26" s="151">
        <f t="shared" si="2"/>
        <v>5627.8975</v>
      </c>
      <c r="BI26" s="151">
        <v>5627.9</v>
      </c>
      <c r="BJ26" s="143" t="s">
        <v>102</v>
      </c>
      <c r="BK26" s="143"/>
      <c r="BL26" s="143"/>
      <c r="BM26" s="144" t="s">
        <v>142</v>
      </c>
      <c r="BN26" s="144" t="s">
        <v>103</v>
      </c>
      <c r="BO26" s="144" t="s">
        <v>143</v>
      </c>
      <c r="BP26" s="143" t="s">
        <v>3583</v>
      </c>
      <c r="BQ26" s="203" t="s">
        <v>3275</v>
      </c>
    </row>
    <row r="27" spans="1:69" ht="41.1" customHeight="1">
      <c r="A27" s="133" t="s">
        <v>86</v>
      </c>
      <c r="B27" s="133" t="s">
        <v>264</v>
      </c>
      <c r="C27" s="134">
        <v>400</v>
      </c>
      <c r="D27" s="135">
        <v>44034</v>
      </c>
      <c r="E27" s="135">
        <v>44035</v>
      </c>
      <c r="F27" s="147" t="s">
        <v>76</v>
      </c>
      <c r="G27" s="135" t="s">
        <v>76</v>
      </c>
      <c r="H27" s="147">
        <v>44036</v>
      </c>
      <c r="I27" s="147">
        <v>44036</v>
      </c>
      <c r="J27" s="147">
        <v>44046</v>
      </c>
      <c r="K27" s="135">
        <v>44088</v>
      </c>
      <c r="L27" s="135">
        <v>44076</v>
      </c>
      <c r="M27" s="135" t="s">
        <v>76</v>
      </c>
      <c r="N27" s="135">
        <v>44102</v>
      </c>
      <c r="O27" s="135">
        <v>44102</v>
      </c>
      <c r="P27" s="135">
        <v>44102</v>
      </c>
      <c r="Q27" s="135"/>
      <c r="R27" s="143"/>
      <c r="S27" s="143"/>
      <c r="T27" s="143"/>
      <c r="U27" s="143">
        <v>4</v>
      </c>
      <c r="V27" s="143">
        <v>81244</v>
      </c>
      <c r="W27" s="143" t="str">
        <f ca="1">IF(H27="",IF(D27="","",IF(U27+V27&lt;15,"Données Nb pers ou RFR manquantes",IF(COUNTA(INDIRECT("TabRFR["&amp;YEAR(D27)&amp;"]"))&lt;&gt;COUNTA(TabRFR[Recherche RFR]),"Data RFR manquantes", IF(V27&lt;=INDEX(TabRFR[[2021]:[2025]],MATCH(BD!U27&amp;"-Très modestes",TabRFR[Recherche RFR],0),MATCH(TEXT(YEAR(BD!D27),"Standard"),TabRFR[[#Headers],[2021]:[2025]],0)),"Très Modeste",IF(V27&lt;=INDEX(TabRFR[[2021]:[2025]],MATCH(BD!U27&amp;"-modestes",TabRFR[Recherche RFR],0),MATCH(TEXT(YEAR(BD!D27),"Standard"),TabRFR[[#Headers],[2021]:[2025]],0)),"Modeste",IF(V27&lt;=INDEX(TabRFR[[2021]:[2025]],MATCH(BD!U27&amp;"-Intermédiaire",TabRFR[Recherche RFR],0),MATCH(TEXT(YEAR(BD!D27),"Standard"),TabRFR[[#Headers],[2021]:[2025]],0)),"Intermédiaire","Supérieur")))))),IF(D27="","",IF(U27+V27&lt;15,"Données Nb pers ou RFR manquantes",IF(COUNTA(INDIRECT("TabRFR["&amp;YEAR(H27)&amp;"]"))&lt;&gt;COUNTA(TabRFR[Recherche RFR]),"Data RFR manquantes", IF(V27&lt;=INDEX(TabRFR[[2021]:[2025]],MATCH(BD!U27&amp;"-Très modestes",TabRFR[Recherche RFR],0),MATCH(TEXT(YEAR(BD!H27),"Standard"),TabRFR[[#Headers],[2021]:[2025]],0)),"Très Modeste",IF(V27&lt;=INDEX(TabRFR[[2021]:[2025]],MATCH(BD!U27&amp;"-modestes",TabRFR[Recherche RFR],0),MATCH(TEXT(YEAR(BD!H27),"Standard"),TabRFR[[#Headers],[2021]:[2025]],0)),"Modeste",IF(V27&lt;=INDEX(TabRFR[[2021]:[2025]],MATCH(BD!U27&amp;"-Intermédiaire",TabRFR[Recherche RFR],0),MATCH(TEXT(YEAR(BD!H27),"Standard"),TabRFR[[#Headers],[2021]:[2025]],0)),"Intermédiaire","Supérieur")))))))</f>
        <v>Data RFR manquantes</v>
      </c>
      <c r="X27" s="143"/>
      <c r="Y27" s="143" t="s">
        <v>265</v>
      </c>
      <c r="Z27" s="143">
        <v>38340</v>
      </c>
      <c r="AA27" s="143" t="s">
        <v>266</v>
      </c>
      <c r="AB27" s="148"/>
      <c r="AC27" s="149"/>
      <c r="AD27" s="143" t="s">
        <v>91</v>
      </c>
      <c r="AE27" s="143" t="s">
        <v>76</v>
      </c>
      <c r="AF27" s="143" t="s">
        <v>76</v>
      </c>
      <c r="AG27" s="143" t="s">
        <v>76</v>
      </c>
      <c r="AH27" s="143" t="s">
        <v>76</v>
      </c>
      <c r="AI27" s="143" t="s">
        <v>267</v>
      </c>
      <c r="AJ27" s="143" t="s">
        <v>268</v>
      </c>
      <c r="AK27" s="143" t="s">
        <v>269</v>
      </c>
      <c r="AL27" s="150" t="s">
        <v>270</v>
      </c>
      <c r="AM27" s="148">
        <v>437064566</v>
      </c>
      <c r="AN27" s="143" t="s">
        <v>76</v>
      </c>
      <c r="AO27" s="150" t="s">
        <v>102</v>
      </c>
      <c r="AP27" s="147">
        <v>44268</v>
      </c>
      <c r="AQ27" s="135" t="s">
        <v>3496</v>
      </c>
      <c r="AR27" s="143">
        <v>1985</v>
      </c>
      <c r="AS27" s="143" t="s">
        <v>3413</v>
      </c>
      <c r="AT27" s="135" t="s">
        <v>3446</v>
      </c>
      <c r="AU27" s="143" t="s">
        <v>271</v>
      </c>
      <c r="AV27" s="143" t="s">
        <v>272</v>
      </c>
      <c r="AW27" s="143">
        <v>28</v>
      </c>
      <c r="AX27" s="143">
        <v>7</v>
      </c>
      <c r="AY27" s="143">
        <v>81.3</v>
      </c>
      <c r="AZ27" s="143">
        <v>0.1</v>
      </c>
      <c r="BA27" s="143" t="s">
        <v>101</v>
      </c>
      <c r="BB27" s="143"/>
      <c r="BC27" s="143">
        <f>3068.29+115.99+131.5+114.63+6.81+5.36+267.28+42.14+76.21+49.24+16.26+62.09+15.82</f>
        <v>3971.62</v>
      </c>
      <c r="BD27" s="143"/>
      <c r="BE27" s="143">
        <f>1520.95+149</f>
        <v>1669.95</v>
      </c>
      <c r="BF27" s="143">
        <f t="shared" si="0"/>
        <v>5641.57</v>
      </c>
      <c r="BG27" s="151">
        <f t="shared" si="1"/>
        <v>310.28634999999997</v>
      </c>
      <c r="BH27" s="151">
        <f t="shared" si="2"/>
        <v>5951.85635</v>
      </c>
      <c r="BI27" s="151">
        <v>5798.97</v>
      </c>
      <c r="BJ27" s="143" t="s">
        <v>102</v>
      </c>
      <c r="BK27" s="143"/>
      <c r="BL27" s="143"/>
      <c r="BM27" s="144" t="s">
        <v>142</v>
      </c>
      <c r="BN27" s="144" t="s">
        <v>103</v>
      </c>
      <c r="BO27" s="144" t="s">
        <v>143</v>
      </c>
      <c r="BP27" s="144">
        <v>2020</v>
      </c>
      <c r="BQ27" s="203" t="s">
        <v>144</v>
      </c>
    </row>
    <row r="28" spans="1:69" ht="41.1" customHeight="1">
      <c r="A28" s="133" t="s">
        <v>86</v>
      </c>
      <c r="B28" s="133" t="s">
        <v>273</v>
      </c>
      <c r="C28" s="134">
        <v>400</v>
      </c>
      <c r="D28" s="135">
        <v>44035</v>
      </c>
      <c r="E28" s="135">
        <v>44035</v>
      </c>
      <c r="F28" s="147" t="s">
        <v>76</v>
      </c>
      <c r="G28" s="135" t="s">
        <v>76</v>
      </c>
      <c r="H28" s="147">
        <v>44036</v>
      </c>
      <c r="I28" s="147">
        <v>44036</v>
      </c>
      <c r="J28" s="147">
        <v>44046</v>
      </c>
      <c r="K28" s="135">
        <v>44116</v>
      </c>
      <c r="L28" s="135">
        <v>44088</v>
      </c>
      <c r="M28" s="135" t="s">
        <v>76</v>
      </c>
      <c r="N28" s="135">
        <v>44123</v>
      </c>
      <c r="O28" s="135">
        <v>44123</v>
      </c>
      <c r="P28" s="135">
        <v>44133</v>
      </c>
      <c r="Q28" s="135"/>
      <c r="R28" s="143"/>
      <c r="S28" s="143"/>
      <c r="T28" s="143"/>
      <c r="U28" s="143">
        <v>3</v>
      </c>
      <c r="V28" s="143">
        <v>86749</v>
      </c>
      <c r="W28" s="143" t="str">
        <f ca="1">IF(H28="",IF(D28="","",IF(U28+V28&lt;15,"Données Nb pers ou RFR manquantes",IF(COUNTA(INDIRECT("TabRFR["&amp;YEAR(D28)&amp;"]"))&lt;&gt;COUNTA(TabRFR[Recherche RFR]),"Data RFR manquantes", IF(V28&lt;=INDEX(TabRFR[[2021]:[2025]],MATCH(BD!U28&amp;"-Très modestes",TabRFR[Recherche RFR],0),MATCH(TEXT(YEAR(BD!D28),"Standard"),TabRFR[[#Headers],[2021]:[2025]],0)),"Très Modeste",IF(V28&lt;=INDEX(TabRFR[[2021]:[2025]],MATCH(BD!U28&amp;"-modestes",TabRFR[Recherche RFR],0),MATCH(TEXT(YEAR(BD!D28),"Standard"),TabRFR[[#Headers],[2021]:[2025]],0)),"Modeste",IF(V28&lt;=INDEX(TabRFR[[2021]:[2025]],MATCH(BD!U28&amp;"-Intermédiaire",TabRFR[Recherche RFR],0),MATCH(TEXT(YEAR(BD!D28),"Standard"),TabRFR[[#Headers],[2021]:[2025]],0)),"Intermédiaire","Supérieur")))))),IF(D28="","",IF(U28+V28&lt;15,"Données Nb pers ou RFR manquantes",IF(COUNTA(INDIRECT("TabRFR["&amp;YEAR(H28)&amp;"]"))&lt;&gt;COUNTA(TabRFR[Recherche RFR]),"Data RFR manquantes", IF(V28&lt;=INDEX(TabRFR[[2021]:[2025]],MATCH(BD!U28&amp;"-Très modestes",TabRFR[Recherche RFR],0),MATCH(TEXT(YEAR(BD!H28),"Standard"),TabRFR[[#Headers],[2021]:[2025]],0)),"Très Modeste",IF(V28&lt;=INDEX(TabRFR[[2021]:[2025]],MATCH(BD!U28&amp;"-modestes",TabRFR[Recherche RFR],0),MATCH(TEXT(YEAR(BD!H28),"Standard"),TabRFR[[#Headers],[2021]:[2025]],0)),"Modeste",IF(V28&lt;=INDEX(TabRFR[[2021]:[2025]],MATCH(BD!U28&amp;"-Intermédiaire",TabRFR[Recherche RFR],0),MATCH(TEXT(YEAR(BD!H28),"Standard"),TabRFR[[#Headers],[2021]:[2025]],0)),"Intermédiaire","Supérieur")))))))</f>
        <v>Data RFR manquantes</v>
      </c>
      <c r="X28" s="143"/>
      <c r="Y28" s="143" t="s">
        <v>274</v>
      </c>
      <c r="Z28" s="143">
        <v>38430</v>
      </c>
      <c r="AA28" s="143" t="s">
        <v>119</v>
      </c>
      <c r="AB28" s="148"/>
      <c r="AC28" s="149"/>
      <c r="AD28" s="143" t="s">
        <v>91</v>
      </c>
      <c r="AE28" s="143" t="s">
        <v>76</v>
      </c>
      <c r="AF28" s="143" t="s">
        <v>76</v>
      </c>
      <c r="AG28" s="143" t="s">
        <v>76</v>
      </c>
      <c r="AH28" s="143" t="s">
        <v>76</v>
      </c>
      <c r="AI28" s="135" t="s">
        <v>2748</v>
      </c>
      <c r="AJ28" s="143" t="s">
        <v>108</v>
      </c>
      <c r="AK28" s="135" t="s">
        <v>2749</v>
      </c>
      <c r="AL28" s="150" t="s">
        <v>275</v>
      </c>
      <c r="AM28" s="148">
        <v>476059444</v>
      </c>
      <c r="AN28" s="143" t="s">
        <v>76</v>
      </c>
      <c r="AO28" s="150" t="s">
        <v>102</v>
      </c>
      <c r="AP28" s="147">
        <v>44424</v>
      </c>
      <c r="AQ28" s="135" t="s">
        <v>3449</v>
      </c>
      <c r="AR28" s="143">
        <v>2001</v>
      </c>
      <c r="AS28" s="143" t="s">
        <v>3413</v>
      </c>
      <c r="AT28" s="143" t="s">
        <v>98</v>
      </c>
      <c r="AU28" s="143" t="s">
        <v>276</v>
      </c>
      <c r="AV28" s="143" t="s">
        <v>277</v>
      </c>
      <c r="AW28" s="143">
        <v>14</v>
      </c>
      <c r="AX28" s="143">
        <v>8</v>
      </c>
      <c r="AY28" s="143">
        <v>90.7</v>
      </c>
      <c r="AZ28" s="143">
        <v>0.01</v>
      </c>
      <c r="BA28" s="143" t="s">
        <v>126</v>
      </c>
      <c r="BB28" s="143"/>
      <c r="BC28" s="143">
        <f>4700+175+796+580</f>
        <v>6251</v>
      </c>
      <c r="BD28" s="143"/>
      <c r="BE28" s="143">
        <v>695</v>
      </c>
      <c r="BF28" s="143">
        <f t="shared" si="0"/>
        <v>6946</v>
      </c>
      <c r="BG28" s="151">
        <f t="shared" si="1"/>
        <v>382.03000000000003</v>
      </c>
      <c r="BH28" s="151">
        <f t="shared" si="2"/>
        <v>7328.03</v>
      </c>
      <c r="BI28" s="151">
        <v>7328.03</v>
      </c>
      <c r="BJ28" s="143" t="s">
        <v>102</v>
      </c>
      <c r="BK28" s="143"/>
      <c r="BL28" s="143"/>
      <c r="BM28" s="144" t="s">
        <v>142</v>
      </c>
      <c r="BN28" s="144" t="s">
        <v>103</v>
      </c>
      <c r="BO28" s="144" t="s">
        <v>143</v>
      </c>
      <c r="BP28" s="143" t="s">
        <v>3583</v>
      </c>
      <c r="BQ28" s="203" t="s">
        <v>144</v>
      </c>
    </row>
    <row r="29" spans="1:69" ht="41.1" customHeight="1">
      <c r="A29" s="133" t="s">
        <v>86</v>
      </c>
      <c r="B29" s="133" t="s">
        <v>278</v>
      </c>
      <c r="C29" s="134">
        <v>400</v>
      </c>
      <c r="D29" s="135">
        <v>44035</v>
      </c>
      <c r="E29" s="135">
        <v>44039</v>
      </c>
      <c r="F29" s="147" t="s">
        <v>76</v>
      </c>
      <c r="G29" s="135" t="s">
        <v>76</v>
      </c>
      <c r="H29" s="147">
        <v>44043</v>
      </c>
      <c r="I29" s="147">
        <v>44043</v>
      </c>
      <c r="J29" s="147">
        <v>44074</v>
      </c>
      <c r="K29" s="135">
        <v>44127</v>
      </c>
      <c r="L29" s="135">
        <v>44120</v>
      </c>
      <c r="M29" s="135" t="s">
        <v>76</v>
      </c>
      <c r="N29" s="135">
        <v>44131</v>
      </c>
      <c r="O29" s="135">
        <v>44131</v>
      </c>
      <c r="P29" s="135">
        <v>44133</v>
      </c>
      <c r="Q29" s="135"/>
      <c r="R29" s="143"/>
      <c r="S29" s="143"/>
      <c r="T29" s="143"/>
      <c r="U29" s="143">
        <v>2</v>
      </c>
      <c r="V29" s="143">
        <v>113152</v>
      </c>
      <c r="W29" s="143" t="str">
        <f ca="1">IF(H29="",IF(D29="","",IF(U29+V29&lt;15,"Données Nb pers ou RFR manquantes",IF(COUNTA(INDIRECT("TabRFR["&amp;YEAR(D29)&amp;"]"))&lt;&gt;COUNTA(TabRFR[Recherche RFR]),"Data RFR manquantes", IF(V29&lt;=INDEX(TabRFR[[2021]:[2025]],MATCH(BD!U29&amp;"-Très modestes",TabRFR[Recherche RFR],0),MATCH(TEXT(YEAR(BD!D29),"Standard"),TabRFR[[#Headers],[2021]:[2025]],0)),"Très Modeste",IF(V29&lt;=INDEX(TabRFR[[2021]:[2025]],MATCH(BD!U29&amp;"-modestes",TabRFR[Recherche RFR],0),MATCH(TEXT(YEAR(BD!D29),"Standard"),TabRFR[[#Headers],[2021]:[2025]],0)),"Modeste",IF(V29&lt;=INDEX(TabRFR[[2021]:[2025]],MATCH(BD!U29&amp;"-Intermédiaire",TabRFR[Recherche RFR],0),MATCH(TEXT(YEAR(BD!D29),"Standard"),TabRFR[[#Headers],[2021]:[2025]],0)),"Intermédiaire","Supérieur")))))),IF(D29="","",IF(U29+V29&lt;15,"Données Nb pers ou RFR manquantes",IF(COUNTA(INDIRECT("TabRFR["&amp;YEAR(H29)&amp;"]"))&lt;&gt;COUNTA(TabRFR[Recherche RFR]),"Data RFR manquantes", IF(V29&lt;=INDEX(TabRFR[[2021]:[2025]],MATCH(BD!U29&amp;"-Très modestes",TabRFR[Recherche RFR],0),MATCH(TEXT(YEAR(BD!H29),"Standard"),TabRFR[[#Headers],[2021]:[2025]],0)),"Très Modeste",IF(V29&lt;=INDEX(TabRFR[[2021]:[2025]],MATCH(BD!U29&amp;"-modestes",TabRFR[Recherche RFR],0),MATCH(TEXT(YEAR(BD!H29),"Standard"),TabRFR[[#Headers],[2021]:[2025]],0)),"Modeste",IF(V29&lt;=INDEX(TabRFR[[2021]:[2025]],MATCH(BD!U29&amp;"-Intermédiaire",TabRFR[Recherche RFR],0),MATCH(TEXT(YEAR(BD!H29),"Standard"),TabRFR[[#Headers],[2021]:[2025]],0)),"Intermédiaire","Supérieur")))))))</f>
        <v>Data RFR manquantes</v>
      </c>
      <c r="X29" s="143"/>
      <c r="Y29" s="143" t="s">
        <v>279</v>
      </c>
      <c r="Z29" s="143">
        <v>38960</v>
      </c>
      <c r="AA29" s="143" t="s">
        <v>209</v>
      </c>
      <c r="AB29" s="148"/>
      <c r="AC29" s="149"/>
      <c r="AD29" s="143" t="s">
        <v>91</v>
      </c>
      <c r="AE29" s="143" t="s">
        <v>76</v>
      </c>
      <c r="AF29" s="143" t="s">
        <v>76</v>
      </c>
      <c r="AG29" s="143" t="s">
        <v>76</v>
      </c>
      <c r="AH29" s="143" t="s">
        <v>76</v>
      </c>
      <c r="AI29" s="143" t="s">
        <v>185</v>
      </c>
      <c r="AJ29" s="143" t="s">
        <v>108</v>
      </c>
      <c r="AK29" s="143" t="s">
        <v>186</v>
      </c>
      <c r="AL29" s="150" t="s">
        <v>187</v>
      </c>
      <c r="AM29" s="148">
        <v>951096343</v>
      </c>
      <c r="AN29" s="143" t="s">
        <v>76</v>
      </c>
      <c r="AO29" s="150" t="s">
        <v>102</v>
      </c>
      <c r="AP29" s="147">
        <v>44433</v>
      </c>
      <c r="AQ29" s="135" t="s">
        <v>3449</v>
      </c>
      <c r="AR29" s="143" t="s">
        <v>172</v>
      </c>
      <c r="AS29" s="143" t="s">
        <v>3413</v>
      </c>
      <c r="AT29" s="143" t="s">
        <v>98</v>
      </c>
      <c r="AU29" s="143" t="s">
        <v>188</v>
      </c>
      <c r="AV29" s="143" t="s">
        <v>280</v>
      </c>
      <c r="AW29" s="143">
        <v>15</v>
      </c>
      <c r="AX29" s="143">
        <v>9.3000000000000007</v>
      </c>
      <c r="AY29" s="143">
        <v>87</v>
      </c>
      <c r="AZ29" s="143">
        <v>1.7999999999999999E-2</v>
      </c>
      <c r="BA29" s="143" t="s">
        <v>126</v>
      </c>
      <c r="BB29" s="143"/>
      <c r="BC29" s="143">
        <f>4990+404+271.35+267+269.9</f>
        <v>6202.25</v>
      </c>
      <c r="BD29" s="143"/>
      <c r="BE29" s="143">
        <v>630</v>
      </c>
      <c r="BF29" s="143">
        <f t="shared" si="0"/>
        <v>6832.25</v>
      </c>
      <c r="BG29" s="151">
        <f t="shared" si="1"/>
        <v>375.77375000000001</v>
      </c>
      <c r="BH29" s="151">
        <f t="shared" si="2"/>
        <v>7208.0237500000003</v>
      </c>
      <c r="BI29" s="151">
        <v>6733.27</v>
      </c>
      <c r="BJ29" s="143" t="s">
        <v>102</v>
      </c>
      <c r="BK29" s="143"/>
      <c r="BL29" s="143"/>
      <c r="BM29" s="144" t="s">
        <v>142</v>
      </c>
      <c r="BN29" s="144" t="s">
        <v>103</v>
      </c>
      <c r="BO29" s="144" t="s">
        <v>143</v>
      </c>
      <c r="BP29" s="143" t="s">
        <v>3583</v>
      </c>
      <c r="BQ29" s="203" t="s">
        <v>144</v>
      </c>
    </row>
    <row r="30" spans="1:69" ht="41.1" customHeight="1">
      <c r="A30" s="133" t="s">
        <v>86</v>
      </c>
      <c r="B30" s="133" t="s">
        <v>281</v>
      </c>
      <c r="C30" s="134">
        <v>800</v>
      </c>
      <c r="D30" s="135">
        <v>44040</v>
      </c>
      <c r="E30" s="135">
        <v>44042</v>
      </c>
      <c r="F30" s="147">
        <v>44043</v>
      </c>
      <c r="G30" s="135" t="s">
        <v>282</v>
      </c>
      <c r="H30" s="147">
        <v>44056</v>
      </c>
      <c r="I30" s="147">
        <v>44056</v>
      </c>
      <c r="J30" s="147">
        <v>44076</v>
      </c>
      <c r="K30" s="135">
        <v>44138</v>
      </c>
      <c r="L30" s="135">
        <v>44137</v>
      </c>
      <c r="M30" s="135" t="s">
        <v>76</v>
      </c>
      <c r="N30" s="135">
        <v>44140</v>
      </c>
      <c r="O30" s="135">
        <v>44140</v>
      </c>
      <c r="P30" s="135">
        <v>44147</v>
      </c>
      <c r="Q30" s="135"/>
      <c r="R30" s="143"/>
      <c r="S30" s="143"/>
      <c r="T30" s="143"/>
      <c r="U30" s="143">
        <v>1</v>
      </c>
      <c r="V30" s="143">
        <v>10652</v>
      </c>
      <c r="W30" s="143" t="str">
        <f ca="1">IF(H30="",IF(D30="","",IF(U30+V30&lt;15,"Données Nb pers ou RFR manquantes",IF(COUNTA(INDIRECT("TabRFR["&amp;YEAR(D30)&amp;"]"))&lt;&gt;COUNTA(TabRFR[Recherche RFR]),"Data RFR manquantes", IF(V30&lt;=INDEX(TabRFR[[2021]:[2025]],MATCH(BD!U30&amp;"-Très modestes",TabRFR[Recherche RFR],0),MATCH(TEXT(YEAR(BD!D30),"Standard"),TabRFR[[#Headers],[2021]:[2025]],0)),"Très Modeste",IF(V30&lt;=INDEX(TabRFR[[2021]:[2025]],MATCH(BD!U30&amp;"-modestes",TabRFR[Recherche RFR],0),MATCH(TEXT(YEAR(BD!D30),"Standard"),TabRFR[[#Headers],[2021]:[2025]],0)),"Modeste",IF(V30&lt;=INDEX(TabRFR[[2021]:[2025]],MATCH(BD!U30&amp;"-Intermédiaire",TabRFR[Recherche RFR],0),MATCH(TEXT(YEAR(BD!D30),"Standard"),TabRFR[[#Headers],[2021]:[2025]],0)),"Intermédiaire","Supérieur")))))),IF(D30="","",IF(U30+V30&lt;15,"Données Nb pers ou RFR manquantes",IF(COUNTA(INDIRECT("TabRFR["&amp;YEAR(H30)&amp;"]"))&lt;&gt;COUNTA(TabRFR[Recherche RFR]),"Data RFR manquantes", IF(V30&lt;=INDEX(TabRFR[[2021]:[2025]],MATCH(BD!U30&amp;"-Très modestes",TabRFR[Recherche RFR],0),MATCH(TEXT(YEAR(BD!H30),"Standard"),TabRFR[[#Headers],[2021]:[2025]],0)),"Très Modeste",IF(V30&lt;=INDEX(TabRFR[[2021]:[2025]],MATCH(BD!U30&amp;"-modestes",TabRFR[Recherche RFR],0),MATCH(TEXT(YEAR(BD!H30),"Standard"),TabRFR[[#Headers],[2021]:[2025]],0)),"Modeste",IF(V30&lt;=INDEX(TabRFR[[2021]:[2025]],MATCH(BD!U30&amp;"-Intermédiaire",TabRFR[Recherche RFR],0),MATCH(TEXT(YEAR(BD!H30),"Standard"),TabRFR[[#Headers],[2021]:[2025]],0)),"Intermédiaire","Supérieur")))))))</f>
        <v>Data RFR manquantes</v>
      </c>
      <c r="X30" s="143"/>
      <c r="Y30" s="143" t="s">
        <v>283</v>
      </c>
      <c r="Z30" s="143">
        <v>38500</v>
      </c>
      <c r="AA30" s="143" t="s">
        <v>284</v>
      </c>
      <c r="AB30" s="148"/>
      <c r="AC30" s="149"/>
      <c r="AD30" s="143" t="s">
        <v>91</v>
      </c>
      <c r="AE30" s="143" t="s">
        <v>76</v>
      </c>
      <c r="AF30" s="143" t="s">
        <v>76</v>
      </c>
      <c r="AG30" s="143" t="s">
        <v>76</v>
      </c>
      <c r="AH30" s="143" t="s">
        <v>76</v>
      </c>
      <c r="AI30" s="135" t="s">
        <v>285</v>
      </c>
      <c r="AJ30" s="143" t="s">
        <v>108</v>
      </c>
      <c r="AK30" s="143" t="s">
        <v>286</v>
      </c>
      <c r="AL30" s="150" t="s">
        <v>287</v>
      </c>
      <c r="AM30" s="148">
        <v>476069938</v>
      </c>
      <c r="AN30" s="143" t="s">
        <v>76</v>
      </c>
      <c r="AO30" s="150" t="s">
        <v>102</v>
      </c>
      <c r="AP30" s="147">
        <v>44457</v>
      </c>
      <c r="AQ30" s="143" t="s">
        <v>3413</v>
      </c>
      <c r="AR30" s="143">
        <v>2000</v>
      </c>
      <c r="AS30" s="143" t="s">
        <v>3413</v>
      </c>
      <c r="AT30" s="135" t="s">
        <v>3446</v>
      </c>
      <c r="AU30" s="143" t="s">
        <v>99</v>
      </c>
      <c r="AV30" s="143" t="s">
        <v>288</v>
      </c>
      <c r="AW30" s="143">
        <v>18</v>
      </c>
      <c r="AX30" s="143">
        <v>7</v>
      </c>
      <c r="AY30" s="143">
        <v>77</v>
      </c>
      <c r="AZ30" s="143">
        <v>7.0000000000000007E-2</v>
      </c>
      <c r="BA30" s="143" t="s">
        <v>101</v>
      </c>
      <c r="BB30" s="143"/>
      <c r="BC30" s="143">
        <f>510+290+945</f>
        <v>1745</v>
      </c>
      <c r="BD30" s="143"/>
      <c r="BE30" s="143">
        <f>450+300</f>
        <v>750</v>
      </c>
      <c r="BF30" s="143">
        <f t="shared" si="0"/>
        <v>2495</v>
      </c>
      <c r="BG30" s="143">
        <f t="shared" si="1"/>
        <v>137.22499999999999</v>
      </c>
      <c r="BH30" s="143">
        <f t="shared" si="2"/>
        <v>2632.2249999999999</v>
      </c>
      <c r="BI30" s="151">
        <v>2632.23</v>
      </c>
      <c r="BJ30" s="143" t="s">
        <v>102</v>
      </c>
      <c r="BK30" s="143"/>
      <c r="BL30" s="143"/>
      <c r="BM30" s="144" t="s">
        <v>142</v>
      </c>
      <c r="BN30" s="144" t="s">
        <v>103</v>
      </c>
      <c r="BO30" s="135" t="s">
        <v>155</v>
      </c>
      <c r="BP30" s="144">
        <v>2020</v>
      </c>
      <c r="BQ30" s="203" t="s">
        <v>144</v>
      </c>
    </row>
    <row r="31" spans="1:69" ht="41.1" customHeight="1">
      <c r="A31" s="133" t="s">
        <v>86</v>
      </c>
      <c r="B31" s="133" t="s">
        <v>289</v>
      </c>
      <c r="C31" s="134">
        <v>800</v>
      </c>
      <c r="D31" s="135">
        <v>44040</v>
      </c>
      <c r="E31" s="135">
        <v>44042</v>
      </c>
      <c r="F31" s="147">
        <v>44043</v>
      </c>
      <c r="G31" s="135" t="s">
        <v>290</v>
      </c>
      <c r="H31" s="147">
        <v>44043</v>
      </c>
      <c r="I31" s="147">
        <v>44043</v>
      </c>
      <c r="J31" s="147">
        <v>44074</v>
      </c>
      <c r="K31" s="135">
        <v>44077</v>
      </c>
      <c r="L31" s="135">
        <v>44069</v>
      </c>
      <c r="M31" s="135" t="s">
        <v>291</v>
      </c>
      <c r="N31" s="135">
        <v>44126</v>
      </c>
      <c r="O31" s="135">
        <v>44126</v>
      </c>
      <c r="P31" s="135">
        <v>44139</v>
      </c>
      <c r="Q31" s="135"/>
      <c r="R31" s="143"/>
      <c r="S31" s="143"/>
      <c r="T31" s="143"/>
      <c r="U31" s="143">
        <v>1</v>
      </c>
      <c r="V31" s="143">
        <v>13973</v>
      </c>
      <c r="W31" s="143" t="str">
        <f ca="1">IF(H31="",IF(D31="","",IF(U31+V31&lt;15,"Données Nb pers ou RFR manquantes",IF(COUNTA(INDIRECT("TabRFR["&amp;YEAR(D31)&amp;"]"))&lt;&gt;COUNTA(TabRFR[Recherche RFR]),"Data RFR manquantes", IF(V31&lt;=INDEX(TabRFR[[2021]:[2025]],MATCH(BD!U31&amp;"-Très modestes",TabRFR[Recherche RFR],0),MATCH(TEXT(YEAR(BD!D31),"Standard"),TabRFR[[#Headers],[2021]:[2025]],0)),"Très Modeste",IF(V31&lt;=INDEX(TabRFR[[2021]:[2025]],MATCH(BD!U31&amp;"-modestes",TabRFR[Recherche RFR],0),MATCH(TEXT(YEAR(BD!D31),"Standard"),TabRFR[[#Headers],[2021]:[2025]],0)),"Modeste",IF(V31&lt;=INDEX(TabRFR[[2021]:[2025]],MATCH(BD!U31&amp;"-Intermédiaire",TabRFR[Recherche RFR],0),MATCH(TEXT(YEAR(BD!D31),"Standard"),TabRFR[[#Headers],[2021]:[2025]],0)),"Intermédiaire","Supérieur")))))),IF(D31="","",IF(U31+V31&lt;15,"Données Nb pers ou RFR manquantes",IF(COUNTA(INDIRECT("TabRFR["&amp;YEAR(H31)&amp;"]"))&lt;&gt;COUNTA(TabRFR[Recherche RFR]),"Data RFR manquantes", IF(V31&lt;=INDEX(TabRFR[[2021]:[2025]],MATCH(BD!U31&amp;"-Très modestes",TabRFR[Recherche RFR],0),MATCH(TEXT(YEAR(BD!H31),"Standard"),TabRFR[[#Headers],[2021]:[2025]],0)),"Très Modeste",IF(V31&lt;=INDEX(TabRFR[[2021]:[2025]],MATCH(BD!U31&amp;"-modestes",TabRFR[Recherche RFR],0),MATCH(TEXT(YEAR(BD!H31),"Standard"),TabRFR[[#Headers],[2021]:[2025]],0)),"Modeste",IF(V31&lt;=INDEX(TabRFR[[2021]:[2025]],MATCH(BD!U31&amp;"-Intermédiaire",TabRFR[Recherche RFR],0),MATCH(TEXT(YEAR(BD!H31),"Standard"),TabRFR[[#Headers],[2021]:[2025]],0)),"Intermédiaire","Supérieur")))))))</f>
        <v>Data RFR manquantes</v>
      </c>
      <c r="X31" s="143"/>
      <c r="Y31" s="143" t="s">
        <v>292</v>
      </c>
      <c r="Z31" s="143">
        <v>38730</v>
      </c>
      <c r="AA31" s="143" t="s">
        <v>293</v>
      </c>
      <c r="AB31" s="148"/>
      <c r="AC31" s="149"/>
      <c r="AD31" s="143" t="s">
        <v>91</v>
      </c>
      <c r="AE31" s="143" t="s">
        <v>76</v>
      </c>
      <c r="AF31" s="143" t="s">
        <v>76</v>
      </c>
      <c r="AG31" s="143" t="s">
        <v>76</v>
      </c>
      <c r="AH31" s="143" t="s">
        <v>76</v>
      </c>
      <c r="AI31" s="135" t="s">
        <v>285</v>
      </c>
      <c r="AJ31" s="143" t="s">
        <v>108</v>
      </c>
      <c r="AK31" s="143" t="s">
        <v>286</v>
      </c>
      <c r="AL31" s="150" t="s">
        <v>287</v>
      </c>
      <c r="AM31" s="148">
        <v>476069938</v>
      </c>
      <c r="AN31" s="143" t="s">
        <v>76</v>
      </c>
      <c r="AO31" s="150" t="s">
        <v>102</v>
      </c>
      <c r="AP31" s="147">
        <v>44092</v>
      </c>
      <c r="AQ31" s="143" t="s">
        <v>3413</v>
      </c>
      <c r="AR31" s="143">
        <v>1992</v>
      </c>
      <c r="AS31" s="143" t="s">
        <v>3413</v>
      </c>
      <c r="AT31" s="143" t="s">
        <v>98</v>
      </c>
      <c r="AU31" s="143" t="s">
        <v>99</v>
      </c>
      <c r="AV31" s="143" t="s">
        <v>294</v>
      </c>
      <c r="AW31" s="143">
        <v>8</v>
      </c>
      <c r="AX31" s="143">
        <v>8.1999999999999993</v>
      </c>
      <c r="AY31" s="143">
        <v>87.7</v>
      </c>
      <c r="AZ31" s="143">
        <v>2E-3</v>
      </c>
      <c r="BA31" s="143" t="s">
        <v>101</v>
      </c>
      <c r="BB31" s="143"/>
      <c r="BC31" s="143">
        <f>80.1+135+225+351+1611</f>
        <v>2402.1</v>
      </c>
      <c r="BD31" s="143"/>
      <c r="BE31" s="143">
        <f>315+405+100.65</f>
        <v>820.65</v>
      </c>
      <c r="BF31" s="143">
        <f t="shared" si="0"/>
        <v>3222.75</v>
      </c>
      <c r="BG31" s="143">
        <f t="shared" si="1"/>
        <v>177.25125</v>
      </c>
      <c r="BH31" s="143">
        <f t="shared" si="2"/>
        <v>3400.0012499999998</v>
      </c>
      <c r="BI31" s="151">
        <v>3400</v>
      </c>
      <c r="BJ31" s="143" t="s">
        <v>115</v>
      </c>
      <c r="BK31" s="143"/>
      <c r="BL31" s="143"/>
      <c r="BM31" s="144" t="s">
        <v>142</v>
      </c>
      <c r="BN31" s="144" t="s">
        <v>103</v>
      </c>
      <c r="BO31" s="135" t="s">
        <v>155</v>
      </c>
      <c r="BP31" s="143" t="s">
        <v>3583</v>
      </c>
      <c r="BQ31" s="203" t="s">
        <v>3274</v>
      </c>
    </row>
    <row r="32" spans="1:69" ht="41.1" customHeight="1">
      <c r="A32" s="133" t="s">
        <v>86</v>
      </c>
      <c r="B32" s="133" t="s">
        <v>295</v>
      </c>
      <c r="C32" s="134">
        <v>800</v>
      </c>
      <c r="D32" s="135">
        <v>44042</v>
      </c>
      <c r="E32" s="135">
        <v>44042</v>
      </c>
      <c r="F32" s="147">
        <v>44043</v>
      </c>
      <c r="G32" s="135" t="s">
        <v>296</v>
      </c>
      <c r="H32" s="147">
        <v>44099</v>
      </c>
      <c r="I32" s="147">
        <v>44102</v>
      </c>
      <c r="J32" s="147">
        <v>44109</v>
      </c>
      <c r="K32" s="135">
        <v>44118</v>
      </c>
      <c r="L32" s="135">
        <v>44106</v>
      </c>
      <c r="M32" s="135" t="s">
        <v>76</v>
      </c>
      <c r="N32" s="135">
        <v>44123</v>
      </c>
      <c r="O32" s="135">
        <v>44123</v>
      </c>
      <c r="P32" s="135">
        <v>44133</v>
      </c>
      <c r="Q32" s="135"/>
      <c r="R32" s="143"/>
      <c r="S32" s="143"/>
      <c r="T32" s="143"/>
      <c r="U32" s="143">
        <v>2</v>
      </c>
      <c r="V32" s="143">
        <v>17935</v>
      </c>
      <c r="W32" s="143" t="str">
        <f ca="1">IF(H32="",IF(D32="","",IF(U32+V32&lt;15,"Données Nb pers ou RFR manquantes",IF(COUNTA(INDIRECT("TabRFR["&amp;YEAR(D32)&amp;"]"))&lt;&gt;COUNTA(TabRFR[Recherche RFR]),"Data RFR manquantes", IF(V32&lt;=INDEX(TabRFR[[2021]:[2025]],MATCH(BD!U32&amp;"-Très modestes",TabRFR[Recherche RFR],0),MATCH(TEXT(YEAR(BD!D32),"Standard"),TabRFR[[#Headers],[2021]:[2025]],0)),"Très Modeste",IF(V32&lt;=INDEX(TabRFR[[2021]:[2025]],MATCH(BD!U32&amp;"-modestes",TabRFR[Recherche RFR],0),MATCH(TEXT(YEAR(BD!D32),"Standard"),TabRFR[[#Headers],[2021]:[2025]],0)),"Modeste",IF(V32&lt;=INDEX(TabRFR[[2021]:[2025]],MATCH(BD!U32&amp;"-Intermédiaire",TabRFR[Recherche RFR],0),MATCH(TEXT(YEAR(BD!D32),"Standard"),TabRFR[[#Headers],[2021]:[2025]],0)),"Intermédiaire","Supérieur")))))),IF(D32="","",IF(U32+V32&lt;15,"Données Nb pers ou RFR manquantes",IF(COUNTA(INDIRECT("TabRFR["&amp;YEAR(H32)&amp;"]"))&lt;&gt;COUNTA(TabRFR[Recherche RFR]),"Data RFR manquantes", IF(V32&lt;=INDEX(TabRFR[[2021]:[2025]],MATCH(BD!U32&amp;"-Très modestes",TabRFR[Recherche RFR],0),MATCH(TEXT(YEAR(BD!H32),"Standard"),TabRFR[[#Headers],[2021]:[2025]],0)),"Très Modeste",IF(V32&lt;=INDEX(TabRFR[[2021]:[2025]],MATCH(BD!U32&amp;"-modestes",TabRFR[Recherche RFR],0),MATCH(TEXT(YEAR(BD!H32),"Standard"),TabRFR[[#Headers],[2021]:[2025]],0)),"Modeste",IF(V32&lt;=INDEX(TabRFR[[2021]:[2025]],MATCH(BD!U32&amp;"-Intermédiaire",TabRFR[Recherche RFR],0),MATCH(TEXT(YEAR(BD!H32),"Standard"),TabRFR[[#Headers],[2021]:[2025]],0)),"Intermédiaire","Supérieur")))))))</f>
        <v>Data RFR manquantes</v>
      </c>
      <c r="X32" s="143"/>
      <c r="Y32" s="143" t="s">
        <v>297</v>
      </c>
      <c r="Z32" s="143">
        <v>38140</v>
      </c>
      <c r="AA32" s="143" t="s">
        <v>159</v>
      </c>
      <c r="AB32" s="148"/>
      <c r="AC32" s="149"/>
      <c r="AD32" s="143" t="s">
        <v>91</v>
      </c>
      <c r="AE32" s="143" t="s">
        <v>76</v>
      </c>
      <c r="AF32" s="143" t="s">
        <v>76</v>
      </c>
      <c r="AG32" s="143" t="s">
        <v>76</v>
      </c>
      <c r="AH32" s="143" t="s">
        <v>76</v>
      </c>
      <c r="AI32" s="143" t="s">
        <v>298</v>
      </c>
      <c r="AJ32" s="143" t="s">
        <v>299</v>
      </c>
      <c r="AK32" s="143" t="s">
        <v>300</v>
      </c>
      <c r="AL32" s="150" t="s">
        <v>301</v>
      </c>
      <c r="AM32" s="148">
        <v>479750979</v>
      </c>
      <c r="AN32" s="143" t="s">
        <v>76</v>
      </c>
      <c r="AO32" s="150" t="s">
        <v>102</v>
      </c>
      <c r="AP32" s="147">
        <v>44433</v>
      </c>
      <c r="AQ32" s="135" t="s">
        <v>3496</v>
      </c>
      <c r="AR32" s="143" t="s">
        <v>139</v>
      </c>
      <c r="AS32" s="143" t="s">
        <v>3413</v>
      </c>
      <c r="AT32" s="135" t="s">
        <v>3446</v>
      </c>
      <c r="AU32" s="143" t="s">
        <v>302</v>
      </c>
      <c r="AV32" s="143" t="s">
        <v>303</v>
      </c>
      <c r="AW32" s="143">
        <v>15</v>
      </c>
      <c r="AX32" s="143">
        <v>5.5</v>
      </c>
      <c r="AY32" s="143">
        <v>81</v>
      </c>
      <c r="AZ32" s="143">
        <v>7.5999999999999998E-2</v>
      </c>
      <c r="BA32" s="143" t="s">
        <v>126</v>
      </c>
      <c r="BB32" s="143"/>
      <c r="BC32" s="143">
        <f>55+35+510+107+85+285+80+2480</f>
        <v>3637</v>
      </c>
      <c r="BD32" s="143"/>
      <c r="BE32" s="143">
        <v>760</v>
      </c>
      <c r="BF32" s="143">
        <f t="shared" si="0"/>
        <v>4397</v>
      </c>
      <c r="BG32" s="151">
        <f t="shared" si="1"/>
        <v>241.83500000000001</v>
      </c>
      <c r="BH32" s="151">
        <f t="shared" si="2"/>
        <v>4638.835</v>
      </c>
      <c r="BI32" s="151">
        <v>4331.6499999999996</v>
      </c>
      <c r="BJ32" s="143" t="s">
        <v>102</v>
      </c>
      <c r="BK32" s="143"/>
      <c r="BL32" s="143"/>
      <c r="BM32" s="144" t="s">
        <v>142</v>
      </c>
      <c r="BN32" s="144" t="s">
        <v>103</v>
      </c>
      <c r="BO32" s="135" t="s">
        <v>155</v>
      </c>
      <c r="BP32" s="144">
        <v>2020</v>
      </c>
      <c r="BQ32" s="203" t="s">
        <v>144</v>
      </c>
    </row>
    <row r="33" spans="1:69" ht="41.1" customHeight="1">
      <c r="A33" s="133" t="s">
        <v>86</v>
      </c>
      <c r="B33" s="133" t="s">
        <v>304</v>
      </c>
      <c r="C33" s="134">
        <v>400</v>
      </c>
      <c r="D33" s="135">
        <v>44042</v>
      </c>
      <c r="E33" s="135">
        <v>44042</v>
      </c>
      <c r="F33" s="147" t="s">
        <v>76</v>
      </c>
      <c r="G33" s="135" t="s">
        <v>76</v>
      </c>
      <c r="H33" s="147">
        <v>44043</v>
      </c>
      <c r="I33" s="147">
        <v>44043</v>
      </c>
      <c r="J33" s="147">
        <v>44074</v>
      </c>
      <c r="K33" s="135">
        <v>44201</v>
      </c>
      <c r="L33" s="135">
        <v>44111</v>
      </c>
      <c r="M33" s="135" t="s">
        <v>76</v>
      </c>
      <c r="N33" s="135">
        <v>44204</v>
      </c>
      <c r="O33" s="135">
        <v>44204</v>
      </c>
      <c r="P33" s="135">
        <v>44211</v>
      </c>
      <c r="Q33" s="135"/>
      <c r="R33" s="143"/>
      <c r="S33" s="143"/>
      <c r="T33" s="143"/>
      <c r="U33" s="143">
        <v>2</v>
      </c>
      <c r="V33" s="143">
        <v>96787</v>
      </c>
      <c r="W33" s="143" t="str">
        <f ca="1">IF(H33="",IF(D33="","",IF(U33+V33&lt;15,"Données Nb pers ou RFR manquantes",IF(COUNTA(INDIRECT("TabRFR["&amp;YEAR(D33)&amp;"]"))&lt;&gt;COUNTA(TabRFR[Recherche RFR]),"Data RFR manquantes", IF(V33&lt;=INDEX(TabRFR[[2021]:[2025]],MATCH(BD!U33&amp;"-Très modestes",TabRFR[Recherche RFR],0),MATCH(TEXT(YEAR(BD!D33),"Standard"),TabRFR[[#Headers],[2021]:[2025]],0)),"Très Modeste",IF(V33&lt;=INDEX(TabRFR[[2021]:[2025]],MATCH(BD!U33&amp;"-modestes",TabRFR[Recherche RFR],0),MATCH(TEXT(YEAR(BD!D33),"Standard"),TabRFR[[#Headers],[2021]:[2025]],0)),"Modeste",IF(V33&lt;=INDEX(TabRFR[[2021]:[2025]],MATCH(BD!U33&amp;"-Intermédiaire",TabRFR[Recherche RFR],0),MATCH(TEXT(YEAR(BD!D33),"Standard"),TabRFR[[#Headers],[2021]:[2025]],0)),"Intermédiaire","Supérieur")))))),IF(D33="","",IF(U33+V33&lt;15,"Données Nb pers ou RFR manquantes",IF(COUNTA(INDIRECT("TabRFR["&amp;YEAR(H33)&amp;"]"))&lt;&gt;COUNTA(TabRFR[Recherche RFR]),"Data RFR manquantes", IF(V33&lt;=INDEX(TabRFR[[2021]:[2025]],MATCH(BD!U33&amp;"-Très modestes",TabRFR[Recherche RFR],0),MATCH(TEXT(YEAR(BD!H33),"Standard"),TabRFR[[#Headers],[2021]:[2025]],0)),"Très Modeste",IF(V33&lt;=INDEX(TabRFR[[2021]:[2025]],MATCH(BD!U33&amp;"-modestes",TabRFR[Recherche RFR],0),MATCH(TEXT(YEAR(BD!H33),"Standard"),TabRFR[[#Headers],[2021]:[2025]],0)),"Modeste",IF(V33&lt;=INDEX(TabRFR[[2021]:[2025]],MATCH(BD!U33&amp;"-Intermédiaire",TabRFR[Recherche RFR],0),MATCH(TEXT(YEAR(BD!H33),"Standard"),TabRFR[[#Headers],[2021]:[2025]],0)),"Intermédiaire","Supérieur")))))))</f>
        <v>Data RFR manquantes</v>
      </c>
      <c r="X33" s="143"/>
      <c r="Y33" s="143" t="s">
        <v>305</v>
      </c>
      <c r="Z33" s="143">
        <v>38500</v>
      </c>
      <c r="AA33" s="143" t="s">
        <v>284</v>
      </c>
      <c r="AB33" s="148"/>
      <c r="AC33" s="149"/>
      <c r="AD33" s="143" t="s">
        <v>91</v>
      </c>
      <c r="AE33" s="143" t="s">
        <v>76</v>
      </c>
      <c r="AF33" s="143" t="s">
        <v>76</v>
      </c>
      <c r="AG33" s="143" t="s">
        <v>76</v>
      </c>
      <c r="AH33" s="143" t="s">
        <v>76</v>
      </c>
      <c r="AI33" s="143" t="s">
        <v>120</v>
      </c>
      <c r="AJ33" s="143" t="s">
        <v>121</v>
      </c>
      <c r="AK33" s="143" t="s">
        <v>122</v>
      </c>
      <c r="AL33" s="150" t="s">
        <v>123</v>
      </c>
      <c r="AM33" s="148">
        <v>608287337</v>
      </c>
      <c r="AN33" s="143" t="s">
        <v>76</v>
      </c>
      <c r="AO33" s="150" t="s">
        <v>102</v>
      </c>
      <c r="AP33" s="147">
        <v>44417</v>
      </c>
      <c r="AQ33" s="135" t="s">
        <v>3449</v>
      </c>
      <c r="AR33" s="143">
        <v>1988</v>
      </c>
      <c r="AS33" s="143" t="s">
        <v>3413</v>
      </c>
      <c r="AT33" s="135" t="s">
        <v>3446</v>
      </c>
      <c r="AU33" s="143" t="s">
        <v>306</v>
      </c>
      <c r="AV33" s="143" t="s">
        <v>307</v>
      </c>
      <c r="AW33" s="143">
        <v>8</v>
      </c>
      <c r="AX33" s="143">
        <v>5.2</v>
      </c>
      <c r="AY33" s="143">
        <v>81</v>
      </c>
      <c r="AZ33" s="143">
        <v>0.11</v>
      </c>
      <c r="BA33" s="143" t="s">
        <v>101</v>
      </c>
      <c r="BB33" s="143"/>
      <c r="BC33" s="143">
        <f>3554+280+110+550+122</f>
        <v>4616</v>
      </c>
      <c r="BD33" s="143"/>
      <c r="BE33" s="143">
        <f>250+680+134+900</f>
        <v>1964</v>
      </c>
      <c r="BF33" s="143">
        <f t="shared" si="0"/>
        <v>6580</v>
      </c>
      <c r="BG33" s="151">
        <f t="shared" si="1"/>
        <v>361.9</v>
      </c>
      <c r="BH33" s="151">
        <f t="shared" si="2"/>
        <v>6941.9</v>
      </c>
      <c r="BI33" s="151">
        <v>6500</v>
      </c>
      <c r="BJ33" s="143" t="s">
        <v>102</v>
      </c>
      <c r="BK33" s="143"/>
      <c r="BL33" s="143"/>
      <c r="BM33" s="144" t="s">
        <v>142</v>
      </c>
      <c r="BN33" s="144" t="s">
        <v>103</v>
      </c>
      <c r="BO33" s="144" t="s">
        <v>143</v>
      </c>
      <c r="BP33" s="144">
        <v>2020</v>
      </c>
      <c r="BQ33" s="203" t="s">
        <v>144</v>
      </c>
    </row>
    <row r="34" spans="1:69" ht="41.1" customHeight="1">
      <c r="A34" s="133" t="s">
        <v>86</v>
      </c>
      <c r="B34" s="133" t="s">
        <v>308</v>
      </c>
      <c r="C34" s="134">
        <v>400</v>
      </c>
      <c r="D34" s="135">
        <v>44046</v>
      </c>
      <c r="E34" s="135">
        <v>44053</v>
      </c>
      <c r="F34" s="147">
        <v>44056</v>
      </c>
      <c r="G34" s="135" t="s">
        <v>309</v>
      </c>
      <c r="H34" s="147">
        <v>44063</v>
      </c>
      <c r="I34" s="147">
        <v>44063</v>
      </c>
      <c r="J34" s="147">
        <v>44076</v>
      </c>
      <c r="K34" s="135">
        <v>44176</v>
      </c>
      <c r="L34" s="135">
        <v>44166</v>
      </c>
      <c r="M34" s="135" t="s">
        <v>76</v>
      </c>
      <c r="N34" s="135">
        <v>44179</v>
      </c>
      <c r="O34" s="135">
        <v>44179</v>
      </c>
      <c r="P34" s="135">
        <v>44203</v>
      </c>
      <c r="Q34" s="135"/>
      <c r="R34" s="143"/>
      <c r="S34" s="143"/>
      <c r="T34" s="143"/>
      <c r="U34" s="143">
        <v>2</v>
      </c>
      <c r="V34" s="143">
        <v>36207</v>
      </c>
      <c r="W34" s="143" t="str">
        <f ca="1">IF(H34="",IF(D34="","",IF(U34+V34&lt;15,"Données Nb pers ou RFR manquantes",IF(COUNTA(INDIRECT("TabRFR["&amp;YEAR(D34)&amp;"]"))&lt;&gt;COUNTA(TabRFR[Recherche RFR]),"Data RFR manquantes", IF(V34&lt;=INDEX(TabRFR[[2021]:[2025]],MATCH(BD!U34&amp;"-Très modestes",TabRFR[Recherche RFR],0),MATCH(TEXT(YEAR(BD!D34),"Standard"),TabRFR[[#Headers],[2021]:[2025]],0)),"Très Modeste",IF(V34&lt;=INDEX(TabRFR[[2021]:[2025]],MATCH(BD!U34&amp;"-modestes",TabRFR[Recherche RFR],0),MATCH(TEXT(YEAR(BD!D34),"Standard"),TabRFR[[#Headers],[2021]:[2025]],0)),"Modeste",IF(V34&lt;=INDEX(TabRFR[[2021]:[2025]],MATCH(BD!U34&amp;"-Intermédiaire",TabRFR[Recherche RFR],0),MATCH(TEXT(YEAR(BD!D34),"Standard"),TabRFR[[#Headers],[2021]:[2025]],0)),"Intermédiaire","Supérieur")))))),IF(D34="","",IF(U34+V34&lt;15,"Données Nb pers ou RFR manquantes",IF(COUNTA(INDIRECT("TabRFR["&amp;YEAR(H34)&amp;"]"))&lt;&gt;COUNTA(TabRFR[Recherche RFR]),"Data RFR manquantes", IF(V34&lt;=INDEX(TabRFR[[2021]:[2025]],MATCH(BD!U34&amp;"-Très modestes",TabRFR[Recherche RFR],0),MATCH(TEXT(YEAR(BD!H34),"Standard"),TabRFR[[#Headers],[2021]:[2025]],0)),"Très Modeste",IF(V34&lt;=INDEX(TabRFR[[2021]:[2025]],MATCH(BD!U34&amp;"-modestes",TabRFR[Recherche RFR],0),MATCH(TEXT(YEAR(BD!H34),"Standard"),TabRFR[[#Headers],[2021]:[2025]],0)),"Modeste",IF(V34&lt;=INDEX(TabRFR[[2021]:[2025]],MATCH(BD!U34&amp;"-Intermédiaire",TabRFR[Recherche RFR],0),MATCH(TEXT(YEAR(BD!H34),"Standard"),TabRFR[[#Headers],[2021]:[2025]],0)),"Intermédiaire","Supérieur")))))))</f>
        <v>Data RFR manquantes</v>
      </c>
      <c r="X34" s="143"/>
      <c r="Y34" s="143" t="s">
        <v>310</v>
      </c>
      <c r="Z34" s="143">
        <v>38340</v>
      </c>
      <c r="AA34" s="143" t="s">
        <v>266</v>
      </c>
      <c r="AB34" s="148"/>
      <c r="AC34" s="149"/>
      <c r="AD34" s="143" t="s">
        <v>91</v>
      </c>
      <c r="AE34" s="143" t="s">
        <v>76</v>
      </c>
      <c r="AF34" s="143" t="s">
        <v>76</v>
      </c>
      <c r="AG34" s="143" t="s">
        <v>76</v>
      </c>
      <c r="AH34" s="143" t="s">
        <v>76</v>
      </c>
      <c r="AI34" s="143" t="s">
        <v>250</v>
      </c>
      <c r="AJ34" s="143" t="s">
        <v>121</v>
      </c>
      <c r="AK34" s="143" t="s">
        <v>251</v>
      </c>
      <c r="AL34" s="150" t="s">
        <v>252</v>
      </c>
      <c r="AM34" s="148">
        <v>476452433</v>
      </c>
      <c r="AN34" s="143" t="s">
        <v>76</v>
      </c>
      <c r="AO34" s="150" t="s">
        <v>102</v>
      </c>
      <c r="AP34" s="147">
        <v>44118</v>
      </c>
      <c r="AQ34" s="143" t="s">
        <v>3413</v>
      </c>
      <c r="AR34" s="143">
        <v>2001</v>
      </c>
      <c r="AS34" s="143" t="s">
        <v>3413</v>
      </c>
      <c r="AT34" s="143" t="s">
        <v>98</v>
      </c>
      <c r="AU34" s="143" t="s">
        <v>311</v>
      </c>
      <c r="AV34" s="143" t="s">
        <v>312</v>
      </c>
      <c r="AW34" s="143">
        <v>11.4</v>
      </c>
      <c r="AX34" s="143">
        <v>11.4</v>
      </c>
      <c r="AY34" s="143">
        <v>86.6</v>
      </c>
      <c r="AZ34" s="143">
        <v>7.0000000000000001E-3</v>
      </c>
      <c r="BA34" s="143" t="s">
        <v>126</v>
      </c>
      <c r="BB34" s="143"/>
      <c r="BC34" s="143">
        <f>3896+489.16+218.45+87.66+69.78</f>
        <v>4761.0499999999993</v>
      </c>
      <c r="BD34" s="143"/>
      <c r="BE34" s="143">
        <f>450+400</f>
        <v>850</v>
      </c>
      <c r="BF34" s="143">
        <f t="shared" si="0"/>
        <v>5611.0499999999993</v>
      </c>
      <c r="BG34" s="151">
        <f t="shared" si="1"/>
        <v>308.60774999999995</v>
      </c>
      <c r="BH34" s="151">
        <f t="shared" si="2"/>
        <v>5919.6577499999994</v>
      </c>
      <c r="BI34" s="151">
        <v>5682.28</v>
      </c>
      <c r="BJ34" s="143" t="s">
        <v>102</v>
      </c>
      <c r="BK34" s="143"/>
      <c r="BL34" s="143"/>
      <c r="BM34" s="144" t="s">
        <v>142</v>
      </c>
      <c r="BN34" s="144" t="s">
        <v>103</v>
      </c>
      <c r="BO34" s="144" t="s">
        <v>143</v>
      </c>
      <c r="BP34" s="143" t="s">
        <v>3583</v>
      </c>
      <c r="BQ34" s="203" t="s">
        <v>144</v>
      </c>
    </row>
    <row r="35" spans="1:69" ht="41.1" customHeight="1">
      <c r="A35" s="133" t="s">
        <v>86</v>
      </c>
      <c r="B35" s="133" t="s">
        <v>313</v>
      </c>
      <c r="C35" s="134">
        <v>400</v>
      </c>
      <c r="D35" s="135">
        <v>44049</v>
      </c>
      <c r="E35" s="135">
        <v>44053</v>
      </c>
      <c r="F35" s="147">
        <v>44056</v>
      </c>
      <c r="G35" s="135" t="s">
        <v>314</v>
      </c>
      <c r="H35" s="147">
        <v>44063</v>
      </c>
      <c r="I35" s="147">
        <v>44063</v>
      </c>
      <c r="J35" s="147">
        <v>44076</v>
      </c>
      <c r="K35" s="135">
        <v>44417</v>
      </c>
      <c r="L35" s="135">
        <v>44144</v>
      </c>
      <c r="M35" s="135" t="s">
        <v>315</v>
      </c>
      <c r="N35" s="135">
        <v>44512</v>
      </c>
      <c r="O35" s="135">
        <v>44512</v>
      </c>
      <c r="P35" s="135">
        <v>44518</v>
      </c>
      <c r="Q35" s="135"/>
      <c r="R35" s="143"/>
      <c r="S35" s="143"/>
      <c r="T35" s="143"/>
      <c r="U35" s="143">
        <v>2</v>
      </c>
      <c r="V35" s="143">
        <v>32421</v>
      </c>
      <c r="W35" s="143" t="str">
        <f ca="1">IF(H35="",IF(D35="","",IF(U35+V35&lt;15,"Données Nb pers ou RFR manquantes",IF(COUNTA(INDIRECT("TabRFR["&amp;YEAR(D35)&amp;"]"))&lt;&gt;COUNTA(TabRFR[Recherche RFR]),"Data RFR manquantes", IF(V35&lt;=INDEX(TabRFR[[2021]:[2025]],MATCH(BD!U35&amp;"-Très modestes",TabRFR[Recherche RFR],0),MATCH(TEXT(YEAR(BD!D35),"Standard"),TabRFR[[#Headers],[2021]:[2025]],0)),"Très Modeste",IF(V35&lt;=INDEX(TabRFR[[2021]:[2025]],MATCH(BD!U35&amp;"-modestes",TabRFR[Recherche RFR],0),MATCH(TEXT(YEAR(BD!D35),"Standard"),TabRFR[[#Headers],[2021]:[2025]],0)),"Modeste",IF(V35&lt;=INDEX(TabRFR[[2021]:[2025]],MATCH(BD!U35&amp;"-Intermédiaire",TabRFR[Recherche RFR],0),MATCH(TEXT(YEAR(BD!D35),"Standard"),TabRFR[[#Headers],[2021]:[2025]],0)),"Intermédiaire","Supérieur")))))),IF(D35="","",IF(U35+V35&lt;15,"Données Nb pers ou RFR manquantes",IF(COUNTA(INDIRECT("TabRFR["&amp;YEAR(H35)&amp;"]"))&lt;&gt;COUNTA(TabRFR[Recherche RFR]),"Data RFR manquantes", IF(V35&lt;=INDEX(TabRFR[[2021]:[2025]],MATCH(BD!U35&amp;"-Très modestes",TabRFR[Recherche RFR],0),MATCH(TEXT(YEAR(BD!H35),"Standard"),TabRFR[[#Headers],[2021]:[2025]],0)),"Très Modeste",IF(V35&lt;=INDEX(TabRFR[[2021]:[2025]],MATCH(BD!U35&amp;"-modestes",TabRFR[Recherche RFR],0),MATCH(TEXT(YEAR(BD!H35),"Standard"),TabRFR[[#Headers],[2021]:[2025]],0)),"Modeste",IF(V35&lt;=INDEX(TabRFR[[2021]:[2025]],MATCH(BD!U35&amp;"-Intermédiaire",TabRFR[Recherche RFR],0),MATCH(TEXT(YEAR(BD!H35),"Standard"),TabRFR[[#Headers],[2021]:[2025]],0)),"Intermédiaire","Supérieur")))))))</f>
        <v>Data RFR manquantes</v>
      </c>
      <c r="X35" s="143"/>
      <c r="Y35" s="143" t="s">
        <v>316</v>
      </c>
      <c r="Z35" s="143">
        <v>38850</v>
      </c>
      <c r="AA35" s="143" t="s">
        <v>148</v>
      </c>
      <c r="AB35" s="148"/>
      <c r="AC35" s="149"/>
      <c r="AD35" s="143" t="s">
        <v>91</v>
      </c>
      <c r="AE35" s="143" t="s">
        <v>76</v>
      </c>
      <c r="AF35" s="143" t="s">
        <v>76</v>
      </c>
      <c r="AG35" s="143" t="s">
        <v>76</v>
      </c>
      <c r="AH35" s="143" t="s">
        <v>76</v>
      </c>
      <c r="AI35" s="135" t="s">
        <v>2703</v>
      </c>
      <c r="AJ35" s="143" t="s">
        <v>266</v>
      </c>
      <c r="AK35" s="143" t="s">
        <v>317</v>
      </c>
      <c r="AL35" s="150" t="s">
        <v>318</v>
      </c>
      <c r="AM35" s="148">
        <v>476500550</v>
      </c>
      <c r="AN35" s="143" t="s">
        <v>76</v>
      </c>
      <c r="AO35" s="150" t="s">
        <v>102</v>
      </c>
      <c r="AP35" s="147">
        <v>44740</v>
      </c>
      <c r="AQ35" s="135" t="s">
        <v>3496</v>
      </c>
      <c r="AR35" s="143">
        <v>1987</v>
      </c>
      <c r="AS35" s="143" t="s">
        <v>3413</v>
      </c>
      <c r="AT35" s="135" t="s">
        <v>3446</v>
      </c>
      <c r="AU35" s="143" t="s">
        <v>319</v>
      </c>
      <c r="AV35" s="143" t="s">
        <v>320</v>
      </c>
      <c r="AW35" s="143">
        <v>26</v>
      </c>
      <c r="AX35" s="143">
        <v>5</v>
      </c>
      <c r="AY35" s="143">
        <v>80.3</v>
      </c>
      <c r="AZ35" s="143">
        <v>2.7E-2</v>
      </c>
      <c r="BA35" s="143" t="s">
        <v>101</v>
      </c>
      <c r="BB35" s="143"/>
      <c r="BC35" s="143">
        <f>191.29+74.25+170.13+208.42+64.02+305.73+177.13+163.18+81.44+63.61+288.96+89+164.46+182.53+2583.32+200.1</f>
        <v>5007.5700000000006</v>
      </c>
      <c r="BD35" s="143"/>
      <c r="BE35" s="143">
        <f>570.8+415+1400</f>
        <v>2385.8000000000002</v>
      </c>
      <c r="BF35" s="143">
        <f t="shared" si="0"/>
        <v>7393.3700000000008</v>
      </c>
      <c r="BG35" s="151">
        <f t="shared" si="1"/>
        <v>406.63535000000007</v>
      </c>
      <c r="BH35" s="151">
        <f t="shared" si="2"/>
        <v>7800.0053500000013</v>
      </c>
      <c r="BI35" s="151">
        <v>7800.01</v>
      </c>
      <c r="BJ35" s="143" t="s">
        <v>102</v>
      </c>
      <c r="BK35" s="143"/>
      <c r="BL35" s="143"/>
      <c r="BM35" s="144" t="s">
        <v>3576</v>
      </c>
      <c r="BN35" s="144" t="s">
        <v>103</v>
      </c>
      <c r="BO35" s="144" t="s">
        <v>143</v>
      </c>
      <c r="BP35" s="144">
        <v>2020</v>
      </c>
      <c r="BQ35" s="203" t="s">
        <v>144</v>
      </c>
    </row>
    <row r="36" spans="1:69" ht="41.1" customHeight="1">
      <c r="A36" s="133" t="s">
        <v>86</v>
      </c>
      <c r="B36" s="133" t="s">
        <v>321</v>
      </c>
      <c r="C36" s="134">
        <v>400</v>
      </c>
      <c r="D36" s="135">
        <v>44043</v>
      </c>
      <c r="E36" s="135">
        <v>44053</v>
      </c>
      <c r="F36" s="147">
        <v>44056</v>
      </c>
      <c r="G36" s="135" t="s">
        <v>322</v>
      </c>
      <c r="H36" s="147">
        <v>44077</v>
      </c>
      <c r="I36" s="147">
        <v>44077</v>
      </c>
      <c r="J36" s="147">
        <v>44084</v>
      </c>
      <c r="K36" s="135">
        <v>44155</v>
      </c>
      <c r="L36" s="135">
        <v>44130</v>
      </c>
      <c r="M36" s="135" t="s">
        <v>76</v>
      </c>
      <c r="N36" s="135">
        <v>44161</v>
      </c>
      <c r="O36" s="135">
        <v>44161</v>
      </c>
      <c r="P36" s="135">
        <v>44166</v>
      </c>
      <c r="Q36" s="135"/>
      <c r="R36" s="143"/>
      <c r="S36" s="143"/>
      <c r="T36" s="143"/>
      <c r="U36" s="143">
        <v>2</v>
      </c>
      <c r="V36" s="143">
        <v>124036</v>
      </c>
      <c r="W36" s="143" t="str">
        <f ca="1">IF(H36="",IF(D36="","",IF(U36+V36&lt;15,"Données Nb pers ou RFR manquantes",IF(COUNTA(INDIRECT("TabRFR["&amp;YEAR(D36)&amp;"]"))&lt;&gt;COUNTA(TabRFR[Recherche RFR]),"Data RFR manquantes", IF(V36&lt;=INDEX(TabRFR[[2021]:[2025]],MATCH(BD!U36&amp;"-Très modestes",TabRFR[Recherche RFR],0),MATCH(TEXT(YEAR(BD!D36),"Standard"),TabRFR[[#Headers],[2021]:[2025]],0)),"Très Modeste",IF(V36&lt;=INDEX(TabRFR[[2021]:[2025]],MATCH(BD!U36&amp;"-modestes",TabRFR[Recherche RFR],0),MATCH(TEXT(YEAR(BD!D36),"Standard"),TabRFR[[#Headers],[2021]:[2025]],0)),"Modeste",IF(V36&lt;=INDEX(TabRFR[[2021]:[2025]],MATCH(BD!U36&amp;"-Intermédiaire",TabRFR[Recherche RFR],0),MATCH(TEXT(YEAR(BD!D36),"Standard"),TabRFR[[#Headers],[2021]:[2025]],0)),"Intermédiaire","Supérieur")))))),IF(D36="","",IF(U36+V36&lt;15,"Données Nb pers ou RFR manquantes",IF(COUNTA(INDIRECT("TabRFR["&amp;YEAR(H36)&amp;"]"))&lt;&gt;COUNTA(TabRFR[Recherche RFR]),"Data RFR manquantes", IF(V36&lt;=INDEX(TabRFR[[2021]:[2025]],MATCH(BD!U36&amp;"-Très modestes",TabRFR[Recherche RFR],0),MATCH(TEXT(YEAR(BD!H36),"Standard"),TabRFR[[#Headers],[2021]:[2025]],0)),"Très Modeste",IF(V36&lt;=INDEX(TabRFR[[2021]:[2025]],MATCH(BD!U36&amp;"-modestes",TabRFR[Recherche RFR],0),MATCH(TEXT(YEAR(BD!H36),"Standard"),TabRFR[[#Headers],[2021]:[2025]],0)),"Modeste",IF(V36&lt;=INDEX(TabRFR[[2021]:[2025]],MATCH(BD!U36&amp;"-Intermédiaire",TabRFR[Recherche RFR],0),MATCH(TEXT(YEAR(BD!H36),"Standard"),TabRFR[[#Headers],[2021]:[2025]],0)),"Intermédiaire","Supérieur")))))))</f>
        <v>Data RFR manquantes</v>
      </c>
      <c r="X36" s="143"/>
      <c r="Y36" s="143" t="s">
        <v>323</v>
      </c>
      <c r="Z36" s="143">
        <v>63500</v>
      </c>
      <c r="AA36" s="143" t="s">
        <v>324</v>
      </c>
      <c r="AB36" s="148"/>
      <c r="AC36" s="149"/>
      <c r="AD36" s="143" t="s">
        <v>91</v>
      </c>
      <c r="AE36" s="143">
        <v>46</v>
      </c>
      <c r="AF36" s="143" t="s">
        <v>325</v>
      </c>
      <c r="AG36" s="143">
        <v>38500</v>
      </c>
      <c r="AH36" s="143" t="s">
        <v>108</v>
      </c>
      <c r="AI36" s="135" t="s">
        <v>220</v>
      </c>
      <c r="AJ36" s="143" t="s">
        <v>108</v>
      </c>
      <c r="AK36" s="143" t="s">
        <v>221</v>
      </c>
      <c r="AL36" s="150" t="s">
        <v>222</v>
      </c>
      <c r="AM36" s="148">
        <v>476323235</v>
      </c>
      <c r="AN36" s="143" t="s">
        <v>76</v>
      </c>
      <c r="AO36" s="150" t="s">
        <v>102</v>
      </c>
      <c r="AP36" s="147">
        <v>44429</v>
      </c>
      <c r="AQ36" s="135" t="s">
        <v>3449</v>
      </c>
      <c r="AR36" s="143" t="s">
        <v>213</v>
      </c>
      <c r="AS36" s="135" t="s">
        <v>3496</v>
      </c>
      <c r="AT36" s="135" t="s">
        <v>3446</v>
      </c>
      <c r="AU36" s="143" t="s">
        <v>326</v>
      </c>
      <c r="AV36" s="143" t="s">
        <v>327</v>
      </c>
      <c r="AW36" s="143">
        <v>4</v>
      </c>
      <c r="AX36" s="143">
        <v>7</v>
      </c>
      <c r="AY36" s="143">
        <v>78</v>
      </c>
      <c r="AZ36" s="143">
        <v>0.06</v>
      </c>
      <c r="BA36" s="143" t="s">
        <v>101</v>
      </c>
      <c r="BB36" s="143"/>
      <c r="BC36" s="143">
        <f>635+148+315+2050+90+135+280+60</f>
        <v>3713</v>
      </c>
      <c r="BD36" s="143"/>
      <c r="BE36" s="143">
        <f>55+734+498+49.33</f>
        <v>1336.33</v>
      </c>
      <c r="BF36" s="143">
        <f t="shared" si="0"/>
        <v>5049.33</v>
      </c>
      <c r="BG36" s="151">
        <f t="shared" si="1"/>
        <v>277.71314999999998</v>
      </c>
      <c r="BH36" s="151">
        <f t="shared" si="2"/>
        <v>5327.0431499999995</v>
      </c>
      <c r="BI36" s="151">
        <v>5400</v>
      </c>
      <c r="BJ36" s="143" t="s">
        <v>102</v>
      </c>
      <c r="BK36" s="143"/>
      <c r="BL36" s="143"/>
      <c r="BM36" s="144" t="s">
        <v>142</v>
      </c>
      <c r="BN36" s="144" t="s">
        <v>103</v>
      </c>
      <c r="BO36" s="144" t="s">
        <v>143</v>
      </c>
      <c r="BP36" s="144">
        <v>2020</v>
      </c>
      <c r="BQ36" s="203" t="s">
        <v>144</v>
      </c>
    </row>
    <row r="37" spans="1:69" ht="41.1" customHeight="1">
      <c r="A37" s="133" t="s">
        <v>86</v>
      </c>
      <c r="B37" s="133" t="s">
        <v>328</v>
      </c>
      <c r="C37" s="134">
        <v>400</v>
      </c>
      <c r="D37" s="135">
        <v>44047</v>
      </c>
      <c r="E37" s="135">
        <v>44054</v>
      </c>
      <c r="F37" s="147">
        <v>44056</v>
      </c>
      <c r="G37" s="135" t="s">
        <v>329</v>
      </c>
      <c r="H37" s="147">
        <v>44096</v>
      </c>
      <c r="I37" s="147">
        <v>44096</v>
      </c>
      <c r="J37" s="147">
        <v>44102</v>
      </c>
      <c r="K37" s="135">
        <v>44137</v>
      </c>
      <c r="L37" s="135">
        <v>44137</v>
      </c>
      <c r="M37" s="135" t="s">
        <v>76</v>
      </c>
      <c r="N37" s="135">
        <v>44145</v>
      </c>
      <c r="O37" s="135">
        <v>44145</v>
      </c>
      <c r="P37" s="135">
        <v>44147</v>
      </c>
      <c r="Q37" s="135"/>
      <c r="R37" s="143"/>
      <c r="S37" s="143"/>
      <c r="T37" s="143"/>
      <c r="U37" s="143">
        <v>3</v>
      </c>
      <c r="V37" s="143">
        <v>77705</v>
      </c>
      <c r="W37" s="143" t="str">
        <f ca="1">IF(H37="",IF(D37="","",IF(U37+V37&lt;15,"Données Nb pers ou RFR manquantes",IF(COUNTA(INDIRECT("TabRFR["&amp;YEAR(D37)&amp;"]"))&lt;&gt;COUNTA(TabRFR[Recherche RFR]),"Data RFR manquantes", IF(V37&lt;=INDEX(TabRFR[[2021]:[2025]],MATCH(BD!U37&amp;"-Très modestes",TabRFR[Recherche RFR],0),MATCH(TEXT(YEAR(BD!D37),"Standard"),TabRFR[[#Headers],[2021]:[2025]],0)),"Très Modeste",IF(V37&lt;=INDEX(TabRFR[[2021]:[2025]],MATCH(BD!U37&amp;"-modestes",TabRFR[Recherche RFR],0),MATCH(TEXT(YEAR(BD!D37),"Standard"),TabRFR[[#Headers],[2021]:[2025]],0)),"Modeste",IF(V37&lt;=INDEX(TabRFR[[2021]:[2025]],MATCH(BD!U37&amp;"-Intermédiaire",TabRFR[Recherche RFR],0),MATCH(TEXT(YEAR(BD!D37),"Standard"),TabRFR[[#Headers],[2021]:[2025]],0)),"Intermédiaire","Supérieur")))))),IF(D37="","",IF(U37+V37&lt;15,"Données Nb pers ou RFR manquantes",IF(COUNTA(INDIRECT("TabRFR["&amp;YEAR(H37)&amp;"]"))&lt;&gt;COUNTA(TabRFR[Recherche RFR]),"Data RFR manquantes", IF(V37&lt;=INDEX(TabRFR[[2021]:[2025]],MATCH(BD!U37&amp;"-Très modestes",TabRFR[Recherche RFR],0),MATCH(TEXT(YEAR(BD!H37),"Standard"),TabRFR[[#Headers],[2021]:[2025]],0)),"Très Modeste",IF(V37&lt;=INDEX(TabRFR[[2021]:[2025]],MATCH(BD!U37&amp;"-modestes",TabRFR[Recherche RFR],0),MATCH(TEXT(YEAR(BD!H37),"Standard"),TabRFR[[#Headers],[2021]:[2025]],0)),"Modeste",IF(V37&lt;=INDEX(TabRFR[[2021]:[2025]],MATCH(BD!U37&amp;"-Intermédiaire",TabRFR[Recherche RFR],0),MATCH(TEXT(YEAR(BD!H37),"Standard"),TabRFR[[#Headers],[2021]:[2025]],0)),"Intermédiaire","Supérieur")))))))</f>
        <v>Data RFR manquantes</v>
      </c>
      <c r="X37" s="143"/>
      <c r="Y37" s="143" t="s">
        <v>330</v>
      </c>
      <c r="Z37" s="143">
        <v>38210</v>
      </c>
      <c r="AA37" s="143" t="s">
        <v>202</v>
      </c>
      <c r="AB37" s="148"/>
      <c r="AC37" s="149"/>
      <c r="AD37" s="143" t="s">
        <v>91</v>
      </c>
      <c r="AE37" s="143" t="s">
        <v>76</v>
      </c>
      <c r="AF37" s="143" t="s">
        <v>76</v>
      </c>
      <c r="AG37" s="143" t="s">
        <v>76</v>
      </c>
      <c r="AH37" s="143" t="s">
        <v>76</v>
      </c>
      <c r="AI37" s="143" t="s">
        <v>331</v>
      </c>
      <c r="AJ37" s="143" t="s">
        <v>202</v>
      </c>
      <c r="AK37" s="143" t="s">
        <v>332</v>
      </c>
      <c r="AL37" s="150" t="s">
        <v>333</v>
      </c>
      <c r="AM37" s="148">
        <v>611953404</v>
      </c>
      <c r="AN37" s="143" t="s">
        <v>76</v>
      </c>
      <c r="AO37" s="150" t="s">
        <v>102</v>
      </c>
      <c r="AP37" s="147">
        <v>44369</v>
      </c>
      <c r="AQ37" s="135" t="s">
        <v>3449</v>
      </c>
      <c r="AR37" s="143">
        <v>1993</v>
      </c>
      <c r="AS37" s="143" t="s">
        <v>3413</v>
      </c>
      <c r="AT37" s="135" t="s">
        <v>3446</v>
      </c>
      <c r="AU37" s="143" t="s">
        <v>334</v>
      </c>
      <c r="AV37" s="143" t="s">
        <v>335</v>
      </c>
      <c r="AW37" s="143">
        <v>30</v>
      </c>
      <c r="AX37" s="143">
        <v>8</v>
      </c>
      <c r="AY37" s="143">
        <v>75</v>
      </c>
      <c r="AZ37" s="143">
        <v>0.12</v>
      </c>
      <c r="BA37" s="143" t="s">
        <v>101</v>
      </c>
      <c r="BB37" s="143"/>
      <c r="BC37" s="143">
        <f>2638+613</f>
        <v>3251</v>
      </c>
      <c r="BD37" s="143"/>
      <c r="BE37" s="143">
        <v>2380</v>
      </c>
      <c r="BF37" s="143">
        <f t="shared" si="0"/>
        <v>5631</v>
      </c>
      <c r="BG37" s="151">
        <f t="shared" si="1"/>
        <v>309.70499999999998</v>
      </c>
      <c r="BH37" s="151">
        <f t="shared" si="2"/>
        <v>5940.7049999999999</v>
      </c>
      <c r="BI37" s="151">
        <v>5940.7</v>
      </c>
      <c r="BJ37" s="143" t="s">
        <v>102</v>
      </c>
      <c r="BK37" s="143"/>
      <c r="BL37" s="143"/>
      <c r="BM37" s="144" t="s">
        <v>142</v>
      </c>
      <c r="BN37" s="144" t="s">
        <v>103</v>
      </c>
      <c r="BO37" s="144" t="s">
        <v>143</v>
      </c>
      <c r="BP37" s="144">
        <v>2020</v>
      </c>
      <c r="BQ37" s="203" t="s">
        <v>144</v>
      </c>
    </row>
    <row r="38" spans="1:69" ht="41.1" customHeight="1">
      <c r="A38" s="133" t="s">
        <v>86</v>
      </c>
      <c r="B38" s="133" t="s">
        <v>336</v>
      </c>
      <c r="C38" s="134">
        <v>400</v>
      </c>
      <c r="D38" s="135">
        <v>44055</v>
      </c>
      <c r="E38" s="135">
        <v>44056</v>
      </c>
      <c r="F38" s="147">
        <v>44056</v>
      </c>
      <c r="G38" s="135" t="s">
        <v>244</v>
      </c>
      <c r="H38" s="147">
        <v>44103</v>
      </c>
      <c r="I38" s="147">
        <v>44103</v>
      </c>
      <c r="J38" s="147">
        <v>44109</v>
      </c>
      <c r="K38" s="135">
        <v>44137</v>
      </c>
      <c r="L38" s="135">
        <v>44130</v>
      </c>
      <c r="M38" s="135" t="s">
        <v>76</v>
      </c>
      <c r="N38" s="135">
        <v>44140</v>
      </c>
      <c r="O38" s="135">
        <v>44140</v>
      </c>
      <c r="P38" s="135">
        <v>44147</v>
      </c>
      <c r="Q38" s="135"/>
      <c r="R38" s="143"/>
      <c r="S38" s="143"/>
      <c r="T38" s="143"/>
      <c r="U38" s="143">
        <v>2</v>
      </c>
      <c r="V38" s="143">
        <v>71344</v>
      </c>
      <c r="W38" s="143" t="str">
        <f ca="1">IF(H38="",IF(D38="","",IF(U38+V38&lt;15,"Données Nb pers ou RFR manquantes",IF(COUNTA(INDIRECT("TabRFR["&amp;YEAR(D38)&amp;"]"))&lt;&gt;COUNTA(TabRFR[Recherche RFR]),"Data RFR manquantes", IF(V38&lt;=INDEX(TabRFR[[2021]:[2025]],MATCH(BD!U38&amp;"-Très modestes",TabRFR[Recherche RFR],0),MATCH(TEXT(YEAR(BD!D38),"Standard"),TabRFR[[#Headers],[2021]:[2025]],0)),"Très Modeste",IF(V38&lt;=INDEX(TabRFR[[2021]:[2025]],MATCH(BD!U38&amp;"-modestes",TabRFR[Recherche RFR],0),MATCH(TEXT(YEAR(BD!D38),"Standard"),TabRFR[[#Headers],[2021]:[2025]],0)),"Modeste",IF(V38&lt;=INDEX(TabRFR[[2021]:[2025]],MATCH(BD!U38&amp;"-Intermédiaire",TabRFR[Recherche RFR],0),MATCH(TEXT(YEAR(BD!D38),"Standard"),TabRFR[[#Headers],[2021]:[2025]],0)),"Intermédiaire","Supérieur")))))),IF(D38="","",IF(U38+V38&lt;15,"Données Nb pers ou RFR manquantes",IF(COUNTA(INDIRECT("TabRFR["&amp;YEAR(H38)&amp;"]"))&lt;&gt;COUNTA(TabRFR[Recherche RFR]),"Data RFR manquantes", IF(V38&lt;=INDEX(TabRFR[[2021]:[2025]],MATCH(BD!U38&amp;"-Très modestes",TabRFR[Recherche RFR],0),MATCH(TEXT(YEAR(BD!H38),"Standard"),TabRFR[[#Headers],[2021]:[2025]],0)),"Très Modeste",IF(V38&lt;=INDEX(TabRFR[[2021]:[2025]],MATCH(BD!U38&amp;"-modestes",TabRFR[Recherche RFR],0),MATCH(TEXT(YEAR(BD!H38),"Standard"),TabRFR[[#Headers],[2021]:[2025]],0)),"Modeste",IF(V38&lt;=INDEX(TabRFR[[2021]:[2025]],MATCH(BD!U38&amp;"-Intermédiaire",TabRFR[Recherche RFR],0),MATCH(TEXT(YEAR(BD!H38),"Standard"),TabRFR[[#Headers],[2021]:[2025]],0)),"Intermédiaire","Supérieur")))))))</f>
        <v>Data RFR manquantes</v>
      </c>
      <c r="X38" s="143"/>
      <c r="Y38" s="143" t="s">
        <v>249</v>
      </c>
      <c r="Z38" s="143">
        <v>38210</v>
      </c>
      <c r="AA38" s="143" t="s">
        <v>130</v>
      </c>
      <c r="AB38" s="148"/>
      <c r="AC38" s="149"/>
      <c r="AD38" s="143" t="s">
        <v>91</v>
      </c>
      <c r="AE38" s="143" t="s">
        <v>76</v>
      </c>
      <c r="AF38" s="143" t="s">
        <v>76</v>
      </c>
      <c r="AG38" s="143" t="s">
        <v>76</v>
      </c>
      <c r="AH38" s="143" t="s">
        <v>76</v>
      </c>
      <c r="AI38" s="135" t="s">
        <v>220</v>
      </c>
      <c r="AJ38" s="143" t="s">
        <v>108</v>
      </c>
      <c r="AK38" s="143" t="s">
        <v>221</v>
      </c>
      <c r="AL38" s="150" t="s">
        <v>222</v>
      </c>
      <c r="AM38" s="148">
        <v>476323235</v>
      </c>
      <c r="AN38" s="143" t="s">
        <v>76</v>
      </c>
      <c r="AO38" s="150" t="s">
        <v>102</v>
      </c>
      <c r="AP38" s="147">
        <v>44429</v>
      </c>
      <c r="AQ38" s="135" t="s">
        <v>3496</v>
      </c>
      <c r="AR38" s="143">
        <v>1995</v>
      </c>
      <c r="AS38" s="143" t="s">
        <v>3413</v>
      </c>
      <c r="AT38" s="143" t="s">
        <v>98</v>
      </c>
      <c r="AU38" s="143" t="s">
        <v>113</v>
      </c>
      <c r="AV38" s="143" t="s">
        <v>337</v>
      </c>
      <c r="AW38" s="143">
        <v>18</v>
      </c>
      <c r="AX38" s="143">
        <v>10</v>
      </c>
      <c r="AY38" s="143">
        <v>90.4</v>
      </c>
      <c r="AZ38" s="143">
        <v>3.0000000000000001E-3</v>
      </c>
      <c r="BA38" s="143" t="s">
        <v>101</v>
      </c>
      <c r="BB38" s="143"/>
      <c r="BC38" s="143">
        <f>485+40+3450+148+95+40</f>
        <v>4258</v>
      </c>
      <c r="BD38" s="143"/>
      <c r="BE38" s="143">
        <f>30+290+380</f>
        <v>700</v>
      </c>
      <c r="BF38" s="143">
        <f t="shared" si="0"/>
        <v>4958</v>
      </c>
      <c r="BG38" s="151">
        <f t="shared" si="1"/>
        <v>272.69</v>
      </c>
      <c r="BH38" s="151">
        <f t="shared" si="2"/>
        <v>5230.6899999999996</v>
      </c>
      <c r="BI38" s="151">
        <v>4793.97</v>
      </c>
      <c r="BJ38" s="143" t="s">
        <v>102</v>
      </c>
      <c r="BK38" s="143"/>
      <c r="BL38" s="143"/>
      <c r="BM38" s="144" t="s">
        <v>142</v>
      </c>
      <c r="BN38" s="144" t="s">
        <v>103</v>
      </c>
      <c r="BO38" s="144" t="s">
        <v>143</v>
      </c>
      <c r="BP38" s="143" t="s">
        <v>3583</v>
      </c>
      <c r="BQ38" s="203" t="s">
        <v>144</v>
      </c>
    </row>
    <row r="39" spans="1:69" ht="41.1" customHeight="1">
      <c r="A39" s="133" t="s">
        <v>86</v>
      </c>
      <c r="B39" s="133" t="s">
        <v>338</v>
      </c>
      <c r="C39" s="134">
        <v>800</v>
      </c>
      <c r="D39" s="135">
        <v>44059</v>
      </c>
      <c r="E39" s="135">
        <v>44060</v>
      </c>
      <c r="F39" s="147" t="s">
        <v>76</v>
      </c>
      <c r="G39" s="135" t="s">
        <v>76</v>
      </c>
      <c r="H39" s="147">
        <v>44067</v>
      </c>
      <c r="I39" s="147">
        <v>44067</v>
      </c>
      <c r="J39" s="147">
        <v>44089</v>
      </c>
      <c r="K39" s="135">
        <v>44139</v>
      </c>
      <c r="L39" s="135">
        <v>44064</v>
      </c>
      <c r="M39" s="135" t="s">
        <v>339</v>
      </c>
      <c r="N39" s="135">
        <v>44176</v>
      </c>
      <c r="O39" s="135">
        <v>44176</v>
      </c>
      <c r="P39" s="135">
        <v>44182</v>
      </c>
      <c r="Q39" s="135"/>
      <c r="R39" s="143"/>
      <c r="S39" s="143"/>
      <c r="T39" s="143"/>
      <c r="U39" s="143">
        <v>3</v>
      </c>
      <c r="V39" s="143">
        <v>31464</v>
      </c>
      <c r="W39" s="143" t="str">
        <f ca="1">IF(H39="",IF(D39="","",IF(U39+V39&lt;15,"Données Nb pers ou RFR manquantes",IF(COUNTA(INDIRECT("TabRFR["&amp;YEAR(D39)&amp;"]"))&lt;&gt;COUNTA(TabRFR[Recherche RFR]),"Data RFR manquantes", IF(V39&lt;=INDEX(TabRFR[[2021]:[2025]],MATCH(BD!U39&amp;"-Très modestes",TabRFR[Recherche RFR],0),MATCH(TEXT(YEAR(BD!D39),"Standard"),TabRFR[[#Headers],[2021]:[2025]],0)),"Très Modeste",IF(V39&lt;=INDEX(TabRFR[[2021]:[2025]],MATCH(BD!U39&amp;"-modestes",TabRFR[Recherche RFR],0),MATCH(TEXT(YEAR(BD!D39),"Standard"),TabRFR[[#Headers],[2021]:[2025]],0)),"Modeste",IF(V39&lt;=INDEX(TabRFR[[2021]:[2025]],MATCH(BD!U39&amp;"-Intermédiaire",TabRFR[Recherche RFR],0),MATCH(TEXT(YEAR(BD!D39),"Standard"),TabRFR[[#Headers],[2021]:[2025]],0)),"Intermédiaire","Supérieur")))))),IF(D39="","",IF(U39+V39&lt;15,"Données Nb pers ou RFR manquantes",IF(COUNTA(INDIRECT("TabRFR["&amp;YEAR(H39)&amp;"]"))&lt;&gt;COUNTA(TabRFR[Recherche RFR]),"Data RFR manquantes", IF(V39&lt;=INDEX(TabRFR[[2021]:[2025]],MATCH(BD!U39&amp;"-Très modestes",TabRFR[Recherche RFR],0),MATCH(TEXT(YEAR(BD!H39),"Standard"),TabRFR[[#Headers],[2021]:[2025]],0)),"Très Modeste",IF(V39&lt;=INDEX(TabRFR[[2021]:[2025]],MATCH(BD!U39&amp;"-modestes",TabRFR[Recherche RFR],0),MATCH(TEXT(YEAR(BD!H39),"Standard"),TabRFR[[#Headers],[2021]:[2025]],0)),"Modeste",IF(V39&lt;=INDEX(TabRFR[[2021]:[2025]],MATCH(BD!U39&amp;"-Intermédiaire",TabRFR[Recherche RFR],0),MATCH(TEXT(YEAR(BD!H39),"Standard"),TabRFR[[#Headers],[2021]:[2025]],0)),"Intermédiaire","Supérieur")))))))</f>
        <v>Data RFR manquantes</v>
      </c>
      <c r="X39" s="143"/>
      <c r="Y39" s="143" t="s">
        <v>341</v>
      </c>
      <c r="Z39" s="143">
        <v>38210</v>
      </c>
      <c r="AA39" s="143" t="s">
        <v>202</v>
      </c>
      <c r="AB39" s="148"/>
      <c r="AC39" s="149"/>
      <c r="AD39" s="143" t="s">
        <v>91</v>
      </c>
      <c r="AE39" s="143" t="s">
        <v>76</v>
      </c>
      <c r="AF39" s="143" t="s">
        <v>76</v>
      </c>
      <c r="AG39" s="143" t="s">
        <v>76</v>
      </c>
      <c r="AH39" s="143" t="s">
        <v>76</v>
      </c>
      <c r="AI39" s="143" t="s">
        <v>120</v>
      </c>
      <c r="AJ39" s="143" t="s">
        <v>121</v>
      </c>
      <c r="AK39" s="143" t="s">
        <v>122</v>
      </c>
      <c r="AL39" s="150" t="s">
        <v>123</v>
      </c>
      <c r="AM39" s="148">
        <v>608287337</v>
      </c>
      <c r="AN39" s="143" t="s">
        <v>76</v>
      </c>
      <c r="AO39" s="150" t="s">
        <v>102</v>
      </c>
      <c r="AP39" s="147">
        <v>44417</v>
      </c>
      <c r="AQ39" s="143" t="s">
        <v>3413</v>
      </c>
      <c r="AR39" s="143">
        <v>1999</v>
      </c>
      <c r="AS39" s="143" t="s">
        <v>3413</v>
      </c>
      <c r="AT39" s="135" t="s">
        <v>3446</v>
      </c>
      <c r="AU39" s="143" t="s">
        <v>124</v>
      </c>
      <c r="AV39" s="143" t="s">
        <v>342</v>
      </c>
      <c r="AW39" s="143">
        <v>27.2</v>
      </c>
      <c r="AX39" s="143">
        <v>5.48</v>
      </c>
      <c r="AY39" s="143">
        <v>82.3</v>
      </c>
      <c r="AZ39" s="143">
        <v>4.9000000000000002E-2</v>
      </c>
      <c r="BA39" s="143" t="s">
        <v>126</v>
      </c>
      <c r="BB39" s="143"/>
      <c r="BC39" s="143">
        <v>1500</v>
      </c>
      <c r="BD39" s="143"/>
      <c r="BE39" s="143">
        <v>1000</v>
      </c>
      <c r="BF39" s="143">
        <f t="shared" si="0"/>
        <v>2500</v>
      </c>
      <c r="BG39" s="151">
        <f t="shared" si="1"/>
        <v>137.5</v>
      </c>
      <c r="BH39" s="151">
        <f t="shared" si="2"/>
        <v>2637.5</v>
      </c>
      <c r="BI39" s="151">
        <v>2500</v>
      </c>
      <c r="BJ39" s="143" t="s">
        <v>115</v>
      </c>
      <c r="BK39" s="143"/>
      <c r="BL39" s="143"/>
      <c r="BM39" s="144" t="s">
        <v>142</v>
      </c>
      <c r="BN39" s="144" t="s">
        <v>103</v>
      </c>
      <c r="BO39" s="135" t="s">
        <v>155</v>
      </c>
      <c r="BP39" s="144">
        <v>2020</v>
      </c>
      <c r="BQ39" s="203" t="s">
        <v>3274</v>
      </c>
    </row>
    <row r="40" spans="1:69" ht="41.1" customHeight="1">
      <c r="A40" s="133" t="s">
        <v>86</v>
      </c>
      <c r="B40" s="133" t="s">
        <v>343</v>
      </c>
      <c r="C40" s="134">
        <v>400</v>
      </c>
      <c r="D40" s="135">
        <v>44062</v>
      </c>
      <c r="E40" s="135">
        <v>44063</v>
      </c>
      <c r="F40" s="147" t="s">
        <v>76</v>
      </c>
      <c r="G40" s="135" t="s">
        <v>76</v>
      </c>
      <c r="H40" s="147">
        <v>44067</v>
      </c>
      <c r="I40" s="147">
        <v>44067</v>
      </c>
      <c r="J40" s="147">
        <v>44089</v>
      </c>
      <c r="K40" s="135">
        <v>44151</v>
      </c>
      <c r="L40" s="135">
        <v>44106</v>
      </c>
      <c r="M40" s="135" t="s">
        <v>76</v>
      </c>
      <c r="N40" s="135">
        <v>44158</v>
      </c>
      <c r="O40" s="135">
        <v>44158</v>
      </c>
      <c r="P40" s="135">
        <v>44166</v>
      </c>
      <c r="Q40" s="135"/>
      <c r="R40" s="143"/>
      <c r="S40" s="143"/>
      <c r="T40" s="143"/>
      <c r="U40" s="143">
        <v>4</v>
      </c>
      <c r="V40" s="143">
        <v>65715</v>
      </c>
      <c r="W40" s="143" t="str">
        <f ca="1">IF(H40="",IF(D40="","",IF(U40+V40&lt;15,"Données Nb pers ou RFR manquantes",IF(COUNTA(INDIRECT("TabRFR["&amp;YEAR(D40)&amp;"]"))&lt;&gt;COUNTA(TabRFR[Recherche RFR]),"Data RFR manquantes", IF(V40&lt;=INDEX(TabRFR[[2021]:[2025]],MATCH(BD!U40&amp;"-Très modestes",TabRFR[Recherche RFR],0),MATCH(TEXT(YEAR(BD!D40),"Standard"),TabRFR[[#Headers],[2021]:[2025]],0)),"Très Modeste",IF(V40&lt;=INDEX(TabRFR[[2021]:[2025]],MATCH(BD!U40&amp;"-modestes",TabRFR[Recherche RFR],0),MATCH(TEXT(YEAR(BD!D40),"Standard"),TabRFR[[#Headers],[2021]:[2025]],0)),"Modeste",IF(V40&lt;=INDEX(TabRFR[[2021]:[2025]],MATCH(BD!U40&amp;"-Intermédiaire",TabRFR[Recherche RFR],0),MATCH(TEXT(YEAR(BD!D40),"Standard"),TabRFR[[#Headers],[2021]:[2025]],0)),"Intermédiaire","Supérieur")))))),IF(D40="","",IF(U40+V40&lt;15,"Données Nb pers ou RFR manquantes",IF(COUNTA(INDIRECT("TabRFR["&amp;YEAR(H40)&amp;"]"))&lt;&gt;COUNTA(TabRFR[Recherche RFR]),"Data RFR manquantes", IF(V40&lt;=INDEX(TabRFR[[2021]:[2025]],MATCH(BD!U40&amp;"-Très modestes",TabRFR[Recherche RFR],0),MATCH(TEXT(YEAR(BD!H40),"Standard"),TabRFR[[#Headers],[2021]:[2025]],0)),"Très Modeste",IF(V40&lt;=INDEX(TabRFR[[2021]:[2025]],MATCH(BD!U40&amp;"-modestes",TabRFR[Recherche RFR],0),MATCH(TEXT(YEAR(BD!H40),"Standard"),TabRFR[[#Headers],[2021]:[2025]],0)),"Modeste",IF(V40&lt;=INDEX(TabRFR[[2021]:[2025]],MATCH(BD!U40&amp;"-Intermédiaire",TabRFR[Recherche RFR],0),MATCH(TEXT(YEAR(BD!H40),"Standard"),TabRFR[[#Headers],[2021]:[2025]],0)),"Intermédiaire","Supérieur")))))))</f>
        <v>Data RFR manquantes</v>
      </c>
      <c r="X40" s="143"/>
      <c r="Y40" s="143" t="s">
        <v>344</v>
      </c>
      <c r="Z40" s="143">
        <v>38140</v>
      </c>
      <c r="AA40" s="143" t="s">
        <v>184</v>
      </c>
      <c r="AB40" s="148"/>
      <c r="AC40" s="149"/>
      <c r="AD40" s="143" t="s">
        <v>91</v>
      </c>
      <c r="AE40" s="143" t="s">
        <v>76</v>
      </c>
      <c r="AF40" s="143" t="s">
        <v>76</v>
      </c>
      <c r="AG40" s="143" t="s">
        <v>76</v>
      </c>
      <c r="AH40" s="143" t="s">
        <v>76</v>
      </c>
      <c r="AI40" s="143" t="s">
        <v>109</v>
      </c>
      <c r="AJ40" s="143" t="s">
        <v>108</v>
      </c>
      <c r="AK40" s="143" t="s">
        <v>110</v>
      </c>
      <c r="AL40" s="149" t="s">
        <v>111</v>
      </c>
      <c r="AM40" s="148" t="s">
        <v>112</v>
      </c>
      <c r="AN40" s="143" t="s">
        <v>76</v>
      </c>
      <c r="AO40" s="150" t="s">
        <v>102</v>
      </c>
      <c r="AP40" s="147">
        <v>44138</v>
      </c>
      <c r="AQ40" s="135" t="s">
        <v>3496</v>
      </c>
      <c r="AR40" s="143">
        <v>1987</v>
      </c>
      <c r="AS40" s="143" t="s">
        <v>3413</v>
      </c>
      <c r="AT40" s="135" t="s">
        <v>3446</v>
      </c>
      <c r="AU40" s="143" t="s">
        <v>173</v>
      </c>
      <c r="AV40" s="143" t="s">
        <v>345</v>
      </c>
      <c r="AW40" s="143">
        <v>14</v>
      </c>
      <c r="AX40" s="143">
        <v>8.6999999999999993</v>
      </c>
      <c r="AY40" s="143">
        <v>83</v>
      </c>
      <c r="AZ40" s="143">
        <v>0.1</v>
      </c>
      <c r="BA40" s="143" t="s">
        <v>101</v>
      </c>
      <c r="BB40" s="143"/>
      <c r="BC40" s="143">
        <f>2725.94+89+87+120+90+47+43+22+101+15</f>
        <v>3339.94</v>
      </c>
      <c r="BD40" s="143"/>
      <c r="BE40" s="143">
        <f>30+450</f>
        <v>480</v>
      </c>
      <c r="BF40" s="143">
        <f t="shared" si="0"/>
        <v>3819.94</v>
      </c>
      <c r="BG40" s="151">
        <f t="shared" si="1"/>
        <v>210.0967</v>
      </c>
      <c r="BH40" s="151">
        <f t="shared" si="2"/>
        <v>4030.0367000000001</v>
      </c>
      <c r="BI40" s="151">
        <v>3423.41</v>
      </c>
      <c r="BJ40" s="143" t="s">
        <v>115</v>
      </c>
      <c r="BK40" s="143"/>
      <c r="BL40" s="143"/>
      <c r="BM40" s="143" t="s">
        <v>142</v>
      </c>
      <c r="BN40" s="144" t="s">
        <v>103</v>
      </c>
      <c r="BO40" s="144" t="s">
        <v>143</v>
      </c>
      <c r="BP40" s="143">
        <v>2020</v>
      </c>
      <c r="BQ40" s="203" t="s">
        <v>3274</v>
      </c>
    </row>
    <row r="41" spans="1:69" ht="41.1" customHeight="1">
      <c r="A41" s="133" t="s">
        <v>86</v>
      </c>
      <c r="B41" s="133" t="s">
        <v>346</v>
      </c>
      <c r="C41" s="134">
        <v>400</v>
      </c>
      <c r="D41" s="135">
        <v>44062</v>
      </c>
      <c r="E41" s="135">
        <v>44063</v>
      </c>
      <c r="F41" s="147">
        <v>44067</v>
      </c>
      <c r="G41" s="135" t="s">
        <v>347</v>
      </c>
      <c r="H41" s="147">
        <v>44077</v>
      </c>
      <c r="I41" s="147">
        <v>44077</v>
      </c>
      <c r="J41" s="147">
        <v>44084</v>
      </c>
      <c r="K41" s="135">
        <v>44398</v>
      </c>
      <c r="L41" s="135">
        <v>44362</v>
      </c>
      <c r="M41" s="135" t="s">
        <v>76</v>
      </c>
      <c r="N41" s="135">
        <v>44413</v>
      </c>
      <c r="O41" s="135">
        <v>44413</v>
      </c>
      <c r="P41" s="135">
        <v>44453</v>
      </c>
      <c r="Q41" s="135"/>
      <c r="R41" s="143"/>
      <c r="S41" s="143"/>
      <c r="T41" s="143"/>
      <c r="U41" s="143">
        <v>2</v>
      </c>
      <c r="V41" s="143">
        <v>30931</v>
      </c>
      <c r="W41" s="143" t="str">
        <f ca="1">IF(H41="",IF(D41="","",IF(U41+V41&lt;15,"Données Nb pers ou RFR manquantes",IF(COUNTA(INDIRECT("TabRFR["&amp;YEAR(D41)&amp;"]"))&lt;&gt;COUNTA(TabRFR[Recherche RFR]),"Data RFR manquantes", IF(V41&lt;=INDEX(TabRFR[[2021]:[2025]],MATCH(BD!U41&amp;"-Très modestes",TabRFR[Recherche RFR],0),MATCH(TEXT(YEAR(BD!D41),"Standard"),TabRFR[[#Headers],[2021]:[2025]],0)),"Très Modeste",IF(V41&lt;=INDEX(TabRFR[[2021]:[2025]],MATCH(BD!U41&amp;"-modestes",TabRFR[Recherche RFR],0),MATCH(TEXT(YEAR(BD!D41),"Standard"),TabRFR[[#Headers],[2021]:[2025]],0)),"Modeste",IF(V41&lt;=INDEX(TabRFR[[2021]:[2025]],MATCH(BD!U41&amp;"-Intermédiaire",TabRFR[Recherche RFR],0),MATCH(TEXT(YEAR(BD!D41),"Standard"),TabRFR[[#Headers],[2021]:[2025]],0)),"Intermédiaire","Supérieur")))))),IF(D41="","",IF(U41+V41&lt;15,"Données Nb pers ou RFR manquantes",IF(COUNTA(INDIRECT("TabRFR["&amp;YEAR(H41)&amp;"]"))&lt;&gt;COUNTA(TabRFR[Recherche RFR]),"Data RFR manquantes", IF(V41&lt;=INDEX(TabRFR[[2021]:[2025]],MATCH(BD!U41&amp;"-Très modestes",TabRFR[Recherche RFR],0),MATCH(TEXT(YEAR(BD!H41),"Standard"),TabRFR[[#Headers],[2021]:[2025]],0)),"Très Modeste",IF(V41&lt;=INDEX(TabRFR[[2021]:[2025]],MATCH(BD!U41&amp;"-modestes",TabRFR[Recherche RFR],0),MATCH(TEXT(YEAR(BD!H41),"Standard"),TabRFR[[#Headers],[2021]:[2025]],0)),"Modeste",IF(V41&lt;=INDEX(TabRFR[[2021]:[2025]],MATCH(BD!U41&amp;"-Intermédiaire",TabRFR[Recherche RFR],0),MATCH(TEXT(YEAR(BD!H41),"Standard"),TabRFR[[#Headers],[2021]:[2025]],0)),"Intermédiaire","Supérieur")))))))</f>
        <v>Data RFR manquantes</v>
      </c>
      <c r="X41" s="143"/>
      <c r="Y41" s="143" t="s">
        <v>348</v>
      </c>
      <c r="Z41" s="143">
        <v>76680</v>
      </c>
      <c r="AA41" s="143" t="s">
        <v>349</v>
      </c>
      <c r="AB41" s="148"/>
      <c r="AC41" s="149"/>
      <c r="AD41" s="143" t="s">
        <v>91</v>
      </c>
      <c r="AE41" s="143">
        <v>781</v>
      </c>
      <c r="AF41" s="143" t="s">
        <v>350</v>
      </c>
      <c r="AG41" s="143">
        <v>38430</v>
      </c>
      <c r="AH41" s="143" t="s">
        <v>351</v>
      </c>
      <c r="AI41" s="143" t="s">
        <v>352</v>
      </c>
      <c r="AJ41" s="143" t="s">
        <v>353</v>
      </c>
      <c r="AK41" s="143" t="s">
        <v>354</v>
      </c>
      <c r="AL41" s="150" t="s">
        <v>355</v>
      </c>
      <c r="AM41" s="148">
        <v>478900404</v>
      </c>
      <c r="AN41" s="143" t="s">
        <v>76</v>
      </c>
      <c r="AO41" s="150" t="s">
        <v>102</v>
      </c>
      <c r="AP41" s="147">
        <v>44265</v>
      </c>
      <c r="AQ41" s="135" t="s">
        <v>3496</v>
      </c>
      <c r="AR41" s="143" t="s">
        <v>213</v>
      </c>
      <c r="AS41" s="143" t="s">
        <v>3413</v>
      </c>
      <c r="AT41" s="143" t="s">
        <v>98</v>
      </c>
      <c r="AU41" s="143" t="s">
        <v>356</v>
      </c>
      <c r="AV41" s="143" t="s">
        <v>357</v>
      </c>
      <c r="AW41" s="143">
        <v>20</v>
      </c>
      <c r="AX41" s="143">
        <v>8.5</v>
      </c>
      <c r="AY41" s="143">
        <v>87.5</v>
      </c>
      <c r="AZ41" s="143">
        <v>0.01</v>
      </c>
      <c r="BA41" s="143" t="s">
        <v>101</v>
      </c>
      <c r="BB41" s="143"/>
      <c r="BC41" s="143">
        <f>5367.77+329.86+118.48+205.69</f>
        <v>6021.7999999999993</v>
      </c>
      <c r="BD41" s="143"/>
      <c r="BE41" s="143">
        <f>464.45+805.69+132.7+876.78</f>
        <v>2279.62</v>
      </c>
      <c r="BF41" s="143">
        <f t="shared" si="0"/>
        <v>8301.4199999999983</v>
      </c>
      <c r="BG41" s="151">
        <f t="shared" si="1"/>
        <v>456.57809999999989</v>
      </c>
      <c r="BH41" s="151">
        <f t="shared" si="2"/>
        <v>8757.9980999999989</v>
      </c>
      <c r="BI41" s="151">
        <v>8400</v>
      </c>
      <c r="BJ41" s="143" t="s">
        <v>115</v>
      </c>
      <c r="BK41" s="143"/>
      <c r="BL41" s="143"/>
      <c r="BM41" s="144" t="s">
        <v>3576</v>
      </c>
      <c r="BN41" s="144" t="s">
        <v>103</v>
      </c>
      <c r="BO41" s="144" t="s">
        <v>143</v>
      </c>
      <c r="BP41" s="143" t="s">
        <v>3583</v>
      </c>
      <c r="BQ41" s="203" t="s">
        <v>3274</v>
      </c>
    </row>
    <row r="42" spans="1:69" ht="41.1" customHeight="1">
      <c r="A42" s="133" t="s">
        <v>86</v>
      </c>
      <c r="B42" s="133" t="s">
        <v>358</v>
      </c>
      <c r="C42" s="134">
        <v>800</v>
      </c>
      <c r="D42" s="135">
        <v>44062</v>
      </c>
      <c r="E42" s="135">
        <v>44063</v>
      </c>
      <c r="F42" s="147" t="s">
        <v>76</v>
      </c>
      <c r="G42" s="135" t="s">
        <v>76</v>
      </c>
      <c r="H42" s="147">
        <v>44067</v>
      </c>
      <c r="I42" s="147">
        <v>44067</v>
      </c>
      <c r="J42" s="147">
        <v>44089</v>
      </c>
      <c r="K42" s="135">
        <v>44229</v>
      </c>
      <c r="L42" s="135">
        <v>44120</v>
      </c>
      <c r="M42" s="135" t="s">
        <v>76</v>
      </c>
      <c r="N42" s="135">
        <v>44229</v>
      </c>
      <c r="O42" s="135">
        <v>44229</v>
      </c>
      <c r="P42" s="135">
        <v>44243</v>
      </c>
      <c r="Q42" s="135"/>
      <c r="R42" s="143"/>
      <c r="S42" s="143"/>
      <c r="T42" s="143"/>
      <c r="U42" s="143">
        <v>3</v>
      </c>
      <c r="V42" s="143">
        <v>31024</v>
      </c>
      <c r="W42" s="143" t="str">
        <f ca="1">IF(H42="",IF(D42="","",IF(U42+V42&lt;15,"Données Nb pers ou RFR manquantes",IF(COUNTA(INDIRECT("TabRFR["&amp;YEAR(D42)&amp;"]"))&lt;&gt;COUNTA(TabRFR[Recherche RFR]),"Data RFR manquantes", IF(V42&lt;=INDEX(TabRFR[[2021]:[2025]],MATCH(BD!U42&amp;"-Très modestes",TabRFR[Recherche RFR],0),MATCH(TEXT(YEAR(BD!D42),"Standard"),TabRFR[[#Headers],[2021]:[2025]],0)),"Très Modeste",IF(V42&lt;=INDEX(TabRFR[[2021]:[2025]],MATCH(BD!U42&amp;"-modestes",TabRFR[Recherche RFR],0),MATCH(TEXT(YEAR(BD!D42),"Standard"),TabRFR[[#Headers],[2021]:[2025]],0)),"Modeste",IF(V42&lt;=INDEX(TabRFR[[2021]:[2025]],MATCH(BD!U42&amp;"-Intermédiaire",TabRFR[Recherche RFR],0),MATCH(TEXT(YEAR(BD!D42),"Standard"),TabRFR[[#Headers],[2021]:[2025]],0)),"Intermédiaire","Supérieur")))))),IF(D42="","",IF(U42+V42&lt;15,"Données Nb pers ou RFR manquantes",IF(COUNTA(INDIRECT("TabRFR["&amp;YEAR(H42)&amp;"]"))&lt;&gt;COUNTA(TabRFR[Recherche RFR]),"Data RFR manquantes", IF(V42&lt;=INDEX(TabRFR[[2021]:[2025]],MATCH(BD!U42&amp;"-Très modestes",TabRFR[Recherche RFR],0),MATCH(TEXT(YEAR(BD!H42),"Standard"),TabRFR[[#Headers],[2021]:[2025]],0)),"Très Modeste",IF(V42&lt;=INDEX(TabRFR[[2021]:[2025]],MATCH(BD!U42&amp;"-modestes",TabRFR[Recherche RFR],0),MATCH(TEXT(YEAR(BD!H42),"Standard"),TabRFR[[#Headers],[2021]:[2025]],0)),"Modeste",IF(V42&lt;=INDEX(TabRFR[[2021]:[2025]],MATCH(BD!U42&amp;"-Intermédiaire",TabRFR[Recherche RFR],0),MATCH(TEXT(YEAR(BD!H42),"Standard"),TabRFR[[#Headers],[2021]:[2025]],0)),"Intermédiaire","Supérieur")))))))</f>
        <v>Data RFR manquantes</v>
      </c>
      <c r="X42" s="143"/>
      <c r="Y42" s="143" t="s">
        <v>359</v>
      </c>
      <c r="Z42" s="143">
        <v>38960</v>
      </c>
      <c r="AA42" s="143" t="s">
        <v>360</v>
      </c>
      <c r="AB42" s="148"/>
      <c r="AC42" s="149"/>
      <c r="AD42" s="143" t="s">
        <v>91</v>
      </c>
      <c r="AE42" s="143" t="s">
        <v>76</v>
      </c>
      <c r="AF42" s="143" t="s">
        <v>76</v>
      </c>
      <c r="AG42" s="143" t="s">
        <v>76</v>
      </c>
      <c r="AH42" s="143" t="s">
        <v>76</v>
      </c>
      <c r="AI42" s="143" t="s">
        <v>135</v>
      </c>
      <c r="AJ42" s="143" t="s">
        <v>136</v>
      </c>
      <c r="AK42" s="143" t="s">
        <v>137</v>
      </c>
      <c r="AL42" s="149" t="s">
        <v>138</v>
      </c>
      <c r="AM42" s="148">
        <v>474937373</v>
      </c>
      <c r="AN42" s="143" t="s">
        <v>76</v>
      </c>
      <c r="AO42" s="150" t="s">
        <v>102</v>
      </c>
      <c r="AP42" s="147">
        <v>44314</v>
      </c>
      <c r="AQ42" s="135" t="s">
        <v>3496</v>
      </c>
      <c r="AR42" s="143">
        <v>1990</v>
      </c>
      <c r="AS42" s="143" t="s">
        <v>3413</v>
      </c>
      <c r="AT42" s="143" t="s">
        <v>98</v>
      </c>
      <c r="AU42" s="143" t="s">
        <v>361</v>
      </c>
      <c r="AV42" s="143" t="s">
        <v>362</v>
      </c>
      <c r="AW42" s="143">
        <v>19</v>
      </c>
      <c r="AX42" s="143">
        <v>8.1999999999999993</v>
      </c>
      <c r="AY42" s="143">
        <v>91.1</v>
      </c>
      <c r="AZ42" s="143">
        <v>1.0999999999999999E-2</v>
      </c>
      <c r="BA42" s="143" t="s">
        <v>126</v>
      </c>
      <c r="BB42" s="143"/>
      <c r="BC42" s="143">
        <v>3740</v>
      </c>
      <c r="BD42" s="143"/>
      <c r="BE42" s="143">
        <v>1250</v>
      </c>
      <c r="BF42" s="143">
        <f t="shared" si="0"/>
        <v>4990</v>
      </c>
      <c r="BG42" s="151">
        <f t="shared" si="1"/>
        <v>274.45</v>
      </c>
      <c r="BH42" s="151">
        <f t="shared" si="2"/>
        <v>5264.45</v>
      </c>
      <c r="BI42" s="151">
        <v>5264.45</v>
      </c>
      <c r="BJ42" s="143" t="s">
        <v>102</v>
      </c>
      <c r="BK42" s="143"/>
      <c r="BL42" s="143"/>
      <c r="BM42" s="144" t="s">
        <v>142</v>
      </c>
      <c r="BN42" s="144" t="s">
        <v>103</v>
      </c>
      <c r="BO42" s="135" t="s">
        <v>155</v>
      </c>
      <c r="BP42" s="143" t="s">
        <v>3583</v>
      </c>
      <c r="BQ42" s="203" t="s">
        <v>144</v>
      </c>
    </row>
    <row r="43" spans="1:69" ht="41.1" customHeight="1">
      <c r="A43" s="133" t="s">
        <v>86</v>
      </c>
      <c r="B43" s="133" t="s">
        <v>363</v>
      </c>
      <c r="C43" s="134">
        <v>400</v>
      </c>
      <c r="D43" s="135">
        <v>44063</v>
      </c>
      <c r="E43" s="135">
        <v>44064</v>
      </c>
      <c r="F43" s="147">
        <v>44067</v>
      </c>
      <c r="G43" s="135" t="s">
        <v>364</v>
      </c>
      <c r="H43" s="147">
        <v>44077</v>
      </c>
      <c r="I43" s="147">
        <v>44077</v>
      </c>
      <c r="J43" s="147">
        <v>44084</v>
      </c>
      <c r="K43" s="135">
        <v>44139</v>
      </c>
      <c r="L43" s="135">
        <v>44113</v>
      </c>
      <c r="M43" s="135" t="s">
        <v>76</v>
      </c>
      <c r="N43" s="135">
        <v>44145</v>
      </c>
      <c r="O43" s="135">
        <v>44145</v>
      </c>
      <c r="P43" s="135">
        <v>44147</v>
      </c>
      <c r="Q43" s="135"/>
      <c r="R43" s="143"/>
      <c r="S43" s="143"/>
      <c r="T43" s="143"/>
      <c r="U43" s="143">
        <v>5</v>
      </c>
      <c r="V43" s="143">
        <v>60396</v>
      </c>
      <c r="W43" s="143" t="str">
        <f ca="1">IF(H43="",IF(D43="","",IF(U43+V43&lt;15,"Données Nb pers ou RFR manquantes",IF(COUNTA(INDIRECT("TabRFR["&amp;YEAR(D43)&amp;"]"))&lt;&gt;COUNTA(TabRFR[Recherche RFR]),"Data RFR manquantes", IF(V43&lt;=INDEX(TabRFR[[2021]:[2025]],MATCH(BD!U43&amp;"-Très modestes",TabRFR[Recherche RFR],0),MATCH(TEXT(YEAR(BD!D43),"Standard"),TabRFR[[#Headers],[2021]:[2025]],0)),"Très Modeste",IF(V43&lt;=INDEX(TabRFR[[2021]:[2025]],MATCH(BD!U43&amp;"-modestes",TabRFR[Recherche RFR],0),MATCH(TEXT(YEAR(BD!D43),"Standard"),TabRFR[[#Headers],[2021]:[2025]],0)),"Modeste",IF(V43&lt;=INDEX(TabRFR[[2021]:[2025]],MATCH(BD!U43&amp;"-Intermédiaire",TabRFR[Recherche RFR],0),MATCH(TEXT(YEAR(BD!D43),"Standard"),TabRFR[[#Headers],[2021]:[2025]],0)),"Intermédiaire","Supérieur")))))),IF(D43="","",IF(U43+V43&lt;15,"Données Nb pers ou RFR manquantes",IF(COUNTA(INDIRECT("TabRFR["&amp;YEAR(H43)&amp;"]"))&lt;&gt;COUNTA(TabRFR[Recherche RFR]),"Data RFR manquantes", IF(V43&lt;=INDEX(TabRFR[[2021]:[2025]],MATCH(BD!U43&amp;"-Très modestes",TabRFR[Recherche RFR],0),MATCH(TEXT(YEAR(BD!H43),"Standard"),TabRFR[[#Headers],[2021]:[2025]],0)),"Très Modeste",IF(V43&lt;=INDEX(TabRFR[[2021]:[2025]],MATCH(BD!U43&amp;"-modestes",TabRFR[Recherche RFR],0),MATCH(TEXT(YEAR(BD!H43),"Standard"),TabRFR[[#Headers],[2021]:[2025]],0)),"Modeste",IF(V43&lt;=INDEX(TabRFR[[2021]:[2025]],MATCH(BD!U43&amp;"-Intermédiaire",TabRFR[Recherche RFR],0),MATCH(TEXT(YEAR(BD!H43),"Standard"),TabRFR[[#Headers],[2021]:[2025]],0)),"Intermédiaire","Supérieur")))))))</f>
        <v>Data RFR manquantes</v>
      </c>
      <c r="X43" s="143"/>
      <c r="Y43" s="143" t="s">
        <v>365</v>
      </c>
      <c r="Z43" s="143">
        <v>38500</v>
      </c>
      <c r="AA43" s="143" t="s">
        <v>219</v>
      </c>
      <c r="AB43" s="148"/>
      <c r="AC43" s="149"/>
      <c r="AD43" s="143" t="s">
        <v>91</v>
      </c>
      <c r="AE43" s="143" t="s">
        <v>76</v>
      </c>
      <c r="AF43" s="143" t="s">
        <v>76</v>
      </c>
      <c r="AG43" s="143" t="s">
        <v>76</v>
      </c>
      <c r="AH43" s="143" t="s">
        <v>76</v>
      </c>
      <c r="AI43" s="143" t="s">
        <v>185</v>
      </c>
      <c r="AJ43" s="143" t="s">
        <v>108</v>
      </c>
      <c r="AK43" s="143" t="s">
        <v>186</v>
      </c>
      <c r="AL43" s="150" t="s">
        <v>187</v>
      </c>
      <c r="AM43" s="148">
        <v>951096343</v>
      </c>
      <c r="AN43" s="143" t="s">
        <v>76</v>
      </c>
      <c r="AO43" s="150" t="s">
        <v>102</v>
      </c>
      <c r="AP43" s="147">
        <v>44433</v>
      </c>
      <c r="AQ43" s="143" t="s">
        <v>3413</v>
      </c>
      <c r="AR43" s="143">
        <v>1998</v>
      </c>
      <c r="AS43" s="143" t="s">
        <v>3413</v>
      </c>
      <c r="AT43" s="143" t="s">
        <v>98</v>
      </c>
      <c r="AU43" s="143" t="s">
        <v>188</v>
      </c>
      <c r="AV43" s="143" t="s">
        <v>366</v>
      </c>
      <c r="AW43" s="143">
        <v>20</v>
      </c>
      <c r="AX43" s="143">
        <v>7.9</v>
      </c>
      <c r="AY43" s="143">
        <v>89</v>
      </c>
      <c r="AZ43" s="143">
        <v>1.7999999999999999E-2</v>
      </c>
      <c r="BA43" s="143" t="s">
        <v>126</v>
      </c>
      <c r="BB43" s="143"/>
      <c r="BC43" s="143">
        <f>5885+250.44+271.35+236+119.9</f>
        <v>6762.69</v>
      </c>
      <c r="BD43" s="143"/>
      <c r="BE43" s="143">
        <v>630</v>
      </c>
      <c r="BF43" s="143">
        <f t="shared" si="0"/>
        <v>7392.69</v>
      </c>
      <c r="BG43" s="151">
        <f t="shared" si="1"/>
        <v>406.59794999999997</v>
      </c>
      <c r="BH43" s="151">
        <f t="shared" si="2"/>
        <v>7799.2879499999999</v>
      </c>
      <c r="BI43" s="151">
        <v>7500</v>
      </c>
      <c r="BJ43" s="143" t="s">
        <v>102</v>
      </c>
      <c r="BK43" s="143"/>
      <c r="BL43" s="143"/>
      <c r="BM43" s="144" t="s">
        <v>142</v>
      </c>
      <c r="BN43" s="144" t="s">
        <v>103</v>
      </c>
      <c r="BO43" s="144" t="s">
        <v>143</v>
      </c>
      <c r="BP43" s="143" t="s">
        <v>3583</v>
      </c>
      <c r="BQ43" s="203" t="s">
        <v>144</v>
      </c>
    </row>
    <row r="44" spans="1:69" ht="41.1" customHeight="1">
      <c r="A44" s="133" t="s">
        <v>86</v>
      </c>
      <c r="B44" s="133" t="s">
        <v>367</v>
      </c>
      <c r="C44" s="134">
        <v>800</v>
      </c>
      <c r="D44" s="135">
        <v>44063</v>
      </c>
      <c r="E44" s="135">
        <v>44064</v>
      </c>
      <c r="F44" s="147" t="s">
        <v>76</v>
      </c>
      <c r="G44" s="135" t="s">
        <v>76</v>
      </c>
      <c r="H44" s="147">
        <v>44067</v>
      </c>
      <c r="I44" s="147">
        <v>44067</v>
      </c>
      <c r="J44" s="147">
        <v>44089</v>
      </c>
      <c r="K44" s="135">
        <v>44160</v>
      </c>
      <c r="L44" s="135">
        <v>44135</v>
      </c>
      <c r="M44" s="135" t="s">
        <v>76</v>
      </c>
      <c r="N44" s="135">
        <v>44165</v>
      </c>
      <c r="O44" s="135">
        <v>44165</v>
      </c>
      <c r="P44" s="135">
        <v>44166</v>
      </c>
      <c r="Q44" s="135"/>
      <c r="R44" s="143"/>
      <c r="S44" s="143"/>
      <c r="T44" s="143"/>
      <c r="U44" s="143">
        <v>3</v>
      </c>
      <c r="V44" s="143">
        <v>22527</v>
      </c>
      <c r="W44" s="143" t="str">
        <f ca="1">IF(H44="",IF(D44="","",IF(U44+V44&lt;15,"Données Nb pers ou RFR manquantes",IF(COUNTA(INDIRECT("TabRFR["&amp;YEAR(D44)&amp;"]"))&lt;&gt;COUNTA(TabRFR[Recherche RFR]),"Data RFR manquantes", IF(V44&lt;=INDEX(TabRFR[[2021]:[2025]],MATCH(BD!U44&amp;"-Très modestes",TabRFR[Recherche RFR],0),MATCH(TEXT(YEAR(BD!D44),"Standard"),TabRFR[[#Headers],[2021]:[2025]],0)),"Très Modeste",IF(V44&lt;=INDEX(TabRFR[[2021]:[2025]],MATCH(BD!U44&amp;"-modestes",TabRFR[Recherche RFR],0),MATCH(TEXT(YEAR(BD!D44),"Standard"),TabRFR[[#Headers],[2021]:[2025]],0)),"Modeste",IF(V44&lt;=INDEX(TabRFR[[2021]:[2025]],MATCH(BD!U44&amp;"-Intermédiaire",TabRFR[Recherche RFR],0),MATCH(TEXT(YEAR(BD!D44),"Standard"),TabRFR[[#Headers],[2021]:[2025]],0)),"Intermédiaire","Supérieur")))))),IF(D44="","",IF(U44+V44&lt;15,"Données Nb pers ou RFR manquantes",IF(COUNTA(INDIRECT("TabRFR["&amp;YEAR(H44)&amp;"]"))&lt;&gt;COUNTA(TabRFR[Recherche RFR]),"Data RFR manquantes", IF(V44&lt;=INDEX(TabRFR[[2021]:[2025]],MATCH(BD!U44&amp;"-Très modestes",TabRFR[Recherche RFR],0),MATCH(TEXT(YEAR(BD!H44),"Standard"),TabRFR[[#Headers],[2021]:[2025]],0)),"Très Modeste",IF(V44&lt;=INDEX(TabRFR[[2021]:[2025]],MATCH(BD!U44&amp;"-modestes",TabRFR[Recherche RFR],0),MATCH(TEXT(YEAR(BD!H44),"Standard"),TabRFR[[#Headers],[2021]:[2025]],0)),"Modeste",IF(V44&lt;=INDEX(TabRFR[[2021]:[2025]],MATCH(BD!U44&amp;"-Intermédiaire",TabRFR[Recherche RFR],0),MATCH(TEXT(YEAR(BD!H44),"Standard"),TabRFR[[#Headers],[2021]:[2025]],0)),"Intermédiaire","Supérieur")))))))</f>
        <v>Data RFR manquantes</v>
      </c>
      <c r="X44" s="143"/>
      <c r="Y44" s="143" t="s">
        <v>368</v>
      </c>
      <c r="Z44" s="143">
        <v>38340</v>
      </c>
      <c r="AA44" s="143" t="s">
        <v>266</v>
      </c>
      <c r="AB44" s="148"/>
      <c r="AC44" s="149"/>
      <c r="AD44" s="143" t="s">
        <v>91</v>
      </c>
      <c r="AE44" s="143" t="s">
        <v>76</v>
      </c>
      <c r="AF44" s="143" t="s">
        <v>76</v>
      </c>
      <c r="AG44" s="143" t="s">
        <v>76</v>
      </c>
      <c r="AH44" s="143" t="s">
        <v>76</v>
      </c>
      <c r="AI44" s="135" t="s">
        <v>220</v>
      </c>
      <c r="AJ44" s="143" t="s">
        <v>108</v>
      </c>
      <c r="AK44" s="143" t="s">
        <v>221</v>
      </c>
      <c r="AL44" s="150" t="s">
        <v>222</v>
      </c>
      <c r="AM44" s="148">
        <v>476323235</v>
      </c>
      <c r="AN44" s="143" t="s">
        <v>76</v>
      </c>
      <c r="AO44" s="150" t="s">
        <v>102</v>
      </c>
      <c r="AP44" s="147">
        <v>44429</v>
      </c>
      <c r="AQ44" s="135" t="s">
        <v>3449</v>
      </c>
      <c r="AR44" s="143">
        <v>1990</v>
      </c>
      <c r="AS44" s="143" t="s">
        <v>3413</v>
      </c>
      <c r="AT44" s="135" t="s">
        <v>3446</v>
      </c>
      <c r="AU44" s="143" t="s">
        <v>369</v>
      </c>
      <c r="AV44" s="143" t="s">
        <v>370</v>
      </c>
      <c r="AW44" s="143">
        <v>20</v>
      </c>
      <c r="AX44" s="143">
        <v>5</v>
      </c>
      <c r="AY44" s="143">
        <v>83</v>
      </c>
      <c r="AZ44" s="143">
        <v>0.06</v>
      </c>
      <c r="BA44" s="143" t="s">
        <v>101</v>
      </c>
      <c r="BB44" s="143"/>
      <c r="BC44" s="143">
        <f>530+30+390+1490+80+69+42+42+30+29+110</f>
        <v>2842</v>
      </c>
      <c r="BD44" s="143"/>
      <c r="BE44" s="143">
        <f>38+260+48+190</f>
        <v>536</v>
      </c>
      <c r="BF44" s="143">
        <f t="shared" si="0"/>
        <v>3378</v>
      </c>
      <c r="BG44" s="151">
        <f t="shared" si="1"/>
        <v>185.79</v>
      </c>
      <c r="BH44" s="151">
        <f t="shared" si="2"/>
        <v>3563.79</v>
      </c>
      <c r="BI44" s="151">
        <v>3509.18</v>
      </c>
      <c r="BJ44" s="143" t="s">
        <v>115</v>
      </c>
      <c r="BK44" s="143"/>
      <c r="BL44" s="143"/>
      <c r="BM44" s="144" t="s">
        <v>142</v>
      </c>
      <c r="BN44" s="144" t="s">
        <v>103</v>
      </c>
      <c r="BO44" s="135" t="s">
        <v>155</v>
      </c>
      <c r="BP44" s="144">
        <v>2020</v>
      </c>
      <c r="BQ44" s="203" t="s">
        <v>3274</v>
      </c>
    </row>
    <row r="45" spans="1:69" ht="41.1" customHeight="1">
      <c r="A45" s="133" t="s">
        <v>86</v>
      </c>
      <c r="B45" s="133" t="s">
        <v>371</v>
      </c>
      <c r="C45" s="134">
        <v>400</v>
      </c>
      <c r="D45" s="135">
        <v>44070</v>
      </c>
      <c r="E45" s="135">
        <v>44071</v>
      </c>
      <c r="F45" s="147" t="s">
        <v>76</v>
      </c>
      <c r="G45" s="135" t="s">
        <v>76</v>
      </c>
      <c r="H45" s="147">
        <v>44077</v>
      </c>
      <c r="I45" s="147">
        <v>44077</v>
      </c>
      <c r="J45" s="147">
        <v>44084</v>
      </c>
      <c r="K45" s="135">
        <v>44176</v>
      </c>
      <c r="L45" s="135">
        <v>44126</v>
      </c>
      <c r="M45" s="135" t="s">
        <v>76</v>
      </c>
      <c r="N45" s="135">
        <v>44179</v>
      </c>
      <c r="O45" s="135">
        <v>44179</v>
      </c>
      <c r="P45" s="135">
        <v>44203</v>
      </c>
      <c r="Q45" s="135"/>
      <c r="R45" s="143"/>
      <c r="S45" s="143"/>
      <c r="T45" s="143"/>
      <c r="U45" s="143">
        <v>4</v>
      </c>
      <c r="V45" s="143">
        <v>41575</v>
      </c>
      <c r="W45" s="143" t="str">
        <f ca="1">IF(H45="",IF(D45="","",IF(U45+V45&lt;15,"Données Nb pers ou RFR manquantes",IF(COUNTA(INDIRECT("TabRFR["&amp;YEAR(D45)&amp;"]"))&lt;&gt;COUNTA(TabRFR[Recherche RFR]),"Data RFR manquantes", IF(V45&lt;=INDEX(TabRFR[[2021]:[2025]],MATCH(BD!U45&amp;"-Très modestes",TabRFR[Recherche RFR],0),MATCH(TEXT(YEAR(BD!D45),"Standard"),TabRFR[[#Headers],[2021]:[2025]],0)),"Très Modeste",IF(V45&lt;=INDEX(TabRFR[[2021]:[2025]],MATCH(BD!U45&amp;"-modestes",TabRFR[Recherche RFR],0),MATCH(TEXT(YEAR(BD!D45),"Standard"),TabRFR[[#Headers],[2021]:[2025]],0)),"Modeste",IF(V45&lt;=INDEX(TabRFR[[2021]:[2025]],MATCH(BD!U45&amp;"-Intermédiaire",TabRFR[Recherche RFR],0),MATCH(TEXT(YEAR(BD!D45),"Standard"),TabRFR[[#Headers],[2021]:[2025]],0)),"Intermédiaire","Supérieur")))))),IF(D45="","",IF(U45+V45&lt;15,"Données Nb pers ou RFR manquantes",IF(COUNTA(INDIRECT("TabRFR["&amp;YEAR(H45)&amp;"]"))&lt;&gt;COUNTA(TabRFR[Recherche RFR]),"Data RFR manquantes", IF(V45&lt;=INDEX(TabRFR[[2021]:[2025]],MATCH(BD!U45&amp;"-Très modestes",TabRFR[Recherche RFR],0),MATCH(TEXT(YEAR(BD!H45),"Standard"),TabRFR[[#Headers],[2021]:[2025]],0)),"Très Modeste",IF(V45&lt;=INDEX(TabRFR[[2021]:[2025]],MATCH(BD!U45&amp;"-modestes",TabRFR[Recherche RFR],0),MATCH(TEXT(YEAR(BD!H45),"Standard"),TabRFR[[#Headers],[2021]:[2025]],0)),"Modeste",IF(V45&lt;=INDEX(TabRFR[[2021]:[2025]],MATCH(BD!U45&amp;"-Intermédiaire",TabRFR[Recherche RFR],0),MATCH(TEXT(YEAR(BD!H45),"Standard"),TabRFR[[#Headers],[2021]:[2025]],0)),"Intermédiaire","Supérieur")))))))</f>
        <v>Data RFR manquantes</v>
      </c>
      <c r="X45" s="143"/>
      <c r="Y45" s="143" t="s">
        <v>372</v>
      </c>
      <c r="Z45" s="143">
        <v>38850</v>
      </c>
      <c r="AA45" s="143" t="s">
        <v>168</v>
      </c>
      <c r="AB45" s="148"/>
      <c r="AC45" s="149"/>
      <c r="AD45" s="143" t="s">
        <v>91</v>
      </c>
      <c r="AE45" s="143" t="s">
        <v>76</v>
      </c>
      <c r="AF45" s="143" t="s">
        <v>76</v>
      </c>
      <c r="AG45" s="143" t="s">
        <v>76</v>
      </c>
      <c r="AH45" s="143" t="s">
        <v>76</v>
      </c>
      <c r="AI45" s="143" t="s">
        <v>169</v>
      </c>
      <c r="AJ45" s="143" t="s">
        <v>119</v>
      </c>
      <c r="AK45" s="143" t="s">
        <v>170</v>
      </c>
      <c r="AL45" s="149" t="s">
        <v>171</v>
      </c>
      <c r="AM45" s="148">
        <v>476355605</v>
      </c>
      <c r="AN45" s="143" t="s">
        <v>76</v>
      </c>
      <c r="AO45" s="150" t="s">
        <v>102</v>
      </c>
      <c r="AP45" s="147">
        <v>44495</v>
      </c>
      <c r="AQ45" s="135" t="s">
        <v>3496</v>
      </c>
      <c r="AR45" s="143">
        <v>1985</v>
      </c>
      <c r="AS45" s="143" t="s">
        <v>3413</v>
      </c>
      <c r="AT45" s="135" t="s">
        <v>3446</v>
      </c>
      <c r="AU45" s="143" t="s">
        <v>173</v>
      </c>
      <c r="AV45" s="143" t="s">
        <v>373</v>
      </c>
      <c r="AW45" s="143">
        <v>31</v>
      </c>
      <c r="AX45" s="143">
        <v>6</v>
      </c>
      <c r="AY45" s="143">
        <v>80</v>
      </c>
      <c r="AZ45" s="143">
        <v>0.08</v>
      </c>
      <c r="BA45" s="143" t="s">
        <v>101</v>
      </c>
      <c r="BB45" s="143"/>
      <c r="BC45" s="143">
        <f>1892+148.5+89.6+33.54</f>
        <v>2163.64</v>
      </c>
      <c r="BD45" s="143"/>
      <c r="BE45" s="143">
        <v>225</v>
      </c>
      <c r="BF45" s="143">
        <f t="shared" si="0"/>
        <v>2388.64</v>
      </c>
      <c r="BG45" s="151">
        <f t="shared" si="1"/>
        <v>131.37520000000001</v>
      </c>
      <c r="BH45" s="151">
        <f t="shared" si="2"/>
        <v>2520.0151999999998</v>
      </c>
      <c r="BI45" s="151">
        <v>2520.02</v>
      </c>
      <c r="BJ45" s="143" t="s">
        <v>115</v>
      </c>
      <c r="BK45" s="143"/>
      <c r="BL45" s="143"/>
      <c r="BM45" s="144" t="s">
        <v>142</v>
      </c>
      <c r="BN45" s="144" t="s">
        <v>103</v>
      </c>
      <c r="BO45" s="144" t="s">
        <v>143</v>
      </c>
      <c r="BP45" s="144">
        <v>2020</v>
      </c>
      <c r="BQ45" s="203" t="s">
        <v>3274</v>
      </c>
    </row>
    <row r="46" spans="1:69" ht="41.1" customHeight="1">
      <c r="A46" s="133" t="s">
        <v>86</v>
      </c>
      <c r="B46" s="133" t="s">
        <v>374</v>
      </c>
      <c r="C46" s="134">
        <v>400</v>
      </c>
      <c r="D46" s="135">
        <v>44071</v>
      </c>
      <c r="E46" s="135">
        <v>44074</v>
      </c>
      <c r="F46" s="147" t="s">
        <v>76</v>
      </c>
      <c r="G46" s="135" t="s">
        <v>76</v>
      </c>
      <c r="H46" s="147">
        <v>44077</v>
      </c>
      <c r="I46" s="147">
        <v>44077</v>
      </c>
      <c r="J46" s="147">
        <v>44084</v>
      </c>
      <c r="K46" s="135">
        <v>44104</v>
      </c>
      <c r="L46" s="135">
        <v>44096</v>
      </c>
      <c r="M46" s="135" t="s">
        <v>76</v>
      </c>
      <c r="N46" s="135">
        <v>44109</v>
      </c>
      <c r="O46" s="135">
        <v>44109</v>
      </c>
      <c r="P46" s="135">
        <v>44109</v>
      </c>
      <c r="Q46" s="135"/>
      <c r="R46" s="143"/>
      <c r="S46" s="143"/>
      <c r="T46" s="143"/>
      <c r="U46" s="143">
        <v>1</v>
      </c>
      <c r="V46" s="143">
        <v>26532</v>
      </c>
      <c r="W46" s="143" t="str">
        <f ca="1">IF(H46="",IF(D46="","",IF(U46+V46&lt;15,"Données Nb pers ou RFR manquantes",IF(COUNTA(INDIRECT("TabRFR["&amp;YEAR(D46)&amp;"]"))&lt;&gt;COUNTA(TabRFR[Recherche RFR]),"Data RFR manquantes", IF(V46&lt;=INDEX(TabRFR[[2021]:[2025]],MATCH(BD!U46&amp;"-Très modestes",TabRFR[Recherche RFR],0),MATCH(TEXT(YEAR(BD!D46),"Standard"),TabRFR[[#Headers],[2021]:[2025]],0)),"Très Modeste",IF(V46&lt;=INDEX(TabRFR[[2021]:[2025]],MATCH(BD!U46&amp;"-modestes",TabRFR[Recherche RFR],0),MATCH(TEXT(YEAR(BD!D46),"Standard"),TabRFR[[#Headers],[2021]:[2025]],0)),"Modeste",IF(V46&lt;=INDEX(TabRFR[[2021]:[2025]],MATCH(BD!U46&amp;"-Intermédiaire",TabRFR[Recherche RFR],0),MATCH(TEXT(YEAR(BD!D46),"Standard"),TabRFR[[#Headers],[2021]:[2025]],0)),"Intermédiaire","Supérieur")))))),IF(D46="","",IF(U46+V46&lt;15,"Données Nb pers ou RFR manquantes",IF(COUNTA(INDIRECT("TabRFR["&amp;YEAR(H46)&amp;"]"))&lt;&gt;COUNTA(TabRFR[Recherche RFR]),"Data RFR manquantes", IF(V46&lt;=INDEX(TabRFR[[2021]:[2025]],MATCH(BD!U46&amp;"-Très modestes",TabRFR[Recherche RFR],0),MATCH(TEXT(YEAR(BD!H46),"Standard"),TabRFR[[#Headers],[2021]:[2025]],0)),"Très Modeste",IF(V46&lt;=INDEX(TabRFR[[2021]:[2025]],MATCH(BD!U46&amp;"-modestes",TabRFR[Recherche RFR],0),MATCH(TEXT(YEAR(BD!H46),"Standard"),TabRFR[[#Headers],[2021]:[2025]],0)),"Modeste",IF(V46&lt;=INDEX(TabRFR[[2021]:[2025]],MATCH(BD!U46&amp;"-Intermédiaire",TabRFR[Recherche RFR],0),MATCH(TEXT(YEAR(BD!H46),"Standard"),TabRFR[[#Headers],[2021]:[2025]],0)),"Intermédiaire","Supérieur")))))))</f>
        <v>Data RFR manquantes</v>
      </c>
      <c r="X46" s="143"/>
      <c r="Y46" s="143" t="s">
        <v>375</v>
      </c>
      <c r="Z46" s="143">
        <v>38850</v>
      </c>
      <c r="AA46" s="143" t="s">
        <v>168</v>
      </c>
      <c r="AB46" s="148"/>
      <c r="AC46" s="149"/>
      <c r="AD46" s="143" t="s">
        <v>91</v>
      </c>
      <c r="AE46" s="143" t="s">
        <v>76</v>
      </c>
      <c r="AF46" s="143" t="s">
        <v>76</v>
      </c>
      <c r="AG46" s="143" t="s">
        <v>76</v>
      </c>
      <c r="AH46" s="143" t="s">
        <v>76</v>
      </c>
      <c r="AI46" s="143" t="s">
        <v>92</v>
      </c>
      <c r="AJ46" s="143" t="s">
        <v>93</v>
      </c>
      <c r="AK46" s="143" t="s">
        <v>94</v>
      </c>
      <c r="AL46" s="149" t="s">
        <v>95</v>
      </c>
      <c r="AM46" s="148" t="s">
        <v>96</v>
      </c>
      <c r="AN46" s="143" t="s">
        <v>76</v>
      </c>
      <c r="AO46" s="150" t="s">
        <v>97</v>
      </c>
      <c r="AP46" s="147">
        <v>44152</v>
      </c>
      <c r="AQ46" s="143" t="s">
        <v>3413</v>
      </c>
      <c r="AR46" s="143">
        <v>1995</v>
      </c>
      <c r="AS46" s="143" t="s">
        <v>3413</v>
      </c>
      <c r="AT46" s="143" t="s">
        <v>98</v>
      </c>
      <c r="AU46" s="143" t="s">
        <v>99</v>
      </c>
      <c r="AV46" s="143" t="s">
        <v>376</v>
      </c>
      <c r="AW46" s="143">
        <v>11</v>
      </c>
      <c r="AX46" s="143">
        <v>12</v>
      </c>
      <c r="AY46" s="143">
        <v>88.5</v>
      </c>
      <c r="AZ46" s="143">
        <v>7.0000000000000001E-3</v>
      </c>
      <c r="BA46" s="143" t="s">
        <v>101</v>
      </c>
      <c r="BB46" s="143"/>
      <c r="BC46" s="143">
        <f>3760+69+223</f>
        <v>4052</v>
      </c>
      <c r="BD46" s="143"/>
      <c r="BE46" s="143">
        <v>590</v>
      </c>
      <c r="BF46" s="143">
        <f t="shared" si="0"/>
        <v>4642</v>
      </c>
      <c r="BG46" s="151">
        <f t="shared" si="1"/>
        <v>255.31</v>
      </c>
      <c r="BH46" s="151">
        <f t="shared" si="2"/>
        <v>4897.3100000000004</v>
      </c>
      <c r="BI46" s="151">
        <v>4897.3100000000004</v>
      </c>
      <c r="BJ46" s="143" t="s">
        <v>102</v>
      </c>
      <c r="BK46" s="143"/>
      <c r="BL46" s="143"/>
      <c r="BM46" s="144" t="s">
        <v>142</v>
      </c>
      <c r="BN46" s="144" t="s">
        <v>103</v>
      </c>
      <c r="BO46" s="144" t="s">
        <v>143</v>
      </c>
      <c r="BP46" s="143" t="s">
        <v>3583</v>
      </c>
      <c r="BQ46" s="203" t="s">
        <v>144</v>
      </c>
    </row>
    <row r="47" spans="1:69" ht="41.1" customHeight="1">
      <c r="A47" s="133" t="s">
        <v>86</v>
      </c>
      <c r="B47" s="133" t="s">
        <v>377</v>
      </c>
      <c r="C47" s="134">
        <v>400</v>
      </c>
      <c r="D47" s="135">
        <v>44072</v>
      </c>
      <c r="E47" s="135">
        <v>44074</v>
      </c>
      <c r="F47" s="147">
        <v>44077</v>
      </c>
      <c r="G47" s="135" t="s">
        <v>378</v>
      </c>
      <c r="H47" s="147">
        <v>44096</v>
      </c>
      <c r="I47" s="147">
        <v>44096</v>
      </c>
      <c r="J47" s="147">
        <v>44102</v>
      </c>
      <c r="K47" s="135">
        <v>44424</v>
      </c>
      <c r="L47" s="135">
        <v>44431</v>
      </c>
      <c r="M47" s="135" t="s">
        <v>379</v>
      </c>
      <c r="N47" s="135">
        <v>44119</v>
      </c>
      <c r="O47" s="135">
        <v>44442</v>
      </c>
      <c r="P47" s="135">
        <v>44442</v>
      </c>
      <c r="Q47" s="135"/>
      <c r="R47" s="143"/>
      <c r="S47" s="143"/>
      <c r="T47" s="143"/>
      <c r="U47" s="143">
        <v>2</v>
      </c>
      <c r="V47" s="143">
        <v>87657</v>
      </c>
      <c r="W47" s="143" t="str">
        <f ca="1">IF(H47="",IF(D47="","",IF(U47+V47&lt;15,"Données Nb pers ou RFR manquantes",IF(COUNTA(INDIRECT("TabRFR["&amp;YEAR(D47)&amp;"]"))&lt;&gt;COUNTA(TabRFR[Recherche RFR]),"Data RFR manquantes", IF(V47&lt;=INDEX(TabRFR[[2021]:[2025]],MATCH(BD!U47&amp;"-Très modestes",TabRFR[Recherche RFR],0),MATCH(TEXT(YEAR(BD!D47),"Standard"),TabRFR[[#Headers],[2021]:[2025]],0)),"Très Modeste",IF(V47&lt;=INDEX(TabRFR[[2021]:[2025]],MATCH(BD!U47&amp;"-modestes",TabRFR[Recherche RFR],0),MATCH(TEXT(YEAR(BD!D47),"Standard"),TabRFR[[#Headers],[2021]:[2025]],0)),"Modeste",IF(V47&lt;=INDEX(TabRFR[[2021]:[2025]],MATCH(BD!U47&amp;"-Intermédiaire",TabRFR[Recherche RFR],0),MATCH(TEXT(YEAR(BD!D47),"Standard"),TabRFR[[#Headers],[2021]:[2025]],0)),"Intermédiaire","Supérieur")))))),IF(D47="","",IF(U47+V47&lt;15,"Données Nb pers ou RFR manquantes",IF(COUNTA(INDIRECT("TabRFR["&amp;YEAR(H47)&amp;"]"))&lt;&gt;COUNTA(TabRFR[Recherche RFR]),"Data RFR manquantes", IF(V47&lt;=INDEX(TabRFR[[2021]:[2025]],MATCH(BD!U47&amp;"-Très modestes",TabRFR[Recherche RFR],0),MATCH(TEXT(YEAR(BD!H47),"Standard"),TabRFR[[#Headers],[2021]:[2025]],0)),"Très Modeste",IF(V47&lt;=INDEX(TabRFR[[2021]:[2025]],MATCH(BD!U47&amp;"-modestes",TabRFR[Recherche RFR],0),MATCH(TEXT(YEAR(BD!H47),"Standard"),TabRFR[[#Headers],[2021]:[2025]],0)),"Modeste",IF(V47&lt;=INDEX(TabRFR[[2021]:[2025]],MATCH(BD!U47&amp;"-Intermédiaire",TabRFR[Recherche RFR],0),MATCH(TEXT(YEAR(BD!H47),"Standard"),TabRFR[[#Headers],[2021]:[2025]],0)),"Intermédiaire","Supérieur")))))))</f>
        <v>Data RFR manquantes</v>
      </c>
      <c r="X47" s="143"/>
      <c r="Y47" s="143" t="s">
        <v>380</v>
      </c>
      <c r="Z47" s="143">
        <v>38140</v>
      </c>
      <c r="AA47" s="143" t="s">
        <v>200</v>
      </c>
      <c r="AB47" s="148"/>
      <c r="AC47" s="149"/>
      <c r="AD47" s="143" t="s">
        <v>91</v>
      </c>
      <c r="AE47" s="143" t="s">
        <v>76</v>
      </c>
      <c r="AF47" s="143" t="s">
        <v>76</v>
      </c>
      <c r="AG47" s="143" t="s">
        <v>76</v>
      </c>
      <c r="AH47" s="143" t="s">
        <v>76</v>
      </c>
      <c r="AI47" s="135" t="s">
        <v>285</v>
      </c>
      <c r="AJ47" s="143" t="s">
        <v>108</v>
      </c>
      <c r="AK47" s="143" t="s">
        <v>286</v>
      </c>
      <c r="AL47" s="150" t="s">
        <v>287</v>
      </c>
      <c r="AM47" s="148">
        <v>476069938</v>
      </c>
      <c r="AN47" s="143" t="s">
        <v>76</v>
      </c>
      <c r="AO47" s="150" t="s">
        <v>102</v>
      </c>
      <c r="AP47" s="147">
        <v>44457</v>
      </c>
      <c r="AQ47" s="135" t="s">
        <v>3449</v>
      </c>
      <c r="AR47" s="143">
        <v>1980</v>
      </c>
      <c r="AS47" s="135" t="s">
        <v>3496</v>
      </c>
      <c r="AT47" s="135" t="s">
        <v>3446</v>
      </c>
      <c r="AU47" s="143" t="s">
        <v>381</v>
      </c>
      <c r="AV47" s="143" t="s">
        <v>382</v>
      </c>
      <c r="AW47" s="143">
        <v>21</v>
      </c>
      <c r="AX47" s="143">
        <v>10.8</v>
      </c>
      <c r="AY47" s="143">
        <v>80.400000000000006</v>
      </c>
      <c r="AZ47" s="143">
        <v>0.1</v>
      </c>
      <c r="BA47" s="143" t="s">
        <v>101</v>
      </c>
      <c r="BB47" s="143"/>
      <c r="BC47" s="143">
        <f>290+5669.16+1150+89+640</f>
        <v>7838.16</v>
      </c>
      <c r="BD47" s="143"/>
      <c r="BE47" s="143">
        <f>790+450</f>
        <v>1240</v>
      </c>
      <c r="BF47" s="143">
        <f t="shared" si="0"/>
        <v>9078.16</v>
      </c>
      <c r="BG47" s="143">
        <f t="shared" si="1"/>
        <v>499.29879999999997</v>
      </c>
      <c r="BH47" s="143">
        <f t="shared" si="2"/>
        <v>9577.4588000000003</v>
      </c>
      <c r="BI47" s="151">
        <v>9577.4599999999991</v>
      </c>
      <c r="BJ47" s="143" t="s">
        <v>102</v>
      </c>
      <c r="BK47" s="143"/>
      <c r="BL47" s="143"/>
      <c r="BM47" s="144" t="s">
        <v>3576</v>
      </c>
      <c r="BN47" s="144" t="s">
        <v>103</v>
      </c>
      <c r="BO47" s="144" t="s">
        <v>143</v>
      </c>
      <c r="BP47" s="144">
        <v>2020</v>
      </c>
      <c r="BQ47" s="203" t="s">
        <v>144</v>
      </c>
    </row>
    <row r="48" spans="1:69" ht="41.1" customHeight="1">
      <c r="A48" s="133" t="s">
        <v>86</v>
      </c>
      <c r="B48" s="133" t="s">
        <v>383</v>
      </c>
      <c r="C48" s="134">
        <v>800</v>
      </c>
      <c r="D48" s="135">
        <v>44074</v>
      </c>
      <c r="E48" s="135">
        <v>44075</v>
      </c>
      <c r="F48" s="147" t="s">
        <v>76</v>
      </c>
      <c r="G48" s="135" t="s">
        <v>76</v>
      </c>
      <c r="H48" s="147">
        <v>44077</v>
      </c>
      <c r="I48" s="147">
        <v>44077</v>
      </c>
      <c r="J48" s="147">
        <v>44084</v>
      </c>
      <c r="K48" s="135">
        <v>44215</v>
      </c>
      <c r="L48" s="135">
        <v>44165</v>
      </c>
      <c r="M48" s="135" t="s">
        <v>76</v>
      </c>
      <c r="N48" s="135">
        <v>44217</v>
      </c>
      <c r="O48" s="135">
        <v>44217</v>
      </c>
      <c r="P48" s="135">
        <v>44242</v>
      </c>
      <c r="Q48" s="135"/>
      <c r="R48" s="143"/>
      <c r="S48" s="143"/>
      <c r="T48" s="143"/>
      <c r="U48" s="143">
        <v>1</v>
      </c>
      <c r="V48" s="143">
        <v>9520</v>
      </c>
      <c r="W48" s="143" t="str">
        <f ca="1">IF(H48="",IF(D48="","",IF(U48+V48&lt;15,"Données Nb pers ou RFR manquantes",IF(COUNTA(INDIRECT("TabRFR["&amp;YEAR(D48)&amp;"]"))&lt;&gt;COUNTA(TabRFR[Recherche RFR]),"Data RFR manquantes", IF(V48&lt;=INDEX(TabRFR[[2021]:[2025]],MATCH(BD!U48&amp;"-Très modestes",TabRFR[Recherche RFR],0),MATCH(TEXT(YEAR(BD!D48),"Standard"),TabRFR[[#Headers],[2021]:[2025]],0)),"Très Modeste",IF(V48&lt;=INDEX(TabRFR[[2021]:[2025]],MATCH(BD!U48&amp;"-modestes",TabRFR[Recherche RFR],0),MATCH(TEXT(YEAR(BD!D48),"Standard"),TabRFR[[#Headers],[2021]:[2025]],0)),"Modeste",IF(V48&lt;=INDEX(TabRFR[[2021]:[2025]],MATCH(BD!U48&amp;"-Intermédiaire",TabRFR[Recherche RFR],0),MATCH(TEXT(YEAR(BD!D48),"Standard"),TabRFR[[#Headers],[2021]:[2025]],0)),"Intermédiaire","Supérieur")))))),IF(D48="","",IF(U48+V48&lt;15,"Données Nb pers ou RFR manquantes",IF(COUNTA(INDIRECT("TabRFR["&amp;YEAR(H48)&amp;"]"))&lt;&gt;COUNTA(TabRFR[Recherche RFR]),"Data RFR manquantes", IF(V48&lt;=INDEX(TabRFR[[2021]:[2025]],MATCH(BD!U48&amp;"-Très modestes",TabRFR[Recherche RFR],0),MATCH(TEXT(YEAR(BD!H48),"Standard"),TabRFR[[#Headers],[2021]:[2025]],0)),"Très Modeste",IF(V48&lt;=INDEX(TabRFR[[2021]:[2025]],MATCH(BD!U48&amp;"-modestes",TabRFR[Recherche RFR],0),MATCH(TEXT(YEAR(BD!H48),"Standard"),TabRFR[[#Headers],[2021]:[2025]],0)),"Modeste",IF(V48&lt;=INDEX(TabRFR[[2021]:[2025]],MATCH(BD!U48&amp;"-Intermédiaire",TabRFR[Recherche RFR],0),MATCH(TEXT(YEAR(BD!H48),"Standard"),TabRFR[[#Headers],[2021]:[2025]],0)),"Intermédiaire","Supérieur")))))))</f>
        <v>Data RFR manquantes</v>
      </c>
      <c r="X48" s="143"/>
      <c r="Y48" s="143" t="s">
        <v>384</v>
      </c>
      <c r="Z48" s="143">
        <v>38500</v>
      </c>
      <c r="AA48" s="143" t="s">
        <v>108</v>
      </c>
      <c r="AB48" s="148"/>
      <c r="AC48" s="149"/>
      <c r="AD48" s="143" t="s">
        <v>91</v>
      </c>
      <c r="AE48" s="143" t="s">
        <v>76</v>
      </c>
      <c r="AF48" s="143" t="s">
        <v>76</v>
      </c>
      <c r="AG48" s="143" t="s">
        <v>76</v>
      </c>
      <c r="AH48" s="143" t="s">
        <v>76</v>
      </c>
      <c r="AI48" s="143" t="s">
        <v>92</v>
      </c>
      <c r="AJ48" s="143" t="s">
        <v>93</v>
      </c>
      <c r="AK48" s="143" t="s">
        <v>94</v>
      </c>
      <c r="AL48" s="149" t="s">
        <v>95</v>
      </c>
      <c r="AM48" s="148" t="s">
        <v>96</v>
      </c>
      <c r="AN48" s="143" t="s">
        <v>76</v>
      </c>
      <c r="AO48" s="150" t="s">
        <v>97</v>
      </c>
      <c r="AP48" s="147">
        <v>44517</v>
      </c>
      <c r="AQ48" s="135" t="s">
        <v>3323</v>
      </c>
      <c r="AR48" s="143">
        <v>1970</v>
      </c>
      <c r="AS48" s="143" t="s">
        <v>2862</v>
      </c>
      <c r="AT48" s="135" t="s">
        <v>3446</v>
      </c>
      <c r="AU48" s="143" t="s">
        <v>385</v>
      </c>
      <c r="AV48" s="143" t="s">
        <v>386</v>
      </c>
      <c r="AW48" s="143">
        <v>36</v>
      </c>
      <c r="AX48" s="143">
        <v>9</v>
      </c>
      <c r="AY48" s="143">
        <v>75</v>
      </c>
      <c r="AZ48" s="143">
        <v>0.1</v>
      </c>
      <c r="BA48" s="143" t="s">
        <v>101</v>
      </c>
      <c r="BB48" s="143"/>
      <c r="BC48" s="143">
        <f>3450+1780+855+288.5+480+180+45+148</f>
        <v>7226.5</v>
      </c>
      <c r="BD48" s="143"/>
      <c r="BE48" s="143">
        <v>450</v>
      </c>
      <c r="BF48" s="143">
        <f t="shared" si="0"/>
        <v>7676.5</v>
      </c>
      <c r="BG48" s="151">
        <f t="shared" si="1"/>
        <v>422.20749999999998</v>
      </c>
      <c r="BH48" s="151">
        <f t="shared" si="2"/>
        <v>8098.7075000000004</v>
      </c>
      <c r="BI48" s="151">
        <v>8098.71</v>
      </c>
      <c r="BJ48" s="143" t="s">
        <v>115</v>
      </c>
      <c r="BK48" s="143"/>
      <c r="BL48" s="143"/>
      <c r="BM48" s="144" t="s">
        <v>142</v>
      </c>
      <c r="BN48" s="144" t="s">
        <v>103</v>
      </c>
      <c r="BO48" s="135" t="s">
        <v>155</v>
      </c>
      <c r="BP48" s="144">
        <v>2020</v>
      </c>
      <c r="BQ48" s="203" t="s">
        <v>3274</v>
      </c>
    </row>
    <row r="49" spans="1:69" ht="41.1" customHeight="1">
      <c r="A49" s="133" t="s">
        <v>86</v>
      </c>
      <c r="B49" s="133" t="s">
        <v>387</v>
      </c>
      <c r="C49" s="134">
        <v>400</v>
      </c>
      <c r="D49" s="135">
        <v>44076</v>
      </c>
      <c r="E49" s="135">
        <v>44077</v>
      </c>
      <c r="F49" s="147" t="s">
        <v>76</v>
      </c>
      <c r="G49" s="135" t="s">
        <v>76</v>
      </c>
      <c r="H49" s="147">
        <v>44078</v>
      </c>
      <c r="I49" s="147">
        <v>44078</v>
      </c>
      <c r="J49" s="147">
        <v>44084</v>
      </c>
      <c r="K49" s="135">
        <v>44229</v>
      </c>
      <c r="L49" s="135">
        <v>44103</v>
      </c>
      <c r="M49" s="135" t="s">
        <v>76</v>
      </c>
      <c r="N49" s="135">
        <v>44236</v>
      </c>
      <c r="O49" s="135">
        <v>44236</v>
      </c>
      <c r="P49" s="135">
        <v>44251</v>
      </c>
      <c r="Q49" s="135"/>
      <c r="R49" s="143"/>
      <c r="S49" s="143"/>
      <c r="T49" s="143"/>
      <c r="U49" s="143">
        <v>3</v>
      </c>
      <c r="V49" s="143">
        <v>45466</v>
      </c>
      <c r="W49" s="143" t="str">
        <f ca="1">IF(H49="",IF(D49="","",IF(U49+V49&lt;15,"Données Nb pers ou RFR manquantes",IF(COUNTA(INDIRECT("TabRFR["&amp;YEAR(D49)&amp;"]"))&lt;&gt;COUNTA(TabRFR[Recherche RFR]),"Data RFR manquantes", IF(V49&lt;=INDEX(TabRFR[[2021]:[2025]],MATCH(BD!U49&amp;"-Très modestes",TabRFR[Recherche RFR],0),MATCH(TEXT(YEAR(BD!D49),"Standard"),TabRFR[[#Headers],[2021]:[2025]],0)),"Très Modeste",IF(V49&lt;=INDEX(TabRFR[[2021]:[2025]],MATCH(BD!U49&amp;"-modestes",TabRFR[Recherche RFR],0),MATCH(TEXT(YEAR(BD!D49),"Standard"),TabRFR[[#Headers],[2021]:[2025]],0)),"Modeste",IF(V49&lt;=INDEX(TabRFR[[2021]:[2025]],MATCH(BD!U49&amp;"-Intermédiaire",TabRFR[Recherche RFR],0),MATCH(TEXT(YEAR(BD!D49),"Standard"),TabRFR[[#Headers],[2021]:[2025]],0)),"Intermédiaire","Supérieur")))))),IF(D49="","",IF(U49+V49&lt;15,"Données Nb pers ou RFR manquantes",IF(COUNTA(INDIRECT("TabRFR["&amp;YEAR(H49)&amp;"]"))&lt;&gt;COUNTA(TabRFR[Recherche RFR]),"Data RFR manquantes", IF(V49&lt;=INDEX(TabRFR[[2021]:[2025]],MATCH(BD!U49&amp;"-Très modestes",TabRFR[Recherche RFR],0),MATCH(TEXT(YEAR(BD!H49),"Standard"),TabRFR[[#Headers],[2021]:[2025]],0)),"Très Modeste",IF(V49&lt;=INDEX(TabRFR[[2021]:[2025]],MATCH(BD!U49&amp;"-modestes",TabRFR[Recherche RFR],0),MATCH(TEXT(YEAR(BD!H49),"Standard"),TabRFR[[#Headers],[2021]:[2025]],0)),"Modeste",IF(V49&lt;=INDEX(TabRFR[[2021]:[2025]],MATCH(BD!U49&amp;"-Intermédiaire",TabRFR[Recherche RFR],0),MATCH(TEXT(YEAR(BD!H49),"Standard"),TabRFR[[#Headers],[2021]:[2025]],0)),"Intermédiaire","Supérieur")))))))</f>
        <v>Data RFR manquantes</v>
      </c>
      <c r="X49" s="143"/>
      <c r="Y49" s="143" t="s">
        <v>388</v>
      </c>
      <c r="Z49" s="143">
        <v>38340</v>
      </c>
      <c r="AA49" s="143" t="s">
        <v>266</v>
      </c>
      <c r="AB49" s="148"/>
      <c r="AC49" s="149"/>
      <c r="AD49" s="143" t="s">
        <v>91</v>
      </c>
      <c r="AE49" s="143" t="s">
        <v>76</v>
      </c>
      <c r="AF49" s="143" t="s">
        <v>76</v>
      </c>
      <c r="AG49" s="143" t="s">
        <v>76</v>
      </c>
      <c r="AH49" s="143" t="s">
        <v>76</v>
      </c>
      <c r="AI49" s="135" t="s">
        <v>2703</v>
      </c>
      <c r="AJ49" s="143" t="s">
        <v>266</v>
      </c>
      <c r="AK49" s="143" t="s">
        <v>317</v>
      </c>
      <c r="AL49" s="150" t="s">
        <v>318</v>
      </c>
      <c r="AM49" s="148">
        <v>476500550</v>
      </c>
      <c r="AN49" s="143" t="s">
        <v>76</v>
      </c>
      <c r="AO49" s="150" t="s">
        <v>102</v>
      </c>
      <c r="AP49" s="147">
        <v>44375</v>
      </c>
      <c r="AQ49" s="135" t="s">
        <v>3496</v>
      </c>
      <c r="AR49" s="143">
        <v>1990</v>
      </c>
      <c r="AS49" s="143" t="s">
        <v>3413</v>
      </c>
      <c r="AT49" s="135" t="s">
        <v>3446</v>
      </c>
      <c r="AU49" s="143" t="s">
        <v>319</v>
      </c>
      <c r="AV49" s="143" t="s">
        <v>389</v>
      </c>
      <c r="AW49" s="143">
        <v>32</v>
      </c>
      <c r="AX49" s="143">
        <v>4</v>
      </c>
      <c r="AY49" s="143">
        <v>80.8</v>
      </c>
      <c r="AZ49" s="143">
        <v>0.11</v>
      </c>
      <c r="BA49" s="143" t="s">
        <v>101</v>
      </c>
      <c r="BB49" s="143"/>
      <c r="BC49" s="143">
        <f>384.22+77.09+202.53+2658.33+85.75+215.2</f>
        <v>3623.12</v>
      </c>
      <c r="BD49" s="143"/>
      <c r="BE49" s="143">
        <f>228.68+493.92+700</f>
        <v>1422.6</v>
      </c>
      <c r="BF49" s="143">
        <f t="shared" si="0"/>
        <v>5045.7199999999993</v>
      </c>
      <c r="BG49" s="151">
        <f t="shared" si="1"/>
        <v>277.51459999999997</v>
      </c>
      <c r="BH49" s="151">
        <f t="shared" si="2"/>
        <v>5323.2345999999998</v>
      </c>
      <c r="BI49" s="151">
        <v>5023.2299999999996</v>
      </c>
      <c r="BJ49" s="143" t="s">
        <v>102</v>
      </c>
      <c r="BK49" s="143"/>
      <c r="BL49" s="143"/>
      <c r="BM49" s="144" t="s">
        <v>142</v>
      </c>
      <c r="BN49" s="144" t="s">
        <v>103</v>
      </c>
      <c r="BO49" s="144" t="s">
        <v>143</v>
      </c>
      <c r="BP49" s="144">
        <v>2020</v>
      </c>
      <c r="BQ49" s="203" t="s">
        <v>144</v>
      </c>
    </row>
    <row r="50" spans="1:69" ht="41.1" customHeight="1">
      <c r="A50" s="133" t="s">
        <v>86</v>
      </c>
      <c r="B50" s="133" t="s">
        <v>390</v>
      </c>
      <c r="C50" s="134">
        <v>800</v>
      </c>
      <c r="D50" s="135">
        <v>44077</v>
      </c>
      <c r="E50" s="135">
        <v>44077</v>
      </c>
      <c r="F50" s="147" t="s">
        <v>76</v>
      </c>
      <c r="G50" s="135" t="s">
        <v>76</v>
      </c>
      <c r="H50" s="147">
        <v>44078</v>
      </c>
      <c r="I50" s="147">
        <v>44078</v>
      </c>
      <c r="J50" s="147">
        <v>44084</v>
      </c>
      <c r="K50" s="135">
        <v>44210</v>
      </c>
      <c r="L50" s="135">
        <v>44166</v>
      </c>
      <c r="M50" s="135" t="s">
        <v>391</v>
      </c>
      <c r="N50" s="135">
        <v>44229</v>
      </c>
      <c r="O50" s="135">
        <v>44229</v>
      </c>
      <c r="P50" s="135">
        <v>44243</v>
      </c>
      <c r="Q50" s="135"/>
      <c r="R50" s="143"/>
      <c r="S50" s="143"/>
      <c r="T50" s="143"/>
      <c r="U50" s="143">
        <v>2</v>
      </c>
      <c r="V50" s="143">
        <v>19705</v>
      </c>
      <c r="W50" s="143" t="str">
        <f ca="1">IF(H50="",IF(D50="","",IF(U50+V50&lt;15,"Données Nb pers ou RFR manquantes",IF(COUNTA(INDIRECT("TabRFR["&amp;YEAR(D50)&amp;"]"))&lt;&gt;COUNTA(TabRFR[Recherche RFR]),"Data RFR manquantes", IF(V50&lt;=INDEX(TabRFR[[2021]:[2025]],MATCH(BD!U50&amp;"-Très modestes",TabRFR[Recherche RFR],0),MATCH(TEXT(YEAR(BD!D50),"Standard"),TabRFR[[#Headers],[2021]:[2025]],0)),"Très Modeste",IF(V50&lt;=INDEX(TabRFR[[2021]:[2025]],MATCH(BD!U50&amp;"-modestes",TabRFR[Recherche RFR],0),MATCH(TEXT(YEAR(BD!D50),"Standard"),TabRFR[[#Headers],[2021]:[2025]],0)),"Modeste",IF(V50&lt;=INDEX(TabRFR[[2021]:[2025]],MATCH(BD!U50&amp;"-Intermédiaire",TabRFR[Recherche RFR],0),MATCH(TEXT(YEAR(BD!D50),"Standard"),TabRFR[[#Headers],[2021]:[2025]],0)),"Intermédiaire","Supérieur")))))),IF(D50="","",IF(U50+V50&lt;15,"Données Nb pers ou RFR manquantes",IF(COUNTA(INDIRECT("TabRFR["&amp;YEAR(H50)&amp;"]"))&lt;&gt;COUNTA(TabRFR[Recherche RFR]),"Data RFR manquantes", IF(V50&lt;=INDEX(TabRFR[[2021]:[2025]],MATCH(BD!U50&amp;"-Très modestes",TabRFR[Recherche RFR],0),MATCH(TEXT(YEAR(BD!H50),"Standard"),TabRFR[[#Headers],[2021]:[2025]],0)),"Très Modeste",IF(V50&lt;=INDEX(TabRFR[[2021]:[2025]],MATCH(BD!U50&amp;"-modestes",TabRFR[Recherche RFR],0),MATCH(TEXT(YEAR(BD!H50),"Standard"),TabRFR[[#Headers],[2021]:[2025]],0)),"Modeste",IF(V50&lt;=INDEX(TabRFR[[2021]:[2025]],MATCH(BD!U50&amp;"-Intermédiaire",TabRFR[Recherche RFR],0),MATCH(TEXT(YEAR(BD!H50),"Standard"),TabRFR[[#Headers],[2021]:[2025]],0)),"Intermédiaire","Supérieur")))))))</f>
        <v>Data RFR manquantes</v>
      </c>
      <c r="X50" s="143"/>
      <c r="Y50" s="143" t="s">
        <v>392</v>
      </c>
      <c r="Z50" s="143">
        <v>38210</v>
      </c>
      <c r="AA50" s="143" t="s">
        <v>202</v>
      </c>
      <c r="AB50" s="148"/>
      <c r="AC50" s="149"/>
      <c r="AD50" s="143" t="s">
        <v>91</v>
      </c>
      <c r="AE50" s="143" t="s">
        <v>76</v>
      </c>
      <c r="AF50" s="143" t="s">
        <v>76</v>
      </c>
      <c r="AG50" s="143" t="s">
        <v>76</v>
      </c>
      <c r="AH50" s="143" t="s">
        <v>76</v>
      </c>
      <c r="AI50" s="143" t="s">
        <v>393</v>
      </c>
      <c r="AJ50" s="143" t="s">
        <v>3497</v>
      </c>
      <c r="AK50" s="143" t="s">
        <v>394</v>
      </c>
      <c r="AL50" s="150" t="s">
        <v>395</v>
      </c>
      <c r="AM50" s="148">
        <v>437039915</v>
      </c>
      <c r="AN50" s="143" t="s">
        <v>76</v>
      </c>
      <c r="AO50" s="150" t="s">
        <v>102</v>
      </c>
      <c r="AP50" s="147">
        <v>44432</v>
      </c>
      <c r="AQ50" s="143" t="s">
        <v>1955</v>
      </c>
      <c r="AR50" s="143">
        <v>2001</v>
      </c>
      <c r="AS50" s="143" t="s">
        <v>1955</v>
      </c>
      <c r="AT50" s="143" t="s">
        <v>98</v>
      </c>
      <c r="AU50" s="143" t="s">
        <v>396</v>
      </c>
      <c r="AV50" s="152" t="s">
        <v>397</v>
      </c>
      <c r="AW50" s="152">
        <v>17</v>
      </c>
      <c r="AX50" s="152">
        <v>15.1</v>
      </c>
      <c r="AY50" s="152">
        <v>94</v>
      </c>
      <c r="AZ50" s="152">
        <v>2E-3</v>
      </c>
      <c r="BA50" s="143" t="s">
        <v>101</v>
      </c>
      <c r="BB50" s="143"/>
      <c r="BC50" s="151">
        <f>11560+886.41+253+690+1158.85+25.3</f>
        <v>14573.56</v>
      </c>
      <c r="BD50" s="143"/>
      <c r="BE50" s="151">
        <f>2991.15+500</f>
        <v>3491.15</v>
      </c>
      <c r="BF50" s="151">
        <f t="shared" si="0"/>
        <v>18064.71</v>
      </c>
      <c r="BG50" s="151">
        <f t="shared" si="1"/>
        <v>993.55904999999996</v>
      </c>
      <c r="BH50" s="151">
        <f t="shared" si="2"/>
        <v>19058.269049999999</v>
      </c>
      <c r="BI50" s="151">
        <v>19058.900000000001</v>
      </c>
      <c r="BJ50" s="143" t="s">
        <v>102</v>
      </c>
      <c r="BK50" s="143"/>
      <c r="BL50" s="143"/>
      <c r="BM50" s="144" t="s">
        <v>142</v>
      </c>
      <c r="BN50" s="144" t="s">
        <v>103</v>
      </c>
      <c r="BO50" s="135" t="s">
        <v>155</v>
      </c>
      <c r="BP50" s="143" t="s">
        <v>3583</v>
      </c>
      <c r="BQ50" s="203" t="s">
        <v>144</v>
      </c>
    </row>
    <row r="51" spans="1:69" ht="41.1" customHeight="1">
      <c r="A51" s="133" t="s">
        <v>86</v>
      </c>
      <c r="B51" s="133" t="s">
        <v>398</v>
      </c>
      <c r="C51" s="134">
        <v>400</v>
      </c>
      <c r="D51" s="135">
        <v>44079</v>
      </c>
      <c r="E51" s="135">
        <v>44081</v>
      </c>
      <c r="F51" s="147" t="s">
        <v>76</v>
      </c>
      <c r="G51" s="135" t="s">
        <v>76</v>
      </c>
      <c r="H51" s="147">
        <v>44082</v>
      </c>
      <c r="I51" s="147">
        <v>44082</v>
      </c>
      <c r="J51" s="147">
        <v>44084</v>
      </c>
      <c r="K51" s="135">
        <v>44151</v>
      </c>
      <c r="L51" s="135">
        <v>44095</v>
      </c>
      <c r="M51" s="135" t="s">
        <v>76</v>
      </c>
      <c r="N51" s="135">
        <v>44158</v>
      </c>
      <c r="O51" s="135">
        <v>44158</v>
      </c>
      <c r="P51" s="135">
        <v>44166</v>
      </c>
      <c r="Q51" s="135"/>
      <c r="R51" s="143"/>
      <c r="S51" s="143"/>
      <c r="T51" s="143"/>
      <c r="U51" s="143">
        <v>6</v>
      </c>
      <c r="V51" s="143">
        <v>69087</v>
      </c>
      <c r="W51" s="143" t="str">
        <f ca="1">IF(H51="",IF(D51="","",IF(U51+V51&lt;15,"Données Nb pers ou RFR manquantes",IF(COUNTA(INDIRECT("TabRFR["&amp;YEAR(D51)&amp;"]"))&lt;&gt;COUNTA(TabRFR[Recherche RFR]),"Data RFR manquantes", IF(V51&lt;=INDEX(TabRFR[[2021]:[2025]],MATCH(BD!U51&amp;"-Très modestes",TabRFR[Recherche RFR],0),MATCH(TEXT(YEAR(BD!D51),"Standard"),TabRFR[[#Headers],[2021]:[2025]],0)),"Très Modeste",IF(V51&lt;=INDEX(TabRFR[[2021]:[2025]],MATCH(BD!U51&amp;"-modestes",TabRFR[Recherche RFR],0),MATCH(TEXT(YEAR(BD!D51),"Standard"),TabRFR[[#Headers],[2021]:[2025]],0)),"Modeste",IF(V51&lt;=INDEX(TabRFR[[2021]:[2025]],MATCH(BD!U51&amp;"-Intermédiaire",TabRFR[Recherche RFR],0),MATCH(TEXT(YEAR(BD!D51),"Standard"),TabRFR[[#Headers],[2021]:[2025]],0)),"Intermédiaire","Supérieur")))))),IF(D51="","",IF(U51+V51&lt;15,"Données Nb pers ou RFR manquantes",IF(COUNTA(INDIRECT("TabRFR["&amp;YEAR(H51)&amp;"]"))&lt;&gt;COUNTA(TabRFR[Recherche RFR]),"Data RFR manquantes", IF(V51&lt;=INDEX(TabRFR[[2021]:[2025]],MATCH(BD!U51&amp;"-Très modestes",TabRFR[Recherche RFR],0),MATCH(TEXT(YEAR(BD!H51),"Standard"),TabRFR[[#Headers],[2021]:[2025]],0)),"Très Modeste",IF(V51&lt;=INDEX(TabRFR[[2021]:[2025]],MATCH(BD!U51&amp;"-modestes",TabRFR[Recherche RFR],0),MATCH(TEXT(YEAR(BD!H51),"Standard"),TabRFR[[#Headers],[2021]:[2025]],0)),"Modeste",IF(V51&lt;=INDEX(TabRFR[[2021]:[2025]],MATCH(BD!U51&amp;"-Intermédiaire",TabRFR[Recherche RFR],0),MATCH(TEXT(YEAR(BD!H51),"Standard"),TabRFR[[#Headers],[2021]:[2025]],0)),"Intermédiaire","Supérieur")))))))</f>
        <v>Data RFR manquantes</v>
      </c>
      <c r="X51" s="143"/>
      <c r="Y51" s="143" t="s">
        <v>399</v>
      </c>
      <c r="Z51" s="143">
        <v>38500</v>
      </c>
      <c r="AA51" s="143" t="s">
        <v>108</v>
      </c>
      <c r="AB51" s="148"/>
      <c r="AC51" s="149"/>
      <c r="AD51" s="143" t="s">
        <v>91</v>
      </c>
      <c r="AE51" s="143" t="s">
        <v>76</v>
      </c>
      <c r="AF51" s="143" t="s">
        <v>76</v>
      </c>
      <c r="AG51" s="143" t="s">
        <v>76</v>
      </c>
      <c r="AH51" s="143" t="s">
        <v>76</v>
      </c>
      <c r="AI51" s="143" t="s">
        <v>169</v>
      </c>
      <c r="AJ51" s="143" t="s">
        <v>119</v>
      </c>
      <c r="AK51" s="143" t="s">
        <v>170</v>
      </c>
      <c r="AL51" s="149" t="s">
        <v>171</v>
      </c>
      <c r="AM51" s="148">
        <v>476355605</v>
      </c>
      <c r="AN51" s="143" t="s">
        <v>76</v>
      </c>
      <c r="AO51" s="150" t="s">
        <v>102</v>
      </c>
      <c r="AP51" s="147">
        <v>44495</v>
      </c>
      <c r="AQ51" s="135" t="s">
        <v>3496</v>
      </c>
      <c r="AR51" s="143">
        <v>1986</v>
      </c>
      <c r="AS51" s="135" t="s">
        <v>3496</v>
      </c>
      <c r="AT51" s="135" t="s">
        <v>3446</v>
      </c>
      <c r="AU51" s="143" t="s">
        <v>173</v>
      </c>
      <c r="AV51" s="143" t="s">
        <v>400</v>
      </c>
      <c r="AW51" s="143">
        <v>23</v>
      </c>
      <c r="AX51" s="143">
        <v>10</v>
      </c>
      <c r="AY51" s="143">
        <v>78</v>
      </c>
      <c r="AZ51" s="143">
        <v>7.0000000000000007E-2</v>
      </c>
      <c r="BA51" s="143" t="s">
        <v>101</v>
      </c>
      <c r="BB51" s="143"/>
      <c r="BC51" s="143">
        <f>420+44.8+27.5+94+365.75+1396+565+206.4+479+145.35+995.6</f>
        <v>4739.4000000000005</v>
      </c>
      <c r="BD51" s="143"/>
      <c r="BE51" s="143">
        <f>99.09+99.09+1175+482.94</f>
        <v>1856.1200000000001</v>
      </c>
      <c r="BF51" s="143">
        <f t="shared" si="0"/>
        <v>6595.52</v>
      </c>
      <c r="BG51" s="151">
        <f t="shared" si="1"/>
        <v>362.75360000000001</v>
      </c>
      <c r="BH51" s="151">
        <f t="shared" si="2"/>
        <v>6958.2736000000004</v>
      </c>
      <c r="BI51" s="151">
        <v>6958.27</v>
      </c>
      <c r="BJ51" s="143" t="s">
        <v>102</v>
      </c>
      <c r="BK51" s="143"/>
      <c r="BL51" s="143"/>
      <c r="BM51" s="144" t="s">
        <v>142</v>
      </c>
      <c r="BN51" s="144" t="s">
        <v>103</v>
      </c>
      <c r="BO51" s="144" t="s">
        <v>143</v>
      </c>
      <c r="BP51" s="144">
        <v>2020</v>
      </c>
      <c r="BQ51" s="203" t="s">
        <v>144</v>
      </c>
    </row>
    <row r="52" spans="1:69" ht="41.1" customHeight="1">
      <c r="A52" s="133" t="s">
        <v>86</v>
      </c>
      <c r="B52" s="133" t="s">
        <v>401</v>
      </c>
      <c r="C52" s="134">
        <v>400</v>
      </c>
      <c r="D52" s="135">
        <v>44079</v>
      </c>
      <c r="E52" s="135">
        <v>44081</v>
      </c>
      <c r="F52" s="147" t="s">
        <v>76</v>
      </c>
      <c r="G52" s="135" t="s">
        <v>76</v>
      </c>
      <c r="H52" s="147">
        <v>44082</v>
      </c>
      <c r="I52" s="147">
        <v>44082</v>
      </c>
      <c r="J52" s="147">
        <v>44084</v>
      </c>
      <c r="K52" s="135">
        <v>44210</v>
      </c>
      <c r="L52" s="135">
        <v>44203</v>
      </c>
      <c r="M52" s="135" t="s">
        <v>76</v>
      </c>
      <c r="N52" s="135">
        <v>44210</v>
      </c>
      <c r="O52" s="135">
        <v>44210</v>
      </c>
      <c r="P52" s="135">
        <v>44235</v>
      </c>
      <c r="Q52" s="135"/>
      <c r="R52" s="143"/>
      <c r="S52" s="143"/>
      <c r="T52" s="143"/>
      <c r="U52" s="143">
        <v>4</v>
      </c>
      <c r="V52" s="143">
        <v>47079</v>
      </c>
      <c r="W52" s="143" t="str">
        <f ca="1">IF(H52="",IF(D52="","",IF(U52+V52&lt;15,"Données Nb pers ou RFR manquantes",IF(COUNTA(INDIRECT("TabRFR["&amp;YEAR(D52)&amp;"]"))&lt;&gt;COUNTA(TabRFR[Recherche RFR]),"Data RFR manquantes", IF(V52&lt;=INDEX(TabRFR[[2021]:[2025]],MATCH(BD!U52&amp;"-Très modestes",TabRFR[Recherche RFR],0),MATCH(TEXT(YEAR(BD!D52),"Standard"),TabRFR[[#Headers],[2021]:[2025]],0)),"Très Modeste",IF(V52&lt;=INDEX(TabRFR[[2021]:[2025]],MATCH(BD!U52&amp;"-modestes",TabRFR[Recherche RFR],0),MATCH(TEXT(YEAR(BD!D52),"Standard"),TabRFR[[#Headers],[2021]:[2025]],0)),"Modeste",IF(V52&lt;=INDEX(TabRFR[[2021]:[2025]],MATCH(BD!U52&amp;"-Intermédiaire",TabRFR[Recherche RFR],0),MATCH(TEXT(YEAR(BD!D52),"Standard"),TabRFR[[#Headers],[2021]:[2025]],0)),"Intermédiaire","Supérieur")))))),IF(D52="","",IF(U52+V52&lt;15,"Données Nb pers ou RFR manquantes",IF(COUNTA(INDIRECT("TabRFR["&amp;YEAR(H52)&amp;"]"))&lt;&gt;COUNTA(TabRFR[Recherche RFR]),"Data RFR manquantes", IF(V52&lt;=INDEX(TabRFR[[2021]:[2025]],MATCH(BD!U52&amp;"-Très modestes",TabRFR[Recherche RFR],0),MATCH(TEXT(YEAR(BD!H52),"Standard"),TabRFR[[#Headers],[2021]:[2025]],0)),"Très Modeste",IF(V52&lt;=INDEX(TabRFR[[2021]:[2025]],MATCH(BD!U52&amp;"-modestes",TabRFR[Recherche RFR],0),MATCH(TEXT(YEAR(BD!H52),"Standard"),TabRFR[[#Headers],[2021]:[2025]],0)),"Modeste",IF(V52&lt;=INDEX(TabRFR[[2021]:[2025]],MATCH(BD!U52&amp;"-Intermédiaire",TabRFR[Recherche RFR],0),MATCH(TEXT(YEAR(BD!H52),"Standard"),TabRFR[[#Headers],[2021]:[2025]],0)),"Intermédiaire","Supérieur")))))))</f>
        <v>Data RFR manquantes</v>
      </c>
      <c r="X52" s="143"/>
      <c r="Y52" s="143" t="s">
        <v>402</v>
      </c>
      <c r="Z52" s="143">
        <v>38850</v>
      </c>
      <c r="AA52" s="143" t="s">
        <v>168</v>
      </c>
      <c r="AB52" s="148"/>
      <c r="AC52" s="149"/>
      <c r="AD52" s="143" t="s">
        <v>91</v>
      </c>
      <c r="AE52" s="143" t="s">
        <v>76</v>
      </c>
      <c r="AF52" s="143" t="s">
        <v>76</v>
      </c>
      <c r="AG52" s="143" t="s">
        <v>76</v>
      </c>
      <c r="AH52" s="143" t="s">
        <v>76</v>
      </c>
      <c r="AI52" s="135" t="s">
        <v>2703</v>
      </c>
      <c r="AJ52" s="143" t="s">
        <v>266</v>
      </c>
      <c r="AK52" s="143" t="s">
        <v>317</v>
      </c>
      <c r="AL52" s="150" t="s">
        <v>318</v>
      </c>
      <c r="AM52" s="148">
        <v>476500550</v>
      </c>
      <c r="AN52" s="143" t="s">
        <v>76</v>
      </c>
      <c r="AO52" s="150" t="s">
        <v>102</v>
      </c>
      <c r="AP52" s="147">
        <v>44375</v>
      </c>
      <c r="AQ52" s="135" t="s">
        <v>3496</v>
      </c>
      <c r="AR52" s="143">
        <v>1996</v>
      </c>
      <c r="AS52" s="143" t="s">
        <v>3413</v>
      </c>
      <c r="AT52" s="135" t="s">
        <v>3446</v>
      </c>
      <c r="AU52" s="143" t="s">
        <v>319</v>
      </c>
      <c r="AV52" s="143" t="s">
        <v>403</v>
      </c>
      <c r="AW52" s="143">
        <v>35</v>
      </c>
      <c r="AX52" s="143">
        <v>5.9</v>
      </c>
      <c r="AY52" s="143">
        <v>80.2</v>
      </c>
      <c r="AZ52" s="143">
        <v>0.09</v>
      </c>
      <c r="BA52" s="143" t="s">
        <v>101</v>
      </c>
      <c r="BB52" s="143"/>
      <c r="BC52" s="143">
        <f>81.07+51.2+2833.33+266.67+244.81</f>
        <v>3477.08</v>
      </c>
      <c r="BD52" s="143"/>
      <c r="BE52" s="143">
        <v>780</v>
      </c>
      <c r="BF52" s="143">
        <f t="shared" si="0"/>
        <v>4257.08</v>
      </c>
      <c r="BG52" s="151">
        <f t="shared" si="1"/>
        <v>234.13939999999999</v>
      </c>
      <c r="BH52" s="151">
        <f t="shared" si="2"/>
        <v>4491.2194</v>
      </c>
      <c r="BI52" s="151">
        <v>4491.22</v>
      </c>
      <c r="BJ52" s="143" t="s">
        <v>115</v>
      </c>
      <c r="BK52" s="143"/>
      <c r="BL52" s="143"/>
      <c r="BM52" s="144" t="s">
        <v>142</v>
      </c>
      <c r="BN52" s="144" t="s">
        <v>103</v>
      </c>
      <c r="BO52" s="144" t="s">
        <v>143</v>
      </c>
      <c r="BP52" s="144">
        <v>2020</v>
      </c>
      <c r="BQ52" s="203" t="s">
        <v>3274</v>
      </c>
    </row>
    <row r="53" spans="1:69" ht="41.1" customHeight="1">
      <c r="A53" s="133" t="s">
        <v>86</v>
      </c>
      <c r="B53" s="133" t="s">
        <v>404</v>
      </c>
      <c r="C53" s="134">
        <v>400</v>
      </c>
      <c r="D53" s="135">
        <v>44081</v>
      </c>
      <c r="E53" s="135">
        <v>44082</v>
      </c>
      <c r="F53" s="147" t="s">
        <v>76</v>
      </c>
      <c r="G53" s="135" t="s">
        <v>76</v>
      </c>
      <c r="H53" s="147">
        <v>44082</v>
      </c>
      <c r="I53" s="147">
        <v>44082</v>
      </c>
      <c r="J53" s="147">
        <v>44084</v>
      </c>
      <c r="K53" s="135">
        <v>44140</v>
      </c>
      <c r="L53" s="135">
        <v>44120</v>
      </c>
      <c r="M53" s="135" t="s">
        <v>76</v>
      </c>
      <c r="N53" s="135">
        <v>44145</v>
      </c>
      <c r="O53" s="135">
        <v>44145</v>
      </c>
      <c r="P53" s="135">
        <v>44147</v>
      </c>
      <c r="Q53" s="135"/>
      <c r="R53" s="143"/>
      <c r="S53" s="143"/>
      <c r="T53" s="143"/>
      <c r="U53" s="143">
        <v>2</v>
      </c>
      <c r="V53" s="143">
        <v>42658</v>
      </c>
      <c r="W53" s="143" t="str">
        <f ca="1">IF(H53="",IF(D53="","",IF(U53+V53&lt;15,"Données Nb pers ou RFR manquantes",IF(COUNTA(INDIRECT("TabRFR["&amp;YEAR(D53)&amp;"]"))&lt;&gt;COUNTA(TabRFR[Recherche RFR]),"Data RFR manquantes", IF(V53&lt;=INDEX(TabRFR[[2021]:[2025]],MATCH(BD!U53&amp;"-Très modestes",TabRFR[Recherche RFR],0),MATCH(TEXT(YEAR(BD!D53),"Standard"),TabRFR[[#Headers],[2021]:[2025]],0)),"Très Modeste",IF(V53&lt;=INDEX(TabRFR[[2021]:[2025]],MATCH(BD!U53&amp;"-modestes",TabRFR[Recherche RFR],0),MATCH(TEXT(YEAR(BD!D53),"Standard"),TabRFR[[#Headers],[2021]:[2025]],0)),"Modeste",IF(V53&lt;=INDEX(TabRFR[[2021]:[2025]],MATCH(BD!U53&amp;"-Intermédiaire",TabRFR[Recherche RFR],0),MATCH(TEXT(YEAR(BD!D53),"Standard"),TabRFR[[#Headers],[2021]:[2025]],0)),"Intermédiaire","Supérieur")))))),IF(D53="","",IF(U53+V53&lt;15,"Données Nb pers ou RFR manquantes",IF(COUNTA(INDIRECT("TabRFR["&amp;YEAR(H53)&amp;"]"))&lt;&gt;COUNTA(TabRFR[Recherche RFR]),"Data RFR manquantes", IF(V53&lt;=INDEX(TabRFR[[2021]:[2025]],MATCH(BD!U53&amp;"-Très modestes",TabRFR[Recherche RFR],0),MATCH(TEXT(YEAR(BD!H53),"Standard"),TabRFR[[#Headers],[2021]:[2025]],0)),"Très Modeste",IF(V53&lt;=INDEX(TabRFR[[2021]:[2025]],MATCH(BD!U53&amp;"-modestes",TabRFR[Recherche RFR],0),MATCH(TEXT(YEAR(BD!H53),"Standard"),TabRFR[[#Headers],[2021]:[2025]],0)),"Modeste",IF(V53&lt;=INDEX(TabRFR[[2021]:[2025]],MATCH(BD!U53&amp;"-Intermédiaire",TabRFR[Recherche RFR],0),MATCH(TEXT(YEAR(BD!H53),"Standard"),TabRFR[[#Headers],[2021]:[2025]],0)),"Intermédiaire","Supérieur")))))))</f>
        <v>Data RFR manquantes</v>
      </c>
      <c r="X53" s="143"/>
      <c r="Y53" s="143" t="s">
        <v>405</v>
      </c>
      <c r="Z53" s="143">
        <v>38140</v>
      </c>
      <c r="AA53" s="143" t="s">
        <v>200</v>
      </c>
      <c r="AB53" s="148"/>
      <c r="AC53" s="149"/>
      <c r="AD53" s="143" t="s">
        <v>91</v>
      </c>
      <c r="AE53" s="143" t="s">
        <v>76</v>
      </c>
      <c r="AF53" s="143" t="s">
        <v>76</v>
      </c>
      <c r="AG53" s="143" t="s">
        <v>76</v>
      </c>
      <c r="AH53" s="143" t="s">
        <v>76</v>
      </c>
      <c r="AI53" s="143" t="s">
        <v>160</v>
      </c>
      <c r="AJ53" s="143" t="s">
        <v>161</v>
      </c>
      <c r="AK53" s="143" t="s">
        <v>162</v>
      </c>
      <c r="AL53" s="150" t="s">
        <v>228</v>
      </c>
      <c r="AM53" s="148">
        <v>474934316</v>
      </c>
      <c r="AN53" s="143" t="s">
        <v>76</v>
      </c>
      <c r="AO53" s="150" t="s">
        <v>102</v>
      </c>
      <c r="AP53" s="147">
        <v>44276</v>
      </c>
      <c r="AQ53" s="135" t="s">
        <v>3496</v>
      </c>
      <c r="AR53" s="143">
        <v>1996</v>
      </c>
      <c r="AS53" s="143" t="s">
        <v>3413</v>
      </c>
      <c r="AT53" s="135" t="s">
        <v>3446</v>
      </c>
      <c r="AU53" s="143" t="s">
        <v>164</v>
      </c>
      <c r="AV53" s="143" t="s">
        <v>406</v>
      </c>
      <c r="AW53" s="143">
        <v>29</v>
      </c>
      <c r="AX53" s="143">
        <v>8</v>
      </c>
      <c r="AY53" s="143">
        <v>77</v>
      </c>
      <c r="AZ53" s="143">
        <v>0.05</v>
      </c>
      <c r="BA53" s="143" t="s">
        <v>101</v>
      </c>
      <c r="BB53" s="143"/>
      <c r="BC53" s="143">
        <f>1332+1097+339</f>
        <v>2768</v>
      </c>
      <c r="BD53" s="143"/>
      <c r="BE53" s="143">
        <v>750</v>
      </c>
      <c r="BF53" s="143">
        <f t="shared" si="0"/>
        <v>3518</v>
      </c>
      <c r="BG53" s="151">
        <f t="shared" si="1"/>
        <v>193.49</v>
      </c>
      <c r="BH53" s="151">
        <f t="shared" si="2"/>
        <v>3711.49</v>
      </c>
      <c r="BI53" s="151">
        <v>3727</v>
      </c>
      <c r="BJ53" s="143" t="s">
        <v>115</v>
      </c>
      <c r="BK53" s="143"/>
      <c r="BL53" s="143"/>
      <c r="BM53" s="144" t="s">
        <v>142</v>
      </c>
      <c r="BN53" s="144" t="s">
        <v>103</v>
      </c>
      <c r="BO53" s="144" t="s">
        <v>143</v>
      </c>
      <c r="BP53" s="144">
        <v>2020</v>
      </c>
      <c r="BQ53" s="203" t="s">
        <v>3274</v>
      </c>
    </row>
    <row r="54" spans="1:69" ht="41.1" customHeight="1">
      <c r="A54" s="133" t="s">
        <v>86</v>
      </c>
      <c r="B54" s="133" t="s">
        <v>407</v>
      </c>
      <c r="C54" s="134">
        <v>400</v>
      </c>
      <c r="D54" s="135">
        <v>44085</v>
      </c>
      <c r="E54" s="135">
        <v>44091</v>
      </c>
      <c r="F54" s="147" t="s">
        <v>76</v>
      </c>
      <c r="G54" s="135" t="s">
        <v>76</v>
      </c>
      <c r="H54" s="147">
        <v>44096</v>
      </c>
      <c r="I54" s="147">
        <v>44096</v>
      </c>
      <c r="J54" s="147">
        <v>44102</v>
      </c>
      <c r="K54" s="135">
        <v>44126</v>
      </c>
      <c r="L54" s="135">
        <v>44116</v>
      </c>
      <c r="M54" s="135" t="s">
        <v>76</v>
      </c>
      <c r="N54" s="135">
        <v>44131</v>
      </c>
      <c r="O54" s="135">
        <v>44131</v>
      </c>
      <c r="P54" s="135">
        <v>44133</v>
      </c>
      <c r="Q54" s="135"/>
      <c r="R54" s="143"/>
      <c r="S54" s="143"/>
      <c r="T54" s="143"/>
      <c r="U54" s="143">
        <v>1</v>
      </c>
      <c r="V54" s="143">
        <v>23659</v>
      </c>
      <c r="W54" s="143" t="str">
        <f ca="1">IF(H54="",IF(D54="","",IF(U54+V54&lt;15,"Données Nb pers ou RFR manquantes",IF(COUNTA(INDIRECT("TabRFR["&amp;YEAR(D54)&amp;"]"))&lt;&gt;COUNTA(TabRFR[Recherche RFR]),"Data RFR manquantes", IF(V54&lt;=INDEX(TabRFR[[2021]:[2025]],MATCH(BD!U54&amp;"-Très modestes",TabRFR[Recherche RFR],0),MATCH(TEXT(YEAR(BD!D54),"Standard"),TabRFR[[#Headers],[2021]:[2025]],0)),"Très Modeste",IF(V54&lt;=INDEX(TabRFR[[2021]:[2025]],MATCH(BD!U54&amp;"-modestes",TabRFR[Recherche RFR],0),MATCH(TEXT(YEAR(BD!D54),"Standard"),TabRFR[[#Headers],[2021]:[2025]],0)),"Modeste",IF(V54&lt;=INDEX(TabRFR[[2021]:[2025]],MATCH(BD!U54&amp;"-Intermédiaire",TabRFR[Recherche RFR],0),MATCH(TEXT(YEAR(BD!D54),"Standard"),TabRFR[[#Headers],[2021]:[2025]],0)),"Intermédiaire","Supérieur")))))),IF(D54="","",IF(U54+V54&lt;15,"Données Nb pers ou RFR manquantes",IF(COUNTA(INDIRECT("TabRFR["&amp;YEAR(H54)&amp;"]"))&lt;&gt;COUNTA(TabRFR[Recherche RFR]),"Data RFR manquantes", IF(V54&lt;=INDEX(TabRFR[[2021]:[2025]],MATCH(BD!U54&amp;"-Très modestes",TabRFR[Recherche RFR],0),MATCH(TEXT(YEAR(BD!H54),"Standard"),TabRFR[[#Headers],[2021]:[2025]],0)),"Très Modeste",IF(V54&lt;=INDEX(TabRFR[[2021]:[2025]],MATCH(BD!U54&amp;"-modestes",TabRFR[Recherche RFR],0),MATCH(TEXT(YEAR(BD!H54),"Standard"),TabRFR[[#Headers],[2021]:[2025]],0)),"Modeste",IF(V54&lt;=INDEX(TabRFR[[2021]:[2025]],MATCH(BD!U54&amp;"-Intermédiaire",TabRFR[Recherche RFR],0),MATCH(TEXT(YEAR(BD!H54),"Standard"),TabRFR[[#Headers],[2021]:[2025]],0)),"Intermédiaire","Supérieur")))))))</f>
        <v>Data RFR manquantes</v>
      </c>
      <c r="X54" s="143"/>
      <c r="Y54" s="143" t="s">
        <v>129</v>
      </c>
      <c r="Z54" s="143">
        <v>38210</v>
      </c>
      <c r="AA54" s="143" t="s">
        <v>130</v>
      </c>
      <c r="AB54" s="148"/>
      <c r="AC54" s="149"/>
      <c r="AD54" s="143" t="s">
        <v>91</v>
      </c>
      <c r="AE54" s="143" t="s">
        <v>76</v>
      </c>
      <c r="AF54" s="143" t="s">
        <v>76</v>
      </c>
      <c r="AG54" s="143" t="s">
        <v>76</v>
      </c>
      <c r="AH54" s="143" t="s">
        <v>76</v>
      </c>
      <c r="AI54" s="143" t="s">
        <v>109</v>
      </c>
      <c r="AJ54" s="143" t="s">
        <v>108</v>
      </c>
      <c r="AK54" s="143" t="s">
        <v>110</v>
      </c>
      <c r="AL54" s="149" t="s">
        <v>111</v>
      </c>
      <c r="AM54" s="148" t="s">
        <v>112</v>
      </c>
      <c r="AN54" s="143" t="s">
        <v>76</v>
      </c>
      <c r="AO54" s="150" t="s">
        <v>102</v>
      </c>
      <c r="AP54" s="147">
        <v>44138</v>
      </c>
      <c r="AQ54" s="135" t="s">
        <v>3496</v>
      </c>
      <c r="AR54" s="143">
        <v>1990</v>
      </c>
      <c r="AS54" s="143" t="s">
        <v>3413</v>
      </c>
      <c r="AT54" s="143" t="s">
        <v>98</v>
      </c>
      <c r="AU54" s="143" t="s">
        <v>113</v>
      </c>
      <c r="AV54" s="143" t="s">
        <v>408</v>
      </c>
      <c r="AW54" s="143">
        <v>17</v>
      </c>
      <c r="AX54" s="143">
        <v>8.1</v>
      </c>
      <c r="AY54" s="143">
        <v>90.9</v>
      </c>
      <c r="AZ54" s="143">
        <v>2E-3</v>
      </c>
      <c r="BA54" s="143" t="s">
        <v>101</v>
      </c>
      <c r="BB54" s="143"/>
      <c r="BC54" s="143">
        <f>3040+138+159+185+26.31+56.38+36+216.62+90+83+202.6+160.73+58.64+258+138+15</f>
        <v>4863.28</v>
      </c>
      <c r="BD54" s="143"/>
      <c r="BE54" s="143">
        <f>30+450</f>
        <v>480</v>
      </c>
      <c r="BF54" s="143">
        <f t="shared" si="0"/>
        <v>5343.28</v>
      </c>
      <c r="BG54" s="151">
        <f t="shared" si="1"/>
        <v>293.88040000000001</v>
      </c>
      <c r="BH54" s="151">
        <f t="shared" si="2"/>
        <v>5637.1603999999998</v>
      </c>
      <c r="BI54" s="151">
        <v>5637.16</v>
      </c>
      <c r="BJ54" s="143" t="s">
        <v>102</v>
      </c>
      <c r="BK54" s="143"/>
      <c r="BL54" s="143"/>
      <c r="BM54" s="143" t="s">
        <v>142</v>
      </c>
      <c r="BN54" s="144" t="s">
        <v>103</v>
      </c>
      <c r="BO54" s="144" t="s">
        <v>143</v>
      </c>
      <c r="BP54" s="143" t="s">
        <v>3583</v>
      </c>
      <c r="BQ54" s="203" t="s">
        <v>144</v>
      </c>
    </row>
    <row r="55" spans="1:69" ht="41.1" customHeight="1">
      <c r="A55" s="145" t="s">
        <v>86</v>
      </c>
      <c r="B55" s="145" t="s">
        <v>409</v>
      </c>
      <c r="C55" s="134">
        <v>400</v>
      </c>
      <c r="D55" s="135">
        <v>44088</v>
      </c>
      <c r="E55" s="135">
        <v>44091</v>
      </c>
      <c r="F55" s="147">
        <v>44096</v>
      </c>
      <c r="G55" s="135" t="s">
        <v>410</v>
      </c>
      <c r="H55" s="147">
        <v>44222</v>
      </c>
      <c r="I55" s="147">
        <v>44222</v>
      </c>
      <c r="J55" s="147">
        <v>44229</v>
      </c>
      <c r="K55" s="135">
        <v>44316</v>
      </c>
      <c r="L55" s="135">
        <v>44158</v>
      </c>
      <c r="M55" s="135" t="s">
        <v>76</v>
      </c>
      <c r="N55" s="135" t="s">
        <v>76</v>
      </c>
      <c r="O55" s="135" t="s">
        <v>76</v>
      </c>
      <c r="P55" s="135" t="s">
        <v>76</v>
      </c>
      <c r="Q55" s="135">
        <v>44341</v>
      </c>
      <c r="R55" s="143" t="s">
        <v>411</v>
      </c>
      <c r="S55" s="143"/>
      <c r="T55" s="143"/>
      <c r="U55" s="143">
        <v>3</v>
      </c>
      <c r="V55" s="143">
        <v>90024</v>
      </c>
      <c r="W55" s="143" t="str">
        <f ca="1">IF(H55="",IF(D55="","",IF(U55+V55&lt;15,"Données Nb pers ou RFR manquantes",IF(COUNTA(INDIRECT("TabRFR["&amp;YEAR(D55)&amp;"]"))&lt;&gt;COUNTA(TabRFR[Recherche RFR]),"Data RFR manquantes", IF(V55&lt;=INDEX(TabRFR[[2021]:[2025]],MATCH(BD!U55&amp;"-Très modestes",TabRFR[Recherche RFR],0),MATCH(TEXT(YEAR(BD!D55),"Standard"),TabRFR[[#Headers],[2021]:[2025]],0)),"Très Modeste",IF(V55&lt;=INDEX(TabRFR[[2021]:[2025]],MATCH(BD!U55&amp;"-modestes",TabRFR[Recherche RFR],0),MATCH(TEXT(YEAR(BD!D55),"Standard"),TabRFR[[#Headers],[2021]:[2025]],0)),"Modeste",IF(V55&lt;=INDEX(TabRFR[[2021]:[2025]],MATCH(BD!U55&amp;"-Intermédiaire",TabRFR[Recherche RFR],0),MATCH(TEXT(YEAR(BD!D55),"Standard"),TabRFR[[#Headers],[2021]:[2025]],0)),"Intermédiaire","Supérieur")))))),IF(D55="","",IF(U55+V55&lt;15,"Données Nb pers ou RFR manquantes",IF(COUNTA(INDIRECT("TabRFR["&amp;YEAR(H55)&amp;"]"))&lt;&gt;COUNTA(TabRFR[Recherche RFR]),"Data RFR manquantes", IF(V55&lt;=INDEX(TabRFR[[2021]:[2025]],MATCH(BD!U55&amp;"-Très modestes",TabRFR[Recherche RFR],0),MATCH(TEXT(YEAR(BD!H55),"Standard"),TabRFR[[#Headers],[2021]:[2025]],0)),"Très Modeste",IF(V55&lt;=INDEX(TabRFR[[2021]:[2025]],MATCH(BD!U55&amp;"-modestes",TabRFR[Recherche RFR],0),MATCH(TEXT(YEAR(BD!H55),"Standard"),TabRFR[[#Headers],[2021]:[2025]],0)),"Modeste",IF(V55&lt;=INDEX(TabRFR[[2021]:[2025]],MATCH(BD!U55&amp;"-Intermédiaire",TabRFR[Recherche RFR],0),MATCH(TEXT(YEAR(BD!H55),"Standard"),TabRFR[[#Headers],[2021]:[2025]],0)),"Intermédiaire","Supérieur")))))))</f>
        <v>Supérieur</v>
      </c>
      <c r="X55" s="143"/>
      <c r="Y55" s="143" t="s">
        <v>412</v>
      </c>
      <c r="Z55" s="143">
        <v>38340</v>
      </c>
      <c r="AA55" s="143" t="s">
        <v>413</v>
      </c>
      <c r="AB55" s="148"/>
      <c r="AC55" s="149"/>
      <c r="AD55" s="143" t="s">
        <v>414</v>
      </c>
      <c r="AE55" s="143">
        <v>1238</v>
      </c>
      <c r="AF55" s="143" t="s">
        <v>412</v>
      </c>
      <c r="AG55" s="143">
        <v>38340</v>
      </c>
      <c r="AH55" s="143" t="s">
        <v>413</v>
      </c>
      <c r="AI55" s="135" t="s">
        <v>2703</v>
      </c>
      <c r="AJ55" s="143" t="s">
        <v>266</v>
      </c>
      <c r="AK55" s="143" t="s">
        <v>317</v>
      </c>
      <c r="AL55" s="150" t="s">
        <v>318</v>
      </c>
      <c r="AM55" s="148">
        <v>476500550</v>
      </c>
      <c r="AN55" s="143" t="s">
        <v>76</v>
      </c>
      <c r="AO55" s="150" t="s">
        <v>102</v>
      </c>
      <c r="AP55" s="147">
        <v>44375</v>
      </c>
      <c r="AQ55" s="135" t="s">
        <v>3496</v>
      </c>
      <c r="AR55" s="143" t="s">
        <v>172</v>
      </c>
      <c r="AS55" s="143" t="s">
        <v>3413</v>
      </c>
      <c r="AT55" s="135" t="s">
        <v>3446</v>
      </c>
      <c r="AU55" s="143" t="s">
        <v>319</v>
      </c>
      <c r="AV55" s="143" t="s">
        <v>415</v>
      </c>
      <c r="AW55" s="143">
        <v>32</v>
      </c>
      <c r="AX55" s="143">
        <v>7</v>
      </c>
      <c r="AY55" s="143">
        <v>77.8</v>
      </c>
      <c r="AZ55" s="143">
        <v>0.08</v>
      </c>
      <c r="BA55" s="143" t="s">
        <v>101</v>
      </c>
      <c r="BB55" s="143"/>
      <c r="BC55" s="143">
        <f>307.56+71.09+182.53+198.18+1991.66+234.78</f>
        <v>2985.8</v>
      </c>
      <c r="BD55" s="143"/>
      <c r="BE55" s="143">
        <v>1250</v>
      </c>
      <c r="BF55" s="143">
        <f t="shared" si="0"/>
        <v>4235.8</v>
      </c>
      <c r="BG55" s="151">
        <f t="shared" si="1"/>
        <v>232.96900000000002</v>
      </c>
      <c r="BH55" s="151">
        <f t="shared" si="2"/>
        <v>4468.7690000000002</v>
      </c>
      <c r="BI55" s="151">
        <v>4468.7700000000004</v>
      </c>
      <c r="BJ55" s="143" t="s">
        <v>102</v>
      </c>
      <c r="BK55" s="143"/>
      <c r="BL55" s="143"/>
      <c r="BM55" s="144">
        <v>0</v>
      </c>
      <c r="BN55" s="144" t="s">
        <v>103</v>
      </c>
      <c r="BO55" s="144" t="s">
        <v>103</v>
      </c>
      <c r="BP55" s="203" t="s">
        <v>3582</v>
      </c>
      <c r="BQ55" s="203" t="s">
        <v>3273</v>
      </c>
    </row>
    <row r="56" spans="1:69" ht="41.1" customHeight="1">
      <c r="A56" s="133" t="s">
        <v>86</v>
      </c>
      <c r="B56" s="133" t="s">
        <v>416</v>
      </c>
      <c r="C56" s="134">
        <v>400</v>
      </c>
      <c r="D56" s="135">
        <v>44095</v>
      </c>
      <c r="E56" s="135">
        <v>44460</v>
      </c>
      <c r="F56" s="147" t="s">
        <v>76</v>
      </c>
      <c r="G56" s="135" t="s">
        <v>76</v>
      </c>
      <c r="H56" s="147">
        <v>44096</v>
      </c>
      <c r="I56" s="147">
        <v>44096</v>
      </c>
      <c r="J56" s="147">
        <v>44102</v>
      </c>
      <c r="K56" s="135">
        <v>44147</v>
      </c>
      <c r="L56" s="135">
        <v>44137</v>
      </c>
      <c r="M56" s="135" t="s">
        <v>76</v>
      </c>
      <c r="N56" s="135">
        <v>44148</v>
      </c>
      <c r="O56" s="135">
        <v>44148</v>
      </c>
      <c r="P56" s="135">
        <v>44153</v>
      </c>
      <c r="Q56" s="135"/>
      <c r="R56" s="143"/>
      <c r="S56" s="143"/>
      <c r="T56" s="143"/>
      <c r="U56" s="143">
        <v>2</v>
      </c>
      <c r="V56" s="143">
        <v>56652</v>
      </c>
      <c r="W56" s="143" t="str">
        <f ca="1">IF(H56="",IF(D56="","",IF(U56+V56&lt;15,"Données Nb pers ou RFR manquantes",IF(COUNTA(INDIRECT("TabRFR["&amp;YEAR(D56)&amp;"]"))&lt;&gt;COUNTA(TabRFR[Recherche RFR]),"Data RFR manquantes", IF(V56&lt;=INDEX(TabRFR[[2021]:[2025]],MATCH(BD!U56&amp;"-Très modestes",TabRFR[Recherche RFR],0),MATCH(TEXT(YEAR(BD!D56),"Standard"),TabRFR[[#Headers],[2021]:[2025]],0)),"Très Modeste",IF(V56&lt;=INDEX(TabRFR[[2021]:[2025]],MATCH(BD!U56&amp;"-modestes",TabRFR[Recherche RFR],0),MATCH(TEXT(YEAR(BD!D56),"Standard"),TabRFR[[#Headers],[2021]:[2025]],0)),"Modeste",IF(V56&lt;=INDEX(TabRFR[[2021]:[2025]],MATCH(BD!U56&amp;"-Intermédiaire",TabRFR[Recherche RFR],0),MATCH(TEXT(YEAR(BD!D56),"Standard"),TabRFR[[#Headers],[2021]:[2025]],0)),"Intermédiaire","Supérieur")))))),IF(D56="","",IF(U56+V56&lt;15,"Données Nb pers ou RFR manquantes",IF(COUNTA(INDIRECT("TabRFR["&amp;YEAR(H56)&amp;"]"))&lt;&gt;COUNTA(TabRFR[Recherche RFR]),"Data RFR manquantes", IF(V56&lt;=INDEX(TabRFR[[2021]:[2025]],MATCH(BD!U56&amp;"-Très modestes",TabRFR[Recherche RFR],0),MATCH(TEXT(YEAR(BD!H56),"Standard"),TabRFR[[#Headers],[2021]:[2025]],0)),"Très Modeste",IF(V56&lt;=INDEX(TabRFR[[2021]:[2025]],MATCH(BD!U56&amp;"-modestes",TabRFR[Recherche RFR],0),MATCH(TEXT(YEAR(BD!H56),"Standard"),TabRFR[[#Headers],[2021]:[2025]],0)),"Modeste",IF(V56&lt;=INDEX(TabRFR[[2021]:[2025]],MATCH(BD!U56&amp;"-Intermédiaire",TabRFR[Recherche RFR],0),MATCH(TEXT(YEAR(BD!H56),"Standard"),TabRFR[[#Headers],[2021]:[2025]],0)),"Intermédiaire","Supérieur")))))))</f>
        <v>Data RFR manquantes</v>
      </c>
      <c r="X56" s="143"/>
      <c r="Y56" s="143" t="s">
        <v>417</v>
      </c>
      <c r="Z56" s="143">
        <v>38340</v>
      </c>
      <c r="AA56" s="143" t="s">
        <v>266</v>
      </c>
      <c r="AB56" s="148"/>
      <c r="AC56" s="149"/>
      <c r="AD56" s="143" t="s">
        <v>91</v>
      </c>
      <c r="AE56" s="143" t="s">
        <v>76</v>
      </c>
      <c r="AF56" s="143" t="s">
        <v>76</v>
      </c>
      <c r="AG56" s="143" t="s">
        <v>76</v>
      </c>
      <c r="AH56" s="143" t="s">
        <v>76</v>
      </c>
      <c r="AI56" s="143" t="s">
        <v>160</v>
      </c>
      <c r="AJ56" s="143" t="s">
        <v>161</v>
      </c>
      <c r="AK56" s="143" t="s">
        <v>227</v>
      </c>
      <c r="AL56" s="150" t="s">
        <v>228</v>
      </c>
      <c r="AM56" s="148">
        <v>438021901</v>
      </c>
      <c r="AN56" s="143" t="s">
        <v>76</v>
      </c>
      <c r="AO56" s="150" t="s">
        <v>102</v>
      </c>
      <c r="AP56" s="147">
        <v>44276</v>
      </c>
      <c r="AQ56" s="135" t="s">
        <v>3496</v>
      </c>
      <c r="AR56" s="143">
        <v>1989</v>
      </c>
      <c r="AS56" s="143" t="s">
        <v>3413</v>
      </c>
      <c r="AT56" s="135" t="s">
        <v>3446</v>
      </c>
      <c r="AU56" s="143" t="s">
        <v>164</v>
      </c>
      <c r="AV56" s="143">
        <v>368102</v>
      </c>
      <c r="AW56" s="143">
        <v>28</v>
      </c>
      <c r="AX56" s="143">
        <v>10.5</v>
      </c>
      <c r="AY56" s="143">
        <v>75.599999999999994</v>
      </c>
      <c r="AZ56" s="143">
        <v>0.12</v>
      </c>
      <c r="BA56" s="143" t="s">
        <v>101</v>
      </c>
      <c r="BB56" s="143"/>
      <c r="BC56" s="143">
        <f>2498+1788+458</f>
        <v>4744</v>
      </c>
      <c r="BD56" s="143"/>
      <c r="BE56" s="143">
        <v>892</v>
      </c>
      <c r="BF56" s="143">
        <f t="shared" si="0"/>
        <v>5636</v>
      </c>
      <c r="BG56" s="151">
        <f t="shared" si="1"/>
        <v>309.98</v>
      </c>
      <c r="BH56" s="151">
        <f t="shared" si="2"/>
        <v>5945.98</v>
      </c>
      <c r="BI56" s="151">
        <v>5967</v>
      </c>
      <c r="BJ56" s="143" t="s">
        <v>115</v>
      </c>
      <c r="BK56" s="143"/>
      <c r="BL56" s="143"/>
      <c r="BM56" s="144" t="s">
        <v>142</v>
      </c>
      <c r="BN56" s="144" t="s">
        <v>103</v>
      </c>
      <c r="BO56" s="144" t="s">
        <v>143</v>
      </c>
      <c r="BP56" s="144">
        <v>2020</v>
      </c>
      <c r="BQ56" s="203" t="s">
        <v>3274</v>
      </c>
    </row>
    <row r="57" spans="1:69" ht="41.1" customHeight="1">
      <c r="A57" s="133" t="s">
        <v>86</v>
      </c>
      <c r="B57" s="133" t="s">
        <v>418</v>
      </c>
      <c r="C57" s="134">
        <v>400</v>
      </c>
      <c r="D57" s="135">
        <v>44095</v>
      </c>
      <c r="E57" s="135">
        <v>44096</v>
      </c>
      <c r="F57" s="147">
        <v>44096</v>
      </c>
      <c r="G57" s="135" t="s">
        <v>419</v>
      </c>
      <c r="H57" s="147">
        <v>44097</v>
      </c>
      <c r="I57" s="147">
        <v>44102</v>
      </c>
      <c r="J57" s="147">
        <v>44109</v>
      </c>
      <c r="K57" s="135">
        <v>44155</v>
      </c>
      <c r="L57" s="135">
        <v>44138</v>
      </c>
      <c r="M57" s="135" t="s">
        <v>76</v>
      </c>
      <c r="N57" s="135">
        <v>44161</v>
      </c>
      <c r="O57" s="135">
        <v>44161</v>
      </c>
      <c r="P57" s="135">
        <v>44166</v>
      </c>
      <c r="Q57" s="135"/>
      <c r="R57" s="143"/>
      <c r="S57" s="143"/>
      <c r="T57" s="143"/>
      <c r="U57" s="143">
        <v>2</v>
      </c>
      <c r="V57" s="143">
        <v>37304</v>
      </c>
      <c r="W57" s="143" t="str">
        <f ca="1">IF(H57="",IF(D57="","",IF(U57+V57&lt;15,"Données Nb pers ou RFR manquantes",IF(COUNTA(INDIRECT("TabRFR["&amp;YEAR(D57)&amp;"]"))&lt;&gt;COUNTA(TabRFR[Recherche RFR]),"Data RFR manquantes", IF(V57&lt;=INDEX(TabRFR[[2021]:[2025]],MATCH(BD!U57&amp;"-Très modestes",TabRFR[Recherche RFR],0),MATCH(TEXT(YEAR(BD!D57),"Standard"),TabRFR[[#Headers],[2021]:[2025]],0)),"Très Modeste",IF(V57&lt;=INDEX(TabRFR[[2021]:[2025]],MATCH(BD!U57&amp;"-modestes",TabRFR[Recherche RFR],0),MATCH(TEXT(YEAR(BD!D57),"Standard"),TabRFR[[#Headers],[2021]:[2025]],0)),"Modeste",IF(V57&lt;=INDEX(TabRFR[[2021]:[2025]],MATCH(BD!U57&amp;"-Intermédiaire",TabRFR[Recherche RFR],0),MATCH(TEXT(YEAR(BD!D57),"Standard"),TabRFR[[#Headers],[2021]:[2025]],0)),"Intermédiaire","Supérieur")))))),IF(D57="","",IF(U57+V57&lt;15,"Données Nb pers ou RFR manquantes",IF(COUNTA(INDIRECT("TabRFR["&amp;YEAR(H57)&amp;"]"))&lt;&gt;COUNTA(TabRFR[Recherche RFR]),"Data RFR manquantes", IF(V57&lt;=INDEX(TabRFR[[2021]:[2025]],MATCH(BD!U57&amp;"-Très modestes",TabRFR[Recherche RFR],0),MATCH(TEXT(YEAR(BD!H57),"Standard"),TabRFR[[#Headers],[2021]:[2025]],0)),"Très Modeste",IF(V57&lt;=INDEX(TabRFR[[2021]:[2025]],MATCH(BD!U57&amp;"-modestes",TabRFR[Recherche RFR],0),MATCH(TEXT(YEAR(BD!H57),"Standard"),TabRFR[[#Headers],[2021]:[2025]],0)),"Modeste",IF(V57&lt;=INDEX(TabRFR[[2021]:[2025]],MATCH(BD!U57&amp;"-Intermédiaire",TabRFR[Recherche RFR],0),MATCH(TEXT(YEAR(BD!H57),"Standard"),TabRFR[[#Headers],[2021]:[2025]],0)),"Intermédiaire","Supérieur")))))))</f>
        <v>Data RFR manquantes</v>
      </c>
      <c r="X57" s="143"/>
      <c r="Y57" s="143" t="s">
        <v>420</v>
      </c>
      <c r="Z57" s="143">
        <v>38960</v>
      </c>
      <c r="AA57" s="143" t="s">
        <v>209</v>
      </c>
      <c r="AB57" s="148"/>
      <c r="AC57" s="149"/>
      <c r="AD57" s="143" t="s">
        <v>91</v>
      </c>
      <c r="AE57" s="143" t="s">
        <v>76</v>
      </c>
      <c r="AF57" s="143" t="s">
        <v>76</v>
      </c>
      <c r="AG57" s="143" t="s">
        <v>76</v>
      </c>
      <c r="AH57" s="143" t="s">
        <v>76</v>
      </c>
      <c r="AI57" s="143" t="s">
        <v>185</v>
      </c>
      <c r="AJ57" s="143" t="s">
        <v>108</v>
      </c>
      <c r="AK57" s="143" t="s">
        <v>186</v>
      </c>
      <c r="AL57" s="150" t="s">
        <v>187</v>
      </c>
      <c r="AM57" s="148">
        <v>951096343</v>
      </c>
      <c r="AN57" s="143" t="s">
        <v>76</v>
      </c>
      <c r="AO57" s="150" t="s">
        <v>102</v>
      </c>
      <c r="AP57" s="147">
        <v>44433</v>
      </c>
      <c r="AQ57" s="135" t="s">
        <v>3496</v>
      </c>
      <c r="AR57" s="143">
        <v>1990</v>
      </c>
      <c r="AS57" s="143" t="s">
        <v>3413</v>
      </c>
      <c r="AT57" s="143" t="s">
        <v>98</v>
      </c>
      <c r="AU57" s="143" t="s">
        <v>188</v>
      </c>
      <c r="AV57" s="143" t="s">
        <v>366</v>
      </c>
      <c r="AW57" s="143">
        <v>20</v>
      </c>
      <c r="AX57" s="143">
        <v>7.9</v>
      </c>
      <c r="AY57" s="143">
        <v>89</v>
      </c>
      <c r="AZ57" s="143">
        <v>1.7999999999999999E-2</v>
      </c>
      <c r="BA57" s="143" t="s">
        <v>126</v>
      </c>
      <c r="BB57" s="143"/>
      <c r="BC57" s="143">
        <f>5885+340.5+271.35+265.5</f>
        <v>6762.35</v>
      </c>
      <c r="BD57" s="143"/>
      <c r="BE57" s="143">
        <v>630</v>
      </c>
      <c r="BF57" s="143">
        <f t="shared" si="0"/>
        <v>7392.35</v>
      </c>
      <c r="BG57" s="151">
        <f t="shared" si="1"/>
        <v>406.57925</v>
      </c>
      <c r="BH57" s="151">
        <f t="shared" si="2"/>
        <v>7798.9292500000001</v>
      </c>
      <c r="BI57" s="151">
        <v>7400</v>
      </c>
      <c r="BJ57" s="143" t="s">
        <v>102</v>
      </c>
      <c r="BK57" s="143"/>
      <c r="BL57" s="143"/>
      <c r="BM57" s="144" t="s">
        <v>142</v>
      </c>
      <c r="BN57" s="144" t="s">
        <v>103</v>
      </c>
      <c r="BO57" s="144" t="s">
        <v>143</v>
      </c>
      <c r="BP57" s="143" t="s">
        <v>3583</v>
      </c>
      <c r="BQ57" s="203" t="s">
        <v>144</v>
      </c>
    </row>
    <row r="58" spans="1:69" ht="41.1" customHeight="1">
      <c r="A58" s="133" t="s">
        <v>86</v>
      </c>
      <c r="B58" s="133" t="s">
        <v>421</v>
      </c>
      <c r="C58" s="134">
        <v>800</v>
      </c>
      <c r="D58" s="135">
        <v>44096</v>
      </c>
      <c r="E58" s="135">
        <v>44098</v>
      </c>
      <c r="F58" s="147" t="s">
        <v>76</v>
      </c>
      <c r="G58" s="135" t="s">
        <v>76</v>
      </c>
      <c r="H58" s="147">
        <v>44102</v>
      </c>
      <c r="I58" s="147">
        <v>44102</v>
      </c>
      <c r="J58" s="147">
        <v>44109</v>
      </c>
      <c r="K58" s="135">
        <v>44161</v>
      </c>
      <c r="L58" s="135">
        <v>44159</v>
      </c>
      <c r="M58" s="135" t="s">
        <v>76</v>
      </c>
      <c r="N58" s="135">
        <v>44165</v>
      </c>
      <c r="O58" s="135">
        <v>44165</v>
      </c>
      <c r="P58" s="135">
        <v>44166</v>
      </c>
      <c r="Q58" s="135"/>
      <c r="R58" s="143"/>
      <c r="S58" s="143"/>
      <c r="T58" s="143"/>
      <c r="U58" s="143">
        <v>4</v>
      </c>
      <c r="V58" s="143">
        <v>37103</v>
      </c>
      <c r="W58" s="143" t="str">
        <f ca="1">IF(H58="",IF(D58="","",IF(U58+V58&lt;15,"Données Nb pers ou RFR manquantes",IF(COUNTA(INDIRECT("TabRFR["&amp;YEAR(D58)&amp;"]"))&lt;&gt;COUNTA(TabRFR[Recherche RFR]),"Data RFR manquantes", IF(V58&lt;=INDEX(TabRFR[[2021]:[2025]],MATCH(BD!U58&amp;"-Très modestes",TabRFR[Recherche RFR],0),MATCH(TEXT(YEAR(BD!D58),"Standard"),TabRFR[[#Headers],[2021]:[2025]],0)),"Très Modeste",IF(V58&lt;=INDEX(TabRFR[[2021]:[2025]],MATCH(BD!U58&amp;"-modestes",TabRFR[Recherche RFR],0),MATCH(TEXT(YEAR(BD!D58),"Standard"),TabRFR[[#Headers],[2021]:[2025]],0)),"Modeste",IF(V58&lt;=INDEX(TabRFR[[2021]:[2025]],MATCH(BD!U58&amp;"-Intermédiaire",TabRFR[Recherche RFR],0),MATCH(TEXT(YEAR(BD!D58),"Standard"),TabRFR[[#Headers],[2021]:[2025]],0)),"Intermédiaire","Supérieur")))))),IF(D58="","",IF(U58+V58&lt;15,"Données Nb pers ou RFR manquantes",IF(COUNTA(INDIRECT("TabRFR["&amp;YEAR(H58)&amp;"]"))&lt;&gt;COUNTA(TabRFR[Recherche RFR]),"Data RFR manquantes", IF(V58&lt;=INDEX(TabRFR[[2021]:[2025]],MATCH(BD!U58&amp;"-Très modestes",TabRFR[Recherche RFR],0),MATCH(TEXT(YEAR(BD!H58),"Standard"),TabRFR[[#Headers],[2021]:[2025]],0)),"Très Modeste",IF(V58&lt;=INDEX(TabRFR[[2021]:[2025]],MATCH(BD!U58&amp;"-modestes",TabRFR[Recherche RFR],0),MATCH(TEXT(YEAR(BD!H58),"Standard"),TabRFR[[#Headers],[2021]:[2025]],0)),"Modeste",IF(V58&lt;=INDEX(TabRFR[[2021]:[2025]],MATCH(BD!U58&amp;"-Intermédiaire",TabRFR[Recherche RFR],0),MATCH(TEXT(YEAR(BD!H58),"Standard"),TabRFR[[#Headers],[2021]:[2025]],0)),"Intermédiaire","Supérieur")))))))</f>
        <v>Data RFR manquantes</v>
      </c>
      <c r="X58" s="143"/>
      <c r="Y58" s="143" t="s">
        <v>422</v>
      </c>
      <c r="Z58" s="143">
        <v>38730</v>
      </c>
      <c r="AA58" s="143" t="s">
        <v>148</v>
      </c>
      <c r="AB58" s="148"/>
      <c r="AC58" s="149"/>
      <c r="AD58" s="143" t="s">
        <v>91</v>
      </c>
      <c r="AE58" s="143" t="s">
        <v>76</v>
      </c>
      <c r="AF58" s="143" t="s">
        <v>76</v>
      </c>
      <c r="AG58" s="143" t="s">
        <v>76</v>
      </c>
      <c r="AH58" s="143" t="s">
        <v>76</v>
      </c>
      <c r="AI58" s="143" t="s">
        <v>423</v>
      </c>
      <c r="AJ58" s="143" t="s">
        <v>424</v>
      </c>
      <c r="AK58" s="143" t="s">
        <v>425</v>
      </c>
      <c r="AL58" s="150" t="s">
        <v>426</v>
      </c>
      <c r="AM58" s="148">
        <v>476018471</v>
      </c>
      <c r="AN58" s="143" t="s">
        <v>76</v>
      </c>
      <c r="AO58" s="150" t="s">
        <v>102</v>
      </c>
      <c r="AP58" s="147">
        <v>44412</v>
      </c>
      <c r="AQ58" s="135" t="s">
        <v>3449</v>
      </c>
      <c r="AR58" s="143">
        <v>1970</v>
      </c>
      <c r="AS58" s="143" t="s">
        <v>3413</v>
      </c>
      <c r="AT58" s="143" t="s">
        <v>98</v>
      </c>
      <c r="AU58" s="143" t="s">
        <v>361</v>
      </c>
      <c r="AV58" s="143" t="s">
        <v>427</v>
      </c>
      <c r="AW58" s="143">
        <v>10.8</v>
      </c>
      <c r="AX58" s="143">
        <v>10</v>
      </c>
      <c r="AY58" s="143">
        <v>91.2</v>
      </c>
      <c r="AZ58" s="143">
        <v>0.01</v>
      </c>
      <c r="BA58" s="143" t="s">
        <v>126</v>
      </c>
      <c r="BB58" s="143"/>
      <c r="BC58" s="143">
        <f>3404.7+642.42</f>
        <v>4047.12</v>
      </c>
      <c r="BD58" s="143"/>
      <c r="BE58" s="143">
        <v>750</v>
      </c>
      <c r="BF58" s="143">
        <f t="shared" si="0"/>
        <v>4797.12</v>
      </c>
      <c r="BG58" s="151">
        <f t="shared" si="1"/>
        <v>263.84159999999997</v>
      </c>
      <c r="BH58" s="151">
        <f t="shared" si="2"/>
        <v>5060.9615999999996</v>
      </c>
      <c r="BI58" s="151">
        <v>5060.96</v>
      </c>
      <c r="BJ58" s="143" t="s">
        <v>102</v>
      </c>
      <c r="BK58" s="143"/>
      <c r="BL58" s="143"/>
      <c r="BM58" s="144" t="s">
        <v>142</v>
      </c>
      <c r="BN58" s="144" t="s">
        <v>103</v>
      </c>
      <c r="BO58" s="135" t="s">
        <v>155</v>
      </c>
      <c r="BP58" s="143" t="s">
        <v>3583</v>
      </c>
      <c r="BQ58" s="203" t="s">
        <v>144</v>
      </c>
    </row>
    <row r="59" spans="1:69" ht="41.1" customHeight="1">
      <c r="A59" s="133" t="s">
        <v>86</v>
      </c>
      <c r="B59" s="133" t="s">
        <v>428</v>
      </c>
      <c r="C59" s="134">
        <v>800</v>
      </c>
      <c r="D59" s="135">
        <v>44098</v>
      </c>
      <c r="E59" s="135">
        <v>44099</v>
      </c>
      <c r="F59" s="147" t="s">
        <v>76</v>
      </c>
      <c r="G59" s="135" t="s">
        <v>76</v>
      </c>
      <c r="H59" s="147">
        <v>44102</v>
      </c>
      <c r="I59" s="147">
        <v>44102</v>
      </c>
      <c r="J59" s="147">
        <v>44109</v>
      </c>
      <c r="K59" s="135">
        <v>44216</v>
      </c>
      <c r="L59" s="135">
        <v>44201</v>
      </c>
      <c r="M59" s="135" t="s">
        <v>76</v>
      </c>
      <c r="N59" s="135">
        <v>44222</v>
      </c>
      <c r="O59" s="135">
        <v>44222</v>
      </c>
      <c r="P59" s="135">
        <v>44242</v>
      </c>
      <c r="Q59" s="135"/>
      <c r="R59" s="143"/>
      <c r="S59" s="143"/>
      <c r="T59" s="143"/>
      <c r="U59" s="143">
        <v>3</v>
      </c>
      <c r="V59" s="143">
        <v>24073</v>
      </c>
      <c r="W59" s="143" t="str">
        <f ca="1">IF(H59="",IF(D59="","",IF(U59+V59&lt;15,"Données Nb pers ou RFR manquantes",IF(COUNTA(INDIRECT("TabRFR["&amp;YEAR(D59)&amp;"]"))&lt;&gt;COUNTA(TabRFR[Recherche RFR]),"Data RFR manquantes", IF(V59&lt;=INDEX(TabRFR[[2021]:[2025]],MATCH(BD!U59&amp;"-Très modestes",TabRFR[Recherche RFR],0),MATCH(TEXT(YEAR(BD!D59),"Standard"),TabRFR[[#Headers],[2021]:[2025]],0)),"Très Modeste",IF(V59&lt;=INDEX(TabRFR[[2021]:[2025]],MATCH(BD!U59&amp;"-modestes",TabRFR[Recherche RFR],0),MATCH(TEXT(YEAR(BD!D59),"Standard"),TabRFR[[#Headers],[2021]:[2025]],0)),"Modeste",IF(V59&lt;=INDEX(TabRFR[[2021]:[2025]],MATCH(BD!U59&amp;"-Intermédiaire",TabRFR[Recherche RFR],0),MATCH(TEXT(YEAR(BD!D59),"Standard"),TabRFR[[#Headers],[2021]:[2025]],0)),"Intermédiaire","Supérieur")))))),IF(D59="","",IF(U59+V59&lt;15,"Données Nb pers ou RFR manquantes",IF(COUNTA(INDIRECT("TabRFR["&amp;YEAR(H59)&amp;"]"))&lt;&gt;COUNTA(TabRFR[Recherche RFR]),"Data RFR manquantes", IF(V59&lt;=INDEX(TabRFR[[2021]:[2025]],MATCH(BD!U59&amp;"-Très modestes",TabRFR[Recherche RFR],0),MATCH(TEXT(YEAR(BD!H59),"Standard"),TabRFR[[#Headers],[2021]:[2025]],0)),"Très Modeste",IF(V59&lt;=INDEX(TabRFR[[2021]:[2025]],MATCH(BD!U59&amp;"-modestes",TabRFR[Recherche RFR],0),MATCH(TEXT(YEAR(BD!H59),"Standard"),TabRFR[[#Headers],[2021]:[2025]],0)),"Modeste",IF(V59&lt;=INDEX(TabRFR[[2021]:[2025]],MATCH(BD!U59&amp;"-Intermédiaire",TabRFR[Recherche RFR],0),MATCH(TEXT(YEAR(BD!H59),"Standard"),TabRFR[[#Headers],[2021]:[2025]],0)),"Intermédiaire","Supérieur")))))))</f>
        <v>Data RFR manquantes</v>
      </c>
      <c r="X59" s="143"/>
      <c r="Y59" s="143" t="s">
        <v>429</v>
      </c>
      <c r="Z59" s="143">
        <v>38140</v>
      </c>
      <c r="AA59" s="143" t="s">
        <v>184</v>
      </c>
      <c r="AB59" s="148"/>
      <c r="AC59" s="149"/>
      <c r="AD59" s="143" t="s">
        <v>91</v>
      </c>
      <c r="AE59" s="143" t="s">
        <v>76</v>
      </c>
      <c r="AF59" s="143" t="s">
        <v>76</v>
      </c>
      <c r="AG59" s="143" t="s">
        <v>76</v>
      </c>
      <c r="AH59" s="143" t="s">
        <v>76</v>
      </c>
      <c r="AI59" s="135" t="s">
        <v>2703</v>
      </c>
      <c r="AJ59" s="143" t="s">
        <v>266</v>
      </c>
      <c r="AK59" s="143" t="s">
        <v>317</v>
      </c>
      <c r="AL59" s="150" t="s">
        <v>318</v>
      </c>
      <c r="AM59" s="148">
        <v>476500550</v>
      </c>
      <c r="AN59" s="143" t="s">
        <v>76</v>
      </c>
      <c r="AO59" s="150" t="s">
        <v>102</v>
      </c>
      <c r="AP59" s="147">
        <v>44375</v>
      </c>
      <c r="AQ59" s="143" t="s">
        <v>3413</v>
      </c>
      <c r="AR59" s="143">
        <v>2000</v>
      </c>
      <c r="AS59" s="143" t="s">
        <v>3413</v>
      </c>
      <c r="AT59" s="143" t="s">
        <v>98</v>
      </c>
      <c r="AU59" s="143" t="s">
        <v>430</v>
      </c>
      <c r="AV59" s="143" t="s">
        <v>431</v>
      </c>
      <c r="AW59" s="143">
        <v>14.8</v>
      </c>
      <c r="AX59" s="143">
        <v>7.4</v>
      </c>
      <c r="AY59" s="143">
        <v>92.5</v>
      </c>
      <c r="AZ59" s="143">
        <v>1.2E-2</v>
      </c>
      <c r="BA59" s="143" t="s">
        <v>126</v>
      </c>
      <c r="BB59" s="143"/>
      <c r="BC59" s="143">
        <f>297.28+51.39+152.2+2770+184.2</f>
        <v>3455.0699999999997</v>
      </c>
      <c r="BD59" s="143"/>
      <c r="BE59" s="143">
        <v>900</v>
      </c>
      <c r="BF59" s="143">
        <f t="shared" si="0"/>
        <v>4355.07</v>
      </c>
      <c r="BG59" s="151">
        <f t="shared" si="1"/>
        <v>239.52884999999998</v>
      </c>
      <c r="BH59" s="151">
        <f t="shared" si="2"/>
        <v>4594.5988499999994</v>
      </c>
      <c r="BI59" s="151">
        <v>4594.6000000000004</v>
      </c>
      <c r="BJ59" s="143" t="s">
        <v>115</v>
      </c>
      <c r="BK59" s="143"/>
      <c r="BL59" s="143"/>
      <c r="BM59" s="144" t="s">
        <v>142</v>
      </c>
      <c r="BN59" s="144" t="s">
        <v>103</v>
      </c>
      <c r="BO59" s="135" t="s">
        <v>155</v>
      </c>
      <c r="BP59" s="143" t="s">
        <v>3583</v>
      </c>
      <c r="BQ59" s="203" t="s">
        <v>3274</v>
      </c>
    </row>
    <row r="60" spans="1:69" ht="41.1" customHeight="1">
      <c r="A60" s="133" t="s">
        <v>86</v>
      </c>
      <c r="B60" s="133" t="s">
        <v>432</v>
      </c>
      <c r="C60" s="134">
        <v>800</v>
      </c>
      <c r="D60" s="135">
        <v>44098</v>
      </c>
      <c r="E60" s="135">
        <v>44099</v>
      </c>
      <c r="F60" s="147">
        <v>44102</v>
      </c>
      <c r="G60" s="135" t="s">
        <v>433</v>
      </c>
      <c r="H60" s="147">
        <v>44123</v>
      </c>
      <c r="I60" s="147">
        <v>44123</v>
      </c>
      <c r="J60" s="147">
        <v>44133</v>
      </c>
      <c r="K60" s="135">
        <v>44153</v>
      </c>
      <c r="L60" s="135">
        <v>44141</v>
      </c>
      <c r="M60" s="135" t="s">
        <v>76</v>
      </c>
      <c r="N60" s="135">
        <v>44158</v>
      </c>
      <c r="O60" s="135">
        <v>44158</v>
      </c>
      <c r="P60" s="135">
        <v>44166</v>
      </c>
      <c r="Q60" s="135"/>
      <c r="R60" s="143"/>
      <c r="S60" s="143"/>
      <c r="T60" s="143"/>
      <c r="U60" s="143">
        <v>4</v>
      </c>
      <c r="V60" s="143">
        <v>35656</v>
      </c>
      <c r="W60" s="143" t="str">
        <f ca="1">IF(H60="",IF(D60="","",IF(U60+V60&lt;15,"Données Nb pers ou RFR manquantes",IF(COUNTA(INDIRECT("TabRFR["&amp;YEAR(D60)&amp;"]"))&lt;&gt;COUNTA(TabRFR[Recherche RFR]),"Data RFR manquantes", IF(V60&lt;=INDEX(TabRFR[[2021]:[2025]],MATCH(BD!U60&amp;"-Très modestes",TabRFR[Recherche RFR],0),MATCH(TEXT(YEAR(BD!D60),"Standard"),TabRFR[[#Headers],[2021]:[2025]],0)),"Très Modeste",IF(V60&lt;=INDEX(TabRFR[[2021]:[2025]],MATCH(BD!U60&amp;"-modestes",TabRFR[Recherche RFR],0),MATCH(TEXT(YEAR(BD!D60),"Standard"),TabRFR[[#Headers],[2021]:[2025]],0)),"Modeste",IF(V60&lt;=INDEX(TabRFR[[2021]:[2025]],MATCH(BD!U60&amp;"-Intermédiaire",TabRFR[Recherche RFR],0),MATCH(TEXT(YEAR(BD!D60),"Standard"),TabRFR[[#Headers],[2021]:[2025]],0)),"Intermédiaire","Supérieur")))))),IF(D60="","",IF(U60+V60&lt;15,"Données Nb pers ou RFR manquantes",IF(COUNTA(INDIRECT("TabRFR["&amp;YEAR(H60)&amp;"]"))&lt;&gt;COUNTA(TabRFR[Recherche RFR]),"Data RFR manquantes", IF(V60&lt;=INDEX(TabRFR[[2021]:[2025]],MATCH(BD!U60&amp;"-Très modestes",TabRFR[Recherche RFR],0),MATCH(TEXT(YEAR(BD!H60),"Standard"),TabRFR[[#Headers],[2021]:[2025]],0)),"Très Modeste",IF(V60&lt;=INDEX(TabRFR[[2021]:[2025]],MATCH(BD!U60&amp;"-modestes",TabRFR[Recherche RFR],0),MATCH(TEXT(YEAR(BD!H60),"Standard"),TabRFR[[#Headers],[2021]:[2025]],0)),"Modeste",IF(V60&lt;=INDEX(TabRFR[[2021]:[2025]],MATCH(BD!U60&amp;"-Intermédiaire",TabRFR[Recherche RFR],0),MATCH(TEXT(YEAR(BD!H60),"Standard"),TabRFR[[#Headers],[2021]:[2025]],0)),"Intermédiaire","Supérieur")))))))</f>
        <v>Data RFR manquantes</v>
      </c>
      <c r="X60" s="143"/>
      <c r="Y60" s="143" t="s">
        <v>434</v>
      </c>
      <c r="Z60" s="143">
        <v>38850</v>
      </c>
      <c r="AA60" s="143" t="s">
        <v>435</v>
      </c>
      <c r="AB60" s="148"/>
      <c r="AC60" s="149"/>
      <c r="AD60" s="143" t="s">
        <v>91</v>
      </c>
      <c r="AE60" s="143" t="s">
        <v>76</v>
      </c>
      <c r="AF60" s="143" t="s">
        <v>76</v>
      </c>
      <c r="AG60" s="143" t="s">
        <v>76</v>
      </c>
      <c r="AH60" s="143" t="s">
        <v>76</v>
      </c>
      <c r="AI60" s="143" t="s">
        <v>185</v>
      </c>
      <c r="AJ60" s="143" t="s">
        <v>108</v>
      </c>
      <c r="AK60" s="143" t="s">
        <v>186</v>
      </c>
      <c r="AL60" s="150" t="s">
        <v>187</v>
      </c>
      <c r="AM60" s="148">
        <v>951096343</v>
      </c>
      <c r="AN60" s="143" t="s">
        <v>76</v>
      </c>
      <c r="AO60" s="150" t="s">
        <v>102</v>
      </c>
      <c r="AP60" s="147">
        <v>44433</v>
      </c>
      <c r="AQ60" s="143" t="s">
        <v>3413</v>
      </c>
      <c r="AR60" s="143">
        <v>1999</v>
      </c>
      <c r="AS60" s="143" t="s">
        <v>3413</v>
      </c>
      <c r="AT60" s="143" t="s">
        <v>98</v>
      </c>
      <c r="AU60" s="143" t="s">
        <v>188</v>
      </c>
      <c r="AV60" s="143" t="s">
        <v>366</v>
      </c>
      <c r="AW60" s="143">
        <v>20</v>
      </c>
      <c r="AX60" s="143">
        <v>7.9</v>
      </c>
      <c r="AY60" s="143">
        <v>89</v>
      </c>
      <c r="AZ60" s="143">
        <v>1.7999999999999999E-2</v>
      </c>
      <c r="BA60" s="143" t="s">
        <v>126</v>
      </c>
      <c r="BB60" s="143"/>
      <c r="BC60" s="143">
        <f>5885+300.4+271.35+265.5+269.9+110+125</f>
        <v>7227.15</v>
      </c>
      <c r="BD60" s="143"/>
      <c r="BE60" s="143">
        <v>630</v>
      </c>
      <c r="BF60" s="143">
        <f t="shared" si="0"/>
        <v>7857.15</v>
      </c>
      <c r="BG60" s="151">
        <f t="shared" si="1"/>
        <v>432.14324999999997</v>
      </c>
      <c r="BH60" s="151">
        <f t="shared" si="2"/>
        <v>8289.2932499999988</v>
      </c>
      <c r="BI60" s="151">
        <v>7900</v>
      </c>
      <c r="BJ60" s="143" t="s">
        <v>102</v>
      </c>
      <c r="BK60" s="143"/>
      <c r="BL60" s="143"/>
      <c r="BM60" s="144" t="s">
        <v>142</v>
      </c>
      <c r="BN60" s="144" t="s">
        <v>103</v>
      </c>
      <c r="BO60" s="135" t="s">
        <v>155</v>
      </c>
      <c r="BP60" s="143" t="s">
        <v>3583</v>
      </c>
      <c r="BQ60" s="203" t="s">
        <v>144</v>
      </c>
    </row>
    <row r="61" spans="1:69" ht="41.1" customHeight="1">
      <c r="A61" s="133" t="s">
        <v>86</v>
      </c>
      <c r="B61" s="133" t="s">
        <v>436</v>
      </c>
      <c r="C61" s="134">
        <v>400</v>
      </c>
      <c r="D61" s="135">
        <v>44103</v>
      </c>
      <c r="E61" s="135">
        <v>44105</v>
      </c>
      <c r="F61" s="147" t="s">
        <v>76</v>
      </c>
      <c r="G61" s="135" t="s">
        <v>76</v>
      </c>
      <c r="H61" s="147">
        <v>44109</v>
      </c>
      <c r="I61" s="147">
        <v>44109</v>
      </c>
      <c r="J61" s="147">
        <v>44116</v>
      </c>
      <c r="K61" s="135">
        <v>44217</v>
      </c>
      <c r="L61" s="135">
        <v>44187</v>
      </c>
      <c r="M61" s="135" t="s">
        <v>76</v>
      </c>
      <c r="N61" s="135">
        <v>44222</v>
      </c>
      <c r="O61" s="135">
        <v>44222</v>
      </c>
      <c r="P61" s="135">
        <v>44242</v>
      </c>
      <c r="Q61" s="135"/>
      <c r="R61" s="143"/>
      <c r="S61" s="143"/>
      <c r="T61" s="143"/>
      <c r="U61" s="143">
        <v>3</v>
      </c>
      <c r="V61" s="143">
        <v>50344</v>
      </c>
      <c r="W61" s="143" t="str">
        <f ca="1">IF(H61="",IF(D61="","",IF(U61+V61&lt;15,"Données Nb pers ou RFR manquantes",IF(COUNTA(INDIRECT("TabRFR["&amp;YEAR(D61)&amp;"]"))&lt;&gt;COUNTA(TabRFR[Recherche RFR]),"Data RFR manquantes", IF(V61&lt;=INDEX(TabRFR[[2021]:[2025]],MATCH(BD!U61&amp;"-Très modestes",TabRFR[Recherche RFR],0),MATCH(TEXT(YEAR(BD!D61),"Standard"),TabRFR[[#Headers],[2021]:[2025]],0)),"Très Modeste",IF(V61&lt;=INDEX(TabRFR[[2021]:[2025]],MATCH(BD!U61&amp;"-modestes",TabRFR[Recherche RFR],0),MATCH(TEXT(YEAR(BD!D61),"Standard"),TabRFR[[#Headers],[2021]:[2025]],0)),"Modeste",IF(V61&lt;=INDEX(TabRFR[[2021]:[2025]],MATCH(BD!U61&amp;"-Intermédiaire",TabRFR[Recherche RFR],0),MATCH(TEXT(YEAR(BD!D61),"Standard"),TabRFR[[#Headers],[2021]:[2025]],0)),"Intermédiaire","Supérieur")))))),IF(D61="","",IF(U61+V61&lt;15,"Données Nb pers ou RFR manquantes",IF(COUNTA(INDIRECT("TabRFR["&amp;YEAR(H61)&amp;"]"))&lt;&gt;COUNTA(TabRFR[Recherche RFR]),"Data RFR manquantes", IF(V61&lt;=INDEX(TabRFR[[2021]:[2025]],MATCH(BD!U61&amp;"-Très modestes",TabRFR[Recherche RFR],0),MATCH(TEXT(YEAR(BD!H61),"Standard"),TabRFR[[#Headers],[2021]:[2025]],0)),"Très Modeste",IF(V61&lt;=INDEX(TabRFR[[2021]:[2025]],MATCH(BD!U61&amp;"-modestes",TabRFR[Recherche RFR],0),MATCH(TEXT(YEAR(BD!H61),"Standard"),TabRFR[[#Headers],[2021]:[2025]],0)),"Modeste",IF(V61&lt;=INDEX(TabRFR[[2021]:[2025]],MATCH(BD!U61&amp;"-Intermédiaire",TabRFR[Recherche RFR],0),MATCH(TEXT(YEAR(BD!H61),"Standard"),TabRFR[[#Headers],[2021]:[2025]],0)),"Intermédiaire","Supérieur")))))))</f>
        <v>Data RFR manquantes</v>
      </c>
      <c r="X61" s="143"/>
      <c r="Y61" s="143" t="s">
        <v>437</v>
      </c>
      <c r="Z61" s="143">
        <v>38210</v>
      </c>
      <c r="AA61" s="143" t="s">
        <v>202</v>
      </c>
      <c r="AB61" s="148"/>
      <c r="AC61" s="149"/>
      <c r="AD61" s="143" t="s">
        <v>91</v>
      </c>
      <c r="AE61" s="143" t="s">
        <v>76</v>
      </c>
      <c r="AF61" s="143" t="s">
        <v>76</v>
      </c>
      <c r="AG61" s="143" t="s">
        <v>76</v>
      </c>
      <c r="AH61" s="143" t="s">
        <v>76</v>
      </c>
      <c r="AI61" s="143" t="s">
        <v>109</v>
      </c>
      <c r="AJ61" s="143" t="s">
        <v>108</v>
      </c>
      <c r="AK61" s="143" t="s">
        <v>110</v>
      </c>
      <c r="AL61" s="149" t="s">
        <v>111</v>
      </c>
      <c r="AM61" s="148" t="s">
        <v>112</v>
      </c>
      <c r="AN61" s="143" t="s">
        <v>76</v>
      </c>
      <c r="AO61" s="150" t="s">
        <v>102</v>
      </c>
      <c r="AP61" s="147">
        <v>44138</v>
      </c>
      <c r="AQ61" s="135" t="s">
        <v>3496</v>
      </c>
      <c r="AR61" s="143">
        <v>1990</v>
      </c>
      <c r="AS61" s="143" t="s">
        <v>3413</v>
      </c>
      <c r="AT61" s="143" t="s">
        <v>98</v>
      </c>
      <c r="AU61" s="143" t="s">
        <v>113</v>
      </c>
      <c r="AV61" s="143" t="s">
        <v>438</v>
      </c>
      <c r="AW61" s="143">
        <v>17</v>
      </c>
      <c r="AX61" s="143">
        <v>8</v>
      </c>
      <c r="AY61" s="143">
        <v>90.4</v>
      </c>
      <c r="AZ61" s="143">
        <v>3.0000000000000001E-3</v>
      </c>
      <c r="BA61" s="143" t="s">
        <v>101</v>
      </c>
      <c r="BB61" s="143"/>
      <c r="BC61" s="143">
        <f>3137.44+1305</f>
        <v>4442.4400000000005</v>
      </c>
      <c r="BD61" s="143"/>
      <c r="BE61" s="143">
        <f>15+50+420</f>
        <v>485</v>
      </c>
      <c r="BF61" s="143">
        <f t="shared" si="0"/>
        <v>4927.4400000000005</v>
      </c>
      <c r="BG61" s="151">
        <f t="shared" si="1"/>
        <v>271.00920000000002</v>
      </c>
      <c r="BH61" s="151">
        <f t="shared" si="2"/>
        <v>5198.4492000000009</v>
      </c>
      <c r="BI61" s="151">
        <v>4500</v>
      </c>
      <c r="BJ61" s="143" t="s">
        <v>115</v>
      </c>
      <c r="BK61" s="143"/>
      <c r="BL61" s="143"/>
      <c r="BM61" s="143" t="s">
        <v>142</v>
      </c>
      <c r="BN61" s="144" t="s">
        <v>103</v>
      </c>
      <c r="BO61" s="144" t="s">
        <v>143</v>
      </c>
      <c r="BP61" s="143" t="s">
        <v>3583</v>
      </c>
      <c r="BQ61" s="203" t="s">
        <v>3274</v>
      </c>
    </row>
    <row r="62" spans="1:69" ht="41.1" customHeight="1">
      <c r="A62" s="145" t="s">
        <v>86</v>
      </c>
      <c r="B62" s="145" t="s">
        <v>439</v>
      </c>
      <c r="C62" s="146" t="s">
        <v>76</v>
      </c>
      <c r="D62" s="135">
        <v>44103</v>
      </c>
      <c r="E62" s="135">
        <v>44105</v>
      </c>
      <c r="F62" s="147" t="s">
        <v>76</v>
      </c>
      <c r="G62" s="135" t="s">
        <v>76</v>
      </c>
      <c r="H62" s="147" t="s">
        <v>76</v>
      </c>
      <c r="I62" s="147" t="s">
        <v>76</v>
      </c>
      <c r="J62" s="147" t="s">
        <v>76</v>
      </c>
      <c r="K62" s="135" t="s">
        <v>76</v>
      </c>
      <c r="L62" s="135" t="s">
        <v>76</v>
      </c>
      <c r="M62" s="135" t="s">
        <v>76</v>
      </c>
      <c r="N62" s="135" t="s">
        <v>76</v>
      </c>
      <c r="O62" s="135" t="s">
        <v>76</v>
      </c>
      <c r="P62" s="135" t="s">
        <v>76</v>
      </c>
      <c r="Q62" s="135">
        <v>44109</v>
      </c>
      <c r="R62" s="143" t="s">
        <v>440</v>
      </c>
      <c r="S62" s="143"/>
      <c r="T62" s="143"/>
      <c r="U62" s="143">
        <v>6</v>
      </c>
      <c r="V62" s="143">
        <v>38369</v>
      </c>
      <c r="W62" s="143" t="str">
        <f ca="1">IF(H62="",IF(D62="","",IF(U62+V62&lt;15,"Données Nb pers ou RFR manquantes",IF(COUNTA(INDIRECT("TabRFR["&amp;YEAR(D62)&amp;"]"))&lt;&gt;COUNTA(TabRFR[Recherche RFR]),"Data RFR manquantes", IF(V62&lt;=INDEX(TabRFR[[2021]:[2025]],MATCH(BD!U62&amp;"-Très modestes",TabRFR[Recherche RFR],0),MATCH(TEXT(YEAR(BD!D62),"Standard"),TabRFR[[#Headers],[2021]:[2025]],0)),"Très Modeste",IF(V62&lt;=INDEX(TabRFR[[2021]:[2025]],MATCH(BD!U62&amp;"-modestes",TabRFR[Recherche RFR],0),MATCH(TEXT(YEAR(BD!D62),"Standard"),TabRFR[[#Headers],[2021]:[2025]],0)),"Modeste",IF(V62&lt;=INDEX(TabRFR[[2021]:[2025]],MATCH(BD!U62&amp;"-Intermédiaire",TabRFR[Recherche RFR],0),MATCH(TEXT(YEAR(BD!D62),"Standard"),TabRFR[[#Headers],[2021]:[2025]],0)),"Intermédiaire","Supérieur")))))),IF(D62="","",IF(U62+V62&lt;15,"Données Nb pers ou RFR manquantes",IF(COUNTA(INDIRECT("TabRFR["&amp;YEAR(H62)&amp;"]"))&lt;&gt;COUNTA(TabRFR[Recherche RFR]),"Data RFR manquantes", IF(V62&lt;=INDEX(TabRFR[[2021]:[2025]],MATCH(BD!U62&amp;"-Très modestes",TabRFR[Recherche RFR],0),MATCH(TEXT(YEAR(BD!H62),"Standard"),TabRFR[[#Headers],[2021]:[2025]],0)),"Très Modeste",IF(V62&lt;=INDEX(TabRFR[[2021]:[2025]],MATCH(BD!U62&amp;"-modestes",TabRFR[Recherche RFR],0),MATCH(TEXT(YEAR(BD!H62),"Standard"),TabRFR[[#Headers],[2021]:[2025]],0)),"Modeste",IF(V62&lt;=INDEX(TabRFR[[2021]:[2025]],MATCH(BD!U62&amp;"-Intermédiaire",TabRFR[Recherche RFR],0),MATCH(TEXT(YEAR(BD!H62),"Standard"),TabRFR[[#Headers],[2021]:[2025]],0)),"Intermédiaire","Supérieur")))))))</f>
        <v>Data RFR manquantes</v>
      </c>
      <c r="X62" s="143"/>
      <c r="Y62" s="143" t="s">
        <v>441</v>
      </c>
      <c r="Z62" s="143">
        <v>38140</v>
      </c>
      <c r="AA62" s="143" t="s">
        <v>184</v>
      </c>
      <c r="AB62" s="148"/>
      <c r="AC62" s="149"/>
      <c r="AD62" s="143" t="s">
        <v>91</v>
      </c>
      <c r="AE62" s="143" t="s">
        <v>76</v>
      </c>
      <c r="AF62" s="143" t="s">
        <v>76</v>
      </c>
      <c r="AG62" s="143" t="s">
        <v>76</v>
      </c>
      <c r="AH62" s="143" t="s">
        <v>76</v>
      </c>
      <c r="AI62" s="143" t="s">
        <v>185</v>
      </c>
      <c r="AJ62" s="143" t="s">
        <v>108</v>
      </c>
      <c r="AK62" s="143" t="s">
        <v>186</v>
      </c>
      <c r="AL62" s="150" t="s">
        <v>187</v>
      </c>
      <c r="AM62" s="148">
        <v>951096343</v>
      </c>
      <c r="AN62" s="143" t="s">
        <v>76</v>
      </c>
      <c r="AO62" s="150" t="s">
        <v>102</v>
      </c>
      <c r="AP62" s="147">
        <v>44433</v>
      </c>
      <c r="AQ62" s="143" t="s">
        <v>3413</v>
      </c>
      <c r="AR62" s="143">
        <v>2015</v>
      </c>
      <c r="AS62" s="143" t="s">
        <v>3413</v>
      </c>
      <c r="AT62" s="138" t="s">
        <v>98</v>
      </c>
      <c r="AU62" s="143" t="s">
        <v>188</v>
      </c>
      <c r="AV62" s="143" t="s">
        <v>442</v>
      </c>
      <c r="AW62" s="143">
        <v>30</v>
      </c>
      <c r="AX62" s="143">
        <v>6.3</v>
      </c>
      <c r="AY62" s="143">
        <v>89</v>
      </c>
      <c r="AZ62" s="143">
        <v>1.7999999999999999E-2</v>
      </c>
      <c r="BA62" s="143" t="s">
        <v>126</v>
      </c>
      <c r="BB62" s="143"/>
      <c r="BC62" s="143">
        <f>4190+340.5+271.35</f>
        <v>4801.8500000000004</v>
      </c>
      <c r="BD62" s="143"/>
      <c r="BE62" s="143">
        <v>450</v>
      </c>
      <c r="BF62" s="143">
        <f t="shared" si="0"/>
        <v>5251.85</v>
      </c>
      <c r="BG62" s="151">
        <f t="shared" si="1"/>
        <v>288.85175000000004</v>
      </c>
      <c r="BH62" s="151">
        <f t="shared" si="2"/>
        <v>5540.7017500000002</v>
      </c>
      <c r="BI62" s="151">
        <v>5200</v>
      </c>
      <c r="BJ62" s="143" t="s">
        <v>115</v>
      </c>
      <c r="BK62" s="143"/>
      <c r="BL62" s="143"/>
      <c r="BM62" s="144">
        <v>0</v>
      </c>
      <c r="BN62" s="144" t="s">
        <v>103</v>
      </c>
      <c r="BO62" s="144" t="s">
        <v>103</v>
      </c>
      <c r="BP62" s="203" t="s">
        <v>3582</v>
      </c>
      <c r="BQ62" s="203" t="s">
        <v>3273</v>
      </c>
    </row>
    <row r="63" spans="1:69" ht="41.1" customHeight="1">
      <c r="A63" s="133" t="s">
        <v>86</v>
      </c>
      <c r="B63" s="133" t="s">
        <v>443</v>
      </c>
      <c r="C63" s="134">
        <v>400</v>
      </c>
      <c r="D63" s="135">
        <v>44103</v>
      </c>
      <c r="E63" s="135">
        <v>44105</v>
      </c>
      <c r="F63" s="147">
        <v>44109</v>
      </c>
      <c r="G63" s="135" t="s">
        <v>444</v>
      </c>
      <c r="H63" s="147">
        <v>44263</v>
      </c>
      <c r="I63" s="147">
        <v>44263</v>
      </c>
      <c r="J63" s="147">
        <v>44309</v>
      </c>
      <c r="K63" s="135">
        <v>44257</v>
      </c>
      <c r="L63" s="135">
        <v>44250</v>
      </c>
      <c r="M63" s="135" t="s">
        <v>76</v>
      </c>
      <c r="N63" s="135">
        <v>44263</v>
      </c>
      <c r="O63" s="135">
        <v>44263</v>
      </c>
      <c r="P63" s="135">
        <v>44309</v>
      </c>
      <c r="Q63" s="135"/>
      <c r="R63" s="143"/>
      <c r="S63" s="143"/>
      <c r="T63" s="143"/>
      <c r="U63" s="143">
        <v>4</v>
      </c>
      <c r="V63" s="143">
        <v>79133</v>
      </c>
      <c r="W63" s="143" t="str">
        <f ca="1">IF(H63="",IF(D63="","",IF(U63+V63&lt;15,"Données Nb pers ou RFR manquantes",IF(COUNTA(INDIRECT("TabRFR["&amp;YEAR(D63)&amp;"]"))&lt;&gt;COUNTA(TabRFR[Recherche RFR]),"Data RFR manquantes", IF(V63&lt;=INDEX(TabRFR[[2021]:[2025]],MATCH(BD!U63&amp;"-Très modestes",TabRFR[Recherche RFR],0),MATCH(TEXT(YEAR(BD!D63),"Standard"),TabRFR[[#Headers],[2021]:[2025]],0)),"Très Modeste",IF(V63&lt;=INDEX(TabRFR[[2021]:[2025]],MATCH(BD!U63&amp;"-modestes",TabRFR[Recherche RFR],0),MATCH(TEXT(YEAR(BD!D63),"Standard"),TabRFR[[#Headers],[2021]:[2025]],0)),"Modeste",IF(V63&lt;=INDEX(TabRFR[[2021]:[2025]],MATCH(BD!U63&amp;"-Intermédiaire",TabRFR[Recherche RFR],0),MATCH(TEXT(YEAR(BD!D63),"Standard"),TabRFR[[#Headers],[2021]:[2025]],0)),"Intermédiaire","Supérieur")))))),IF(D63="","",IF(U63+V63&lt;15,"Données Nb pers ou RFR manquantes",IF(COUNTA(INDIRECT("TabRFR["&amp;YEAR(H63)&amp;"]"))&lt;&gt;COUNTA(TabRFR[Recherche RFR]),"Data RFR manquantes", IF(V63&lt;=INDEX(TabRFR[[2021]:[2025]],MATCH(BD!U63&amp;"-Très modestes",TabRFR[Recherche RFR],0),MATCH(TEXT(YEAR(BD!H63),"Standard"),TabRFR[[#Headers],[2021]:[2025]],0)),"Très Modeste",IF(V63&lt;=INDEX(TabRFR[[2021]:[2025]],MATCH(BD!U63&amp;"-modestes",TabRFR[Recherche RFR],0),MATCH(TEXT(YEAR(BD!H63),"Standard"),TabRFR[[#Headers],[2021]:[2025]],0)),"Modeste",IF(V63&lt;=INDEX(TabRFR[[2021]:[2025]],MATCH(BD!U63&amp;"-Intermédiaire",TabRFR[Recherche RFR],0),MATCH(TEXT(YEAR(BD!H63),"Standard"),TabRFR[[#Headers],[2021]:[2025]],0)),"Intermédiaire","Supérieur")))))))</f>
        <v>Supérieur</v>
      </c>
      <c r="X63" s="143"/>
      <c r="Y63" s="143" t="s">
        <v>445</v>
      </c>
      <c r="Z63" s="143">
        <v>38500</v>
      </c>
      <c r="AA63" s="143" t="s">
        <v>134</v>
      </c>
      <c r="AB63" s="148"/>
      <c r="AC63" s="149"/>
      <c r="AD63" s="143" t="s">
        <v>91</v>
      </c>
      <c r="AE63" s="143" t="s">
        <v>76</v>
      </c>
      <c r="AF63" s="143" t="s">
        <v>76</v>
      </c>
      <c r="AG63" s="143" t="s">
        <v>76</v>
      </c>
      <c r="AH63" s="143" t="s">
        <v>76</v>
      </c>
      <c r="AI63" s="135" t="s">
        <v>2703</v>
      </c>
      <c r="AJ63" s="143" t="s">
        <v>266</v>
      </c>
      <c r="AK63" s="143" t="s">
        <v>317</v>
      </c>
      <c r="AL63" s="150" t="s">
        <v>318</v>
      </c>
      <c r="AM63" s="148">
        <v>476500550</v>
      </c>
      <c r="AN63" s="143" t="s">
        <v>76</v>
      </c>
      <c r="AO63" s="150" t="s">
        <v>102</v>
      </c>
      <c r="AP63" s="147">
        <v>44375</v>
      </c>
      <c r="AQ63" s="135" t="s">
        <v>3496</v>
      </c>
      <c r="AR63" s="143">
        <v>1980</v>
      </c>
      <c r="AS63" s="143" t="s">
        <v>3413</v>
      </c>
      <c r="AT63" s="135" t="s">
        <v>3446</v>
      </c>
      <c r="AU63" s="143" t="s">
        <v>319</v>
      </c>
      <c r="AV63" s="143" t="s">
        <v>446</v>
      </c>
      <c r="AW63" s="143">
        <v>10</v>
      </c>
      <c r="AX63" s="143">
        <v>5</v>
      </c>
      <c r="AY63" s="143">
        <v>80</v>
      </c>
      <c r="AZ63" s="143">
        <v>0.08</v>
      </c>
      <c r="BA63" s="143" t="s">
        <v>101</v>
      </c>
      <c r="BB63" s="143"/>
      <c r="BC63" s="143">
        <f>197.82+2500+108.44+88.25</f>
        <v>2894.51</v>
      </c>
      <c r="BD63" s="143"/>
      <c r="BE63" s="143">
        <v>660</v>
      </c>
      <c r="BF63" s="143">
        <f t="shared" si="0"/>
        <v>3554.51</v>
      </c>
      <c r="BG63" s="151">
        <f t="shared" si="1"/>
        <v>195.49805000000001</v>
      </c>
      <c r="BH63" s="151">
        <f t="shared" si="2"/>
        <v>3750.0080500000004</v>
      </c>
      <c r="BI63" s="151">
        <v>3750</v>
      </c>
      <c r="BJ63" s="143" t="s">
        <v>102</v>
      </c>
      <c r="BK63" s="143"/>
      <c r="BL63" s="143"/>
      <c r="BM63" s="144" t="s">
        <v>3592</v>
      </c>
      <c r="BN63" s="144" t="s">
        <v>103</v>
      </c>
      <c r="BO63" s="144" t="s">
        <v>143</v>
      </c>
      <c r="BP63" s="144">
        <v>2021</v>
      </c>
      <c r="BQ63" s="203" t="s">
        <v>144</v>
      </c>
    </row>
    <row r="64" spans="1:69" ht="41.1" customHeight="1">
      <c r="A64" s="145" t="s">
        <v>86</v>
      </c>
      <c r="B64" s="145" t="s">
        <v>447</v>
      </c>
      <c r="C64" s="146" t="s">
        <v>76</v>
      </c>
      <c r="D64" s="135">
        <v>44104</v>
      </c>
      <c r="E64" s="135">
        <v>44105</v>
      </c>
      <c r="F64" s="147" t="s">
        <v>76</v>
      </c>
      <c r="G64" s="135" t="s">
        <v>76</v>
      </c>
      <c r="H64" s="147" t="s">
        <v>76</v>
      </c>
      <c r="I64" s="147" t="s">
        <v>76</v>
      </c>
      <c r="J64" s="147" t="s">
        <v>76</v>
      </c>
      <c r="K64" s="135" t="s">
        <v>76</v>
      </c>
      <c r="L64" s="135" t="s">
        <v>76</v>
      </c>
      <c r="M64" s="135" t="s">
        <v>76</v>
      </c>
      <c r="N64" s="135" t="s">
        <v>76</v>
      </c>
      <c r="O64" s="135" t="s">
        <v>76</v>
      </c>
      <c r="P64" s="135" t="s">
        <v>76</v>
      </c>
      <c r="Q64" s="135">
        <v>44109</v>
      </c>
      <c r="R64" s="143" t="s">
        <v>448</v>
      </c>
      <c r="S64" s="143"/>
      <c r="T64" s="143"/>
      <c r="U64" s="143">
        <v>1</v>
      </c>
      <c r="V64" s="143"/>
      <c r="W64" s="143" t="str">
        <f ca="1">IF(H64="",IF(D64="","",IF(U64+V64&lt;15,"Données Nb pers ou RFR manquantes",IF(COUNTA(INDIRECT("TabRFR["&amp;YEAR(D64)&amp;"]"))&lt;&gt;COUNTA(TabRFR[Recherche RFR]),"Data RFR manquantes", IF(V64&lt;=INDEX(TabRFR[[2021]:[2025]],MATCH(BD!U64&amp;"-Très modestes",TabRFR[Recherche RFR],0),MATCH(TEXT(YEAR(BD!D64),"Standard"),TabRFR[[#Headers],[2021]:[2025]],0)),"Très Modeste",IF(V64&lt;=INDEX(TabRFR[[2021]:[2025]],MATCH(BD!U64&amp;"-modestes",TabRFR[Recherche RFR],0),MATCH(TEXT(YEAR(BD!D64),"Standard"),TabRFR[[#Headers],[2021]:[2025]],0)),"Modeste",IF(V64&lt;=INDEX(TabRFR[[2021]:[2025]],MATCH(BD!U64&amp;"-Intermédiaire",TabRFR[Recherche RFR],0),MATCH(TEXT(YEAR(BD!D64),"Standard"),TabRFR[[#Headers],[2021]:[2025]],0)),"Intermédiaire","Supérieur")))))),IF(D64="","",IF(U64+V64&lt;15,"Données Nb pers ou RFR manquantes",IF(COUNTA(INDIRECT("TabRFR["&amp;YEAR(H64)&amp;"]"))&lt;&gt;COUNTA(TabRFR[Recherche RFR]),"Data RFR manquantes", IF(V64&lt;=INDEX(TabRFR[[2021]:[2025]],MATCH(BD!U64&amp;"-Très modestes",TabRFR[Recherche RFR],0),MATCH(TEXT(YEAR(BD!H64),"Standard"),TabRFR[[#Headers],[2021]:[2025]],0)),"Très Modeste",IF(V64&lt;=INDEX(TabRFR[[2021]:[2025]],MATCH(BD!U64&amp;"-modestes",TabRFR[Recherche RFR],0),MATCH(TEXT(YEAR(BD!H64),"Standard"),TabRFR[[#Headers],[2021]:[2025]],0)),"Modeste",IF(V64&lt;=INDEX(TabRFR[[2021]:[2025]],MATCH(BD!U64&amp;"-Intermédiaire",TabRFR[Recherche RFR],0),MATCH(TEXT(YEAR(BD!H64),"Standard"),TabRFR[[#Headers],[2021]:[2025]],0)),"Intermédiaire","Supérieur")))))))</f>
        <v>Données Nb pers ou RFR manquantes</v>
      </c>
      <c r="X64" s="143"/>
      <c r="Y64" s="143" t="s">
        <v>449</v>
      </c>
      <c r="Z64" s="143">
        <v>73670</v>
      </c>
      <c r="AA64" s="143" t="s">
        <v>450</v>
      </c>
      <c r="AB64" s="148"/>
      <c r="AC64" s="149"/>
      <c r="AD64" s="143" t="s">
        <v>91</v>
      </c>
      <c r="AE64" s="143" t="s">
        <v>76</v>
      </c>
      <c r="AF64" s="143" t="s">
        <v>76</v>
      </c>
      <c r="AG64" s="143" t="s">
        <v>76</v>
      </c>
      <c r="AH64" s="143" t="s">
        <v>76</v>
      </c>
      <c r="AI64" s="143" t="s">
        <v>451</v>
      </c>
      <c r="AJ64" s="143" t="s">
        <v>452</v>
      </c>
      <c r="AK64" s="143" t="s">
        <v>453</v>
      </c>
      <c r="AL64" s="150" t="s">
        <v>454</v>
      </c>
      <c r="AM64" s="148">
        <v>479710404</v>
      </c>
      <c r="AN64" s="143" t="s">
        <v>76</v>
      </c>
      <c r="AO64" s="150" t="s">
        <v>102</v>
      </c>
      <c r="AP64" s="147">
        <v>44300</v>
      </c>
      <c r="AQ64" s="135" t="s">
        <v>3323</v>
      </c>
      <c r="AR64" s="143">
        <v>1982</v>
      </c>
      <c r="AS64" s="143" t="s">
        <v>3413</v>
      </c>
      <c r="AT64" s="135" t="s">
        <v>3446</v>
      </c>
      <c r="AU64" s="143" t="s">
        <v>164</v>
      </c>
      <c r="AV64" s="143" t="s">
        <v>455</v>
      </c>
      <c r="AW64" s="143">
        <v>28</v>
      </c>
      <c r="AX64" s="143">
        <v>7</v>
      </c>
      <c r="AY64" s="143">
        <v>76</v>
      </c>
      <c r="AZ64" s="143">
        <v>0.12</v>
      </c>
      <c r="BA64" s="143" t="s">
        <v>101</v>
      </c>
      <c r="BB64" s="143"/>
      <c r="BC64" s="143">
        <f>20+1497</f>
        <v>1517</v>
      </c>
      <c r="BD64" s="143"/>
      <c r="BE64" s="143">
        <f>450+675+19+65</f>
        <v>1209</v>
      </c>
      <c r="BF64" s="143">
        <f t="shared" si="0"/>
        <v>2726</v>
      </c>
      <c r="BG64" s="151">
        <f t="shared" si="1"/>
        <v>149.93</v>
      </c>
      <c r="BH64" s="151">
        <f t="shared" si="2"/>
        <v>2875.93</v>
      </c>
      <c r="BI64" s="151">
        <v>2875.93</v>
      </c>
      <c r="BJ64" s="143" t="s">
        <v>102</v>
      </c>
      <c r="BK64" s="143"/>
      <c r="BL64" s="143"/>
      <c r="BM64" s="144">
        <v>0</v>
      </c>
      <c r="BN64" s="144" t="s">
        <v>103</v>
      </c>
      <c r="BO64" s="144" t="s">
        <v>103</v>
      </c>
      <c r="BP64" s="203" t="s">
        <v>3582</v>
      </c>
      <c r="BQ64" s="203" t="s">
        <v>3273</v>
      </c>
    </row>
    <row r="65" spans="1:69" ht="41.1" customHeight="1">
      <c r="A65" s="133" t="s">
        <v>86</v>
      </c>
      <c r="B65" s="133" t="s">
        <v>456</v>
      </c>
      <c r="C65" s="134">
        <v>800</v>
      </c>
      <c r="D65" s="135">
        <v>44105</v>
      </c>
      <c r="E65" s="135">
        <v>44105</v>
      </c>
      <c r="F65" s="147">
        <v>44109</v>
      </c>
      <c r="G65" s="135" t="s">
        <v>457</v>
      </c>
      <c r="H65" s="147">
        <v>44123</v>
      </c>
      <c r="I65" s="147">
        <v>44123</v>
      </c>
      <c r="J65" s="147">
        <v>44133</v>
      </c>
      <c r="K65" s="135">
        <v>44144</v>
      </c>
      <c r="L65" s="135">
        <v>44142</v>
      </c>
      <c r="M65" s="135" t="s">
        <v>76</v>
      </c>
      <c r="N65" s="135">
        <v>44145</v>
      </c>
      <c r="O65" s="135">
        <v>44145</v>
      </c>
      <c r="P65" s="135">
        <v>44147</v>
      </c>
      <c r="Q65" s="135"/>
      <c r="R65" s="143"/>
      <c r="S65" s="143"/>
      <c r="T65" s="143"/>
      <c r="U65" s="143">
        <v>4</v>
      </c>
      <c r="V65" s="143">
        <v>38896</v>
      </c>
      <c r="W65" s="143" t="str">
        <f ca="1">IF(H65="",IF(D65="","",IF(U65+V65&lt;15,"Données Nb pers ou RFR manquantes",IF(COUNTA(INDIRECT("TabRFR["&amp;YEAR(D65)&amp;"]"))&lt;&gt;COUNTA(TabRFR[Recherche RFR]),"Data RFR manquantes", IF(V65&lt;=INDEX(TabRFR[[2021]:[2025]],MATCH(BD!U65&amp;"-Très modestes",TabRFR[Recherche RFR],0),MATCH(TEXT(YEAR(BD!D65),"Standard"),TabRFR[[#Headers],[2021]:[2025]],0)),"Très Modeste",IF(V65&lt;=INDEX(TabRFR[[2021]:[2025]],MATCH(BD!U65&amp;"-modestes",TabRFR[Recherche RFR],0),MATCH(TEXT(YEAR(BD!D65),"Standard"),TabRFR[[#Headers],[2021]:[2025]],0)),"Modeste",IF(V65&lt;=INDEX(TabRFR[[2021]:[2025]],MATCH(BD!U65&amp;"-Intermédiaire",TabRFR[Recherche RFR],0),MATCH(TEXT(YEAR(BD!D65),"Standard"),TabRFR[[#Headers],[2021]:[2025]],0)),"Intermédiaire","Supérieur")))))),IF(D65="","",IF(U65+V65&lt;15,"Données Nb pers ou RFR manquantes",IF(COUNTA(INDIRECT("TabRFR["&amp;YEAR(H65)&amp;"]"))&lt;&gt;COUNTA(TabRFR[Recherche RFR]),"Data RFR manquantes", IF(V65&lt;=INDEX(TabRFR[[2021]:[2025]],MATCH(BD!U65&amp;"-Très modestes",TabRFR[Recherche RFR],0),MATCH(TEXT(YEAR(BD!H65),"Standard"),TabRFR[[#Headers],[2021]:[2025]],0)),"Très Modeste",IF(V65&lt;=INDEX(TabRFR[[2021]:[2025]],MATCH(BD!U65&amp;"-modestes",TabRFR[Recherche RFR],0),MATCH(TEXT(YEAR(BD!H65),"Standard"),TabRFR[[#Headers],[2021]:[2025]],0)),"Modeste",IF(V65&lt;=INDEX(TabRFR[[2021]:[2025]],MATCH(BD!U65&amp;"-Intermédiaire",TabRFR[Recherche RFR],0),MATCH(TEXT(YEAR(BD!H65),"Standard"),TabRFR[[#Headers],[2021]:[2025]],0)),"Intermédiaire","Supérieur")))))))</f>
        <v>Data RFR manquantes</v>
      </c>
      <c r="X65" s="143"/>
      <c r="Y65" s="143" t="s">
        <v>458</v>
      </c>
      <c r="Z65" s="143">
        <v>38620</v>
      </c>
      <c r="AA65" s="143" t="s">
        <v>90</v>
      </c>
      <c r="AB65" s="148"/>
      <c r="AC65" s="149"/>
      <c r="AD65" s="143" t="s">
        <v>91</v>
      </c>
      <c r="AE65" s="143" t="s">
        <v>76</v>
      </c>
      <c r="AF65" s="143" t="s">
        <v>76</v>
      </c>
      <c r="AG65" s="143" t="s">
        <v>76</v>
      </c>
      <c r="AH65" s="143" t="s">
        <v>76</v>
      </c>
      <c r="AI65" s="143" t="s">
        <v>185</v>
      </c>
      <c r="AJ65" s="143" t="s">
        <v>108</v>
      </c>
      <c r="AK65" s="143" t="s">
        <v>186</v>
      </c>
      <c r="AL65" s="150" t="s">
        <v>187</v>
      </c>
      <c r="AM65" s="148">
        <v>951096343</v>
      </c>
      <c r="AN65" s="143" t="s">
        <v>76</v>
      </c>
      <c r="AO65" s="150" t="s">
        <v>102</v>
      </c>
      <c r="AP65" s="147">
        <v>44433</v>
      </c>
      <c r="AQ65" s="135" t="s">
        <v>3496</v>
      </c>
      <c r="AR65" s="143">
        <v>1980</v>
      </c>
      <c r="AS65" s="143" t="s">
        <v>3413</v>
      </c>
      <c r="AT65" s="135" t="s">
        <v>3446</v>
      </c>
      <c r="AU65" s="143" t="s">
        <v>459</v>
      </c>
      <c r="AV65" s="143" t="s">
        <v>460</v>
      </c>
      <c r="AW65" s="143">
        <v>18</v>
      </c>
      <c r="AX65" s="143">
        <v>4.9000000000000004</v>
      </c>
      <c r="AY65" s="143">
        <v>78</v>
      </c>
      <c r="AZ65" s="143">
        <v>0.09</v>
      </c>
      <c r="BA65" s="143" t="s">
        <v>101</v>
      </c>
      <c r="BB65" s="143"/>
      <c r="BC65" s="143">
        <f>2034+404+1729.3</f>
        <v>4167.3</v>
      </c>
      <c r="BD65" s="143"/>
      <c r="BE65" s="143">
        <f>880+500</f>
        <v>1380</v>
      </c>
      <c r="BF65" s="143">
        <f t="shared" si="0"/>
        <v>5547.3</v>
      </c>
      <c r="BG65" s="151">
        <f t="shared" si="1"/>
        <v>305.10149999999999</v>
      </c>
      <c r="BH65" s="151">
        <f t="shared" si="2"/>
        <v>5852.4014999999999</v>
      </c>
      <c r="BI65" s="151">
        <v>4998.91</v>
      </c>
      <c r="BJ65" s="143" t="s">
        <v>102</v>
      </c>
      <c r="BK65" s="143"/>
      <c r="BL65" s="143"/>
      <c r="BM65" s="144" t="s">
        <v>142</v>
      </c>
      <c r="BN65" s="144" t="s">
        <v>103</v>
      </c>
      <c r="BO65" s="135" t="s">
        <v>155</v>
      </c>
      <c r="BP65" s="144">
        <v>2020</v>
      </c>
      <c r="BQ65" s="203" t="s">
        <v>144</v>
      </c>
    </row>
    <row r="66" spans="1:69" ht="41.1" customHeight="1">
      <c r="A66" s="133" t="s">
        <v>86</v>
      </c>
      <c r="B66" s="133" t="s">
        <v>461</v>
      </c>
      <c r="C66" s="134">
        <v>400</v>
      </c>
      <c r="D66" s="135">
        <v>44108</v>
      </c>
      <c r="E66" s="135">
        <v>44109</v>
      </c>
      <c r="F66" s="147" t="s">
        <v>76</v>
      </c>
      <c r="G66" s="135" t="s">
        <v>76</v>
      </c>
      <c r="H66" s="147">
        <v>44109</v>
      </c>
      <c r="I66" s="147">
        <v>44109</v>
      </c>
      <c r="J66" s="147">
        <v>44116</v>
      </c>
      <c r="K66" s="135">
        <v>44138</v>
      </c>
      <c r="L66" s="135">
        <v>44132</v>
      </c>
      <c r="M66" s="135" t="s">
        <v>76</v>
      </c>
      <c r="N66" s="135">
        <v>44140</v>
      </c>
      <c r="O66" s="135">
        <v>44140</v>
      </c>
      <c r="P66" s="135">
        <v>44147</v>
      </c>
      <c r="Q66" s="135"/>
      <c r="R66" s="143"/>
      <c r="S66" s="143"/>
      <c r="T66" s="143"/>
      <c r="U66" s="143">
        <v>5</v>
      </c>
      <c r="V66" s="143">
        <v>117343</v>
      </c>
      <c r="W66" s="143" t="str">
        <f ca="1">IF(H66="",IF(D66="","",IF(U66+V66&lt;15,"Données Nb pers ou RFR manquantes",IF(COUNTA(INDIRECT("TabRFR["&amp;YEAR(D66)&amp;"]"))&lt;&gt;COUNTA(TabRFR[Recherche RFR]),"Data RFR manquantes", IF(V66&lt;=INDEX(TabRFR[[2021]:[2025]],MATCH(BD!U66&amp;"-Très modestes",TabRFR[Recherche RFR],0),MATCH(TEXT(YEAR(BD!D66),"Standard"),TabRFR[[#Headers],[2021]:[2025]],0)),"Très Modeste",IF(V66&lt;=INDEX(TabRFR[[2021]:[2025]],MATCH(BD!U66&amp;"-modestes",TabRFR[Recherche RFR],0),MATCH(TEXT(YEAR(BD!D66),"Standard"),TabRFR[[#Headers],[2021]:[2025]],0)),"Modeste",IF(V66&lt;=INDEX(TabRFR[[2021]:[2025]],MATCH(BD!U66&amp;"-Intermédiaire",TabRFR[Recherche RFR],0),MATCH(TEXT(YEAR(BD!D66),"Standard"),TabRFR[[#Headers],[2021]:[2025]],0)),"Intermédiaire","Supérieur")))))),IF(D66="","",IF(U66+V66&lt;15,"Données Nb pers ou RFR manquantes",IF(COUNTA(INDIRECT("TabRFR["&amp;YEAR(H66)&amp;"]"))&lt;&gt;COUNTA(TabRFR[Recherche RFR]),"Data RFR manquantes", IF(V66&lt;=INDEX(TabRFR[[2021]:[2025]],MATCH(BD!U66&amp;"-Très modestes",TabRFR[Recherche RFR],0),MATCH(TEXT(YEAR(BD!H66),"Standard"),TabRFR[[#Headers],[2021]:[2025]],0)),"Très Modeste",IF(V66&lt;=INDEX(TabRFR[[2021]:[2025]],MATCH(BD!U66&amp;"-modestes",TabRFR[Recherche RFR],0),MATCH(TEXT(YEAR(BD!H66),"Standard"),TabRFR[[#Headers],[2021]:[2025]],0)),"Modeste",IF(V66&lt;=INDEX(TabRFR[[2021]:[2025]],MATCH(BD!U66&amp;"-Intermédiaire",TabRFR[Recherche RFR],0),MATCH(TEXT(YEAR(BD!H66),"Standard"),TabRFR[[#Headers],[2021]:[2025]],0)),"Intermédiaire","Supérieur")))))))</f>
        <v>Data RFR manquantes</v>
      </c>
      <c r="X66" s="143"/>
      <c r="Y66" s="143" t="s">
        <v>462</v>
      </c>
      <c r="Z66" s="143">
        <v>38210</v>
      </c>
      <c r="AA66" s="143" t="s">
        <v>202</v>
      </c>
      <c r="AB66" s="148"/>
      <c r="AC66" s="149"/>
      <c r="AD66" s="143" t="s">
        <v>91</v>
      </c>
      <c r="AE66" s="143" t="s">
        <v>76</v>
      </c>
      <c r="AF66" s="143" t="s">
        <v>76</v>
      </c>
      <c r="AG66" s="143" t="s">
        <v>76</v>
      </c>
      <c r="AH66" s="143" t="s">
        <v>76</v>
      </c>
      <c r="AI66" s="143" t="s">
        <v>169</v>
      </c>
      <c r="AJ66" s="143" t="s">
        <v>119</v>
      </c>
      <c r="AK66" s="143" t="s">
        <v>170</v>
      </c>
      <c r="AL66" s="149" t="s">
        <v>171</v>
      </c>
      <c r="AM66" s="148">
        <v>476355605</v>
      </c>
      <c r="AN66" s="143" t="s">
        <v>76</v>
      </c>
      <c r="AO66" s="150" t="s">
        <v>102</v>
      </c>
      <c r="AP66" s="147">
        <v>44495</v>
      </c>
      <c r="AQ66" s="135" t="s">
        <v>3496</v>
      </c>
      <c r="AR66" s="143">
        <v>1998</v>
      </c>
      <c r="AS66" s="135" t="s">
        <v>3496</v>
      </c>
      <c r="AT66" s="135" t="s">
        <v>3446</v>
      </c>
      <c r="AU66" s="143" t="s">
        <v>173</v>
      </c>
      <c r="AV66" s="143" t="s">
        <v>463</v>
      </c>
      <c r="AW66" s="143">
        <v>23</v>
      </c>
      <c r="AX66" s="143">
        <v>10</v>
      </c>
      <c r="AY66" s="143">
        <v>78</v>
      </c>
      <c r="AZ66" s="143">
        <v>7.0000000000000007E-2</v>
      </c>
      <c r="BA66" s="143" t="s">
        <v>101</v>
      </c>
      <c r="BB66" s="143"/>
      <c r="BC66" s="143">
        <f>360+27.5+44.8+94+365.75+1396+665+266.4+579+488+85</f>
        <v>4371.4500000000007</v>
      </c>
      <c r="BD66" s="143"/>
      <c r="BE66" s="143">
        <f>99.09+118.25+1100</f>
        <v>1317.34</v>
      </c>
      <c r="BF66" s="143">
        <f t="shared" si="0"/>
        <v>5688.7900000000009</v>
      </c>
      <c r="BG66" s="151">
        <f t="shared" si="1"/>
        <v>312.88345000000004</v>
      </c>
      <c r="BH66" s="151">
        <f t="shared" si="2"/>
        <v>6001.6734500000011</v>
      </c>
      <c r="BI66" s="151">
        <v>6001.67</v>
      </c>
      <c r="BJ66" s="143" t="s">
        <v>102</v>
      </c>
      <c r="BK66" s="143"/>
      <c r="BL66" s="143"/>
      <c r="BM66" s="144" t="s">
        <v>142</v>
      </c>
      <c r="BN66" s="144" t="s">
        <v>103</v>
      </c>
      <c r="BO66" s="144" t="s">
        <v>143</v>
      </c>
      <c r="BP66" s="144">
        <v>2020</v>
      </c>
      <c r="BQ66" s="203" t="s">
        <v>144</v>
      </c>
    </row>
    <row r="67" spans="1:69" ht="41.1" customHeight="1">
      <c r="A67" s="133" t="s">
        <v>86</v>
      </c>
      <c r="B67" s="133" t="s">
        <v>464</v>
      </c>
      <c r="C67" s="134">
        <v>400</v>
      </c>
      <c r="D67" s="135">
        <v>44112</v>
      </c>
      <c r="E67" s="135">
        <v>44116</v>
      </c>
      <c r="F67" s="147" t="s">
        <v>76</v>
      </c>
      <c r="G67" s="135" t="s">
        <v>76</v>
      </c>
      <c r="H67" s="147">
        <v>44116</v>
      </c>
      <c r="I67" s="147">
        <v>44116</v>
      </c>
      <c r="J67" s="147">
        <v>44125</v>
      </c>
      <c r="K67" s="135">
        <v>44235</v>
      </c>
      <c r="L67" s="135">
        <v>44141</v>
      </c>
      <c r="M67" s="135" t="s">
        <v>76</v>
      </c>
      <c r="N67" s="135">
        <v>44236</v>
      </c>
      <c r="O67" s="135">
        <v>44236</v>
      </c>
      <c r="P67" s="135">
        <v>44251</v>
      </c>
      <c r="Q67" s="135"/>
      <c r="R67" s="143"/>
      <c r="S67" s="143"/>
      <c r="T67" s="143"/>
      <c r="U67" s="143">
        <v>3</v>
      </c>
      <c r="V67" s="143">
        <v>36568</v>
      </c>
      <c r="W67" s="143" t="str">
        <f ca="1">IF(H67="",IF(D67="","",IF(U67+V67&lt;15,"Données Nb pers ou RFR manquantes",IF(COUNTA(INDIRECT("TabRFR["&amp;YEAR(D67)&amp;"]"))&lt;&gt;COUNTA(TabRFR[Recherche RFR]),"Data RFR manquantes", IF(V67&lt;=INDEX(TabRFR[[2021]:[2025]],MATCH(BD!U67&amp;"-Très modestes",TabRFR[Recherche RFR],0),MATCH(TEXT(YEAR(BD!D67),"Standard"),TabRFR[[#Headers],[2021]:[2025]],0)),"Très Modeste",IF(V67&lt;=INDEX(TabRFR[[2021]:[2025]],MATCH(BD!U67&amp;"-modestes",TabRFR[Recherche RFR],0),MATCH(TEXT(YEAR(BD!D67),"Standard"),TabRFR[[#Headers],[2021]:[2025]],0)),"Modeste",IF(V67&lt;=INDEX(TabRFR[[2021]:[2025]],MATCH(BD!U67&amp;"-Intermédiaire",TabRFR[Recherche RFR],0),MATCH(TEXT(YEAR(BD!D67),"Standard"),TabRFR[[#Headers],[2021]:[2025]],0)),"Intermédiaire","Supérieur")))))),IF(D67="","",IF(U67+V67&lt;15,"Données Nb pers ou RFR manquantes",IF(COUNTA(INDIRECT("TabRFR["&amp;YEAR(H67)&amp;"]"))&lt;&gt;COUNTA(TabRFR[Recherche RFR]),"Data RFR manquantes", IF(V67&lt;=INDEX(TabRFR[[2021]:[2025]],MATCH(BD!U67&amp;"-Très modestes",TabRFR[Recherche RFR],0),MATCH(TEXT(YEAR(BD!H67),"Standard"),TabRFR[[#Headers],[2021]:[2025]],0)),"Très Modeste",IF(V67&lt;=INDEX(TabRFR[[2021]:[2025]],MATCH(BD!U67&amp;"-modestes",TabRFR[Recherche RFR],0),MATCH(TEXT(YEAR(BD!H67),"Standard"),TabRFR[[#Headers],[2021]:[2025]],0)),"Modeste",IF(V67&lt;=INDEX(TabRFR[[2021]:[2025]],MATCH(BD!U67&amp;"-Intermédiaire",TabRFR[Recherche RFR],0),MATCH(TEXT(YEAR(BD!H67),"Standard"),TabRFR[[#Headers],[2021]:[2025]],0)),"Intermédiaire","Supérieur")))))))</f>
        <v>Data RFR manquantes</v>
      </c>
      <c r="X67" s="143"/>
      <c r="Y67" s="143" t="s">
        <v>465</v>
      </c>
      <c r="Z67" s="143">
        <v>38500</v>
      </c>
      <c r="AA67" s="143" t="s">
        <v>108</v>
      </c>
      <c r="AB67" s="148"/>
      <c r="AC67" s="149"/>
      <c r="AD67" s="143" t="s">
        <v>91</v>
      </c>
      <c r="AE67" s="143" t="s">
        <v>76</v>
      </c>
      <c r="AF67" s="143" t="s">
        <v>76</v>
      </c>
      <c r="AG67" s="143" t="s">
        <v>76</v>
      </c>
      <c r="AH67" s="143" t="s">
        <v>76</v>
      </c>
      <c r="AI67" s="143" t="s">
        <v>185</v>
      </c>
      <c r="AJ67" s="143" t="s">
        <v>108</v>
      </c>
      <c r="AK67" s="143" t="s">
        <v>186</v>
      </c>
      <c r="AL67" s="150" t="s">
        <v>187</v>
      </c>
      <c r="AM67" s="148">
        <v>951096343</v>
      </c>
      <c r="AN67" s="143" t="s">
        <v>76</v>
      </c>
      <c r="AO67" s="150" t="s">
        <v>102</v>
      </c>
      <c r="AP67" s="147">
        <v>44433</v>
      </c>
      <c r="AQ67" s="143" t="s">
        <v>3413</v>
      </c>
      <c r="AR67" s="143" t="s">
        <v>213</v>
      </c>
      <c r="AS67" s="143" t="s">
        <v>3413</v>
      </c>
      <c r="AT67" s="143" t="s">
        <v>98</v>
      </c>
      <c r="AU67" s="143" t="s">
        <v>188</v>
      </c>
      <c r="AV67" s="143" t="s">
        <v>466</v>
      </c>
      <c r="AW67" s="143">
        <v>15</v>
      </c>
      <c r="AX67" s="143">
        <v>9.3000000000000007</v>
      </c>
      <c r="AY67" s="143">
        <v>87</v>
      </c>
      <c r="AZ67" s="143">
        <v>1.7999999999999999E-2</v>
      </c>
      <c r="BA67" s="143" t="s">
        <v>126</v>
      </c>
      <c r="BB67" s="143"/>
      <c r="BC67" s="143">
        <f>4990+404+300.4+590</f>
        <v>6284.4</v>
      </c>
      <c r="BD67" s="143"/>
      <c r="BE67" s="143">
        <v>630</v>
      </c>
      <c r="BF67" s="143">
        <f t="shared" si="0"/>
        <v>6914.4</v>
      </c>
      <c r="BG67" s="151">
        <f t="shared" si="1"/>
        <v>380.29199999999997</v>
      </c>
      <c r="BH67" s="151">
        <f t="shared" si="2"/>
        <v>7294.692</v>
      </c>
      <c r="BI67" s="151">
        <v>7200</v>
      </c>
      <c r="BJ67" s="143" t="s">
        <v>102</v>
      </c>
      <c r="BK67" s="143"/>
      <c r="BL67" s="143"/>
      <c r="BM67" s="144" t="s">
        <v>142</v>
      </c>
      <c r="BN67" s="144" t="s">
        <v>103</v>
      </c>
      <c r="BO67" s="144" t="s">
        <v>143</v>
      </c>
      <c r="BP67" s="143" t="s">
        <v>3583</v>
      </c>
      <c r="BQ67" s="203" t="s">
        <v>144</v>
      </c>
    </row>
    <row r="68" spans="1:69" ht="41.1" customHeight="1">
      <c r="A68" s="133" t="s">
        <v>86</v>
      </c>
      <c r="B68" s="133" t="s">
        <v>467</v>
      </c>
      <c r="C68" s="134">
        <v>400</v>
      </c>
      <c r="D68" s="135">
        <v>44112</v>
      </c>
      <c r="E68" s="135">
        <v>44116</v>
      </c>
      <c r="F68" s="147" t="s">
        <v>76</v>
      </c>
      <c r="G68" s="135" t="s">
        <v>76</v>
      </c>
      <c r="H68" s="147">
        <v>44116</v>
      </c>
      <c r="I68" s="147">
        <v>44116</v>
      </c>
      <c r="J68" s="147">
        <v>44125</v>
      </c>
      <c r="K68" s="135">
        <v>44308</v>
      </c>
      <c r="L68" s="135">
        <v>44303</v>
      </c>
      <c r="M68" s="135" t="s">
        <v>76</v>
      </c>
      <c r="N68" s="135">
        <v>44308</v>
      </c>
      <c r="O68" s="135">
        <v>44308</v>
      </c>
      <c r="P68" s="135">
        <v>44328</v>
      </c>
      <c r="Q68" s="135"/>
      <c r="R68" s="143"/>
      <c r="S68" s="143"/>
      <c r="T68" s="143"/>
      <c r="U68" s="143">
        <v>2</v>
      </c>
      <c r="V68" s="143">
        <v>34545</v>
      </c>
      <c r="W68" s="143" t="str">
        <f ca="1">IF(H68="",IF(D68="","",IF(U68+V68&lt;15,"Données Nb pers ou RFR manquantes",IF(COUNTA(INDIRECT("TabRFR["&amp;YEAR(D68)&amp;"]"))&lt;&gt;COUNTA(TabRFR[Recherche RFR]),"Data RFR manquantes", IF(V68&lt;=INDEX(TabRFR[[2021]:[2025]],MATCH(BD!U68&amp;"-Très modestes",TabRFR[Recherche RFR],0),MATCH(TEXT(YEAR(BD!D68),"Standard"),TabRFR[[#Headers],[2021]:[2025]],0)),"Très Modeste",IF(V68&lt;=INDEX(TabRFR[[2021]:[2025]],MATCH(BD!U68&amp;"-modestes",TabRFR[Recherche RFR],0),MATCH(TEXT(YEAR(BD!D68),"Standard"),TabRFR[[#Headers],[2021]:[2025]],0)),"Modeste",IF(V68&lt;=INDEX(TabRFR[[2021]:[2025]],MATCH(BD!U68&amp;"-Intermédiaire",TabRFR[Recherche RFR],0),MATCH(TEXT(YEAR(BD!D68),"Standard"),TabRFR[[#Headers],[2021]:[2025]],0)),"Intermédiaire","Supérieur")))))),IF(D68="","",IF(U68+V68&lt;15,"Données Nb pers ou RFR manquantes",IF(COUNTA(INDIRECT("TabRFR["&amp;YEAR(H68)&amp;"]"))&lt;&gt;COUNTA(TabRFR[Recherche RFR]),"Data RFR manquantes", IF(V68&lt;=INDEX(TabRFR[[2021]:[2025]],MATCH(BD!U68&amp;"-Très modestes",TabRFR[Recherche RFR],0),MATCH(TEXT(YEAR(BD!H68),"Standard"),TabRFR[[#Headers],[2021]:[2025]],0)),"Très Modeste",IF(V68&lt;=INDEX(TabRFR[[2021]:[2025]],MATCH(BD!U68&amp;"-modestes",TabRFR[Recherche RFR],0),MATCH(TEXT(YEAR(BD!H68),"Standard"),TabRFR[[#Headers],[2021]:[2025]],0)),"Modeste",IF(V68&lt;=INDEX(TabRFR[[2021]:[2025]],MATCH(BD!U68&amp;"-Intermédiaire",TabRFR[Recherche RFR],0),MATCH(TEXT(YEAR(BD!H68),"Standard"),TabRFR[[#Headers],[2021]:[2025]],0)),"Intermédiaire","Supérieur")))))))</f>
        <v>Data RFR manquantes</v>
      </c>
      <c r="X68" s="143"/>
      <c r="Y68" s="143" t="s">
        <v>468</v>
      </c>
      <c r="Z68" s="143">
        <v>38960</v>
      </c>
      <c r="AA68" s="143" t="s">
        <v>360</v>
      </c>
      <c r="AB68" s="148"/>
      <c r="AC68" s="149"/>
      <c r="AD68" s="143" t="s">
        <v>91</v>
      </c>
      <c r="AE68" s="143" t="s">
        <v>76</v>
      </c>
      <c r="AF68" s="143" t="s">
        <v>76</v>
      </c>
      <c r="AG68" s="143" t="s">
        <v>76</v>
      </c>
      <c r="AH68" s="143" t="s">
        <v>76</v>
      </c>
      <c r="AI68" s="135" t="s">
        <v>285</v>
      </c>
      <c r="AJ68" s="143" t="s">
        <v>108</v>
      </c>
      <c r="AK68" s="143" t="s">
        <v>286</v>
      </c>
      <c r="AL68" s="150" t="s">
        <v>287</v>
      </c>
      <c r="AM68" s="148">
        <v>476069938</v>
      </c>
      <c r="AN68" s="143" t="s">
        <v>76</v>
      </c>
      <c r="AO68" s="150" t="s">
        <v>102</v>
      </c>
      <c r="AP68" s="147">
        <v>44457</v>
      </c>
      <c r="AQ68" s="135" t="s">
        <v>3496</v>
      </c>
      <c r="AR68" s="143">
        <v>1989</v>
      </c>
      <c r="AS68" s="143" t="s">
        <v>3413</v>
      </c>
      <c r="AT68" s="135" t="s">
        <v>3446</v>
      </c>
      <c r="AU68" s="143" t="s">
        <v>469</v>
      </c>
      <c r="AV68" s="143" t="s">
        <v>470</v>
      </c>
      <c r="AW68" s="143">
        <v>12</v>
      </c>
      <c r="AX68" s="143">
        <v>5</v>
      </c>
      <c r="AY68" s="143">
        <v>81</v>
      </c>
      <c r="AZ68" s="143">
        <v>0.1</v>
      </c>
      <c r="BA68" s="143" t="s">
        <v>101</v>
      </c>
      <c r="BB68" s="143"/>
      <c r="BC68" s="143">
        <f>460+290+1+2105</f>
        <v>2856</v>
      </c>
      <c r="BD68" s="143"/>
      <c r="BE68" s="143">
        <f>570+450+450+220+1</f>
        <v>1691</v>
      </c>
      <c r="BF68" s="143">
        <f t="shared" si="0"/>
        <v>4547</v>
      </c>
      <c r="BG68" s="143">
        <f t="shared" si="1"/>
        <v>250.08500000000001</v>
      </c>
      <c r="BH68" s="143">
        <f t="shared" si="2"/>
        <v>4797.085</v>
      </c>
      <c r="BI68" s="151">
        <v>4797.09</v>
      </c>
      <c r="BJ68" s="143" t="s">
        <v>102</v>
      </c>
      <c r="BK68" s="143"/>
      <c r="BL68" s="143"/>
      <c r="BM68" s="144" t="s">
        <v>3576</v>
      </c>
      <c r="BN68" s="144" t="s">
        <v>103</v>
      </c>
      <c r="BO68" s="144" t="s">
        <v>143</v>
      </c>
      <c r="BP68" s="144">
        <v>2020</v>
      </c>
      <c r="BQ68" s="203" t="s">
        <v>144</v>
      </c>
    </row>
    <row r="69" spans="1:69" ht="41.1" customHeight="1">
      <c r="A69" s="133" t="s">
        <v>86</v>
      </c>
      <c r="B69" s="133" t="s">
        <v>471</v>
      </c>
      <c r="C69" s="134">
        <v>400</v>
      </c>
      <c r="D69" s="135">
        <v>44113</v>
      </c>
      <c r="E69" s="135">
        <v>44116</v>
      </c>
      <c r="F69" s="147" t="s">
        <v>76</v>
      </c>
      <c r="G69" s="135" t="s">
        <v>76</v>
      </c>
      <c r="H69" s="147">
        <v>44116</v>
      </c>
      <c r="I69" s="147">
        <v>44116</v>
      </c>
      <c r="J69" s="147">
        <v>44125</v>
      </c>
      <c r="K69" s="135">
        <v>44217</v>
      </c>
      <c r="L69" s="135">
        <v>44194</v>
      </c>
      <c r="M69" s="135" t="s">
        <v>76</v>
      </c>
      <c r="N69" s="135">
        <v>44222</v>
      </c>
      <c r="O69" s="135">
        <v>44222</v>
      </c>
      <c r="P69" s="135">
        <v>44242</v>
      </c>
      <c r="Q69" s="135"/>
      <c r="R69" s="143"/>
      <c r="S69" s="143"/>
      <c r="T69" s="143"/>
      <c r="U69" s="143">
        <v>2</v>
      </c>
      <c r="V69" s="143">
        <v>35294</v>
      </c>
      <c r="W69" s="143" t="str">
        <f ca="1">IF(H69="",IF(D69="","",IF(U69+V69&lt;15,"Données Nb pers ou RFR manquantes",IF(COUNTA(INDIRECT("TabRFR["&amp;YEAR(D69)&amp;"]"))&lt;&gt;COUNTA(TabRFR[Recherche RFR]),"Data RFR manquantes", IF(V69&lt;=INDEX(TabRFR[[2021]:[2025]],MATCH(BD!U69&amp;"-Très modestes",TabRFR[Recherche RFR],0),MATCH(TEXT(YEAR(BD!D69),"Standard"),TabRFR[[#Headers],[2021]:[2025]],0)),"Très Modeste",IF(V69&lt;=INDEX(TabRFR[[2021]:[2025]],MATCH(BD!U69&amp;"-modestes",TabRFR[Recherche RFR],0),MATCH(TEXT(YEAR(BD!D69),"Standard"),TabRFR[[#Headers],[2021]:[2025]],0)),"Modeste",IF(V69&lt;=INDEX(TabRFR[[2021]:[2025]],MATCH(BD!U69&amp;"-Intermédiaire",TabRFR[Recherche RFR],0),MATCH(TEXT(YEAR(BD!D69),"Standard"),TabRFR[[#Headers],[2021]:[2025]],0)),"Intermédiaire","Supérieur")))))),IF(D69="","",IF(U69+V69&lt;15,"Données Nb pers ou RFR manquantes",IF(COUNTA(INDIRECT("TabRFR["&amp;YEAR(H69)&amp;"]"))&lt;&gt;COUNTA(TabRFR[Recherche RFR]),"Data RFR manquantes", IF(V69&lt;=INDEX(TabRFR[[2021]:[2025]],MATCH(BD!U69&amp;"-Très modestes",TabRFR[Recherche RFR],0),MATCH(TEXT(YEAR(BD!H69),"Standard"),TabRFR[[#Headers],[2021]:[2025]],0)),"Très Modeste",IF(V69&lt;=INDEX(TabRFR[[2021]:[2025]],MATCH(BD!U69&amp;"-modestes",TabRFR[Recherche RFR],0),MATCH(TEXT(YEAR(BD!H69),"Standard"),TabRFR[[#Headers],[2021]:[2025]],0)),"Modeste",IF(V69&lt;=INDEX(TabRFR[[2021]:[2025]],MATCH(BD!U69&amp;"-Intermédiaire",TabRFR[Recherche RFR],0),MATCH(TEXT(YEAR(BD!H69),"Standard"),TabRFR[[#Headers],[2021]:[2025]],0)),"Intermédiaire","Supérieur")))))))</f>
        <v>Data RFR manquantes</v>
      </c>
      <c r="X69" s="143"/>
      <c r="Y69" s="143" t="s">
        <v>472</v>
      </c>
      <c r="Z69" s="143">
        <v>38500</v>
      </c>
      <c r="AA69" s="143" t="s">
        <v>284</v>
      </c>
      <c r="AB69" s="148"/>
      <c r="AC69" s="149"/>
      <c r="AD69" s="143" t="s">
        <v>91</v>
      </c>
      <c r="AE69" s="143" t="s">
        <v>76</v>
      </c>
      <c r="AF69" s="143" t="s">
        <v>76</v>
      </c>
      <c r="AG69" s="143" t="s">
        <v>76</v>
      </c>
      <c r="AH69" s="143" t="s">
        <v>76</v>
      </c>
      <c r="AI69" s="143" t="s">
        <v>109</v>
      </c>
      <c r="AJ69" s="143" t="s">
        <v>108</v>
      </c>
      <c r="AK69" s="143" t="s">
        <v>110</v>
      </c>
      <c r="AL69" s="149" t="s">
        <v>111</v>
      </c>
      <c r="AM69" s="148" t="s">
        <v>112</v>
      </c>
      <c r="AN69" s="143" t="s">
        <v>76</v>
      </c>
      <c r="AO69" s="150" t="s">
        <v>102</v>
      </c>
      <c r="AP69" s="147">
        <v>44138</v>
      </c>
      <c r="AQ69" s="135" t="s">
        <v>3496</v>
      </c>
      <c r="AR69" s="143">
        <v>1987</v>
      </c>
      <c r="AS69" s="143" t="s">
        <v>3413</v>
      </c>
      <c r="AT69" s="135" t="s">
        <v>3446</v>
      </c>
      <c r="AU69" s="143" t="s">
        <v>173</v>
      </c>
      <c r="AV69" s="143" t="s">
        <v>473</v>
      </c>
      <c r="AW69" s="143">
        <v>22</v>
      </c>
      <c r="AX69" s="143">
        <v>7</v>
      </c>
      <c r="AY69" s="143">
        <v>80</v>
      </c>
      <c r="AZ69" s="143">
        <v>0.08</v>
      </c>
      <c r="BA69" s="143" t="s">
        <v>101</v>
      </c>
      <c r="BB69" s="143"/>
      <c r="BC69" s="143">
        <f>2815.17+88+78+101+68+120+42+90+47+22</f>
        <v>3471.17</v>
      </c>
      <c r="BD69" s="143"/>
      <c r="BE69" s="143">
        <f>15+30+420</f>
        <v>465</v>
      </c>
      <c r="BF69" s="143">
        <f t="shared" ref="BF69:BF132" si="3">BC69+BE69</f>
        <v>3936.17</v>
      </c>
      <c r="BG69" s="151">
        <f t="shared" ref="BG69:BG132" si="4">BF69*0.055</f>
        <v>216.48935</v>
      </c>
      <c r="BH69" s="151">
        <f t="shared" ref="BH69:BH132" si="5">BF69+BG69</f>
        <v>4152.6593499999999</v>
      </c>
      <c r="BI69" s="151">
        <v>3558.69</v>
      </c>
      <c r="BJ69" s="143" t="s">
        <v>102</v>
      </c>
      <c r="BK69" s="143"/>
      <c r="BL69" s="143"/>
      <c r="BM69" s="143" t="s">
        <v>142</v>
      </c>
      <c r="BN69" s="144" t="s">
        <v>103</v>
      </c>
      <c r="BO69" s="144" t="s">
        <v>143</v>
      </c>
      <c r="BP69" s="143">
        <v>2020</v>
      </c>
      <c r="BQ69" s="203" t="s">
        <v>144</v>
      </c>
    </row>
    <row r="70" spans="1:69" ht="41.1" customHeight="1">
      <c r="A70" s="133" t="s">
        <v>86</v>
      </c>
      <c r="B70" s="133" t="s">
        <v>474</v>
      </c>
      <c r="C70" s="134">
        <v>400</v>
      </c>
      <c r="D70" s="135">
        <v>44113</v>
      </c>
      <c r="E70" s="135">
        <v>44116</v>
      </c>
      <c r="F70" s="147">
        <v>44116</v>
      </c>
      <c r="G70" s="135" t="s">
        <v>378</v>
      </c>
      <c r="H70" s="147">
        <v>44123</v>
      </c>
      <c r="I70" s="147">
        <v>44123</v>
      </c>
      <c r="J70" s="147">
        <v>44133</v>
      </c>
      <c r="K70" s="135">
        <v>44188</v>
      </c>
      <c r="L70" s="135">
        <v>44152</v>
      </c>
      <c r="M70" s="135" t="s">
        <v>76</v>
      </c>
      <c r="N70" s="135">
        <v>44204</v>
      </c>
      <c r="O70" s="135">
        <v>44204</v>
      </c>
      <c r="P70" s="135">
        <v>44211</v>
      </c>
      <c r="Q70" s="135"/>
      <c r="R70" s="143"/>
      <c r="S70" s="143"/>
      <c r="T70" s="143"/>
      <c r="U70" s="143">
        <v>4</v>
      </c>
      <c r="V70" s="143">
        <v>61229</v>
      </c>
      <c r="W70" s="143" t="str">
        <f ca="1">IF(H70="",IF(D70="","",IF(U70+V70&lt;15,"Données Nb pers ou RFR manquantes",IF(COUNTA(INDIRECT("TabRFR["&amp;YEAR(D70)&amp;"]"))&lt;&gt;COUNTA(TabRFR[Recherche RFR]),"Data RFR manquantes", IF(V70&lt;=INDEX(TabRFR[[2021]:[2025]],MATCH(BD!U70&amp;"-Très modestes",TabRFR[Recherche RFR],0),MATCH(TEXT(YEAR(BD!D70),"Standard"),TabRFR[[#Headers],[2021]:[2025]],0)),"Très Modeste",IF(V70&lt;=INDEX(TabRFR[[2021]:[2025]],MATCH(BD!U70&amp;"-modestes",TabRFR[Recherche RFR],0),MATCH(TEXT(YEAR(BD!D70),"Standard"),TabRFR[[#Headers],[2021]:[2025]],0)),"Modeste",IF(V70&lt;=INDEX(TabRFR[[2021]:[2025]],MATCH(BD!U70&amp;"-Intermédiaire",TabRFR[Recherche RFR],0),MATCH(TEXT(YEAR(BD!D70),"Standard"),TabRFR[[#Headers],[2021]:[2025]],0)),"Intermédiaire","Supérieur")))))),IF(D70="","",IF(U70+V70&lt;15,"Données Nb pers ou RFR manquantes",IF(COUNTA(INDIRECT("TabRFR["&amp;YEAR(H70)&amp;"]"))&lt;&gt;COUNTA(TabRFR[Recherche RFR]),"Data RFR manquantes", IF(V70&lt;=INDEX(TabRFR[[2021]:[2025]],MATCH(BD!U70&amp;"-Très modestes",TabRFR[Recherche RFR],0),MATCH(TEXT(YEAR(BD!H70),"Standard"),TabRFR[[#Headers],[2021]:[2025]],0)),"Très Modeste",IF(V70&lt;=INDEX(TabRFR[[2021]:[2025]],MATCH(BD!U70&amp;"-modestes",TabRFR[Recherche RFR],0),MATCH(TEXT(YEAR(BD!H70),"Standard"),TabRFR[[#Headers],[2021]:[2025]],0)),"Modeste",IF(V70&lt;=INDEX(TabRFR[[2021]:[2025]],MATCH(BD!U70&amp;"-Intermédiaire",TabRFR[Recherche RFR],0),MATCH(TEXT(YEAR(BD!H70),"Standard"),TabRFR[[#Headers],[2021]:[2025]],0)),"Intermédiaire","Supérieur")))))))</f>
        <v>Data RFR manquantes</v>
      </c>
      <c r="X70" s="143"/>
      <c r="Y70" s="143" t="s">
        <v>475</v>
      </c>
      <c r="Z70" s="143">
        <v>38210</v>
      </c>
      <c r="AA70" s="143" t="s">
        <v>202</v>
      </c>
      <c r="AB70" s="148"/>
      <c r="AC70" s="149"/>
      <c r="AD70" s="143" t="s">
        <v>91</v>
      </c>
      <c r="AE70" s="143" t="s">
        <v>76</v>
      </c>
      <c r="AF70" s="143" t="s">
        <v>76</v>
      </c>
      <c r="AG70" s="143" t="s">
        <v>76</v>
      </c>
      <c r="AH70" s="143" t="s">
        <v>76</v>
      </c>
      <c r="AI70" s="143" t="s">
        <v>120</v>
      </c>
      <c r="AJ70" s="143" t="s">
        <v>121</v>
      </c>
      <c r="AK70" s="143" t="s">
        <v>122</v>
      </c>
      <c r="AL70" s="150" t="s">
        <v>123</v>
      </c>
      <c r="AM70" s="148">
        <v>608287337</v>
      </c>
      <c r="AN70" s="143" t="s">
        <v>76</v>
      </c>
      <c r="AO70" s="150" t="s">
        <v>102</v>
      </c>
      <c r="AP70" s="147">
        <v>44417</v>
      </c>
      <c r="AQ70" s="135" t="s">
        <v>3449</v>
      </c>
      <c r="AR70" s="143">
        <v>2000</v>
      </c>
      <c r="AS70" s="135" t="s">
        <v>3496</v>
      </c>
      <c r="AT70" s="135" t="s">
        <v>3446</v>
      </c>
      <c r="AU70" s="143" t="s">
        <v>476</v>
      </c>
      <c r="AV70" s="143" t="s">
        <v>477</v>
      </c>
      <c r="AW70" s="143">
        <v>39</v>
      </c>
      <c r="AX70" s="143">
        <v>7</v>
      </c>
      <c r="AY70" s="143">
        <v>75</v>
      </c>
      <c r="AZ70" s="143">
        <v>0.09</v>
      </c>
      <c r="BA70" s="143" t="s">
        <v>126</v>
      </c>
      <c r="BB70" s="143"/>
      <c r="BC70" s="143">
        <f>3327+1200</f>
        <v>4527</v>
      </c>
      <c r="BD70" s="143"/>
      <c r="BE70" s="143">
        <v>230</v>
      </c>
      <c r="BF70" s="143">
        <f t="shared" si="3"/>
        <v>4757</v>
      </c>
      <c r="BG70" s="151">
        <f t="shared" si="4"/>
        <v>261.63499999999999</v>
      </c>
      <c r="BH70" s="151">
        <f t="shared" si="5"/>
        <v>5018.6350000000002</v>
      </c>
      <c r="BI70" s="151">
        <v>4400</v>
      </c>
      <c r="BJ70" s="143" t="s">
        <v>102</v>
      </c>
      <c r="BK70" s="143"/>
      <c r="BL70" s="143"/>
      <c r="BM70" s="144" t="s">
        <v>142</v>
      </c>
      <c r="BN70" s="144" t="s">
        <v>103</v>
      </c>
      <c r="BO70" s="144" t="s">
        <v>143</v>
      </c>
      <c r="BP70" s="144">
        <v>2020</v>
      </c>
      <c r="BQ70" s="203" t="s">
        <v>144</v>
      </c>
    </row>
    <row r="71" spans="1:69" ht="41.1" customHeight="1">
      <c r="A71" s="145" t="s">
        <v>86</v>
      </c>
      <c r="B71" s="145" t="s">
        <v>478</v>
      </c>
      <c r="C71" s="146" t="s">
        <v>76</v>
      </c>
      <c r="D71" s="135">
        <v>44117</v>
      </c>
      <c r="E71" s="135">
        <v>44119</v>
      </c>
      <c r="F71" s="147" t="s">
        <v>76</v>
      </c>
      <c r="G71" s="135" t="s">
        <v>76</v>
      </c>
      <c r="H71" s="147" t="s">
        <v>76</v>
      </c>
      <c r="I71" s="147" t="s">
        <v>76</v>
      </c>
      <c r="J71" s="147" t="s">
        <v>76</v>
      </c>
      <c r="K71" s="135" t="s">
        <v>76</v>
      </c>
      <c r="L71" s="135" t="s">
        <v>76</v>
      </c>
      <c r="M71" s="135" t="s">
        <v>76</v>
      </c>
      <c r="N71" s="135" t="s">
        <v>76</v>
      </c>
      <c r="O71" s="135" t="s">
        <v>76</v>
      </c>
      <c r="P71" s="135" t="s">
        <v>76</v>
      </c>
      <c r="Q71" s="135">
        <v>44123</v>
      </c>
      <c r="R71" s="143" t="s">
        <v>479</v>
      </c>
      <c r="S71" s="143"/>
      <c r="T71" s="143"/>
      <c r="U71" s="143">
        <v>1</v>
      </c>
      <c r="V71" s="143">
        <v>20244</v>
      </c>
      <c r="W71" s="143" t="str">
        <f ca="1">IF(H71="",IF(D71="","",IF(U71+V71&lt;15,"Données Nb pers ou RFR manquantes",IF(COUNTA(INDIRECT("TabRFR["&amp;YEAR(D71)&amp;"]"))&lt;&gt;COUNTA(TabRFR[Recherche RFR]),"Data RFR manquantes", IF(V71&lt;=INDEX(TabRFR[[2021]:[2025]],MATCH(BD!U71&amp;"-Très modestes",TabRFR[Recherche RFR],0),MATCH(TEXT(YEAR(BD!D71),"Standard"),TabRFR[[#Headers],[2021]:[2025]],0)),"Très Modeste",IF(V71&lt;=INDEX(TabRFR[[2021]:[2025]],MATCH(BD!U71&amp;"-modestes",TabRFR[Recherche RFR],0),MATCH(TEXT(YEAR(BD!D71),"Standard"),TabRFR[[#Headers],[2021]:[2025]],0)),"Modeste",IF(V71&lt;=INDEX(TabRFR[[2021]:[2025]],MATCH(BD!U71&amp;"-Intermédiaire",TabRFR[Recherche RFR],0),MATCH(TEXT(YEAR(BD!D71),"Standard"),TabRFR[[#Headers],[2021]:[2025]],0)),"Intermédiaire","Supérieur")))))),IF(D71="","",IF(U71+V71&lt;15,"Données Nb pers ou RFR manquantes",IF(COUNTA(INDIRECT("TabRFR["&amp;YEAR(H71)&amp;"]"))&lt;&gt;COUNTA(TabRFR[Recherche RFR]),"Data RFR manquantes", IF(V71&lt;=INDEX(TabRFR[[2021]:[2025]],MATCH(BD!U71&amp;"-Très modestes",TabRFR[Recherche RFR],0),MATCH(TEXT(YEAR(BD!H71),"Standard"),TabRFR[[#Headers],[2021]:[2025]],0)),"Très Modeste",IF(V71&lt;=INDEX(TabRFR[[2021]:[2025]],MATCH(BD!U71&amp;"-modestes",TabRFR[Recherche RFR],0),MATCH(TEXT(YEAR(BD!H71),"Standard"),TabRFR[[#Headers],[2021]:[2025]],0)),"Modeste",IF(V71&lt;=INDEX(TabRFR[[2021]:[2025]],MATCH(BD!U71&amp;"-Intermédiaire",TabRFR[Recherche RFR],0),MATCH(TEXT(YEAR(BD!H71),"Standard"),TabRFR[[#Headers],[2021]:[2025]],0)),"Intermédiaire","Supérieur")))))))</f>
        <v>Data RFR manquantes</v>
      </c>
      <c r="X71" s="143"/>
      <c r="Y71" s="143" t="s">
        <v>480</v>
      </c>
      <c r="Z71" s="143">
        <v>38210</v>
      </c>
      <c r="AA71" s="143" t="s">
        <v>202</v>
      </c>
      <c r="AB71" s="148"/>
      <c r="AC71" s="149"/>
      <c r="AD71" s="143" t="s">
        <v>91</v>
      </c>
      <c r="AE71" s="143" t="s">
        <v>76</v>
      </c>
      <c r="AF71" s="143" t="s">
        <v>76</v>
      </c>
      <c r="AG71" s="143" t="s">
        <v>76</v>
      </c>
      <c r="AH71" s="143" t="s">
        <v>76</v>
      </c>
      <c r="AI71" s="143" t="s">
        <v>160</v>
      </c>
      <c r="AJ71" s="143" t="s">
        <v>161</v>
      </c>
      <c r="AK71" s="143" t="s">
        <v>227</v>
      </c>
      <c r="AL71" s="150" t="s">
        <v>228</v>
      </c>
      <c r="AM71" s="148">
        <v>438021901</v>
      </c>
      <c r="AN71" s="143" t="s">
        <v>76</v>
      </c>
      <c r="AO71" s="150" t="s">
        <v>102</v>
      </c>
      <c r="AP71" s="147">
        <v>44276</v>
      </c>
      <c r="AQ71" s="135" t="s">
        <v>3323</v>
      </c>
      <c r="AR71" s="143" t="s">
        <v>139</v>
      </c>
      <c r="AS71" s="143" t="s">
        <v>3413</v>
      </c>
      <c r="AT71" s="135" t="s">
        <v>3446</v>
      </c>
      <c r="AU71" s="143" t="s">
        <v>164</v>
      </c>
      <c r="AV71" s="143" t="s">
        <v>481</v>
      </c>
      <c r="AW71" s="143">
        <v>38</v>
      </c>
      <c r="AX71" s="143">
        <v>8.5</v>
      </c>
      <c r="AY71" s="143">
        <v>75.400000000000006</v>
      </c>
      <c r="AZ71" s="143">
        <v>0.08</v>
      </c>
      <c r="BA71" s="143" t="s">
        <v>101</v>
      </c>
      <c r="BB71" s="143"/>
      <c r="BC71" s="143">
        <f>1986.05+509+93+2180</f>
        <v>4768.05</v>
      </c>
      <c r="BD71" s="143"/>
      <c r="BE71" s="143">
        <f>480+3031</f>
        <v>3511</v>
      </c>
      <c r="BF71" s="143">
        <f t="shared" si="3"/>
        <v>8279.0499999999993</v>
      </c>
      <c r="BG71" s="151">
        <f t="shared" si="4"/>
        <v>455.34774999999996</v>
      </c>
      <c r="BH71" s="151">
        <f t="shared" si="5"/>
        <v>8734.3977500000001</v>
      </c>
      <c r="BI71" s="151">
        <v>8756</v>
      </c>
      <c r="BJ71" s="143" t="s">
        <v>102</v>
      </c>
      <c r="BK71" s="143"/>
      <c r="BL71" s="143"/>
      <c r="BM71" s="144">
        <v>0</v>
      </c>
      <c r="BN71" s="144" t="s">
        <v>103</v>
      </c>
      <c r="BO71" s="144" t="s">
        <v>103</v>
      </c>
      <c r="BP71" s="203" t="s">
        <v>3582</v>
      </c>
      <c r="BQ71" s="203" t="s">
        <v>3273</v>
      </c>
    </row>
    <row r="72" spans="1:69" ht="41.1" customHeight="1">
      <c r="A72" s="133" t="s">
        <v>86</v>
      </c>
      <c r="B72" s="133" t="s">
        <v>482</v>
      </c>
      <c r="C72" s="134">
        <v>400</v>
      </c>
      <c r="D72" s="135">
        <v>44123</v>
      </c>
      <c r="E72" s="135">
        <v>44124</v>
      </c>
      <c r="F72" s="147" t="s">
        <v>76</v>
      </c>
      <c r="G72" s="135" t="s">
        <v>76</v>
      </c>
      <c r="H72" s="147">
        <v>44126</v>
      </c>
      <c r="I72" s="147">
        <v>44126</v>
      </c>
      <c r="J72" s="147">
        <v>44139</v>
      </c>
      <c r="K72" s="135">
        <v>44160</v>
      </c>
      <c r="L72" s="135">
        <v>44139</v>
      </c>
      <c r="M72" s="135" t="s">
        <v>76</v>
      </c>
      <c r="N72" s="135">
        <v>44165</v>
      </c>
      <c r="O72" s="135">
        <v>44165</v>
      </c>
      <c r="P72" s="135">
        <v>44166</v>
      </c>
      <c r="Q72" s="135"/>
      <c r="R72" s="143"/>
      <c r="S72" s="143"/>
      <c r="T72" s="143"/>
      <c r="U72" s="143">
        <v>3</v>
      </c>
      <c r="V72" s="143">
        <v>38732</v>
      </c>
      <c r="W72" s="143" t="str">
        <f ca="1">IF(H72="",IF(D72="","",IF(U72+V72&lt;15,"Données Nb pers ou RFR manquantes",IF(COUNTA(INDIRECT("TabRFR["&amp;YEAR(D72)&amp;"]"))&lt;&gt;COUNTA(TabRFR[Recherche RFR]),"Data RFR manquantes", IF(V72&lt;=INDEX(TabRFR[[2021]:[2025]],MATCH(BD!U72&amp;"-Très modestes",TabRFR[Recherche RFR],0),MATCH(TEXT(YEAR(BD!D72),"Standard"),TabRFR[[#Headers],[2021]:[2025]],0)),"Très Modeste",IF(V72&lt;=INDEX(TabRFR[[2021]:[2025]],MATCH(BD!U72&amp;"-modestes",TabRFR[Recherche RFR],0),MATCH(TEXT(YEAR(BD!D72),"Standard"),TabRFR[[#Headers],[2021]:[2025]],0)),"Modeste",IF(V72&lt;=INDEX(TabRFR[[2021]:[2025]],MATCH(BD!U72&amp;"-Intermédiaire",TabRFR[Recherche RFR],0),MATCH(TEXT(YEAR(BD!D72),"Standard"),TabRFR[[#Headers],[2021]:[2025]],0)),"Intermédiaire","Supérieur")))))),IF(D72="","",IF(U72+V72&lt;15,"Données Nb pers ou RFR manquantes",IF(COUNTA(INDIRECT("TabRFR["&amp;YEAR(H72)&amp;"]"))&lt;&gt;COUNTA(TabRFR[Recherche RFR]),"Data RFR manquantes", IF(V72&lt;=INDEX(TabRFR[[2021]:[2025]],MATCH(BD!U72&amp;"-Très modestes",TabRFR[Recherche RFR],0),MATCH(TEXT(YEAR(BD!H72),"Standard"),TabRFR[[#Headers],[2021]:[2025]],0)),"Très Modeste",IF(V72&lt;=INDEX(TabRFR[[2021]:[2025]],MATCH(BD!U72&amp;"-modestes",TabRFR[Recherche RFR],0),MATCH(TEXT(YEAR(BD!H72),"Standard"),TabRFR[[#Headers],[2021]:[2025]],0)),"Modeste",IF(V72&lt;=INDEX(TabRFR[[2021]:[2025]],MATCH(BD!U72&amp;"-Intermédiaire",TabRFR[Recherche RFR],0),MATCH(TEXT(YEAR(BD!H72),"Standard"),TabRFR[[#Headers],[2021]:[2025]],0)),"Intermédiaire","Supérieur")))))))</f>
        <v>Data RFR manquantes</v>
      </c>
      <c r="X72" s="143"/>
      <c r="Y72" s="143" t="s">
        <v>483</v>
      </c>
      <c r="Z72" s="143">
        <v>38140</v>
      </c>
      <c r="AA72" s="143" t="s">
        <v>184</v>
      </c>
      <c r="AB72" s="148"/>
      <c r="AC72" s="149"/>
      <c r="AD72" s="143" t="s">
        <v>91</v>
      </c>
      <c r="AE72" s="143" t="s">
        <v>76</v>
      </c>
      <c r="AF72" s="143" t="s">
        <v>76</v>
      </c>
      <c r="AG72" s="143" t="s">
        <v>76</v>
      </c>
      <c r="AH72" s="143" t="s">
        <v>76</v>
      </c>
      <c r="AI72" s="143" t="s">
        <v>484</v>
      </c>
      <c r="AJ72" s="143" t="s">
        <v>485</v>
      </c>
      <c r="AK72" s="143" t="s">
        <v>486</v>
      </c>
      <c r="AL72" s="150" t="s">
        <v>487</v>
      </c>
      <c r="AM72" s="148">
        <v>611403887</v>
      </c>
      <c r="AN72" s="143" t="s">
        <v>76</v>
      </c>
      <c r="AO72" s="150" t="s">
        <v>102</v>
      </c>
      <c r="AP72" s="147">
        <v>44248</v>
      </c>
      <c r="AQ72" s="135" t="s">
        <v>3449</v>
      </c>
      <c r="AR72" s="143">
        <v>1989</v>
      </c>
      <c r="AS72" s="135" t="s">
        <v>3496</v>
      </c>
      <c r="AT72" s="135" t="s">
        <v>3446</v>
      </c>
      <c r="AU72" s="143" t="s">
        <v>488</v>
      </c>
      <c r="AV72" s="143" t="s">
        <v>489</v>
      </c>
      <c r="AW72" s="143">
        <v>30</v>
      </c>
      <c r="AX72" s="143">
        <v>8</v>
      </c>
      <c r="AY72" s="143">
        <v>76</v>
      </c>
      <c r="AZ72" s="143">
        <v>0.1</v>
      </c>
      <c r="BA72" s="143" t="s">
        <v>101</v>
      </c>
      <c r="BB72" s="143"/>
      <c r="BC72" s="143">
        <f>605.69+45+25+324</f>
        <v>999.69</v>
      </c>
      <c r="BD72" s="143"/>
      <c r="BE72" s="143">
        <v>700</v>
      </c>
      <c r="BF72" s="143">
        <f t="shared" si="3"/>
        <v>1699.69</v>
      </c>
      <c r="BG72" s="151">
        <f t="shared" si="4"/>
        <v>93.482950000000002</v>
      </c>
      <c r="BH72" s="151">
        <f t="shared" si="5"/>
        <v>1793.1729500000001</v>
      </c>
      <c r="BI72" s="151">
        <v>1793.18</v>
      </c>
      <c r="BJ72" s="143" t="s">
        <v>102</v>
      </c>
      <c r="BK72" s="143"/>
      <c r="BL72" s="143"/>
      <c r="BM72" s="144" t="s">
        <v>142</v>
      </c>
      <c r="BN72" s="144" t="s">
        <v>103</v>
      </c>
      <c r="BO72" s="144" t="s">
        <v>143</v>
      </c>
      <c r="BP72" s="144">
        <v>2020</v>
      </c>
      <c r="BQ72" s="203" t="s">
        <v>144</v>
      </c>
    </row>
    <row r="73" spans="1:69" ht="41.1" customHeight="1">
      <c r="A73" s="133" t="s">
        <v>86</v>
      </c>
      <c r="B73" s="133" t="s">
        <v>490</v>
      </c>
      <c r="C73" s="134">
        <v>400</v>
      </c>
      <c r="D73" s="135">
        <v>44125</v>
      </c>
      <c r="E73" s="135">
        <v>44126</v>
      </c>
      <c r="F73" s="147">
        <v>44126</v>
      </c>
      <c r="G73" s="135" t="s">
        <v>378</v>
      </c>
      <c r="H73" s="147">
        <v>44131</v>
      </c>
      <c r="I73" s="147">
        <v>44131</v>
      </c>
      <c r="J73" s="147">
        <v>44133</v>
      </c>
      <c r="K73" s="135">
        <v>44348</v>
      </c>
      <c r="L73" s="135">
        <v>44224</v>
      </c>
      <c r="M73" s="135" t="s">
        <v>491</v>
      </c>
      <c r="N73" s="135">
        <v>44358</v>
      </c>
      <c r="O73" s="135">
        <v>44358</v>
      </c>
      <c r="P73" s="135">
        <v>44378</v>
      </c>
      <c r="Q73" s="135"/>
      <c r="R73" s="143"/>
      <c r="S73" s="143"/>
      <c r="T73" s="143"/>
      <c r="U73" s="143">
        <v>4</v>
      </c>
      <c r="V73" s="143">
        <v>55357</v>
      </c>
      <c r="W73" s="143" t="str">
        <f ca="1">IF(H73="",IF(D73="","",IF(U73+V73&lt;15,"Données Nb pers ou RFR manquantes",IF(COUNTA(INDIRECT("TabRFR["&amp;YEAR(D73)&amp;"]"))&lt;&gt;COUNTA(TabRFR[Recherche RFR]),"Data RFR manquantes", IF(V73&lt;=INDEX(TabRFR[[2021]:[2025]],MATCH(BD!U73&amp;"-Très modestes",TabRFR[Recherche RFR],0),MATCH(TEXT(YEAR(BD!D73),"Standard"),TabRFR[[#Headers],[2021]:[2025]],0)),"Très Modeste",IF(V73&lt;=INDEX(TabRFR[[2021]:[2025]],MATCH(BD!U73&amp;"-modestes",TabRFR[Recherche RFR],0),MATCH(TEXT(YEAR(BD!D73),"Standard"),TabRFR[[#Headers],[2021]:[2025]],0)),"Modeste",IF(V73&lt;=INDEX(TabRFR[[2021]:[2025]],MATCH(BD!U73&amp;"-Intermédiaire",TabRFR[Recherche RFR],0),MATCH(TEXT(YEAR(BD!D73),"Standard"),TabRFR[[#Headers],[2021]:[2025]],0)),"Intermédiaire","Supérieur")))))),IF(D73="","",IF(U73+V73&lt;15,"Données Nb pers ou RFR manquantes",IF(COUNTA(INDIRECT("TabRFR["&amp;YEAR(H73)&amp;"]"))&lt;&gt;COUNTA(TabRFR[Recherche RFR]),"Data RFR manquantes", IF(V73&lt;=INDEX(TabRFR[[2021]:[2025]],MATCH(BD!U73&amp;"-Très modestes",TabRFR[Recherche RFR],0),MATCH(TEXT(YEAR(BD!H73),"Standard"),TabRFR[[#Headers],[2021]:[2025]],0)),"Très Modeste",IF(V73&lt;=INDEX(TabRFR[[2021]:[2025]],MATCH(BD!U73&amp;"-modestes",TabRFR[Recherche RFR],0),MATCH(TEXT(YEAR(BD!H73),"Standard"),TabRFR[[#Headers],[2021]:[2025]],0)),"Modeste",IF(V73&lt;=INDEX(TabRFR[[2021]:[2025]],MATCH(BD!U73&amp;"-Intermédiaire",TabRFR[Recherche RFR],0),MATCH(TEXT(YEAR(BD!H73),"Standard"),TabRFR[[#Headers],[2021]:[2025]],0)),"Intermédiaire","Supérieur")))))))</f>
        <v>Data RFR manquantes</v>
      </c>
      <c r="X73" s="143"/>
      <c r="Y73" s="143" t="s">
        <v>492</v>
      </c>
      <c r="Z73" s="143">
        <v>38430</v>
      </c>
      <c r="AA73" s="143" t="s">
        <v>119</v>
      </c>
      <c r="AB73" s="148"/>
      <c r="AC73" s="149"/>
      <c r="AD73" s="143" t="s">
        <v>91</v>
      </c>
      <c r="AE73" s="143" t="s">
        <v>76</v>
      </c>
      <c r="AF73" s="143" t="s">
        <v>76</v>
      </c>
      <c r="AG73" s="143" t="s">
        <v>76</v>
      </c>
      <c r="AH73" s="143" t="s">
        <v>76</v>
      </c>
      <c r="AI73" s="135" t="s">
        <v>2703</v>
      </c>
      <c r="AJ73" s="143" t="s">
        <v>266</v>
      </c>
      <c r="AK73" s="143" t="s">
        <v>317</v>
      </c>
      <c r="AL73" s="150" t="s">
        <v>318</v>
      </c>
      <c r="AM73" s="148">
        <v>476500550</v>
      </c>
      <c r="AN73" s="143" t="s">
        <v>76</v>
      </c>
      <c r="AO73" s="150" t="s">
        <v>102</v>
      </c>
      <c r="AP73" s="147">
        <v>44375</v>
      </c>
      <c r="AQ73" s="135" t="s">
        <v>3449</v>
      </c>
      <c r="AR73" s="143">
        <v>1980</v>
      </c>
      <c r="AS73" s="143" t="s">
        <v>3413</v>
      </c>
      <c r="AT73" s="143" t="s">
        <v>98</v>
      </c>
      <c r="AU73" s="143" t="s">
        <v>493</v>
      </c>
      <c r="AV73" s="143" t="s">
        <v>494</v>
      </c>
      <c r="AW73" s="143">
        <v>12</v>
      </c>
      <c r="AX73" s="143">
        <v>9.1</v>
      </c>
      <c r="AY73" s="143">
        <v>88.7</v>
      </c>
      <c r="AZ73" s="143">
        <v>8.9999999999999993E-3</v>
      </c>
      <c r="BA73" s="143" t="s">
        <v>101</v>
      </c>
      <c r="BB73" s="143"/>
      <c r="BC73" s="143">
        <f>132.2+3200+845.1</f>
        <v>4177.3</v>
      </c>
      <c r="BD73" s="143"/>
      <c r="BE73" s="143">
        <v>900</v>
      </c>
      <c r="BF73" s="143">
        <f t="shared" si="3"/>
        <v>5077.3</v>
      </c>
      <c r="BG73" s="151">
        <f t="shared" si="4"/>
        <v>279.25150000000002</v>
      </c>
      <c r="BH73" s="151">
        <f t="shared" si="5"/>
        <v>5356.5515000000005</v>
      </c>
      <c r="BI73" s="151">
        <v>5356.55</v>
      </c>
      <c r="BJ73" s="143" t="s">
        <v>102</v>
      </c>
      <c r="BK73" s="143"/>
      <c r="BL73" s="143"/>
      <c r="BM73" s="144" t="s">
        <v>3576</v>
      </c>
      <c r="BN73" s="144" t="s">
        <v>103</v>
      </c>
      <c r="BO73" s="144" t="s">
        <v>143</v>
      </c>
      <c r="BP73" s="143" t="s">
        <v>3583</v>
      </c>
      <c r="BQ73" s="203" t="s">
        <v>144</v>
      </c>
    </row>
    <row r="74" spans="1:69" ht="41.1" customHeight="1">
      <c r="A74" s="145" t="s">
        <v>86</v>
      </c>
      <c r="B74" s="145" t="s">
        <v>495</v>
      </c>
      <c r="C74" s="134">
        <v>400</v>
      </c>
      <c r="D74" s="135">
        <v>44127</v>
      </c>
      <c r="E74" s="135">
        <v>44130</v>
      </c>
      <c r="F74" s="147">
        <v>44131</v>
      </c>
      <c r="G74" s="135" t="s">
        <v>496</v>
      </c>
      <c r="H74" s="147">
        <v>44133</v>
      </c>
      <c r="I74" s="147">
        <v>44133</v>
      </c>
      <c r="J74" s="147">
        <v>44137</v>
      </c>
      <c r="K74" s="135">
        <v>44573</v>
      </c>
      <c r="L74" s="135">
        <v>44118</v>
      </c>
      <c r="M74" s="135" t="s">
        <v>497</v>
      </c>
      <c r="N74" s="135"/>
      <c r="O74" s="135"/>
      <c r="P74" s="135"/>
      <c r="Q74" s="135">
        <v>44596</v>
      </c>
      <c r="R74" s="143" t="s">
        <v>411</v>
      </c>
      <c r="S74" s="143"/>
      <c r="T74" s="143"/>
      <c r="U74" s="143">
        <v>2</v>
      </c>
      <c r="V74" s="143">
        <v>33682</v>
      </c>
      <c r="W74" s="143" t="str">
        <f ca="1">IF(H74="",IF(D74="","",IF(U74+V74&lt;15,"Données Nb pers ou RFR manquantes",IF(COUNTA(INDIRECT("TabRFR["&amp;YEAR(D74)&amp;"]"))&lt;&gt;COUNTA(TabRFR[Recherche RFR]),"Data RFR manquantes", IF(V74&lt;=INDEX(TabRFR[[2021]:[2025]],MATCH(BD!U74&amp;"-Très modestes",TabRFR[Recherche RFR],0),MATCH(TEXT(YEAR(BD!D74),"Standard"),TabRFR[[#Headers],[2021]:[2025]],0)),"Très Modeste",IF(V74&lt;=INDEX(TabRFR[[2021]:[2025]],MATCH(BD!U74&amp;"-modestes",TabRFR[Recherche RFR],0),MATCH(TEXT(YEAR(BD!D74),"Standard"),TabRFR[[#Headers],[2021]:[2025]],0)),"Modeste",IF(V74&lt;=INDEX(TabRFR[[2021]:[2025]],MATCH(BD!U74&amp;"-Intermédiaire",TabRFR[Recherche RFR],0),MATCH(TEXT(YEAR(BD!D74),"Standard"),TabRFR[[#Headers],[2021]:[2025]],0)),"Intermédiaire","Supérieur")))))),IF(D74="","",IF(U74+V74&lt;15,"Données Nb pers ou RFR manquantes",IF(COUNTA(INDIRECT("TabRFR["&amp;YEAR(H74)&amp;"]"))&lt;&gt;COUNTA(TabRFR[Recherche RFR]),"Data RFR manquantes", IF(V74&lt;=INDEX(TabRFR[[2021]:[2025]],MATCH(BD!U74&amp;"-Très modestes",TabRFR[Recherche RFR],0),MATCH(TEXT(YEAR(BD!H74),"Standard"),TabRFR[[#Headers],[2021]:[2025]],0)),"Très Modeste",IF(V74&lt;=INDEX(TabRFR[[2021]:[2025]],MATCH(BD!U74&amp;"-modestes",TabRFR[Recherche RFR],0),MATCH(TEXT(YEAR(BD!H74),"Standard"),TabRFR[[#Headers],[2021]:[2025]],0)),"Modeste",IF(V74&lt;=INDEX(TabRFR[[2021]:[2025]],MATCH(BD!U74&amp;"-Intermédiaire",TabRFR[Recherche RFR],0),MATCH(TEXT(YEAR(BD!H74),"Standard"),TabRFR[[#Headers],[2021]:[2025]],0)),"Intermédiaire","Supérieur")))))))</f>
        <v>Data RFR manquantes</v>
      </c>
      <c r="X74" s="143"/>
      <c r="Y74" s="143" t="s">
        <v>498</v>
      </c>
      <c r="Z74" s="143">
        <v>38140</v>
      </c>
      <c r="AA74" s="143" t="s">
        <v>184</v>
      </c>
      <c r="AB74" s="148"/>
      <c r="AC74" s="149"/>
      <c r="AD74" s="143" t="s">
        <v>91</v>
      </c>
      <c r="AE74" s="143" t="s">
        <v>76</v>
      </c>
      <c r="AF74" s="143" t="s">
        <v>76</v>
      </c>
      <c r="AG74" s="143" t="s">
        <v>76</v>
      </c>
      <c r="AH74" s="143" t="s">
        <v>76</v>
      </c>
      <c r="AI74" s="143" t="s">
        <v>120</v>
      </c>
      <c r="AJ74" s="143" t="s">
        <v>121</v>
      </c>
      <c r="AK74" s="143" t="s">
        <v>122</v>
      </c>
      <c r="AL74" s="150" t="s">
        <v>123</v>
      </c>
      <c r="AM74" s="148">
        <v>608287337</v>
      </c>
      <c r="AN74" s="143" t="s">
        <v>76</v>
      </c>
      <c r="AO74" s="150" t="s">
        <v>102</v>
      </c>
      <c r="AP74" s="147">
        <v>44417</v>
      </c>
      <c r="AQ74" s="143" t="s">
        <v>3413</v>
      </c>
      <c r="AR74" s="143" t="s">
        <v>172</v>
      </c>
      <c r="AS74" s="143" t="s">
        <v>3413</v>
      </c>
      <c r="AT74" s="143" t="s">
        <v>98</v>
      </c>
      <c r="AU74" s="143" t="s">
        <v>124</v>
      </c>
      <c r="AV74" s="143" t="s">
        <v>499</v>
      </c>
      <c r="AW74" s="143">
        <v>26</v>
      </c>
      <c r="AX74" s="143">
        <v>8</v>
      </c>
      <c r="AY74" s="143">
        <v>91.9</v>
      </c>
      <c r="AZ74" s="143">
        <v>7.0000000000000001E-3</v>
      </c>
      <c r="BA74" s="143" t="s">
        <v>126</v>
      </c>
      <c r="BB74" s="143"/>
      <c r="BC74" s="143">
        <f>3290+46+132+718+90+63+161+209+130+34+76+74+37</f>
        <v>5060</v>
      </c>
      <c r="BD74" s="143"/>
      <c r="BE74" s="143">
        <f>285+850</f>
        <v>1135</v>
      </c>
      <c r="BF74" s="143">
        <f t="shared" si="3"/>
        <v>6195</v>
      </c>
      <c r="BG74" s="151">
        <f t="shared" si="4"/>
        <v>340.72500000000002</v>
      </c>
      <c r="BH74" s="151">
        <f t="shared" si="5"/>
        <v>6535.7250000000004</v>
      </c>
      <c r="BI74" s="151">
        <v>6195</v>
      </c>
      <c r="BJ74" s="143" t="s">
        <v>115</v>
      </c>
      <c r="BK74" s="143"/>
      <c r="BL74" s="143"/>
      <c r="BM74" s="144">
        <v>0</v>
      </c>
      <c r="BN74" s="144" t="s">
        <v>103</v>
      </c>
      <c r="BO74" s="144" t="s">
        <v>103</v>
      </c>
      <c r="BP74" s="203" t="s">
        <v>3582</v>
      </c>
      <c r="BQ74" s="203" t="s">
        <v>3273</v>
      </c>
    </row>
    <row r="75" spans="1:69" ht="41.1" customHeight="1">
      <c r="A75" s="145" t="s">
        <v>86</v>
      </c>
      <c r="B75" s="145" t="s">
        <v>500</v>
      </c>
      <c r="C75" s="146" t="s">
        <v>76</v>
      </c>
      <c r="D75" s="135">
        <v>44127</v>
      </c>
      <c r="E75" s="135">
        <v>44130</v>
      </c>
      <c r="F75" s="147" t="s">
        <v>76</v>
      </c>
      <c r="G75" s="135" t="s">
        <v>76</v>
      </c>
      <c r="H75" s="147" t="s">
        <v>76</v>
      </c>
      <c r="I75" s="147" t="s">
        <v>76</v>
      </c>
      <c r="J75" s="147" t="s">
        <v>76</v>
      </c>
      <c r="K75" s="135" t="s">
        <v>76</v>
      </c>
      <c r="L75" s="135" t="s">
        <v>76</v>
      </c>
      <c r="M75" s="135" t="s">
        <v>76</v>
      </c>
      <c r="N75" s="135" t="s">
        <v>76</v>
      </c>
      <c r="O75" s="135" t="s">
        <v>76</v>
      </c>
      <c r="P75" s="135" t="s">
        <v>76</v>
      </c>
      <c r="Q75" s="135">
        <v>44131</v>
      </c>
      <c r="R75" s="143" t="s">
        <v>479</v>
      </c>
      <c r="S75" s="143"/>
      <c r="T75" s="143"/>
      <c r="U75" s="143">
        <v>6</v>
      </c>
      <c r="V75" s="143">
        <v>64567</v>
      </c>
      <c r="W75" s="143" t="str">
        <f ca="1">IF(H75="",IF(D75="","",IF(U75+V75&lt;15,"Données Nb pers ou RFR manquantes",IF(COUNTA(INDIRECT("TabRFR["&amp;YEAR(D75)&amp;"]"))&lt;&gt;COUNTA(TabRFR[Recherche RFR]),"Data RFR manquantes", IF(V75&lt;=INDEX(TabRFR[[2021]:[2025]],MATCH(BD!U75&amp;"-Très modestes",TabRFR[Recherche RFR],0),MATCH(TEXT(YEAR(BD!D75),"Standard"),TabRFR[[#Headers],[2021]:[2025]],0)),"Très Modeste",IF(V75&lt;=INDEX(TabRFR[[2021]:[2025]],MATCH(BD!U75&amp;"-modestes",TabRFR[Recherche RFR],0),MATCH(TEXT(YEAR(BD!D75),"Standard"),TabRFR[[#Headers],[2021]:[2025]],0)),"Modeste",IF(V75&lt;=INDEX(TabRFR[[2021]:[2025]],MATCH(BD!U75&amp;"-Intermédiaire",TabRFR[Recherche RFR],0),MATCH(TEXT(YEAR(BD!D75),"Standard"),TabRFR[[#Headers],[2021]:[2025]],0)),"Intermédiaire","Supérieur")))))),IF(D75="","",IF(U75+V75&lt;15,"Données Nb pers ou RFR manquantes",IF(COUNTA(INDIRECT("TabRFR["&amp;YEAR(H75)&amp;"]"))&lt;&gt;COUNTA(TabRFR[Recherche RFR]),"Data RFR manquantes", IF(V75&lt;=INDEX(TabRFR[[2021]:[2025]],MATCH(BD!U75&amp;"-Très modestes",TabRFR[Recherche RFR],0),MATCH(TEXT(YEAR(BD!H75),"Standard"),TabRFR[[#Headers],[2021]:[2025]],0)),"Très Modeste",IF(V75&lt;=INDEX(TabRFR[[2021]:[2025]],MATCH(BD!U75&amp;"-modestes",TabRFR[Recherche RFR],0),MATCH(TEXT(YEAR(BD!H75),"Standard"),TabRFR[[#Headers],[2021]:[2025]],0)),"Modeste",IF(V75&lt;=INDEX(TabRFR[[2021]:[2025]],MATCH(BD!U75&amp;"-Intermédiaire",TabRFR[Recherche RFR],0),MATCH(TEXT(YEAR(BD!H75),"Standard"),TabRFR[[#Headers],[2021]:[2025]],0)),"Intermédiaire","Supérieur")))))))</f>
        <v>Data RFR manquantes</v>
      </c>
      <c r="X75" s="143"/>
      <c r="Y75" s="143" t="s">
        <v>501</v>
      </c>
      <c r="Z75" s="143">
        <v>38500</v>
      </c>
      <c r="AA75" s="143" t="s">
        <v>134</v>
      </c>
      <c r="AB75" s="148"/>
      <c r="AC75" s="149"/>
      <c r="AD75" s="143" t="s">
        <v>91</v>
      </c>
      <c r="AE75" s="143" t="s">
        <v>76</v>
      </c>
      <c r="AF75" s="143" t="s">
        <v>76</v>
      </c>
      <c r="AG75" s="143" t="s">
        <v>76</v>
      </c>
      <c r="AH75" s="143" t="s">
        <v>76</v>
      </c>
      <c r="AI75" s="143" t="s">
        <v>92</v>
      </c>
      <c r="AJ75" s="143" t="s">
        <v>93</v>
      </c>
      <c r="AK75" s="143" t="s">
        <v>94</v>
      </c>
      <c r="AL75" s="149" t="s">
        <v>95</v>
      </c>
      <c r="AM75" s="148" t="s">
        <v>96</v>
      </c>
      <c r="AN75" s="143" t="s">
        <v>76</v>
      </c>
      <c r="AO75" s="150" t="s">
        <v>97</v>
      </c>
      <c r="AP75" s="147">
        <v>44517</v>
      </c>
      <c r="AQ75" s="135" t="s">
        <v>3496</v>
      </c>
      <c r="AR75" s="143">
        <v>2001</v>
      </c>
      <c r="AS75" s="143" t="s">
        <v>3413</v>
      </c>
      <c r="AT75" s="143" t="s">
        <v>98</v>
      </c>
      <c r="AU75" s="143" t="s">
        <v>99</v>
      </c>
      <c r="AV75" s="143" t="s">
        <v>376</v>
      </c>
      <c r="AW75" s="143">
        <v>11</v>
      </c>
      <c r="AX75" s="143">
        <v>12</v>
      </c>
      <c r="AY75" s="143">
        <v>88.5</v>
      </c>
      <c r="AZ75" s="143">
        <v>7.0000000000000001E-3</v>
      </c>
      <c r="BA75" s="143" t="s">
        <v>101</v>
      </c>
      <c r="BB75" s="143"/>
      <c r="BC75" s="143">
        <f>3760+695+285.5+163+188</f>
        <v>5091.5</v>
      </c>
      <c r="BD75" s="143"/>
      <c r="BE75" s="143">
        <v>590</v>
      </c>
      <c r="BF75" s="143">
        <f t="shared" si="3"/>
        <v>5681.5</v>
      </c>
      <c r="BG75" s="151">
        <f t="shared" si="4"/>
        <v>312.48250000000002</v>
      </c>
      <c r="BH75" s="151">
        <f t="shared" si="5"/>
        <v>5993.9825000000001</v>
      </c>
      <c r="BI75" s="151">
        <v>5993.98</v>
      </c>
      <c r="BJ75" s="143" t="s">
        <v>102</v>
      </c>
      <c r="BK75" s="143"/>
      <c r="BL75" s="143"/>
      <c r="BM75" s="144">
        <v>0</v>
      </c>
      <c r="BN75" s="144" t="s">
        <v>103</v>
      </c>
      <c r="BO75" s="144" t="s">
        <v>103</v>
      </c>
      <c r="BP75" s="203" t="s">
        <v>3582</v>
      </c>
      <c r="BQ75" s="203" t="s">
        <v>3273</v>
      </c>
    </row>
    <row r="76" spans="1:69" ht="41.1" customHeight="1">
      <c r="A76" s="133" t="s">
        <v>86</v>
      </c>
      <c r="B76" s="133" t="s">
        <v>502</v>
      </c>
      <c r="C76" s="134">
        <v>800</v>
      </c>
      <c r="D76" s="135">
        <v>44131</v>
      </c>
      <c r="E76" s="135">
        <v>44131</v>
      </c>
      <c r="F76" s="147" t="s">
        <v>76</v>
      </c>
      <c r="G76" s="135" t="s">
        <v>76</v>
      </c>
      <c r="H76" s="147">
        <v>44133</v>
      </c>
      <c r="I76" s="147">
        <v>44133</v>
      </c>
      <c r="J76" s="147">
        <v>44137</v>
      </c>
      <c r="K76" s="135">
        <v>44177</v>
      </c>
      <c r="L76" s="135">
        <v>44159</v>
      </c>
      <c r="M76" s="135" t="s">
        <v>76</v>
      </c>
      <c r="N76" s="135">
        <v>44179</v>
      </c>
      <c r="O76" s="135">
        <v>44179</v>
      </c>
      <c r="P76" s="135">
        <v>44203</v>
      </c>
      <c r="Q76" s="135"/>
      <c r="R76" s="143"/>
      <c r="S76" s="143"/>
      <c r="T76" s="143"/>
      <c r="U76" s="143">
        <v>2</v>
      </c>
      <c r="V76" s="143">
        <v>19951</v>
      </c>
      <c r="W76" s="143" t="str">
        <f ca="1">IF(H76="",IF(D76="","",IF(U76+V76&lt;15,"Données Nb pers ou RFR manquantes",IF(COUNTA(INDIRECT("TabRFR["&amp;YEAR(D76)&amp;"]"))&lt;&gt;COUNTA(TabRFR[Recherche RFR]),"Data RFR manquantes", IF(V76&lt;=INDEX(TabRFR[[2021]:[2025]],MATCH(BD!U76&amp;"-Très modestes",TabRFR[Recherche RFR],0),MATCH(TEXT(YEAR(BD!D76),"Standard"),TabRFR[[#Headers],[2021]:[2025]],0)),"Très Modeste",IF(V76&lt;=INDEX(TabRFR[[2021]:[2025]],MATCH(BD!U76&amp;"-modestes",TabRFR[Recherche RFR],0),MATCH(TEXT(YEAR(BD!D76),"Standard"),TabRFR[[#Headers],[2021]:[2025]],0)),"Modeste",IF(V76&lt;=INDEX(TabRFR[[2021]:[2025]],MATCH(BD!U76&amp;"-Intermédiaire",TabRFR[Recherche RFR],0),MATCH(TEXT(YEAR(BD!D76),"Standard"),TabRFR[[#Headers],[2021]:[2025]],0)),"Intermédiaire","Supérieur")))))),IF(D76="","",IF(U76+V76&lt;15,"Données Nb pers ou RFR manquantes",IF(COUNTA(INDIRECT("TabRFR["&amp;YEAR(H76)&amp;"]"))&lt;&gt;COUNTA(TabRFR[Recherche RFR]),"Data RFR manquantes", IF(V76&lt;=INDEX(TabRFR[[2021]:[2025]],MATCH(BD!U76&amp;"-Très modestes",TabRFR[Recherche RFR],0),MATCH(TEXT(YEAR(BD!H76),"Standard"),TabRFR[[#Headers],[2021]:[2025]],0)),"Très Modeste",IF(V76&lt;=INDEX(TabRFR[[2021]:[2025]],MATCH(BD!U76&amp;"-modestes",TabRFR[Recherche RFR],0),MATCH(TEXT(YEAR(BD!H76),"Standard"),TabRFR[[#Headers],[2021]:[2025]],0)),"Modeste",IF(V76&lt;=INDEX(TabRFR[[2021]:[2025]],MATCH(BD!U76&amp;"-Intermédiaire",TabRFR[Recherche RFR],0),MATCH(TEXT(YEAR(BD!H76),"Standard"),TabRFR[[#Headers],[2021]:[2025]],0)),"Intermédiaire","Supérieur")))))))</f>
        <v>Data RFR manquantes</v>
      </c>
      <c r="X76" s="143"/>
      <c r="Y76" s="143" t="s">
        <v>503</v>
      </c>
      <c r="Z76" s="143">
        <v>38140</v>
      </c>
      <c r="AA76" s="143" t="s">
        <v>504</v>
      </c>
      <c r="AB76" s="148"/>
      <c r="AC76" s="149"/>
      <c r="AD76" s="143" t="s">
        <v>91</v>
      </c>
      <c r="AE76" s="143" t="s">
        <v>76</v>
      </c>
      <c r="AF76" s="143" t="s">
        <v>76</v>
      </c>
      <c r="AG76" s="143" t="s">
        <v>76</v>
      </c>
      <c r="AH76" s="143" t="s">
        <v>76</v>
      </c>
      <c r="AI76" s="143" t="s">
        <v>109</v>
      </c>
      <c r="AJ76" s="143" t="s">
        <v>108</v>
      </c>
      <c r="AK76" s="143" t="s">
        <v>110</v>
      </c>
      <c r="AL76" s="149" t="s">
        <v>111</v>
      </c>
      <c r="AM76" s="148" t="s">
        <v>112</v>
      </c>
      <c r="AN76" s="143" t="s">
        <v>76</v>
      </c>
      <c r="AO76" s="150" t="s">
        <v>102</v>
      </c>
      <c r="AP76" s="147">
        <v>44196</v>
      </c>
      <c r="AQ76" s="143" t="s">
        <v>3413</v>
      </c>
      <c r="AR76" s="143">
        <v>1990</v>
      </c>
      <c r="AS76" s="143" t="s">
        <v>3413</v>
      </c>
      <c r="AT76" s="143" t="s">
        <v>98</v>
      </c>
      <c r="AU76" s="143" t="s">
        <v>113</v>
      </c>
      <c r="AV76" s="143" t="s">
        <v>505</v>
      </c>
      <c r="AW76" s="143">
        <v>18</v>
      </c>
      <c r="AX76" s="143">
        <v>10</v>
      </c>
      <c r="AY76" s="143">
        <v>90.4</v>
      </c>
      <c r="AZ76" s="143">
        <v>3.0000000000000001E-3</v>
      </c>
      <c r="BA76" s="143" t="s">
        <v>101</v>
      </c>
      <c r="BB76" s="143"/>
      <c r="BC76" s="143">
        <f>3370+180+85+101+92+272+138</f>
        <v>4238</v>
      </c>
      <c r="BD76" s="143"/>
      <c r="BE76" s="143">
        <f>15+50+420</f>
        <v>485</v>
      </c>
      <c r="BF76" s="143">
        <f t="shared" si="3"/>
        <v>4723</v>
      </c>
      <c r="BG76" s="151">
        <f t="shared" si="4"/>
        <v>259.76499999999999</v>
      </c>
      <c r="BH76" s="151">
        <f t="shared" si="5"/>
        <v>4982.7650000000003</v>
      </c>
      <c r="BI76" s="151">
        <v>4982.76</v>
      </c>
      <c r="BJ76" s="143" t="s">
        <v>115</v>
      </c>
      <c r="BK76" s="143"/>
      <c r="BL76" s="143"/>
      <c r="BM76" s="143" t="s">
        <v>142</v>
      </c>
      <c r="BN76" s="144" t="s">
        <v>103</v>
      </c>
      <c r="BO76" s="135" t="s">
        <v>155</v>
      </c>
      <c r="BP76" s="143" t="s">
        <v>3583</v>
      </c>
      <c r="BQ76" s="203" t="s">
        <v>3274</v>
      </c>
    </row>
    <row r="77" spans="1:69" ht="41.1" customHeight="1">
      <c r="A77" s="133" t="s">
        <v>86</v>
      </c>
      <c r="B77" s="133" t="s">
        <v>506</v>
      </c>
      <c r="C77" s="134">
        <v>400</v>
      </c>
      <c r="D77" s="135">
        <v>44130</v>
      </c>
      <c r="E77" s="135">
        <v>44131</v>
      </c>
      <c r="F77" s="147" t="s">
        <v>76</v>
      </c>
      <c r="G77" s="135" t="s">
        <v>76</v>
      </c>
      <c r="H77" s="147">
        <v>44133</v>
      </c>
      <c r="I77" s="147">
        <v>44133</v>
      </c>
      <c r="J77" s="147">
        <v>44139</v>
      </c>
      <c r="K77" s="135">
        <v>44158</v>
      </c>
      <c r="L77" s="135">
        <v>44154</v>
      </c>
      <c r="M77" s="135" t="s">
        <v>507</v>
      </c>
      <c r="N77" s="135">
        <v>44169</v>
      </c>
      <c r="O77" s="135">
        <v>44169</v>
      </c>
      <c r="P77" s="135">
        <v>44174</v>
      </c>
      <c r="Q77" s="135"/>
      <c r="R77" s="143"/>
      <c r="S77" s="143"/>
      <c r="T77" s="143"/>
      <c r="U77" s="143">
        <v>2</v>
      </c>
      <c r="V77" s="143">
        <v>34738</v>
      </c>
      <c r="W77" s="143" t="str">
        <f ca="1">IF(H77="",IF(D77="","",IF(U77+V77&lt;15,"Données Nb pers ou RFR manquantes",IF(COUNTA(INDIRECT("TabRFR["&amp;YEAR(D77)&amp;"]"))&lt;&gt;COUNTA(TabRFR[Recherche RFR]),"Data RFR manquantes", IF(V77&lt;=INDEX(TabRFR[[2021]:[2025]],MATCH(BD!U77&amp;"-Très modestes",TabRFR[Recherche RFR],0),MATCH(TEXT(YEAR(BD!D77),"Standard"),TabRFR[[#Headers],[2021]:[2025]],0)),"Très Modeste",IF(V77&lt;=INDEX(TabRFR[[2021]:[2025]],MATCH(BD!U77&amp;"-modestes",TabRFR[Recherche RFR],0),MATCH(TEXT(YEAR(BD!D77),"Standard"),TabRFR[[#Headers],[2021]:[2025]],0)),"Modeste",IF(V77&lt;=INDEX(TabRFR[[2021]:[2025]],MATCH(BD!U77&amp;"-Intermédiaire",TabRFR[Recherche RFR],0),MATCH(TEXT(YEAR(BD!D77),"Standard"),TabRFR[[#Headers],[2021]:[2025]],0)),"Intermédiaire","Supérieur")))))),IF(D77="","",IF(U77+V77&lt;15,"Données Nb pers ou RFR manquantes",IF(COUNTA(INDIRECT("TabRFR["&amp;YEAR(H77)&amp;"]"))&lt;&gt;COUNTA(TabRFR[Recherche RFR]),"Data RFR manquantes", IF(V77&lt;=INDEX(TabRFR[[2021]:[2025]],MATCH(BD!U77&amp;"-Très modestes",TabRFR[Recherche RFR],0),MATCH(TEXT(YEAR(BD!H77),"Standard"),TabRFR[[#Headers],[2021]:[2025]],0)),"Très Modeste",IF(V77&lt;=INDEX(TabRFR[[2021]:[2025]],MATCH(BD!U77&amp;"-modestes",TabRFR[Recherche RFR],0),MATCH(TEXT(YEAR(BD!H77),"Standard"),TabRFR[[#Headers],[2021]:[2025]],0)),"Modeste",IF(V77&lt;=INDEX(TabRFR[[2021]:[2025]],MATCH(BD!U77&amp;"-Intermédiaire",TabRFR[Recherche RFR],0),MATCH(TEXT(YEAR(BD!H77),"Standard"),TabRFR[[#Headers],[2021]:[2025]],0)),"Intermédiaire","Supérieur")))))))</f>
        <v>Data RFR manquantes</v>
      </c>
      <c r="X77" s="143"/>
      <c r="Y77" s="143" t="s">
        <v>508</v>
      </c>
      <c r="Z77" s="143">
        <v>38210</v>
      </c>
      <c r="AA77" s="143" t="s">
        <v>202</v>
      </c>
      <c r="AB77" s="148"/>
      <c r="AC77" s="149"/>
      <c r="AD77" s="143" t="s">
        <v>91</v>
      </c>
      <c r="AE77" s="143" t="s">
        <v>76</v>
      </c>
      <c r="AF77" s="143" t="s">
        <v>76</v>
      </c>
      <c r="AG77" s="143" t="s">
        <v>76</v>
      </c>
      <c r="AH77" s="143" t="s">
        <v>76</v>
      </c>
      <c r="AI77" s="135" t="s">
        <v>285</v>
      </c>
      <c r="AJ77" s="143" t="s">
        <v>108</v>
      </c>
      <c r="AK77" s="143" t="s">
        <v>286</v>
      </c>
      <c r="AL77" s="150" t="s">
        <v>287</v>
      </c>
      <c r="AM77" s="148">
        <v>476069938</v>
      </c>
      <c r="AN77" s="143" t="s">
        <v>76</v>
      </c>
      <c r="AO77" s="150" t="s">
        <v>102</v>
      </c>
      <c r="AP77" s="147">
        <v>44457</v>
      </c>
      <c r="AQ77" s="135" t="s">
        <v>3449</v>
      </c>
      <c r="AR77" s="143">
        <v>1985</v>
      </c>
      <c r="AS77" s="135" t="s">
        <v>3496</v>
      </c>
      <c r="AT77" s="135" t="s">
        <v>3446</v>
      </c>
      <c r="AU77" s="143" t="s">
        <v>469</v>
      </c>
      <c r="AV77" s="143" t="s">
        <v>470</v>
      </c>
      <c r="AW77" s="143">
        <v>12</v>
      </c>
      <c r="AX77" s="143">
        <v>5</v>
      </c>
      <c r="AY77" s="143">
        <v>81</v>
      </c>
      <c r="AZ77" s="143">
        <v>0.1</v>
      </c>
      <c r="BA77" s="143" t="s">
        <v>101</v>
      </c>
      <c r="BB77" s="143"/>
      <c r="BC77" s="143">
        <f>2105+190+460+89+150</f>
        <v>2994</v>
      </c>
      <c r="BD77" s="143"/>
      <c r="BE77" s="143">
        <f>250+450</f>
        <v>700</v>
      </c>
      <c r="BF77" s="143">
        <f t="shared" si="3"/>
        <v>3694</v>
      </c>
      <c r="BG77" s="143">
        <f t="shared" si="4"/>
        <v>203.17</v>
      </c>
      <c r="BH77" s="143">
        <f t="shared" si="5"/>
        <v>3897.17</v>
      </c>
      <c r="BI77" s="151">
        <v>3897.17</v>
      </c>
      <c r="BJ77" s="143" t="s">
        <v>115</v>
      </c>
      <c r="BK77" s="143"/>
      <c r="BL77" s="143"/>
      <c r="BM77" s="144" t="s">
        <v>142</v>
      </c>
      <c r="BN77" s="144" t="s">
        <v>103</v>
      </c>
      <c r="BO77" s="144" t="s">
        <v>143</v>
      </c>
      <c r="BP77" s="144">
        <v>2020</v>
      </c>
      <c r="BQ77" s="203" t="s">
        <v>3274</v>
      </c>
    </row>
    <row r="78" spans="1:69" ht="41.1" customHeight="1">
      <c r="A78" s="133" t="s">
        <v>86</v>
      </c>
      <c r="B78" s="133" t="s">
        <v>509</v>
      </c>
      <c r="C78" s="134">
        <v>400</v>
      </c>
      <c r="D78" s="135">
        <v>44131</v>
      </c>
      <c r="E78" s="135">
        <v>44137</v>
      </c>
      <c r="F78" s="147" t="s">
        <v>76</v>
      </c>
      <c r="G78" s="135" t="s">
        <v>76</v>
      </c>
      <c r="H78" s="147">
        <v>44140</v>
      </c>
      <c r="I78" s="147">
        <v>44140</v>
      </c>
      <c r="J78" s="147">
        <v>44147</v>
      </c>
      <c r="K78" s="135">
        <v>44467</v>
      </c>
      <c r="L78" s="135">
        <v>44406</v>
      </c>
      <c r="M78" s="135" t="s">
        <v>76</v>
      </c>
      <c r="N78" s="135">
        <v>44469</v>
      </c>
      <c r="O78" s="135">
        <v>44469</v>
      </c>
      <c r="P78" s="135">
        <v>44469</v>
      </c>
      <c r="Q78" s="135"/>
      <c r="R78" s="143"/>
      <c r="S78" s="143"/>
      <c r="T78" s="143"/>
      <c r="U78" s="143">
        <v>1</v>
      </c>
      <c r="V78" s="143">
        <v>27708</v>
      </c>
      <c r="W78" s="143" t="str">
        <f ca="1">IF(H78="",IF(D78="","",IF(U78+V78&lt;15,"Données Nb pers ou RFR manquantes",IF(COUNTA(INDIRECT("TabRFR["&amp;YEAR(D78)&amp;"]"))&lt;&gt;COUNTA(TabRFR[Recherche RFR]),"Data RFR manquantes", IF(V78&lt;=INDEX(TabRFR[[2021]:[2025]],MATCH(BD!U78&amp;"-Très modestes",TabRFR[Recherche RFR],0),MATCH(TEXT(YEAR(BD!D78),"Standard"),TabRFR[[#Headers],[2021]:[2025]],0)),"Très Modeste",IF(V78&lt;=INDEX(TabRFR[[2021]:[2025]],MATCH(BD!U78&amp;"-modestes",TabRFR[Recherche RFR],0),MATCH(TEXT(YEAR(BD!D78),"Standard"),TabRFR[[#Headers],[2021]:[2025]],0)),"Modeste",IF(V78&lt;=INDEX(TabRFR[[2021]:[2025]],MATCH(BD!U78&amp;"-Intermédiaire",TabRFR[Recherche RFR],0),MATCH(TEXT(YEAR(BD!D78),"Standard"),TabRFR[[#Headers],[2021]:[2025]],0)),"Intermédiaire","Supérieur")))))),IF(D78="","",IF(U78+V78&lt;15,"Données Nb pers ou RFR manquantes",IF(COUNTA(INDIRECT("TabRFR["&amp;YEAR(H78)&amp;"]"))&lt;&gt;COUNTA(TabRFR[Recherche RFR]),"Data RFR manquantes", IF(V78&lt;=INDEX(TabRFR[[2021]:[2025]],MATCH(BD!U78&amp;"-Très modestes",TabRFR[Recherche RFR],0),MATCH(TEXT(YEAR(BD!H78),"Standard"),TabRFR[[#Headers],[2021]:[2025]],0)),"Très Modeste",IF(V78&lt;=INDEX(TabRFR[[2021]:[2025]],MATCH(BD!U78&amp;"-modestes",TabRFR[Recherche RFR],0),MATCH(TEXT(YEAR(BD!H78),"Standard"),TabRFR[[#Headers],[2021]:[2025]],0)),"Modeste",IF(V78&lt;=INDEX(TabRFR[[2021]:[2025]],MATCH(BD!U78&amp;"-Intermédiaire",TabRFR[Recherche RFR],0),MATCH(TEXT(YEAR(BD!H78),"Standard"),TabRFR[[#Headers],[2021]:[2025]],0)),"Intermédiaire","Supérieur")))))))</f>
        <v>Data RFR manquantes</v>
      </c>
      <c r="X78" s="143"/>
      <c r="Y78" s="143" t="s">
        <v>510</v>
      </c>
      <c r="Z78" s="143">
        <v>38140</v>
      </c>
      <c r="AA78" s="143" t="s">
        <v>200</v>
      </c>
      <c r="AB78" s="148"/>
      <c r="AC78" s="149"/>
      <c r="AD78" s="143" t="s">
        <v>91</v>
      </c>
      <c r="AE78" s="143" t="s">
        <v>76</v>
      </c>
      <c r="AF78" s="143" t="s">
        <v>76</v>
      </c>
      <c r="AG78" s="143" t="s">
        <v>76</v>
      </c>
      <c r="AH78" s="143" t="s">
        <v>76</v>
      </c>
      <c r="AI78" s="143" t="s">
        <v>120</v>
      </c>
      <c r="AJ78" s="143" t="s">
        <v>121</v>
      </c>
      <c r="AK78" s="143" t="s">
        <v>122</v>
      </c>
      <c r="AL78" s="150" t="s">
        <v>123</v>
      </c>
      <c r="AM78" s="148">
        <v>608287337</v>
      </c>
      <c r="AN78" s="143" t="s">
        <v>76</v>
      </c>
      <c r="AO78" s="150" t="s">
        <v>102</v>
      </c>
      <c r="AP78" s="147">
        <v>44417</v>
      </c>
      <c r="AQ78" s="143" t="s">
        <v>3413</v>
      </c>
      <c r="AR78" s="143">
        <v>1998</v>
      </c>
      <c r="AS78" s="143" t="s">
        <v>3413</v>
      </c>
      <c r="AT78" s="143" t="s">
        <v>98</v>
      </c>
      <c r="AU78" s="143" t="s">
        <v>124</v>
      </c>
      <c r="AV78" s="143" t="s">
        <v>511</v>
      </c>
      <c r="AW78" s="143">
        <v>15.4</v>
      </c>
      <c r="AX78" s="143">
        <v>11.03</v>
      </c>
      <c r="AY78" s="143">
        <v>87.7</v>
      </c>
      <c r="AZ78" s="143">
        <v>0.01</v>
      </c>
      <c r="BA78" s="143" t="s">
        <v>126</v>
      </c>
      <c r="BB78" s="143"/>
      <c r="BC78" s="143">
        <f>4062+635</f>
        <v>4697</v>
      </c>
      <c r="BD78" s="143"/>
      <c r="BE78" s="143">
        <v>650</v>
      </c>
      <c r="BF78" s="143">
        <f t="shared" si="3"/>
        <v>5347</v>
      </c>
      <c r="BG78" s="151">
        <f t="shared" si="4"/>
        <v>294.08499999999998</v>
      </c>
      <c r="BH78" s="151">
        <f t="shared" si="5"/>
        <v>5641.085</v>
      </c>
      <c r="BI78" s="151">
        <v>5347</v>
      </c>
      <c r="BJ78" s="143" t="s">
        <v>102</v>
      </c>
      <c r="BK78" s="143"/>
      <c r="BL78" s="143"/>
      <c r="BM78" s="144" t="s">
        <v>3576</v>
      </c>
      <c r="BN78" s="144" t="s">
        <v>103</v>
      </c>
      <c r="BO78" s="144" t="s">
        <v>143</v>
      </c>
      <c r="BP78" s="143" t="s">
        <v>3583</v>
      </c>
      <c r="BQ78" s="203" t="s">
        <v>144</v>
      </c>
    </row>
    <row r="79" spans="1:69" ht="41.1" customHeight="1">
      <c r="A79" s="133" t="s">
        <v>86</v>
      </c>
      <c r="B79" s="133" t="s">
        <v>512</v>
      </c>
      <c r="C79" s="134">
        <v>400</v>
      </c>
      <c r="D79" s="135">
        <v>44144</v>
      </c>
      <c r="E79" s="135">
        <v>44145</v>
      </c>
      <c r="F79" s="147" t="s">
        <v>76</v>
      </c>
      <c r="G79" s="135" t="s">
        <v>76</v>
      </c>
      <c r="H79" s="147">
        <v>44145</v>
      </c>
      <c r="I79" s="147">
        <v>44145</v>
      </c>
      <c r="J79" s="147">
        <v>44148</v>
      </c>
      <c r="K79" s="135">
        <v>44222</v>
      </c>
      <c r="L79" s="135">
        <v>44217</v>
      </c>
      <c r="M79" s="135" t="s">
        <v>76</v>
      </c>
      <c r="N79" s="135">
        <v>44224</v>
      </c>
      <c r="O79" s="135">
        <v>44224</v>
      </c>
      <c r="P79" s="135">
        <v>44242</v>
      </c>
      <c r="Q79" s="135"/>
      <c r="R79" s="143"/>
      <c r="S79" s="143"/>
      <c r="T79" s="143"/>
      <c r="U79" s="143">
        <v>4</v>
      </c>
      <c r="V79" s="143">
        <v>47733</v>
      </c>
      <c r="W79" s="143" t="str">
        <f ca="1">IF(H79="",IF(D79="","",IF(U79+V79&lt;15,"Données Nb pers ou RFR manquantes",IF(COUNTA(INDIRECT("TabRFR["&amp;YEAR(D79)&amp;"]"))&lt;&gt;COUNTA(TabRFR[Recherche RFR]),"Data RFR manquantes", IF(V79&lt;=INDEX(TabRFR[[2021]:[2025]],MATCH(BD!U79&amp;"-Très modestes",TabRFR[Recherche RFR],0),MATCH(TEXT(YEAR(BD!D79),"Standard"),TabRFR[[#Headers],[2021]:[2025]],0)),"Très Modeste",IF(V79&lt;=INDEX(TabRFR[[2021]:[2025]],MATCH(BD!U79&amp;"-modestes",TabRFR[Recherche RFR],0),MATCH(TEXT(YEAR(BD!D79),"Standard"),TabRFR[[#Headers],[2021]:[2025]],0)),"Modeste",IF(V79&lt;=INDEX(TabRFR[[2021]:[2025]],MATCH(BD!U79&amp;"-Intermédiaire",TabRFR[Recherche RFR],0),MATCH(TEXT(YEAR(BD!D79),"Standard"),TabRFR[[#Headers],[2021]:[2025]],0)),"Intermédiaire","Supérieur")))))),IF(D79="","",IF(U79+V79&lt;15,"Données Nb pers ou RFR manquantes",IF(COUNTA(INDIRECT("TabRFR["&amp;YEAR(H79)&amp;"]"))&lt;&gt;COUNTA(TabRFR[Recherche RFR]),"Data RFR manquantes", IF(V79&lt;=INDEX(TabRFR[[2021]:[2025]],MATCH(BD!U79&amp;"-Très modestes",TabRFR[Recherche RFR],0),MATCH(TEXT(YEAR(BD!H79),"Standard"),TabRFR[[#Headers],[2021]:[2025]],0)),"Très Modeste",IF(V79&lt;=INDEX(TabRFR[[2021]:[2025]],MATCH(BD!U79&amp;"-modestes",TabRFR[Recherche RFR],0),MATCH(TEXT(YEAR(BD!H79),"Standard"),TabRFR[[#Headers],[2021]:[2025]],0)),"Modeste",IF(V79&lt;=INDEX(TabRFR[[2021]:[2025]],MATCH(BD!U79&amp;"-Intermédiaire",TabRFR[Recherche RFR],0),MATCH(TEXT(YEAR(BD!H79),"Standard"),TabRFR[[#Headers],[2021]:[2025]],0)),"Intermédiaire","Supérieur")))))))</f>
        <v>Data RFR manquantes</v>
      </c>
      <c r="X79" s="143"/>
      <c r="Y79" s="143" t="s">
        <v>513</v>
      </c>
      <c r="Z79" s="143">
        <v>38140</v>
      </c>
      <c r="AA79" s="143" t="s">
        <v>184</v>
      </c>
      <c r="AB79" s="148"/>
      <c r="AC79" s="149"/>
      <c r="AD79" s="143" t="s">
        <v>91</v>
      </c>
      <c r="AE79" s="148" t="s">
        <v>76</v>
      </c>
      <c r="AF79" s="143" t="s">
        <v>76</v>
      </c>
      <c r="AG79" s="143" t="s">
        <v>76</v>
      </c>
      <c r="AH79" s="143" t="s">
        <v>76</v>
      </c>
      <c r="AI79" s="143" t="s">
        <v>109</v>
      </c>
      <c r="AJ79" s="143" t="s">
        <v>108</v>
      </c>
      <c r="AK79" s="143" t="s">
        <v>110</v>
      </c>
      <c r="AL79" s="149" t="s">
        <v>111</v>
      </c>
      <c r="AM79" s="148" t="s">
        <v>112</v>
      </c>
      <c r="AN79" s="143" t="s">
        <v>76</v>
      </c>
      <c r="AO79" s="150" t="s">
        <v>102</v>
      </c>
      <c r="AP79" s="147">
        <v>44196</v>
      </c>
      <c r="AQ79" s="135" t="s">
        <v>3323</v>
      </c>
      <c r="AR79" s="143">
        <v>1990</v>
      </c>
      <c r="AS79" s="143" t="s">
        <v>3413</v>
      </c>
      <c r="AT79" s="135" t="s">
        <v>3446</v>
      </c>
      <c r="AU79" s="143" t="s">
        <v>514</v>
      </c>
      <c r="AV79" s="143" t="s">
        <v>515</v>
      </c>
      <c r="AW79" s="143">
        <v>15</v>
      </c>
      <c r="AX79" s="143">
        <v>6</v>
      </c>
      <c r="AY79" s="143">
        <v>77</v>
      </c>
      <c r="AZ79" s="143">
        <v>0.1</v>
      </c>
      <c r="BA79" s="143" t="s">
        <v>101</v>
      </c>
      <c r="BB79" s="143"/>
      <c r="BC79" s="143">
        <f>2170+278+300+101+68+60+1.5+22+90</f>
        <v>3090.5</v>
      </c>
      <c r="BD79" s="143"/>
      <c r="BE79" s="143">
        <v>250</v>
      </c>
      <c r="BF79" s="143">
        <f t="shared" si="3"/>
        <v>3340.5</v>
      </c>
      <c r="BG79" s="151">
        <f t="shared" si="4"/>
        <v>183.72749999999999</v>
      </c>
      <c r="BH79" s="151">
        <f t="shared" si="5"/>
        <v>3524.2275</v>
      </c>
      <c r="BI79" s="151">
        <v>3390.77</v>
      </c>
      <c r="BJ79" s="143" t="s">
        <v>102</v>
      </c>
      <c r="BK79" s="143"/>
      <c r="BL79" s="143"/>
      <c r="BM79" s="144" t="s">
        <v>3576</v>
      </c>
      <c r="BN79" s="144" t="s">
        <v>103</v>
      </c>
      <c r="BO79" s="144" t="s">
        <v>143</v>
      </c>
      <c r="BP79" s="143">
        <v>2020</v>
      </c>
      <c r="BQ79" s="203" t="s">
        <v>144</v>
      </c>
    </row>
    <row r="80" spans="1:69" ht="41.1" customHeight="1">
      <c r="A80" s="133" t="s">
        <v>86</v>
      </c>
      <c r="B80" s="133" t="s">
        <v>516</v>
      </c>
      <c r="C80" s="134">
        <v>400</v>
      </c>
      <c r="D80" s="135">
        <v>44145</v>
      </c>
      <c r="E80" s="135">
        <v>44148</v>
      </c>
      <c r="F80" s="147" t="s">
        <v>76</v>
      </c>
      <c r="G80" s="135" t="s">
        <v>76</v>
      </c>
      <c r="H80" s="147">
        <v>44148</v>
      </c>
      <c r="I80" s="147">
        <v>44148</v>
      </c>
      <c r="J80" s="147">
        <v>44153</v>
      </c>
      <c r="K80" s="135">
        <v>44200</v>
      </c>
      <c r="L80" s="135">
        <v>44189</v>
      </c>
      <c r="M80" s="135" t="s">
        <v>76</v>
      </c>
      <c r="N80" s="135">
        <v>44204</v>
      </c>
      <c r="O80" s="135">
        <v>44204</v>
      </c>
      <c r="P80" s="135">
        <v>44211</v>
      </c>
      <c r="Q80" s="135"/>
      <c r="R80" s="143"/>
      <c r="S80" s="143"/>
      <c r="T80" s="143"/>
      <c r="U80" s="143">
        <v>2</v>
      </c>
      <c r="V80" s="143">
        <v>51147</v>
      </c>
      <c r="W80" s="143" t="str">
        <f ca="1">IF(H80="",IF(D80="","",IF(U80+V80&lt;15,"Données Nb pers ou RFR manquantes",IF(COUNTA(INDIRECT("TabRFR["&amp;YEAR(D80)&amp;"]"))&lt;&gt;COUNTA(TabRFR[Recherche RFR]),"Data RFR manquantes", IF(V80&lt;=INDEX(TabRFR[[2021]:[2025]],MATCH(BD!U80&amp;"-Très modestes",TabRFR[Recherche RFR],0),MATCH(TEXT(YEAR(BD!D80),"Standard"),TabRFR[[#Headers],[2021]:[2025]],0)),"Très Modeste",IF(V80&lt;=INDEX(TabRFR[[2021]:[2025]],MATCH(BD!U80&amp;"-modestes",TabRFR[Recherche RFR],0),MATCH(TEXT(YEAR(BD!D80),"Standard"),TabRFR[[#Headers],[2021]:[2025]],0)),"Modeste",IF(V80&lt;=INDEX(TabRFR[[2021]:[2025]],MATCH(BD!U80&amp;"-Intermédiaire",TabRFR[Recherche RFR],0),MATCH(TEXT(YEAR(BD!D80),"Standard"),TabRFR[[#Headers],[2021]:[2025]],0)),"Intermédiaire","Supérieur")))))),IF(D80="","",IF(U80+V80&lt;15,"Données Nb pers ou RFR manquantes",IF(COUNTA(INDIRECT("TabRFR["&amp;YEAR(H80)&amp;"]"))&lt;&gt;COUNTA(TabRFR[Recherche RFR]),"Data RFR manquantes", IF(V80&lt;=INDEX(TabRFR[[2021]:[2025]],MATCH(BD!U80&amp;"-Très modestes",TabRFR[Recherche RFR],0),MATCH(TEXT(YEAR(BD!H80),"Standard"),TabRFR[[#Headers],[2021]:[2025]],0)),"Très Modeste",IF(V80&lt;=INDEX(TabRFR[[2021]:[2025]],MATCH(BD!U80&amp;"-modestes",TabRFR[Recherche RFR],0),MATCH(TEXT(YEAR(BD!H80),"Standard"),TabRFR[[#Headers],[2021]:[2025]],0)),"Modeste",IF(V80&lt;=INDEX(TabRFR[[2021]:[2025]],MATCH(BD!U80&amp;"-Intermédiaire",TabRFR[Recherche RFR],0),MATCH(TEXT(YEAR(BD!H80),"Standard"),TabRFR[[#Headers],[2021]:[2025]],0)),"Intermédiaire","Supérieur")))))))</f>
        <v>Data RFR manquantes</v>
      </c>
      <c r="X80" s="143"/>
      <c r="Y80" s="143" t="s">
        <v>517</v>
      </c>
      <c r="Z80" s="143">
        <v>38620</v>
      </c>
      <c r="AA80" s="143" t="s">
        <v>518</v>
      </c>
      <c r="AB80" s="148"/>
      <c r="AC80" s="149"/>
      <c r="AD80" s="143" t="s">
        <v>91</v>
      </c>
      <c r="AE80" s="143" t="s">
        <v>76</v>
      </c>
      <c r="AF80" s="143" t="s">
        <v>76</v>
      </c>
      <c r="AG80" s="143" t="s">
        <v>76</v>
      </c>
      <c r="AH80" s="143" t="s">
        <v>76</v>
      </c>
      <c r="AI80" s="143" t="s">
        <v>92</v>
      </c>
      <c r="AJ80" s="143" t="s">
        <v>93</v>
      </c>
      <c r="AK80" s="143" t="s">
        <v>94</v>
      </c>
      <c r="AL80" s="149" t="s">
        <v>95</v>
      </c>
      <c r="AM80" s="148" t="s">
        <v>96</v>
      </c>
      <c r="AN80" s="143" t="s">
        <v>76</v>
      </c>
      <c r="AO80" s="150" t="s">
        <v>97</v>
      </c>
      <c r="AP80" s="147">
        <v>44517</v>
      </c>
      <c r="AQ80" s="135" t="s">
        <v>3496</v>
      </c>
      <c r="AR80" s="143">
        <v>1989</v>
      </c>
      <c r="AS80" s="143" t="s">
        <v>3413</v>
      </c>
      <c r="AT80" s="143" t="s">
        <v>98</v>
      </c>
      <c r="AU80" s="143" t="s">
        <v>99</v>
      </c>
      <c r="AV80" s="143" t="s">
        <v>519</v>
      </c>
      <c r="AW80" s="143">
        <v>11</v>
      </c>
      <c r="AX80" s="143">
        <v>12</v>
      </c>
      <c r="AY80" s="143">
        <v>88.5</v>
      </c>
      <c r="AZ80" s="143">
        <v>0.01</v>
      </c>
      <c r="BA80" s="143" t="s">
        <v>101</v>
      </c>
      <c r="BB80" s="143"/>
      <c r="BC80" s="143">
        <f>4150+996+145+393+295+460+160</f>
        <v>6599</v>
      </c>
      <c r="BD80" s="143"/>
      <c r="BE80" s="143">
        <v>590</v>
      </c>
      <c r="BF80" s="143">
        <f t="shared" si="3"/>
        <v>7189</v>
      </c>
      <c r="BG80" s="151">
        <f t="shared" si="4"/>
        <v>395.39499999999998</v>
      </c>
      <c r="BH80" s="151">
        <f t="shared" si="5"/>
        <v>7584.3950000000004</v>
      </c>
      <c r="BI80" s="151">
        <v>7584.4</v>
      </c>
      <c r="BJ80" s="143" t="s">
        <v>115</v>
      </c>
      <c r="BK80" s="143"/>
      <c r="BL80" s="143"/>
      <c r="BM80" s="144" t="s">
        <v>142</v>
      </c>
      <c r="BN80" s="144" t="s">
        <v>103</v>
      </c>
      <c r="BO80" s="144" t="s">
        <v>143</v>
      </c>
      <c r="BP80" s="143" t="s">
        <v>3583</v>
      </c>
      <c r="BQ80" s="203" t="s">
        <v>3274</v>
      </c>
    </row>
    <row r="81" spans="1:69" ht="41.1" customHeight="1">
      <c r="A81" s="133" t="s">
        <v>86</v>
      </c>
      <c r="B81" s="133" t="s">
        <v>520</v>
      </c>
      <c r="C81" s="134">
        <v>400</v>
      </c>
      <c r="D81" s="135">
        <v>44152</v>
      </c>
      <c r="E81" s="135">
        <v>44154</v>
      </c>
      <c r="F81" s="147" t="s">
        <v>76</v>
      </c>
      <c r="G81" s="135" t="s">
        <v>76</v>
      </c>
      <c r="H81" s="147">
        <v>44158</v>
      </c>
      <c r="I81" s="147">
        <v>44158</v>
      </c>
      <c r="J81" s="147">
        <v>44166</v>
      </c>
      <c r="K81" s="135">
        <v>44221</v>
      </c>
      <c r="L81" s="135">
        <v>44180</v>
      </c>
      <c r="M81" s="135" t="s">
        <v>521</v>
      </c>
      <c r="N81" s="135">
        <v>44222</v>
      </c>
      <c r="O81" s="135">
        <v>44222</v>
      </c>
      <c r="P81" s="135">
        <v>44242</v>
      </c>
      <c r="Q81" s="135"/>
      <c r="R81" s="143"/>
      <c r="S81" s="143"/>
      <c r="T81" s="143"/>
      <c r="U81" s="143">
        <v>2</v>
      </c>
      <c r="V81" s="143">
        <v>95914</v>
      </c>
      <c r="W81" s="143" t="str">
        <f ca="1">IF(H81="",IF(D81="","",IF(U81+V81&lt;15,"Données Nb pers ou RFR manquantes",IF(COUNTA(INDIRECT("TabRFR["&amp;YEAR(D81)&amp;"]"))&lt;&gt;COUNTA(TabRFR[Recherche RFR]),"Data RFR manquantes", IF(V81&lt;=INDEX(TabRFR[[2021]:[2025]],MATCH(BD!U81&amp;"-Très modestes",TabRFR[Recherche RFR],0),MATCH(TEXT(YEAR(BD!D81),"Standard"),TabRFR[[#Headers],[2021]:[2025]],0)),"Très Modeste",IF(V81&lt;=INDEX(TabRFR[[2021]:[2025]],MATCH(BD!U81&amp;"-modestes",TabRFR[Recherche RFR],0),MATCH(TEXT(YEAR(BD!D81),"Standard"),TabRFR[[#Headers],[2021]:[2025]],0)),"Modeste",IF(V81&lt;=INDEX(TabRFR[[2021]:[2025]],MATCH(BD!U81&amp;"-Intermédiaire",TabRFR[Recherche RFR],0),MATCH(TEXT(YEAR(BD!D81),"Standard"),TabRFR[[#Headers],[2021]:[2025]],0)),"Intermédiaire","Supérieur")))))),IF(D81="","",IF(U81+V81&lt;15,"Données Nb pers ou RFR manquantes",IF(COUNTA(INDIRECT("TabRFR["&amp;YEAR(H81)&amp;"]"))&lt;&gt;COUNTA(TabRFR[Recherche RFR]),"Data RFR manquantes", IF(V81&lt;=INDEX(TabRFR[[2021]:[2025]],MATCH(BD!U81&amp;"-Très modestes",TabRFR[Recherche RFR],0),MATCH(TEXT(YEAR(BD!H81),"Standard"),TabRFR[[#Headers],[2021]:[2025]],0)),"Très Modeste",IF(V81&lt;=INDEX(TabRFR[[2021]:[2025]],MATCH(BD!U81&amp;"-modestes",TabRFR[Recherche RFR],0),MATCH(TEXT(YEAR(BD!H81),"Standard"),TabRFR[[#Headers],[2021]:[2025]],0)),"Modeste",IF(V81&lt;=INDEX(TabRFR[[2021]:[2025]],MATCH(BD!U81&amp;"-Intermédiaire",TabRFR[Recherche RFR],0),MATCH(TEXT(YEAR(BD!H81),"Standard"),TabRFR[[#Headers],[2021]:[2025]],0)),"Intermédiaire","Supérieur")))))))</f>
        <v>Data RFR manquantes</v>
      </c>
      <c r="X81" s="143"/>
      <c r="Y81" s="143" t="s">
        <v>522</v>
      </c>
      <c r="Z81" s="143">
        <v>38500</v>
      </c>
      <c r="AA81" s="143" t="s">
        <v>108</v>
      </c>
      <c r="AB81" s="148"/>
      <c r="AC81" s="149"/>
      <c r="AD81" s="143" t="s">
        <v>91</v>
      </c>
      <c r="AE81" s="143" t="s">
        <v>76</v>
      </c>
      <c r="AF81" s="143" t="s">
        <v>76</v>
      </c>
      <c r="AG81" s="143" t="s">
        <v>76</v>
      </c>
      <c r="AH81" s="143" t="s">
        <v>76</v>
      </c>
      <c r="AI81" s="135" t="s">
        <v>220</v>
      </c>
      <c r="AJ81" s="143" t="s">
        <v>108</v>
      </c>
      <c r="AK81" s="143" t="s">
        <v>221</v>
      </c>
      <c r="AL81" s="150" t="s">
        <v>222</v>
      </c>
      <c r="AM81" s="148">
        <v>476323235</v>
      </c>
      <c r="AN81" s="143" t="s">
        <v>76</v>
      </c>
      <c r="AO81" s="150" t="s">
        <v>102</v>
      </c>
      <c r="AP81" s="147">
        <v>44429</v>
      </c>
      <c r="AQ81" s="135" t="s">
        <v>3496</v>
      </c>
      <c r="AR81" s="143">
        <v>1998</v>
      </c>
      <c r="AS81" s="143" t="s">
        <v>3413</v>
      </c>
      <c r="AT81" s="143" t="s">
        <v>98</v>
      </c>
      <c r="AU81" s="143" t="s">
        <v>113</v>
      </c>
      <c r="AV81" s="143" t="s">
        <v>408</v>
      </c>
      <c r="AW81" s="143">
        <v>18</v>
      </c>
      <c r="AX81" s="143">
        <v>10</v>
      </c>
      <c r="AY81" s="143">
        <v>90.4</v>
      </c>
      <c r="AZ81" s="143">
        <v>3.0000000000000001E-3</v>
      </c>
      <c r="BA81" s="143" t="s">
        <v>101</v>
      </c>
      <c r="BB81" s="143"/>
      <c r="BC81" s="143">
        <f>3100+168+136+95+30</f>
        <v>3529</v>
      </c>
      <c r="BD81" s="143"/>
      <c r="BE81" s="143">
        <f>35+430+220+40+360</f>
        <v>1085</v>
      </c>
      <c r="BF81" s="143">
        <f t="shared" si="3"/>
        <v>4614</v>
      </c>
      <c r="BG81" s="151">
        <f t="shared" si="4"/>
        <v>253.77</v>
      </c>
      <c r="BH81" s="151">
        <f t="shared" si="5"/>
        <v>4867.7700000000004</v>
      </c>
      <c r="BI81" s="151">
        <v>4898.6000000000004</v>
      </c>
      <c r="BJ81" s="143" t="s">
        <v>115</v>
      </c>
      <c r="BK81" s="143"/>
      <c r="BL81" s="143"/>
      <c r="BM81" s="144" t="s">
        <v>142</v>
      </c>
      <c r="BN81" s="144" t="s">
        <v>103</v>
      </c>
      <c r="BO81" s="144" t="s">
        <v>143</v>
      </c>
      <c r="BP81" s="143" t="s">
        <v>3583</v>
      </c>
      <c r="BQ81" s="203" t="s">
        <v>3274</v>
      </c>
    </row>
    <row r="82" spans="1:69" ht="41.1" customHeight="1">
      <c r="A82" s="133" t="s">
        <v>86</v>
      </c>
      <c r="B82" s="133" t="s">
        <v>523</v>
      </c>
      <c r="C82" s="134">
        <v>400</v>
      </c>
      <c r="D82" s="135">
        <v>44155</v>
      </c>
      <c r="E82" s="135">
        <v>44159</v>
      </c>
      <c r="F82" s="147">
        <v>44161</v>
      </c>
      <c r="G82" s="135" t="s">
        <v>524</v>
      </c>
      <c r="H82" s="147">
        <v>44169</v>
      </c>
      <c r="I82" s="147">
        <v>44169</v>
      </c>
      <c r="J82" s="147">
        <v>44174</v>
      </c>
      <c r="K82" s="135">
        <v>44246</v>
      </c>
      <c r="L82" s="135">
        <v>44205</v>
      </c>
      <c r="M82" s="135" t="s">
        <v>76</v>
      </c>
      <c r="N82" s="135">
        <v>44252</v>
      </c>
      <c r="O82" s="135">
        <v>44252</v>
      </c>
      <c r="P82" s="135">
        <v>44264</v>
      </c>
      <c r="Q82" s="135"/>
      <c r="R82" s="143"/>
      <c r="S82" s="143"/>
      <c r="T82" s="143"/>
      <c r="U82" s="143">
        <v>1</v>
      </c>
      <c r="V82" s="143">
        <v>21946</v>
      </c>
      <c r="W82" s="143" t="str">
        <f ca="1">IF(H82="",IF(D82="","",IF(U82+V82&lt;15,"Données Nb pers ou RFR manquantes",IF(COUNTA(INDIRECT("TabRFR["&amp;YEAR(D82)&amp;"]"))&lt;&gt;COUNTA(TabRFR[Recherche RFR]),"Data RFR manquantes", IF(V82&lt;=INDEX(TabRFR[[2021]:[2025]],MATCH(BD!U82&amp;"-Très modestes",TabRFR[Recherche RFR],0),MATCH(TEXT(YEAR(BD!D82),"Standard"),TabRFR[[#Headers],[2021]:[2025]],0)),"Très Modeste",IF(V82&lt;=INDEX(TabRFR[[2021]:[2025]],MATCH(BD!U82&amp;"-modestes",TabRFR[Recherche RFR],0),MATCH(TEXT(YEAR(BD!D82),"Standard"),TabRFR[[#Headers],[2021]:[2025]],0)),"Modeste",IF(V82&lt;=INDEX(TabRFR[[2021]:[2025]],MATCH(BD!U82&amp;"-Intermédiaire",TabRFR[Recherche RFR],0),MATCH(TEXT(YEAR(BD!D82),"Standard"),TabRFR[[#Headers],[2021]:[2025]],0)),"Intermédiaire","Supérieur")))))),IF(D82="","",IF(U82+V82&lt;15,"Données Nb pers ou RFR manquantes",IF(COUNTA(INDIRECT("TabRFR["&amp;YEAR(H82)&amp;"]"))&lt;&gt;COUNTA(TabRFR[Recherche RFR]),"Data RFR manquantes", IF(V82&lt;=INDEX(TabRFR[[2021]:[2025]],MATCH(BD!U82&amp;"-Très modestes",TabRFR[Recherche RFR],0),MATCH(TEXT(YEAR(BD!H82),"Standard"),TabRFR[[#Headers],[2021]:[2025]],0)),"Très Modeste",IF(V82&lt;=INDEX(TabRFR[[2021]:[2025]],MATCH(BD!U82&amp;"-modestes",TabRFR[Recherche RFR],0),MATCH(TEXT(YEAR(BD!H82),"Standard"),TabRFR[[#Headers],[2021]:[2025]],0)),"Modeste",IF(V82&lt;=INDEX(TabRFR[[2021]:[2025]],MATCH(BD!U82&amp;"-Intermédiaire",TabRFR[Recherche RFR],0),MATCH(TEXT(YEAR(BD!H82),"Standard"),TabRFR[[#Headers],[2021]:[2025]],0)),"Intermédiaire","Supérieur")))))))</f>
        <v>Data RFR manquantes</v>
      </c>
      <c r="X82" s="143"/>
      <c r="Y82" s="143" t="s">
        <v>525</v>
      </c>
      <c r="Z82" s="143">
        <v>38210</v>
      </c>
      <c r="AA82" s="143" t="s">
        <v>130</v>
      </c>
      <c r="AB82" s="148"/>
      <c r="AC82" s="149"/>
      <c r="AD82" s="143" t="s">
        <v>91</v>
      </c>
      <c r="AE82" s="143" t="s">
        <v>76</v>
      </c>
      <c r="AF82" s="143" t="s">
        <v>76</v>
      </c>
      <c r="AG82" s="143" t="s">
        <v>76</v>
      </c>
      <c r="AH82" s="143" t="s">
        <v>76</v>
      </c>
      <c r="AI82" s="143" t="s">
        <v>169</v>
      </c>
      <c r="AJ82" s="143" t="s">
        <v>119</v>
      </c>
      <c r="AK82" s="143" t="s">
        <v>170</v>
      </c>
      <c r="AL82" s="149" t="s">
        <v>171</v>
      </c>
      <c r="AM82" s="148">
        <v>476355605</v>
      </c>
      <c r="AN82" s="143" t="s">
        <v>76</v>
      </c>
      <c r="AO82" s="150" t="s">
        <v>102</v>
      </c>
      <c r="AP82" s="147">
        <v>44495</v>
      </c>
      <c r="AQ82" s="135" t="s">
        <v>3449</v>
      </c>
      <c r="AR82" s="143">
        <v>1980</v>
      </c>
      <c r="AS82" s="135" t="s">
        <v>3496</v>
      </c>
      <c r="AT82" s="135" t="s">
        <v>3446</v>
      </c>
      <c r="AU82" s="143" t="s">
        <v>173</v>
      </c>
      <c r="AV82" s="143" t="s">
        <v>526</v>
      </c>
      <c r="AW82" s="143">
        <v>26</v>
      </c>
      <c r="AX82" s="143">
        <v>8</v>
      </c>
      <c r="AY82" s="143">
        <v>81</v>
      </c>
      <c r="AZ82" s="143">
        <v>7.0000000000000007E-2</v>
      </c>
      <c r="BA82" s="143" t="s">
        <v>101</v>
      </c>
      <c r="BB82" s="143"/>
      <c r="BC82" s="143">
        <f>420+24.5+41.4+365.75+1345+177.6+88.75+128.75+590.56</f>
        <v>3182.31</v>
      </c>
      <c r="BD82" s="143"/>
      <c r="BE82" s="143">
        <f>282.94+99.09+99.09+950</f>
        <v>1431.12</v>
      </c>
      <c r="BF82" s="143">
        <f t="shared" si="3"/>
        <v>4613.43</v>
      </c>
      <c r="BG82" s="151">
        <f t="shared" si="4"/>
        <v>253.73865000000001</v>
      </c>
      <c r="BH82" s="151">
        <f t="shared" si="5"/>
        <v>4867.1686500000005</v>
      </c>
      <c r="BI82" s="151">
        <v>4867.17</v>
      </c>
      <c r="BJ82" s="143" t="s">
        <v>115</v>
      </c>
      <c r="BK82" s="143"/>
      <c r="BL82" s="143"/>
      <c r="BM82" s="144" t="s">
        <v>142</v>
      </c>
      <c r="BN82" s="144" t="s">
        <v>103</v>
      </c>
      <c r="BO82" s="144" t="s">
        <v>143</v>
      </c>
      <c r="BP82" s="144">
        <v>2020</v>
      </c>
      <c r="BQ82" s="203" t="s">
        <v>3274</v>
      </c>
    </row>
    <row r="83" spans="1:69" ht="41.1" customHeight="1">
      <c r="A83" s="133" t="s">
        <v>86</v>
      </c>
      <c r="B83" s="133" t="s">
        <v>527</v>
      </c>
      <c r="C83" s="134">
        <v>400</v>
      </c>
      <c r="D83" s="135">
        <v>44155</v>
      </c>
      <c r="E83" s="135">
        <v>44159</v>
      </c>
      <c r="F83" s="147" t="s">
        <v>76</v>
      </c>
      <c r="G83" s="135" t="s">
        <v>76</v>
      </c>
      <c r="H83" s="147">
        <v>44161</v>
      </c>
      <c r="I83" s="147">
        <v>44161</v>
      </c>
      <c r="J83" s="147">
        <v>44166</v>
      </c>
      <c r="K83" s="135">
        <v>44181</v>
      </c>
      <c r="L83" s="135">
        <v>44167</v>
      </c>
      <c r="M83" s="135" t="s">
        <v>76</v>
      </c>
      <c r="N83" s="135">
        <v>44186</v>
      </c>
      <c r="O83" s="135">
        <v>44186</v>
      </c>
      <c r="P83" s="135">
        <v>44223</v>
      </c>
      <c r="Q83" s="135"/>
      <c r="R83" s="143"/>
      <c r="S83" s="143"/>
      <c r="T83" s="143"/>
      <c r="U83" s="143">
        <v>5</v>
      </c>
      <c r="V83" s="143">
        <v>103965</v>
      </c>
      <c r="W83" s="143" t="str">
        <f ca="1">IF(H83="",IF(D83="","",IF(U83+V83&lt;15,"Données Nb pers ou RFR manquantes",IF(COUNTA(INDIRECT("TabRFR["&amp;YEAR(D83)&amp;"]"))&lt;&gt;COUNTA(TabRFR[Recherche RFR]),"Data RFR manquantes", IF(V83&lt;=INDEX(TabRFR[[2021]:[2025]],MATCH(BD!U83&amp;"-Très modestes",TabRFR[Recherche RFR],0),MATCH(TEXT(YEAR(BD!D83),"Standard"),TabRFR[[#Headers],[2021]:[2025]],0)),"Très Modeste",IF(V83&lt;=INDEX(TabRFR[[2021]:[2025]],MATCH(BD!U83&amp;"-modestes",TabRFR[Recherche RFR],0),MATCH(TEXT(YEAR(BD!D83),"Standard"),TabRFR[[#Headers],[2021]:[2025]],0)),"Modeste",IF(V83&lt;=INDEX(TabRFR[[2021]:[2025]],MATCH(BD!U83&amp;"-Intermédiaire",TabRFR[Recherche RFR],0),MATCH(TEXT(YEAR(BD!D83),"Standard"),TabRFR[[#Headers],[2021]:[2025]],0)),"Intermédiaire","Supérieur")))))),IF(D83="","",IF(U83+V83&lt;15,"Données Nb pers ou RFR manquantes",IF(COUNTA(INDIRECT("TabRFR["&amp;YEAR(H83)&amp;"]"))&lt;&gt;COUNTA(TabRFR[Recherche RFR]),"Data RFR manquantes", IF(V83&lt;=INDEX(TabRFR[[2021]:[2025]],MATCH(BD!U83&amp;"-Très modestes",TabRFR[Recherche RFR],0),MATCH(TEXT(YEAR(BD!H83),"Standard"),TabRFR[[#Headers],[2021]:[2025]],0)),"Très Modeste",IF(V83&lt;=INDEX(TabRFR[[2021]:[2025]],MATCH(BD!U83&amp;"-modestes",TabRFR[Recherche RFR],0),MATCH(TEXT(YEAR(BD!H83),"Standard"),TabRFR[[#Headers],[2021]:[2025]],0)),"Modeste",IF(V83&lt;=INDEX(TabRFR[[2021]:[2025]],MATCH(BD!U83&amp;"-Intermédiaire",TabRFR[Recherche RFR],0),MATCH(TEXT(YEAR(BD!H83),"Standard"),TabRFR[[#Headers],[2021]:[2025]],0)),"Intermédiaire","Supérieur")))))))</f>
        <v>Data RFR manquantes</v>
      </c>
      <c r="X83" s="143"/>
      <c r="Y83" s="143" t="s">
        <v>528</v>
      </c>
      <c r="Z83" s="143">
        <v>38430</v>
      </c>
      <c r="AA83" s="143" t="s">
        <v>351</v>
      </c>
      <c r="AB83" s="148"/>
      <c r="AC83" s="149"/>
      <c r="AD83" s="143" t="s">
        <v>91</v>
      </c>
      <c r="AE83" s="143" t="s">
        <v>76</v>
      </c>
      <c r="AF83" s="143" t="s">
        <v>76</v>
      </c>
      <c r="AG83" s="143" t="s">
        <v>76</v>
      </c>
      <c r="AH83" s="143" t="s">
        <v>76</v>
      </c>
      <c r="AI83" s="143" t="s">
        <v>185</v>
      </c>
      <c r="AJ83" s="143" t="s">
        <v>108</v>
      </c>
      <c r="AK83" s="143" t="s">
        <v>186</v>
      </c>
      <c r="AL83" s="150" t="s">
        <v>187</v>
      </c>
      <c r="AM83" s="148">
        <v>951096343</v>
      </c>
      <c r="AN83" s="143" t="s">
        <v>76</v>
      </c>
      <c r="AO83" s="150" t="s">
        <v>102</v>
      </c>
      <c r="AP83" s="147">
        <v>44433</v>
      </c>
      <c r="AQ83" s="143" t="s">
        <v>3413</v>
      </c>
      <c r="AR83" s="143">
        <v>2001</v>
      </c>
      <c r="AS83" s="143" t="s">
        <v>3413</v>
      </c>
      <c r="AT83" s="143" t="s">
        <v>98</v>
      </c>
      <c r="AU83" s="143" t="s">
        <v>188</v>
      </c>
      <c r="AV83" s="143" t="s">
        <v>442</v>
      </c>
      <c r="AW83" s="143">
        <v>30</v>
      </c>
      <c r="AX83" s="143">
        <v>6.3</v>
      </c>
      <c r="AY83" s="143">
        <v>89</v>
      </c>
      <c r="AZ83" s="143">
        <v>0.18</v>
      </c>
      <c r="BA83" s="143" t="s">
        <v>126</v>
      </c>
      <c r="BB83" s="143"/>
      <c r="BC83" s="143">
        <f>5490</f>
        <v>5490</v>
      </c>
      <c r="BD83" s="143"/>
      <c r="BE83" s="143">
        <v>315</v>
      </c>
      <c r="BF83" s="143">
        <f t="shared" si="3"/>
        <v>5805</v>
      </c>
      <c r="BG83" s="151">
        <f t="shared" si="4"/>
        <v>319.27499999999998</v>
      </c>
      <c r="BH83" s="151">
        <f t="shared" si="5"/>
        <v>6124.2749999999996</v>
      </c>
      <c r="BI83" s="151">
        <v>5649.53</v>
      </c>
      <c r="BJ83" s="143" t="s">
        <v>115</v>
      </c>
      <c r="BK83" s="143"/>
      <c r="BL83" s="143"/>
      <c r="BM83" s="144" t="s">
        <v>142</v>
      </c>
      <c r="BN83" s="144" t="s">
        <v>103</v>
      </c>
      <c r="BO83" s="144" t="s">
        <v>143</v>
      </c>
      <c r="BP83" s="143" t="s">
        <v>3583</v>
      </c>
      <c r="BQ83" s="203" t="s">
        <v>3274</v>
      </c>
    </row>
    <row r="84" spans="1:69" ht="41.1" customHeight="1">
      <c r="A84" s="133" t="s">
        <v>86</v>
      </c>
      <c r="B84" s="133" t="s">
        <v>529</v>
      </c>
      <c r="C84" s="134">
        <v>400</v>
      </c>
      <c r="D84" s="135">
        <v>44159</v>
      </c>
      <c r="E84" s="135">
        <v>44159</v>
      </c>
      <c r="F84" s="147" t="s">
        <v>76</v>
      </c>
      <c r="G84" s="135" t="s">
        <v>76</v>
      </c>
      <c r="H84" s="147">
        <v>44161</v>
      </c>
      <c r="I84" s="147">
        <v>44161</v>
      </c>
      <c r="J84" s="147">
        <v>44166</v>
      </c>
      <c r="K84" s="135">
        <v>44297</v>
      </c>
      <c r="L84" s="135">
        <v>44225</v>
      </c>
      <c r="M84" s="135" t="s">
        <v>530</v>
      </c>
      <c r="N84" s="135">
        <v>44301</v>
      </c>
      <c r="O84" s="135">
        <v>44301</v>
      </c>
      <c r="P84" s="135">
        <v>44307</v>
      </c>
      <c r="Q84" s="135"/>
      <c r="R84" s="143"/>
      <c r="S84" s="143"/>
      <c r="T84" s="143"/>
      <c r="U84" s="143">
        <v>2</v>
      </c>
      <c r="V84" s="143">
        <v>35675</v>
      </c>
      <c r="W84" s="143" t="str">
        <f ca="1">IF(H84="",IF(D84="","",IF(U84+V84&lt;15,"Données Nb pers ou RFR manquantes",IF(COUNTA(INDIRECT("TabRFR["&amp;YEAR(D84)&amp;"]"))&lt;&gt;COUNTA(TabRFR[Recherche RFR]),"Data RFR manquantes", IF(V84&lt;=INDEX(TabRFR[[2021]:[2025]],MATCH(BD!U84&amp;"-Très modestes",TabRFR[Recherche RFR],0),MATCH(TEXT(YEAR(BD!D84),"Standard"),TabRFR[[#Headers],[2021]:[2025]],0)),"Très Modeste",IF(V84&lt;=INDEX(TabRFR[[2021]:[2025]],MATCH(BD!U84&amp;"-modestes",TabRFR[Recherche RFR],0),MATCH(TEXT(YEAR(BD!D84),"Standard"),TabRFR[[#Headers],[2021]:[2025]],0)),"Modeste",IF(V84&lt;=INDEX(TabRFR[[2021]:[2025]],MATCH(BD!U84&amp;"-Intermédiaire",TabRFR[Recherche RFR],0),MATCH(TEXT(YEAR(BD!D84),"Standard"),TabRFR[[#Headers],[2021]:[2025]],0)),"Intermédiaire","Supérieur")))))),IF(D84="","",IF(U84+V84&lt;15,"Données Nb pers ou RFR manquantes",IF(COUNTA(INDIRECT("TabRFR["&amp;YEAR(H84)&amp;"]"))&lt;&gt;COUNTA(TabRFR[Recherche RFR]),"Data RFR manquantes", IF(V84&lt;=INDEX(TabRFR[[2021]:[2025]],MATCH(BD!U84&amp;"-Très modestes",TabRFR[Recherche RFR],0),MATCH(TEXT(YEAR(BD!H84),"Standard"),TabRFR[[#Headers],[2021]:[2025]],0)),"Très Modeste",IF(V84&lt;=INDEX(TabRFR[[2021]:[2025]],MATCH(BD!U84&amp;"-modestes",TabRFR[Recherche RFR],0),MATCH(TEXT(YEAR(BD!H84),"Standard"),TabRFR[[#Headers],[2021]:[2025]],0)),"Modeste",IF(V84&lt;=INDEX(TabRFR[[2021]:[2025]],MATCH(BD!U84&amp;"-Intermédiaire",TabRFR[Recherche RFR],0),MATCH(TEXT(YEAR(BD!H84),"Standard"),TabRFR[[#Headers],[2021]:[2025]],0)),"Intermédiaire","Supérieur")))))))</f>
        <v>Data RFR manquantes</v>
      </c>
      <c r="X84" s="143"/>
      <c r="Y84" s="143" t="s">
        <v>531</v>
      </c>
      <c r="Z84" s="143">
        <v>38620</v>
      </c>
      <c r="AA84" s="143" t="s">
        <v>262</v>
      </c>
      <c r="AB84" s="148"/>
      <c r="AC84" s="149"/>
      <c r="AD84" s="143" t="s">
        <v>91</v>
      </c>
      <c r="AE84" s="143" t="s">
        <v>76</v>
      </c>
      <c r="AF84" s="143" t="s">
        <v>76</v>
      </c>
      <c r="AG84" s="143" t="s">
        <v>76</v>
      </c>
      <c r="AH84" s="143" t="s">
        <v>76</v>
      </c>
      <c r="AI84" s="135" t="s">
        <v>285</v>
      </c>
      <c r="AJ84" s="143" t="s">
        <v>108</v>
      </c>
      <c r="AK84" s="143" t="s">
        <v>286</v>
      </c>
      <c r="AL84" s="150" t="s">
        <v>287</v>
      </c>
      <c r="AM84" s="148">
        <v>476069938</v>
      </c>
      <c r="AN84" s="143" t="s">
        <v>76</v>
      </c>
      <c r="AO84" s="150" t="s">
        <v>102</v>
      </c>
      <c r="AP84" s="147">
        <v>44457</v>
      </c>
      <c r="AQ84" s="143" t="s">
        <v>3413</v>
      </c>
      <c r="AR84" s="143">
        <v>1967</v>
      </c>
      <c r="AS84" s="143" t="s">
        <v>3413</v>
      </c>
      <c r="AT84" s="135" t="s">
        <v>3446</v>
      </c>
      <c r="AU84" s="143" t="s">
        <v>532</v>
      </c>
      <c r="AV84" s="143" t="s">
        <v>533</v>
      </c>
      <c r="AW84" s="143">
        <v>20</v>
      </c>
      <c r="AX84" s="143">
        <v>5.7</v>
      </c>
      <c r="AY84" s="143">
        <v>82.9</v>
      </c>
      <c r="AZ84" s="143">
        <v>6.7000000000000004E-2</v>
      </c>
      <c r="BA84" s="143" t="s">
        <v>101</v>
      </c>
      <c r="BB84" s="143"/>
      <c r="BC84" s="143">
        <f>550+250+2940</f>
        <v>3740</v>
      </c>
      <c r="BD84" s="143"/>
      <c r="BE84" s="143">
        <f>450+1</f>
        <v>451</v>
      </c>
      <c r="BF84" s="143">
        <f t="shared" si="3"/>
        <v>4191</v>
      </c>
      <c r="BG84" s="143">
        <f t="shared" si="4"/>
        <v>230.505</v>
      </c>
      <c r="BH84" s="143">
        <f t="shared" si="5"/>
        <v>4421.5050000000001</v>
      </c>
      <c r="BI84" s="151">
        <v>4421.51</v>
      </c>
      <c r="BJ84" s="143" t="s">
        <v>115</v>
      </c>
      <c r="BK84" s="143"/>
      <c r="BL84" s="143"/>
      <c r="BM84" s="144" t="s">
        <v>3576</v>
      </c>
      <c r="BN84" s="144" t="s">
        <v>103</v>
      </c>
      <c r="BO84" s="144" t="s">
        <v>143</v>
      </c>
      <c r="BP84" s="144">
        <v>2020</v>
      </c>
      <c r="BQ84" s="203" t="s">
        <v>3274</v>
      </c>
    </row>
    <row r="85" spans="1:69" ht="41.1" customHeight="1">
      <c r="A85" s="133" t="s">
        <v>86</v>
      </c>
      <c r="B85" s="133" t="s">
        <v>534</v>
      </c>
      <c r="C85" s="134">
        <v>800</v>
      </c>
      <c r="D85" s="135">
        <v>44162</v>
      </c>
      <c r="E85" s="135">
        <v>44166</v>
      </c>
      <c r="F85" s="147" t="s">
        <v>76</v>
      </c>
      <c r="G85" s="135" t="s">
        <v>76</v>
      </c>
      <c r="H85" s="147">
        <v>44172</v>
      </c>
      <c r="I85" s="147">
        <v>44172</v>
      </c>
      <c r="J85" s="147">
        <v>44174</v>
      </c>
      <c r="K85" s="135">
        <v>44207</v>
      </c>
      <c r="L85" s="135">
        <v>44189</v>
      </c>
      <c r="M85" s="135" t="s">
        <v>535</v>
      </c>
      <c r="N85" s="135">
        <v>44214</v>
      </c>
      <c r="O85" s="135">
        <v>44214</v>
      </c>
      <c r="P85" s="135">
        <v>44242</v>
      </c>
      <c r="Q85" s="135"/>
      <c r="R85" s="143"/>
      <c r="S85" s="143"/>
      <c r="T85" s="143"/>
      <c r="U85" s="143">
        <v>4</v>
      </c>
      <c r="V85" s="143">
        <v>32982</v>
      </c>
      <c r="W85" s="143" t="str">
        <f ca="1">IF(H85="",IF(D85="","",IF(U85+V85&lt;15,"Données Nb pers ou RFR manquantes",IF(COUNTA(INDIRECT("TabRFR["&amp;YEAR(D85)&amp;"]"))&lt;&gt;COUNTA(TabRFR[Recherche RFR]),"Data RFR manquantes", IF(V85&lt;=INDEX(TabRFR[[2021]:[2025]],MATCH(BD!U85&amp;"-Très modestes",TabRFR[Recherche RFR],0),MATCH(TEXT(YEAR(BD!D85),"Standard"),TabRFR[[#Headers],[2021]:[2025]],0)),"Très Modeste",IF(V85&lt;=INDEX(TabRFR[[2021]:[2025]],MATCH(BD!U85&amp;"-modestes",TabRFR[Recherche RFR],0),MATCH(TEXT(YEAR(BD!D85),"Standard"),TabRFR[[#Headers],[2021]:[2025]],0)),"Modeste",IF(V85&lt;=INDEX(TabRFR[[2021]:[2025]],MATCH(BD!U85&amp;"-Intermédiaire",TabRFR[Recherche RFR],0),MATCH(TEXT(YEAR(BD!D85),"Standard"),TabRFR[[#Headers],[2021]:[2025]],0)),"Intermédiaire","Supérieur")))))),IF(D85="","",IF(U85+V85&lt;15,"Données Nb pers ou RFR manquantes",IF(COUNTA(INDIRECT("TabRFR["&amp;YEAR(H85)&amp;"]"))&lt;&gt;COUNTA(TabRFR[Recherche RFR]),"Data RFR manquantes", IF(V85&lt;=INDEX(TabRFR[[2021]:[2025]],MATCH(BD!U85&amp;"-Très modestes",TabRFR[Recherche RFR],0),MATCH(TEXT(YEAR(BD!H85),"Standard"),TabRFR[[#Headers],[2021]:[2025]],0)),"Très Modeste",IF(V85&lt;=INDEX(TabRFR[[2021]:[2025]],MATCH(BD!U85&amp;"-modestes",TabRFR[Recherche RFR],0),MATCH(TEXT(YEAR(BD!H85),"Standard"),TabRFR[[#Headers],[2021]:[2025]],0)),"Modeste",IF(V85&lt;=INDEX(TabRFR[[2021]:[2025]],MATCH(BD!U85&amp;"-Intermédiaire",TabRFR[Recherche RFR],0),MATCH(TEXT(YEAR(BD!H85),"Standard"),TabRFR[[#Headers],[2021]:[2025]],0)),"Intermédiaire","Supérieur")))))))</f>
        <v>Data RFR manquantes</v>
      </c>
      <c r="X85" s="143"/>
      <c r="Y85" s="143" t="s">
        <v>536</v>
      </c>
      <c r="Z85" s="143">
        <v>38620</v>
      </c>
      <c r="AA85" s="143" t="s">
        <v>537</v>
      </c>
      <c r="AB85" s="148"/>
      <c r="AC85" s="149"/>
      <c r="AD85" s="143" t="s">
        <v>91</v>
      </c>
      <c r="AE85" s="143" t="s">
        <v>76</v>
      </c>
      <c r="AF85" s="143" t="s">
        <v>76</v>
      </c>
      <c r="AG85" s="143" t="s">
        <v>76</v>
      </c>
      <c r="AH85" s="143" t="s">
        <v>76</v>
      </c>
      <c r="AI85" s="143" t="s">
        <v>92</v>
      </c>
      <c r="AJ85" s="143" t="s">
        <v>93</v>
      </c>
      <c r="AK85" s="143" t="s">
        <v>94</v>
      </c>
      <c r="AL85" s="149" t="s">
        <v>95</v>
      </c>
      <c r="AM85" s="148" t="s">
        <v>96</v>
      </c>
      <c r="AN85" s="143" t="s">
        <v>76</v>
      </c>
      <c r="AO85" s="150" t="s">
        <v>97</v>
      </c>
      <c r="AP85" s="147">
        <v>44517</v>
      </c>
      <c r="AQ85" s="143" t="s">
        <v>3413</v>
      </c>
      <c r="AR85" s="143">
        <v>1985</v>
      </c>
      <c r="AS85" s="143" t="s">
        <v>3413</v>
      </c>
      <c r="AT85" s="135" t="s">
        <v>3446</v>
      </c>
      <c r="AU85" s="143" t="s">
        <v>538</v>
      </c>
      <c r="AV85" s="143" t="s">
        <v>539</v>
      </c>
      <c r="AW85" s="143">
        <v>34</v>
      </c>
      <c r="AX85" s="143">
        <v>8</v>
      </c>
      <c r="AY85" s="143">
        <v>81</v>
      </c>
      <c r="AZ85" s="143">
        <v>0.06</v>
      </c>
      <c r="BA85" s="143" t="s">
        <v>101</v>
      </c>
      <c r="BB85" s="143"/>
      <c r="BC85" s="143">
        <f>3109+45+169</f>
        <v>3323</v>
      </c>
      <c r="BD85" s="143"/>
      <c r="BE85" s="143">
        <f>490</f>
        <v>490</v>
      </c>
      <c r="BF85" s="143">
        <f t="shared" si="3"/>
        <v>3813</v>
      </c>
      <c r="BG85" s="151">
        <f t="shared" si="4"/>
        <v>209.715</v>
      </c>
      <c r="BH85" s="151">
        <f t="shared" si="5"/>
        <v>4022.7150000000001</v>
      </c>
      <c r="BI85" s="151">
        <v>3813</v>
      </c>
      <c r="BJ85" s="143" t="s">
        <v>115</v>
      </c>
      <c r="BK85" s="143"/>
      <c r="BL85" s="143"/>
      <c r="BM85" s="144" t="s">
        <v>142</v>
      </c>
      <c r="BN85" s="144" t="s">
        <v>103</v>
      </c>
      <c r="BO85" s="135" t="s">
        <v>155</v>
      </c>
      <c r="BP85" s="144">
        <v>2020</v>
      </c>
      <c r="BQ85" s="203" t="s">
        <v>3274</v>
      </c>
    </row>
    <row r="86" spans="1:69" ht="41.1" customHeight="1">
      <c r="A86" s="145" t="s">
        <v>86</v>
      </c>
      <c r="B86" s="145" t="s">
        <v>540</v>
      </c>
      <c r="C86" s="146" t="s">
        <v>76</v>
      </c>
      <c r="D86" s="135">
        <v>44165</v>
      </c>
      <c r="E86" s="135">
        <v>44166</v>
      </c>
      <c r="F86" s="147">
        <v>44172</v>
      </c>
      <c r="G86" s="135" t="s">
        <v>541</v>
      </c>
      <c r="H86" s="147" t="s">
        <v>76</v>
      </c>
      <c r="I86" s="147" t="s">
        <v>76</v>
      </c>
      <c r="J86" s="147" t="s">
        <v>76</v>
      </c>
      <c r="K86" s="135" t="s">
        <v>76</v>
      </c>
      <c r="L86" s="135" t="s">
        <v>76</v>
      </c>
      <c r="M86" s="135" t="s">
        <v>76</v>
      </c>
      <c r="N86" s="135" t="s">
        <v>76</v>
      </c>
      <c r="O86" s="135" t="s">
        <v>76</v>
      </c>
      <c r="P86" s="135" t="s">
        <v>76</v>
      </c>
      <c r="Q86" s="135">
        <v>44424</v>
      </c>
      <c r="R86" s="143" t="s">
        <v>542</v>
      </c>
      <c r="S86" s="143"/>
      <c r="T86" s="143"/>
      <c r="U86" s="143">
        <v>5</v>
      </c>
      <c r="V86" s="143">
        <v>41516</v>
      </c>
      <c r="W86" s="143" t="str">
        <f ca="1">IF(H86="",IF(D86="","",IF(U86+V86&lt;15,"Données Nb pers ou RFR manquantes",IF(COUNTA(INDIRECT("TabRFR["&amp;YEAR(D86)&amp;"]"))&lt;&gt;COUNTA(TabRFR[Recherche RFR]),"Data RFR manquantes", IF(V86&lt;=INDEX(TabRFR[[2021]:[2025]],MATCH(BD!U86&amp;"-Très modestes",TabRFR[Recherche RFR],0),MATCH(TEXT(YEAR(BD!D86),"Standard"),TabRFR[[#Headers],[2021]:[2025]],0)),"Très Modeste",IF(V86&lt;=INDEX(TabRFR[[2021]:[2025]],MATCH(BD!U86&amp;"-modestes",TabRFR[Recherche RFR],0),MATCH(TEXT(YEAR(BD!D86),"Standard"),TabRFR[[#Headers],[2021]:[2025]],0)),"Modeste",IF(V86&lt;=INDEX(TabRFR[[2021]:[2025]],MATCH(BD!U86&amp;"-Intermédiaire",TabRFR[Recherche RFR],0),MATCH(TEXT(YEAR(BD!D86),"Standard"),TabRFR[[#Headers],[2021]:[2025]],0)),"Intermédiaire","Supérieur")))))),IF(D86="","",IF(U86+V86&lt;15,"Données Nb pers ou RFR manquantes",IF(COUNTA(INDIRECT("TabRFR["&amp;YEAR(H86)&amp;"]"))&lt;&gt;COUNTA(TabRFR[Recherche RFR]),"Data RFR manquantes", IF(V86&lt;=INDEX(TabRFR[[2021]:[2025]],MATCH(BD!U86&amp;"-Très modestes",TabRFR[Recherche RFR],0),MATCH(TEXT(YEAR(BD!H86),"Standard"),TabRFR[[#Headers],[2021]:[2025]],0)),"Très Modeste",IF(V86&lt;=INDEX(TabRFR[[2021]:[2025]],MATCH(BD!U86&amp;"-modestes",TabRFR[Recherche RFR],0),MATCH(TEXT(YEAR(BD!H86),"Standard"),TabRFR[[#Headers],[2021]:[2025]],0)),"Modeste",IF(V86&lt;=INDEX(TabRFR[[2021]:[2025]],MATCH(BD!U86&amp;"-Intermédiaire",TabRFR[Recherche RFR],0),MATCH(TEXT(YEAR(BD!H86),"Standard"),TabRFR[[#Headers],[2021]:[2025]],0)),"Intermédiaire","Supérieur")))))))</f>
        <v>Data RFR manquantes</v>
      </c>
      <c r="X86" s="143"/>
      <c r="Y86" s="143" t="s">
        <v>543</v>
      </c>
      <c r="Z86" s="143">
        <v>38850</v>
      </c>
      <c r="AA86" s="143" t="s">
        <v>148</v>
      </c>
      <c r="AB86" s="148"/>
      <c r="AC86" s="149"/>
      <c r="AD86" s="143" t="s">
        <v>91</v>
      </c>
      <c r="AE86" s="143" t="s">
        <v>76</v>
      </c>
      <c r="AF86" s="143" t="s">
        <v>76</v>
      </c>
      <c r="AG86" s="143" t="s">
        <v>76</v>
      </c>
      <c r="AH86" s="143" t="s">
        <v>76</v>
      </c>
      <c r="AI86" s="143" t="s">
        <v>544</v>
      </c>
      <c r="AJ86" s="143" t="s">
        <v>545</v>
      </c>
      <c r="AK86" s="143" t="s">
        <v>546</v>
      </c>
      <c r="AL86" s="149"/>
      <c r="AM86" s="148">
        <v>970825050</v>
      </c>
      <c r="AN86" s="143" t="s">
        <v>76</v>
      </c>
      <c r="AO86" s="143"/>
      <c r="AP86" s="147">
        <v>44243</v>
      </c>
      <c r="AQ86" s="143" t="s">
        <v>3413</v>
      </c>
      <c r="AR86" s="143">
        <v>2012</v>
      </c>
      <c r="AS86" s="143" t="s">
        <v>3413</v>
      </c>
      <c r="AT86" s="143" t="s">
        <v>98</v>
      </c>
      <c r="AU86" s="143" t="s">
        <v>113</v>
      </c>
      <c r="AV86" s="143" t="s">
        <v>547</v>
      </c>
      <c r="AW86" s="143">
        <v>17</v>
      </c>
      <c r="AX86" s="143">
        <v>8.1</v>
      </c>
      <c r="AY86" s="143">
        <v>90.9</v>
      </c>
      <c r="AZ86" s="143">
        <v>2E-3</v>
      </c>
      <c r="BA86" s="143" t="s">
        <v>101</v>
      </c>
      <c r="BB86" s="143"/>
      <c r="BC86" s="143">
        <f>3183.99+234.21+30.68+126+170.54+37.66</f>
        <v>3783.0799999999995</v>
      </c>
      <c r="BD86" s="143"/>
      <c r="BE86" s="143">
        <f>149+127.18+118+53.3+138.08</f>
        <v>585.56000000000006</v>
      </c>
      <c r="BF86" s="143">
        <f t="shared" si="3"/>
        <v>4368.6399999999994</v>
      </c>
      <c r="BG86" s="151">
        <f t="shared" si="4"/>
        <v>240.27519999999996</v>
      </c>
      <c r="BH86" s="151">
        <f t="shared" si="5"/>
        <v>4608.9151999999995</v>
      </c>
      <c r="BI86" s="151">
        <v>713.49</v>
      </c>
      <c r="BJ86" s="143" t="s">
        <v>102</v>
      </c>
      <c r="BK86" s="143"/>
      <c r="BL86" s="143"/>
      <c r="BM86" s="144">
        <v>0</v>
      </c>
      <c r="BN86" s="144" t="s">
        <v>103</v>
      </c>
      <c r="BO86" s="144" t="s">
        <v>103</v>
      </c>
      <c r="BP86" s="203" t="s">
        <v>3582</v>
      </c>
      <c r="BQ86" s="203" t="s">
        <v>3273</v>
      </c>
    </row>
    <row r="87" spans="1:69" ht="41.1" customHeight="1">
      <c r="A87" s="133" t="s">
        <v>86</v>
      </c>
      <c r="B87" s="133" t="s">
        <v>548</v>
      </c>
      <c r="C87" s="134">
        <v>400</v>
      </c>
      <c r="D87" s="135">
        <v>44166</v>
      </c>
      <c r="E87" s="135">
        <v>44168</v>
      </c>
      <c r="F87" s="147">
        <v>44172</v>
      </c>
      <c r="G87" s="135" t="s">
        <v>549</v>
      </c>
      <c r="H87" s="147">
        <v>44176</v>
      </c>
      <c r="I87" s="147">
        <v>44176</v>
      </c>
      <c r="J87" s="147">
        <v>44182</v>
      </c>
      <c r="K87" s="135">
        <v>44264</v>
      </c>
      <c r="L87" s="135">
        <v>44255</v>
      </c>
      <c r="M87" s="135" t="s">
        <v>76</v>
      </c>
      <c r="N87" s="135">
        <v>44271</v>
      </c>
      <c r="O87" s="135">
        <v>44271</v>
      </c>
      <c r="P87" s="135">
        <v>44277</v>
      </c>
      <c r="Q87" s="135"/>
      <c r="R87" s="143"/>
      <c r="S87" s="143"/>
      <c r="T87" s="143"/>
      <c r="U87" s="143">
        <v>2</v>
      </c>
      <c r="V87" s="143">
        <v>50466</v>
      </c>
      <c r="W87" s="143" t="str">
        <f ca="1">IF(H87="",IF(D87="","",IF(U87+V87&lt;15,"Données Nb pers ou RFR manquantes",IF(COUNTA(INDIRECT("TabRFR["&amp;YEAR(D87)&amp;"]"))&lt;&gt;COUNTA(TabRFR[Recherche RFR]),"Data RFR manquantes", IF(V87&lt;=INDEX(TabRFR[[2021]:[2025]],MATCH(BD!U87&amp;"-Très modestes",TabRFR[Recherche RFR],0),MATCH(TEXT(YEAR(BD!D87),"Standard"),TabRFR[[#Headers],[2021]:[2025]],0)),"Très Modeste",IF(V87&lt;=INDEX(TabRFR[[2021]:[2025]],MATCH(BD!U87&amp;"-modestes",TabRFR[Recherche RFR],0),MATCH(TEXT(YEAR(BD!D87),"Standard"),TabRFR[[#Headers],[2021]:[2025]],0)),"Modeste",IF(V87&lt;=INDEX(TabRFR[[2021]:[2025]],MATCH(BD!U87&amp;"-Intermédiaire",TabRFR[Recherche RFR],0),MATCH(TEXT(YEAR(BD!D87),"Standard"),TabRFR[[#Headers],[2021]:[2025]],0)),"Intermédiaire","Supérieur")))))),IF(D87="","",IF(U87+V87&lt;15,"Données Nb pers ou RFR manquantes",IF(COUNTA(INDIRECT("TabRFR["&amp;YEAR(H87)&amp;"]"))&lt;&gt;COUNTA(TabRFR[Recherche RFR]),"Data RFR manquantes", IF(V87&lt;=INDEX(TabRFR[[2021]:[2025]],MATCH(BD!U87&amp;"-Très modestes",TabRFR[Recherche RFR],0),MATCH(TEXT(YEAR(BD!H87),"Standard"),TabRFR[[#Headers],[2021]:[2025]],0)),"Très Modeste",IF(V87&lt;=INDEX(TabRFR[[2021]:[2025]],MATCH(BD!U87&amp;"-modestes",TabRFR[Recherche RFR],0),MATCH(TEXT(YEAR(BD!H87),"Standard"),TabRFR[[#Headers],[2021]:[2025]],0)),"Modeste",IF(V87&lt;=INDEX(TabRFR[[2021]:[2025]],MATCH(BD!U87&amp;"-Intermédiaire",TabRFR[Recherche RFR],0),MATCH(TEXT(YEAR(BD!H87),"Standard"),TabRFR[[#Headers],[2021]:[2025]],0)),"Intermédiaire","Supérieur")))))))</f>
        <v>Data RFR manquantes</v>
      </c>
      <c r="X87" s="143"/>
      <c r="Y87" s="143" t="s">
        <v>550</v>
      </c>
      <c r="Z87" s="143">
        <v>38620</v>
      </c>
      <c r="AA87" s="143" t="s">
        <v>241</v>
      </c>
      <c r="AB87" s="148"/>
      <c r="AC87" s="149"/>
      <c r="AD87" s="143" t="s">
        <v>91</v>
      </c>
      <c r="AE87" s="143" t="s">
        <v>76</v>
      </c>
      <c r="AF87" s="143" t="s">
        <v>76</v>
      </c>
      <c r="AG87" s="143" t="s">
        <v>76</v>
      </c>
      <c r="AH87" s="143" t="s">
        <v>76</v>
      </c>
      <c r="AI87" s="143" t="s">
        <v>109</v>
      </c>
      <c r="AJ87" s="143" t="s">
        <v>108</v>
      </c>
      <c r="AK87" s="143" t="s">
        <v>110</v>
      </c>
      <c r="AL87" s="149" t="s">
        <v>111</v>
      </c>
      <c r="AM87" s="148" t="s">
        <v>112</v>
      </c>
      <c r="AN87" s="143" t="s">
        <v>76</v>
      </c>
      <c r="AO87" s="150" t="s">
        <v>102</v>
      </c>
      <c r="AP87" s="147">
        <v>44196</v>
      </c>
      <c r="AQ87" s="135" t="s">
        <v>3496</v>
      </c>
      <c r="AR87" s="143">
        <v>1992</v>
      </c>
      <c r="AS87" s="143" t="s">
        <v>3413</v>
      </c>
      <c r="AT87" s="143" t="s">
        <v>98</v>
      </c>
      <c r="AU87" s="143" t="s">
        <v>113</v>
      </c>
      <c r="AV87" s="143" t="s">
        <v>551</v>
      </c>
      <c r="AW87" s="143">
        <v>14</v>
      </c>
      <c r="AX87" s="143">
        <v>11.9</v>
      </c>
      <c r="AY87" s="143">
        <v>90.8</v>
      </c>
      <c r="AZ87" s="143">
        <v>7.0000000000000001E-3</v>
      </c>
      <c r="BA87" s="143" t="s">
        <v>101</v>
      </c>
      <c r="BB87" s="143"/>
      <c r="BC87" s="143">
        <f>4240+180+101+131+124+60+45+88+42+60+60+45+90+138</f>
        <v>5404</v>
      </c>
      <c r="BD87" s="143"/>
      <c r="BE87" s="143">
        <f>50+350</f>
        <v>400</v>
      </c>
      <c r="BF87" s="143">
        <f t="shared" si="3"/>
        <v>5804</v>
      </c>
      <c r="BG87" s="151">
        <f t="shared" si="4"/>
        <v>319.22000000000003</v>
      </c>
      <c r="BH87" s="151">
        <f t="shared" si="5"/>
        <v>6123.22</v>
      </c>
      <c r="BI87" s="151">
        <v>6123.22</v>
      </c>
      <c r="BJ87" s="143" t="s">
        <v>102</v>
      </c>
      <c r="BK87" s="143"/>
      <c r="BL87" s="143"/>
      <c r="BM87" s="143" t="s">
        <v>142</v>
      </c>
      <c r="BN87" s="144" t="s">
        <v>103</v>
      </c>
      <c r="BO87" s="144" t="s">
        <v>143</v>
      </c>
      <c r="BP87" s="143" t="s">
        <v>3583</v>
      </c>
      <c r="BQ87" s="203" t="s">
        <v>144</v>
      </c>
    </row>
    <row r="88" spans="1:69" ht="41.1" customHeight="1">
      <c r="A88" s="133" t="s">
        <v>86</v>
      </c>
      <c r="B88" s="133" t="s">
        <v>552</v>
      </c>
      <c r="C88" s="134">
        <v>400</v>
      </c>
      <c r="D88" s="135">
        <v>44166</v>
      </c>
      <c r="E88" s="135">
        <v>44168</v>
      </c>
      <c r="F88" s="147" t="s">
        <v>76</v>
      </c>
      <c r="G88" s="135" t="s">
        <v>76</v>
      </c>
      <c r="H88" s="147">
        <v>44172</v>
      </c>
      <c r="I88" s="147">
        <v>44172</v>
      </c>
      <c r="J88" s="147">
        <v>44174</v>
      </c>
      <c r="K88" s="135">
        <v>44211</v>
      </c>
      <c r="L88" s="135">
        <v>44181</v>
      </c>
      <c r="M88" s="135" t="s">
        <v>76</v>
      </c>
      <c r="N88" s="135">
        <v>44214</v>
      </c>
      <c r="O88" s="135">
        <v>44214</v>
      </c>
      <c r="P88" s="135">
        <v>44242</v>
      </c>
      <c r="Q88" s="135"/>
      <c r="R88" s="143"/>
      <c r="S88" s="143"/>
      <c r="T88" s="143"/>
      <c r="U88" s="143">
        <v>4</v>
      </c>
      <c r="V88" s="143">
        <v>99887</v>
      </c>
      <c r="W88" s="143" t="str">
        <f ca="1">IF(H88="",IF(D88="","",IF(U88+V88&lt;15,"Données Nb pers ou RFR manquantes",IF(COUNTA(INDIRECT("TabRFR["&amp;YEAR(D88)&amp;"]"))&lt;&gt;COUNTA(TabRFR[Recherche RFR]),"Data RFR manquantes", IF(V88&lt;=INDEX(TabRFR[[2021]:[2025]],MATCH(BD!U88&amp;"-Très modestes",TabRFR[Recherche RFR],0),MATCH(TEXT(YEAR(BD!D88),"Standard"),TabRFR[[#Headers],[2021]:[2025]],0)),"Très Modeste",IF(V88&lt;=INDEX(TabRFR[[2021]:[2025]],MATCH(BD!U88&amp;"-modestes",TabRFR[Recherche RFR],0),MATCH(TEXT(YEAR(BD!D88),"Standard"),TabRFR[[#Headers],[2021]:[2025]],0)),"Modeste",IF(V88&lt;=INDEX(TabRFR[[2021]:[2025]],MATCH(BD!U88&amp;"-Intermédiaire",TabRFR[Recherche RFR],0),MATCH(TEXT(YEAR(BD!D88),"Standard"),TabRFR[[#Headers],[2021]:[2025]],0)),"Intermédiaire","Supérieur")))))),IF(D88="","",IF(U88+V88&lt;15,"Données Nb pers ou RFR manquantes",IF(COUNTA(INDIRECT("TabRFR["&amp;YEAR(H88)&amp;"]"))&lt;&gt;COUNTA(TabRFR[Recherche RFR]),"Data RFR manquantes", IF(V88&lt;=INDEX(TabRFR[[2021]:[2025]],MATCH(BD!U88&amp;"-Très modestes",TabRFR[Recherche RFR],0),MATCH(TEXT(YEAR(BD!H88),"Standard"),TabRFR[[#Headers],[2021]:[2025]],0)),"Très Modeste",IF(V88&lt;=INDEX(TabRFR[[2021]:[2025]],MATCH(BD!U88&amp;"-modestes",TabRFR[Recherche RFR],0),MATCH(TEXT(YEAR(BD!H88),"Standard"),TabRFR[[#Headers],[2021]:[2025]],0)),"Modeste",IF(V88&lt;=INDEX(TabRFR[[2021]:[2025]],MATCH(BD!U88&amp;"-Intermédiaire",TabRFR[Recherche RFR],0),MATCH(TEXT(YEAR(BD!H88),"Standard"),TabRFR[[#Headers],[2021]:[2025]],0)),"Intermédiaire","Supérieur")))))))</f>
        <v>Data RFR manquantes</v>
      </c>
      <c r="X88" s="143"/>
      <c r="Y88" s="143" t="s">
        <v>553</v>
      </c>
      <c r="Z88" s="143">
        <v>38960</v>
      </c>
      <c r="AA88" s="143" t="s">
        <v>360</v>
      </c>
      <c r="AB88" s="148"/>
      <c r="AC88" s="149"/>
      <c r="AD88" s="143" t="s">
        <v>91</v>
      </c>
      <c r="AE88" s="143" t="s">
        <v>76</v>
      </c>
      <c r="AF88" s="143" t="s">
        <v>76</v>
      </c>
      <c r="AG88" s="143" t="s">
        <v>76</v>
      </c>
      <c r="AH88" s="143" t="s">
        <v>76</v>
      </c>
      <c r="AI88" s="135" t="s">
        <v>2703</v>
      </c>
      <c r="AJ88" s="143" t="s">
        <v>266</v>
      </c>
      <c r="AK88" s="143" t="s">
        <v>317</v>
      </c>
      <c r="AL88" s="150" t="s">
        <v>318</v>
      </c>
      <c r="AM88" s="148">
        <v>476500550</v>
      </c>
      <c r="AN88" s="143" t="s">
        <v>76</v>
      </c>
      <c r="AO88" s="150" t="s">
        <v>102</v>
      </c>
      <c r="AP88" s="147">
        <v>44375</v>
      </c>
      <c r="AQ88" s="135" t="s">
        <v>3496</v>
      </c>
      <c r="AR88" s="143">
        <v>2001</v>
      </c>
      <c r="AS88" s="135" t="s">
        <v>3496</v>
      </c>
      <c r="AT88" s="135" t="s">
        <v>3446</v>
      </c>
      <c r="AU88" s="143" t="s">
        <v>319</v>
      </c>
      <c r="AV88" s="143" t="s">
        <v>554</v>
      </c>
      <c r="AW88" s="143">
        <v>30</v>
      </c>
      <c r="AX88" s="143">
        <v>13</v>
      </c>
      <c r="AY88" s="143">
        <v>84</v>
      </c>
      <c r="AZ88" s="143">
        <v>0.04</v>
      </c>
      <c r="BA88" s="143" t="s">
        <v>101</v>
      </c>
      <c r="BB88" s="143"/>
      <c r="BC88" s="143">
        <f>85.62+44.82+64.8+2150+483.33+189.08+68.6+68.6+41.45+239.94</f>
        <v>3436.2399999999993</v>
      </c>
      <c r="BD88" s="143"/>
      <c r="BE88" s="143">
        <v>1800</v>
      </c>
      <c r="BF88" s="143">
        <f t="shared" si="3"/>
        <v>5236.24</v>
      </c>
      <c r="BG88" s="151">
        <f t="shared" si="4"/>
        <v>287.9932</v>
      </c>
      <c r="BH88" s="151">
        <f t="shared" si="5"/>
        <v>5524.2331999999997</v>
      </c>
      <c r="BI88" s="151">
        <v>5524.23</v>
      </c>
      <c r="BJ88" s="143" t="s">
        <v>102</v>
      </c>
      <c r="BK88" s="143"/>
      <c r="BL88" s="143"/>
      <c r="BM88" s="144" t="s">
        <v>142</v>
      </c>
      <c r="BN88" s="144" t="s">
        <v>103</v>
      </c>
      <c r="BO88" s="144" t="s">
        <v>143</v>
      </c>
      <c r="BP88" s="144">
        <v>2020</v>
      </c>
      <c r="BQ88" s="203" t="s">
        <v>144</v>
      </c>
    </row>
    <row r="89" spans="1:69" ht="41.1" customHeight="1">
      <c r="A89" s="133" t="s">
        <v>86</v>
      </c>
      <c r="B89" s="133" t="s">
        <v>555</v>
      </c>
      <c r="C89" s="134">
        <v>400</v>
      </c>
      <c r="D89" s="135">
        <v>44168</v>
      </c>
      <c r="E89" s="135">
        <v>44169</v>
      </c>
      <c r="F89" s="147" t="s">
        <v>76</v>
      </c>
      <c r="G89" s="135" t="s">
        <v>76</v>
      </c>
      <c r="H89" s="147">
        <v>44172</v>
      </c>
      <c r="I89" s="147">
        <v>44172</v>
      </c>
      <c r="J89" s="147">
        <v>44174</v>
      </c>
      <c r="K89" s="135">
        <v>44200</v>
      </c>
      <c r="L89" s="135">
        <v>44183</v>
      </c>
      <c r="M89" s="135" t="s">
        <v>556</v>
      </c>
      <c r="N89" s="135">
        <v>44210</v>
      </c>
      <c r="O89" s="135">
        <v>44210</v>
      </c>
      <c r="P89" s="135">
        <v>44235</v>
      </c>
      <c r="Q89" s="135"/>
      <c r="R89" s="143"/>
      <c r="S89" s="143"/>
      <c r="T89" s="143"/>
      <c r="U89" s="143">
        <v>1</v>
      </c>
      <c r="V89" s="143">
        <v>20971</v>
      </c>
      <c r="W89" s="143" t="str">
        <f ca="1">IF(H89="",IF(D89="","",IF(U89+V89&lt;15,"Données Nb pers ou RFR manquantes",IF(COUNTA(INDIRECT("TabRFR["&amp;YEAR(D89)&amp;"]"))&lt;&gt;COUNTA(TabRFR[Recherche RFR]),"Data RFR manquantes", IF(V89&lt;=INDEX(TabRFR[[2021]:[2025]],MATCH(BD!U89&amp;"-Très modestes",TabRFR[Recherche RFR],0),MATCH(TEXT(YEAR(BD!D89),"Standard"),TabRFR[[#Headers],[2021]:[2025]],0)),"Très Modeste",IF(V89&lt;=INDEX(TabRFR[[2021]:[2025]],MATCH(BD!U89&amp;"-modestes",TabRFR[Recherche RFR],0),MATCH(TEXT(YEAR(BD!D89),"Standard"),TabRFR[[#Headers],[2021]:[2025]],0)),"Modeste",IF(V89&lt;=INDEX(TabRFR[[2021]:[2025]],MATCH(BD!U89&amp;"-Intermédiaire",TabRFR[Recherche RFR],0),MATCH(TEXT(YEAR(BD!D89),"Standard"),TabRFR[[#Headers],[2021]:[2025]],0)),"Intermédiaire","Supérieur")))))),IF(D89="","",IF(U89+V89&lt;15,"Données Nb pers ou RFR manquantes",IF(COUNTA(INDIRECT("TabRFR["&amp;YEAR(H89)&amp;"]"))&lt;&gt;COUNTA(TabRFR[Recherche RFR]),"Data RFR manquantes", IF(V89&lt;=INDEX(TabRFR[[2021]:[2025]],MATCH(BD!U89&amp;"-Très modestes",TabRFR[Recherche RFR],0),MATCH(TEXT(YEAR(BD!H89),"Standard"),TabRFR[[#Headers],[2021]:[2025]],0)),"Très Modeste",IF(V89&lt;=INDEX(TabRFR[[2021]:[2025]],MATCH(BD!U89&amp;"-modestes",TabRFR[Recherche RFR],0),MATCH(TEXT(YEAR(BD!H89),"Standard"),TabRFR[[#Headers],[2021]:[2025]],0)),"Modeste",IF(V89&lt;=INDEX(TabRFR[[2021]:[2025]],MATCH(BD!U89&amp;"-Intermédiaire",TabRFR[Recherche RFR],0),MATCH(TEXT(YEAR(BD!H89),"Standard"),TabRFR[[#Headers],[2021]:[2025]],0)),"Intermédiaire","Supérieur")))))))</f>
        <v>Data RFR manquantes</v>
      </c>
      <c r="X89" s="143"/>
      <c r="Y89" s="143" t="s">
        <v>557</v>
      </c>
      <c r="Z89" s="143">
        <v>38850</v>
      </c>
      <c r="AA89" s="143" t="s">
        <v>168</v>
      </c>
      <c r="AB89" s="148"/>
      <c r="AC89" s="149"/>
      <c r="AD89" s="143" t="s">
        <v>91</v>
      </c>
      <c r="AE89" s="143" t="s">
        <v>76</v>
      </c>
      <c r="AF89" s="143" t="s">
        <v>76</v>
      </c>
      <c r="AG89" s="143" t="s">
        <v>76</v>
      </c>
      <c r="AH89" s="143" t="s">
        <v>76</v>
      </c>
      <c r="AI89" s="143" t="s">
        <v>92</v>
      </c>
      <c r="AJ89" s="143" t="s">
        <v>93</v>
      </c>
      <c r="AK89" s="143" t="s">
        <v>94</v>
      </c>
      <c r="AL89" s="149" t="s">
        <v>95</v>
      </c>
      <c r="AM89" s="148" t="s">
        <v>96</v>
      </c>
      <c r="AN89" s="143" t="s">
        <v>76</v>
      </c>
      <c r="AO89" s="150" t="s">
        <v>97</v>
      </c>
      <c r="AP89" s="147">
        <v>44517</v>
      </c>
      <c r="AQ89" s="135" t="s">
        <v>3496</v>
      </c>
      <c r="AR89" s="143">
        <v>2001</v>
      </c>
      <c r="AS89" s="135" t="s">
        <v>3496</v>
      </c>
      <c r="AT89" s="143" t="s">
        <v>98</v>
      </c>
      <c r="AU89" s="143" t="s">
        <v>99</v>
      </c>
      <c r="AV89" s="143" t="s">
        <v>558</v>
      </c>
      <c r="AW89" s="143">
        <v>19</v>
      </c>
      <c r="AX89" s="143">
        <v>9</v>
      </c>
      <c r="AY89" s="143">
        <v>90.7</v>
      </c>
      <c r="AZ89" s="143">
        <v>0.01</v>
      </c>
      <c r="BA89" s="143" t="s">
        <v>101</v>
      </c>
      <c r="BB89" s="143"/>
      <c r="BC89" s="143">
        <f>3270+407+118+695+295</f>
        <v>4785</v>
      </c>
      <c r="BD89" s="143"/>
      <c r="BE89" s="143">
        <f>890</f>
        <v>890</v>
      </c>
      <c r="BF89" s="143">
        <f t="shared" si="3"/>
        <v>5675</v>
      </c>
      <c r="BG89" s="151">
        <f t="shared" si="4"/>
        <v>312.125</v>
      </c>
      <c r="BH89" s="151">
        <f t="shared" si="5"/>
        <v>5987.125</v>
      </c>
      <c r="BI89" s="151">
        <v>5987.12</v>
      </c>
      <c r="BJ89" s="143" t="s">
        <v>102</v>
      </c>
      <c r="BK89" s="143"/>
      <c r="BL89" s="143"/>
      <c r="BM89" s="144" t="s">
        <v>142</v>
      </c>
      <c r="BN89" s="144" t="s">
        <v>103</v>
      </c>
      <c r="BO89" s="144" t="s">
        <v>143</v>
      </c>
      <c r="BP89" s="143" t="s">
        <v>3583</v>
      </c>
      <c r="BQ89" s="203" t="s">
        <v>144</v>
      </c>
    </row>
    <row r="90" spans="1:69" ht="41.1" customHeight="1">
      <c r="A90" s="133" t="s">
        <v>86</v>
      </c>
      <c r="B90" s="133" t="s">
        <v>559</v>
      </c>
      <c r="C90" s="134">
        <v>800</v>
      </c>
      <c r="D90" s="135">
        <v>44168</v>
      </c>
      <c r="E90" s="135">
        <v>44169</v>
      </c>
      <c r="F90" s="147" t="s">
        <v>76</v>
      </c>
      <c r="G90" s="135" t="s">
        <v>76</v>
      </c>
      <c r="H90" s="147">
        <v>44172</v>
      </c>
      <c r="I90" s="147">
        <v>44172</v>
      </c>
      <c r="J90" s="147">
        <v>44174</v>
      </c>
      <c r="K90" s="135">
        <v>44203</v>
      </c>
      <c r="L90" s="135">
        <v>44180</v>
      </c>
      <c r="M90" s="135" t="s">
        <v>76</v>
      </c>
      <c r="N90" s="135">
        <v>44204</v>
      </c>
      <c r="O90" s="135">
        <v>44204</v>
      </c>
      <c r="P90" s="135">
        <v>44211</v>
      </c>
      <c r="Q90" s="135"/>
      <c r="R90" s="143"/>
      <c r="S90" s="143"/>
      <c r="T90" s="143"/>
      <c r="U90" s="143">
        <v>4</v>
      </c>
      <c r="V90" s="143">
        <v>37449</v>
      </c>
      <c r="W90" s="143" t="str">
        <f ca="1">IF(H90="",IF(D90="","",IF(U90+V90&lt;15,"Données Nb pers ou RFR manquantes",IF(COUNTA(INDIRECT("TabRFR["&amp;YEAR(D90)&amp;"]"))&lt;&gt;COUNTA(TabRFR[Recherche RFR]),"Data RFR manquantes", IF(V90&lt;=INDEX(TabRFR[[2021]:[2025]],MATCH(BD!U90&amp;"-Très modestes",TabRFR[Recherche RFR],0),MATCH(TEXT(YEAR(BD!D90),"Standard"),TabRFR[[#Headers],[2021]:[2025]],0)),"Très Modeste",IF(V90&lt;=INDEX(TabRFR[[2021]:[2025]],MATCH(BD!U90&amp;"-modestes",TabRFR[Recherche RFR],0),MATCH(TEXT(YEAR(BD!D90),"Standard"),TabRFR[[#Headers],[2021]:[2025]],0)),"Modeste",IF(V90&lt;=INDEX(TabRFR[[2021]:[2025]],MATCH(BD!U90&amp;"-Intermédiaire",TabRFR[Recherche RFR],0),MATCH(TEXT(YEAR(BD!D90),"Standard"),TabRFR[[#Headers],[2021]:[2025]],0)),"Intermédiaire","Supérieur")))))),IF(D90="","",IF(U90+V90&lt;15,"Données Nb pers ou RFR manquantes",IF(COUNTA(INDIRECT("TabRFR["&amp;YEAR(H90)&amp;"]"))&lt;&gt;COUNTA(TabRFR[Recherche RFR]),"Data RFR manquantes", IF(V90&lt;=INDEX(TabRFR[[2021]:[2025]],MATCH(BD!U90&amp;"-Très modestes",TabRFR[Recherche RFR],0),MATCH(TEXT(YEAR(BD!H90),"Standard"),TabRFR[[#Headers],[2021]:[2025]],0)),"Très Modeste",IF(V90&lt;=INDEX(TabRFR[[2021]:[2025]],MATCH(BD!U90&amp;"-modestes",TabRFR[Recherche RFR],0),MATCH(TEXT(YEAR(BD!H90),"Standard"),TabRFR[[#Headers],[2021]:[2025]],0)),"Modeste",IF(V90&lt;=INDEX(TabRFR[[2021]:[2025]],MATCH(BD!U90&amp;"-Intermédiaire",TabRFR[Recherche RFR],0),MATCH(TEXT(YEAR(BD!H90),"Standard"),TabRFR[[#Headers],[2021]:[2025]],0)),"Intermédiaire","Supérieur")))))))</f>
        <v>Data RFR manquantes</v>
      </c>
      <c r="X90" s="143"/>
      <c r="Y90" s="143" t="s">
        <v>560</v>
      </c>
      <c r="Z90" s="143">
        <v>38620</v>
      </c>
      <c r="AA90" s="143" t="s">
        <v>518</v>
      </c>
      <c r="AB90" s="148"/>
      <c r="AC90" s="149"/>
      <c r="AD90" s="143" t="s">
        <v>91</v>
      </c>
      <c r="AE90" s="143" t="s">
        <v>76</v>
      </c>
      <c r="AF90" s="143" t="s">
        <v>76</v>
      </c>
      <c r="AG90" s="143" t="s">
        <v>76</v>
      </c>
      <c r="AH90" s="143" t="s">
        <v>76</v>
      </c>
      <c r="AI90" s="143" t="s">
        <v>92</v>
      </c>
      <c r="AJ90" s="143" t="s">
        <v>93</v>
      </c>
      <c r="AK90" s="143" t="s">
        <v>94</v>
      </c>
      <c r="AL90" s="149" t="s">
        <v>95</v>
      </c>
      <c r="AM90" s="148" t="s">
        <v>96</v>
      </c>
      <c r="AN90" s="143" t="s">
        <v>76</v>
      </c>
      <c r="AO90" s="150" t="s">
        <v>97</v>
      </c>
      <c r="AP90" s="147">
        <v>44517</v>
      </c>
      <c r="AQ90" s="143" t="s">
        <v>3413</v>
      </c>
      <c r="AR90" s="143">
        <v>2001</v>
      </c>
      <c r="AS90" s="143" t="s">
        <v>3413</v>
      </c>
      <c r="AT90" s="143" t="s">
        <v>98</v>
      </c>
      <c r="AU90" s="143" t="s">
        <v>99</v>
      </c>
      <c r="AV90" s="143" t="s">
        <v>561</v>
      </c>
      <c r="AW90" s="143">
        <v>11</v>
      </c>
      <c r="AX90" s="143">
        <v>12</v>
      </c>
      <c r="AY90" s="143">
        <v>88.5</v>
      </c>
      <c r="AZ90" s="143">
        <v>7.0000000000000001E-3</v>
      </c>
      <c r="BA90" s="143" t="s">
        <v>101</v>
      </c>
      <c r="BB90" s="143"/>
      <c r="BC90" s="143">
        <f>4040+996+193+145</f>
        <v>5374</v>
      </c>
      <c r="BD90" s="143"/>
      <c r="BE90" s="143">
        <v>590</v>
      </c>
      <c r="BF90" s="143">
        <f t="shared" si="3"/>
        <v>5964</v>
      </c>
      <c r="BG90" s="151">
        <f t="shared" si="4"/>
        <v>328.02</v>
      </c>
      <c r="BH90" s="151">
        <f t="shared" si="5"/>
        <v>6292.02</v>
      </c>
      <c r="BI90" s="151">
        <v>6292.02</v>
      </c>
      <c r="BJ90" s="143" t="s">
        <v>102</v>
      </c>
      <c r="BK90" s="143"/>
      <c r="BL90" s="143"/>
      <c r="BM90" s="144" t="s">
        <v>142</v>
      </c>
      <c r="BN90" s="144" t="s">
        <v>103</v>
      </c>
      <c r="BO90" s="135" t="s">
        <v>155</v>
      </c>
      <c r="BP90" s="143" t="s">
        <v>3583</v>
      </c>
      <c r="BQ90" s="203" t="s">
        <v>144</v>
      </c>
    </row>
    <row r="91" spans="1:69" ht="41.1" customHeight="1">
      <c r="A91" s="133" t="s">
        <v>86</v>
      </c>
      <c r="B91" s="133" t="s">
        <v>562</v>
      </c>
      <c r="C91" s="134">
        <v>400</v>
      </c>
      <c r="D91" s="135">
        <v>44169</v>
      </c>
      <c r="E91" s="135">
        <v>44172</v>
      </c>
      <c r="F91" s="147" t="s">
        <v>76</v>
      </c>
      <c r="G91" s="135" t="s">
        <v>76</v>
      </c>
      <c r="H91" s="147">
        <v>44172</v>
      </c>
      <c r="I91" s="147">
        <v>44172</v>
      </c>
      <c r="J91" s="147">
        <v>44174</v>
      </c>
      <c r="K91" s="135">
        <v>44239</v>
      </c>
      <c r="L91" s="135">
        <v>44245</v>
      </c>
      <c r="M91" s="135" t="s">
        <v>76</v>
      </c>
      <c r="N91" s="135">
        <v>44246</v>
      </c>
      <c r="O91" s="135">
        <v>44246</v>
      </c>
      <c r="P91" s="135">
        <v>44252</v>
      </c>
      <c r="Q91" s="135"/>
      <c r="R91" s="143"/>
      <c r="S91" s="143"/>
      <c r="T91" s="143"/>
      <c r="U91" s="143">
        <v>2</v>
      </c>
      <c r="V91" s="143">
        <v>30694</v>
      </c>
      <c r="W91" s="143" t="str">
        <f ca="1">IF(H91="",IF(D91="","",IF(U91+V91&lt;15,"Données Nb pers ou RFR manquantes",IF(COUNTA(INDIRECT("TabRFR["&amp;YEAR(D91)&amp;"]"))&lt;&gt;COUNTA(TabRFR[Recherche RFR]),"Data RFR manquantes", IF(V91&lt;=INDEX(TabRFR[[2021]:[2025]],MATCH(BD!U91&amp;"-Très modestes",TabRFR[Recherche RFR],0),MATCH(TEXT(YEAR(BD!D91),"Standard"),TabRFR[[#Headers],[2021]:[2025]],0)),"Très Modeste",IF(V91&lt;=INDEX(TabRFR[[2021]:[2025]],MATCH(BD!U91&amp;"-modestes",TabRFR[Recherche RFR],0),MATCH(TEXT(YEAR(BD!D91),"Standard"),TabRFR[[#Headers],[2021]:[2025]],0)),"Modeste",IF(V91&lt;=INDEX(TabRFR[[2021]:[2025]],MATCH(BD!U91&amp;"-Intermédiaire",TabRFR[Recherche RFR],0),MATCH(TEXT(YEAR(BD!D91),"Standard"),TabRFR[[#Headers],[2021]:[2025]],0)),"Intermédiaire","Supérieur")))))),IF(D91="","",IF(U91+V91&lt;15,"Données Nb pers ou RFR manquantes",IF(COUNTA(INDIRECT("TabRFR["&amp;YEAR(H91)&amp;"]"))&lt;&gt;COUNTA(TabRFR[Recherche RFR]),"Data RFR manquantes", IF(V91&lt;=INDEX(TabRFR[[2021]:[2025]],MATCH(BD!U91&amp;"-Très modestes",TabRFR[Recherche RFR],0),MATCH(TEXT(YEAR(BD!H91),"Standard"),TabRFR[[#Headers],[2021]:[2025]],0)),"Très Modeste",IF(V91&lt;=INDEX(TabRFR[[2021]:[2025]],MATCH(BD!U91&amp;"-modestes",TabRFR[Recherche RFR],0),MATCH(TEXT(YEAR(BD!H91),"Standard"),TabRFR[[#Headers],[2021]:[2025]],0)),"Modeste",IF(V91&lt;=INDEX(TabRFR[[2021]:[2025]],MATCH(BD!U91&amp;"-Intermédiaire",TabRFR[Recherche RFR],0),MATCH(TEXT(YEAR(BD!H91),"Standard"),TabRFR[[#Headers],[2021]:[2025]],0)),"Intermédiaire","Supérieur")))))))</f>
        <v>Data RFR manquantes</v>
      </c>
      <c r="X91" s="143"/>
      <c r="Y91" s="143" t="s">
        <v>563</v>
      </c>
      <c r="Z91" s="143">
        <v>38850</v>
      </c>
      <c r="AA91" s="143" t="s">
        <v>148</v>
      </c>
      <c r="AB91" s="148"/>
      <c r="AC91" s="149"/>
      <c r="AD91" s="143" t="s">
        <v>91</v>
      </c>
      <c r="AE91" s="143" t="s">
        <v>76</v>
      </c>
      <c r="AF91" s="143" t="s">
        <v>76</v>
      </c>
      <c r="AG91" s="143" t="s">
        <v>76</v>
      </c>
      <c r="AH91" s="143" t="s">
        <v>76</v>
      </c>
      <c r="AI91" s="135" t="s">
        <v>285</v>
      </c>
      <c r="AJ91" s="143" t="s">
        <v>108</v>
      </c>
      <c r="AK91" s="143" t="s">
        <v>286</v>
      </c>
      <c r="AL91" s="150" t="s">
        <v>287</v>
      </c>
      <c r="AM91" s="148">
        <v>476069938</v>
      </c>
      <c r="AN91" s="143" t="s">
        <v>76</v>
      </c>
      <c r="AO91" s="150" t="s">
        <v>102</v>
      </c>
      <c r="AP91" s="147">
        <v>44457</v>
      </c>
      <c r="AQ91" s="135" t="s">
        <v>3323</v>
      </c>
      <c r="AR91" s="143">
        <v>1978</v>
      </c>
      <c r="AS91" s="143" t="s">
        <v>3413</v>
      </c>
      <c r="AT91" s="143" t="s">
        <v>98</v>
      </c>
      <c r="AU91" s="143" t="s">
        <v>430</v>
      </c>
      <c r="AV91" s="143" t="s">
        <v>564</v>
      </c>
      <c r="AW91" s="143">
        <v>14.8</v>
      </c>
      <c r="AX91" s="143">
        <v>7.4</v>
      </c>
      <c r="AY91" s="143">
        <v>92.5</v>
      </c>
      <c r="AZ91" s="143">
        <v>1.2E-2</v>
      </c>
      <c r="BA91" s="143" t="s">
        <v>126</v>
      </c>
      <c r="BB91" s="143"/>
      <c r="BC91" s="143">
        <f>470+250+2910+190+89+170</f>
        <v>4079</v>
      </c>
      <c r="BD91" s="143"/>
      <c r="BE91" s="143">
        <f>450+390+236.97+50</f>
        <v>1126.97</v>
      </c>
      <c r="BF91" s="143">
        <f t="shared" si="3"/>
        <v>5205.97</v>
      </c>
      <c r="BG91" s="143">
        <f t="shared" si="4"/>
        <v>286.32835</v>
      </c>
      <c r="BH91" s="143">
        <f t="shared" si="5"/>
        <v>5492.29835</v>
      </c>
      <c r="BI91" s="151">
        <v>5492.3</v>
      </c>
      <c r="BJ91" s="143" t="s">
        <v>102</v>
      </c>
      <c r="BK91" s="143"/>
      <c r="BL91" s="143"/>
      <c r="BM91" s="144" t="s">
        <v>142</v>
      </c>
      <c r="BN91" s="144" t="s">
        <v>103</v>
      </c>
      <c r="BO91" s="144" t="s">
        <v>143</v>
      </c>
      <c r="BP91" s="143" t="s">
        <v>3583</v>
      </c>
      <c r="BQ91" s="203" t="s">
        <v>144</v>
      </c>
    </row>
    <row r="92" spans="1:69" ht="41.1" customHeight="1">
      <c r="A92" s="133" t="s">
        <v>86</v>
      </c>
      <c r="B92" s="133" t="s">
        <v>565</v>
      </c>
      <c r="C92" s="134">
        <v>400</v>
      </c>
      <c r="D92" s="135">
        <v>44175</v>
      </c>
      <c r="E92" s="135">
        <v>44176</v>
      </c>
      <c r="F92" s="147" t="s">
        <v>76</v>
      </c>
      <c r="G92" s="135" t="s">
        <v>76</v>
      </c>
      <c r="H92" s="147">
        <v>44176</v>
      </c>
      <c r="I92" s="147">
        <v>44176</v>
      </c>
      <c r="J92" s="147">
        <v>44182</v>
      </c>
      <c r="K92" s="135">
        <v>44228</v>
      </c>
      <c r="L92" s="135">
        <v>44216</v>
      </c>
      <c r="M92" s="135" t="s">
        <v>76</v>
      </c>
      <c r="N92" s="135">
        <v>44229</v>
      </c>
      <c r="O92" s="135">
        <v>44229</v>
      </c>
      <c r="P92" s="135">
        <v>44243</v>
      </c>
      <c r="Q92" s="135"/>
      <c r="R92" s="143"/>
      <c r="S92" s="143"/>
      <c r="T92" s="143"/>
      <c r="U92" s="143">
        <v>2</v>
      </c>
      <c r="V92" s="143">
        <v>48910</v>
      </c>
      <c r="W92" s="143" t="str">
        <f ca="1">IF(H92="",IF(D92="","",IF(U92+V92&lt;15,"Données Nb pers ou RFR manquantes",IF(COUNTA(INDIRECT("TabRFR["&amp;YEAR(D92)&amp;"]"))&lt;&gt;COUNTA(TabRFR[Recherche RFR]),"Data RFR manquantes", IF(V92&lt;=INDEX(TabRFR[[2021]:[2025]],MATCH(BD!U92&amp;"-Très modestes",TabRFR[Recherche RFR],0),MATCH(TEXT(YEAR(BD!D92),"Standard"),TabRFR[[#Headers],[2021]:[2025]],0)),"Très Modeste",IF(V92&lt;=INDEX(TabRFR[[2021]:[2025]],MATCH(BD!U92&amp;"-modestes",TabRFR[Recherche RFR],0),MATCH(TEXT(YEAR(BD!D92),"Standard"),TabRFR[[#Headers],[2021]:[2025]],0)),"Modeste",IF(V92&lt;=INDEX(TabRFR[[2021]:[2025]],MATCH(BD!U92&amp;"-Intermédiaire",TabRFR[Recherche RFR],0),MATCH(TEXT(YEAR(BD!D92),"Standard"),TabRFR[[#Headers],[2021]:[2025]],0)),"Intermédiaire","Supérieur")))))),IF(D92="","",IF(U92+V92&lt;15,"Données Nb pers ou RFR manquantes",IF(COUNTA(INDIRECT("TabRFR["&amp;YEAR(H92)&amp;"]"))&lt;&gt;COUNTA(TabRFR[Recherche RFR]),"Data RFR manquantes", IF(V92&lt;=INDEX(TabRFR[[2021]:[2025]],MATCH(BD!U92&amp;"-Très modestes",TabRFR[Recherche RFR],0),MATCH(TEXT(YEAR(BD!H92),"Standard"),TabRFR[[#Headers],[2021]:[2025]],0)),"Très Modeste",IF(V92&lt;=INDEX(TabRFR[[2021]:[2025]],MATCH(BD!U92&amp;"-modestes",TabRFR[Recherche RFR],0),MATCH(TEXT(YEAR(BD!H92),"Standard"),TabRFR[[#Headers],[2021]:[2025]],0)),"Modeste",IF(V92&lt;=INDEX(TabRFR[[2021]:[2025]],MATCH(BD!U92&amp;"-Intermédiaire",TabRFR[Recherche RFR],0),MATCH(TEXT(YEAR(BD!H92),"Standard"),TabRFR[[#Headers],[2021]:[2025]],0)),"Intermédiaire","Supérieur")))))))</f>
        <v>Data RFR manquantes</v>
      </c>
      <c r="X92" s="143"/>
      <c r="Y92" s="143" t="s">
        <v>566</v>
      </c>
      <c r="Z92" s="143">
        <v>38500</v>
      </c>
      <c r="AA92" s="143" t="s">
        <v>108</v>
      </c>
      <c r="AB92" s="148"/>
      <c r="AC92" s="149"/>
      <c r="AD92" s="143" t="s">
        <v>91</v>
      </c>
      <c r="AE92" s="143" t="s">
        <v>76</v>
      </c>
      <c r="AF92" s="143" t="s">
        <v>76</v>
      </c>
      <c r="AG92" s="143" t="s">
        <v>76</v>
      </c>
      <c r="AH92" s="143" t="s">
        <v>76</v>
      </c>
      <c r="AI92" s="143" t="s">
        <v>160</v>
      </c>
      <c r="AJ92" s="143" t="s">
        <v>161</v>
      </c>
      <c r="AK92" s="143" t="s">
        <v>227</v>
      </c>
      <c r="AL92" s="150" t="s">
        <v>228</v>
      </c>
      <c r="AM92" s="148">
        <v>438021901</v>
      </c>
      <c r="AN92" s="143" t="s">
        <v>76</v>
      </c>
      <c r="AO92" s="150" t="s">
        <v>102</v>
      </c>
      <c r="AP92" s="147">
        <v>44276</v>
      </c>
      <c r="AQ92" s="143" t="s">
        <v>3413</v>
      </c>
      <c r="AR92" s="143">
        <v>1980</v>
      </c>
      <c r="AS92" s="143" t="s">
        <v>3413</v>
      </c>
      <c r="AT92" s="135" t="s">
        <v>3446</v>
      </c>
      <c r="AU92" s="143" t="s">
        <v>164</v>
      </c>
      <c r="AV92" s="143" t="s">
        <v>567</v>
      </c>
      <c r="AW92" s="143">
        <v>29</v>
      </c>
      <c r="AX92" s="143">
        <v>8</v>
      </c>
      <c r="AY92" s="143">
        <v>77</v>
      </c>
      <c r="AZ92" s="143">
        <v>0.05</v>
      </c>
      <c r="BA92" s="143" t="s">
        <v>101</v>
      </c>
      <c r="BB92" s="143"/>
      <c r="BC92" s="143">
        <f>1165+318+91+900+382+91+125+66</f>
        <v>3138</v>
      </c>
      <c r="BD92" s="143"/>
      <c r="BE92" s="143">
        <f>891</f>
        <v>891</v>
      </c>
      <c r="BF92" s="143">
        <f t="shared" si="3"/>
        <v>4029</v>
      </c>
      <c r="BG92" s="151">
        <f t="shared" si="4"/>
        <v>221.595</v>
      </c>
      <c r="BH92" s="151">
        <f t="shared" si="5"/>
        <v>4250.5950000000003</v>
      </c>
      <c r="BI92" s="151">
        <v>3951</v>
      </c>
      <c r="BJ92" s="143" t="s">
        <v>102</v>
      </c>
      <c r="BK92" s="143"/>
      <c r="BL92" s="143"/>
      <c r="BM92" s="144" t="s">
        <v>142</v>
      </c>
      <c r="BN92" s="144" t="s">
        <v>103</v>
      </c>
      <c r="BO92" s="144" t="s">
        <v>143</v>
      </c>
      <c r="BP92" s="144">
        <v>2021</v>
      </c>
      <c r="BQ92" s="203" t="s">
        <v>144</v>
      </c>
    </row>
    <row r="93" spans="1:69" ht="41.1" customHeight="1">
      <c r="A93" s="133" t="s">
        <v>86</v>
      </c>
      <c r="B93" s="133" t="s">
        <v>568</v>
      </c>
      <c r="C93" s="134">
        <v>400</v>
      </c>
      <c r="D93" s="135">
        <v>44176</v>
      </c>
      <c r="E93" s="135">
        <v>44179</v>
      </c>
      <c r="F93" s="147" t="s">
        <v>76</v>
      </c>
      <c r="G93" s="135" t="s">
        <v>76</v>
      </c>
      <c r="H93" s="147">
        <v>44179</v>
      </c>
      <c r="I93" s="147">
        <v>44179</v>
      </c>
      <c r="J93" s="147">
        <v>44179</v>
      </c>
      <c r="K93" s="135">
        <v>44306</v>
      </c>
      <c r="L93" s="135">
        <v>44284</v>
      </c>
      <c r="M93" s="135" t="s">
        <v>76</v>
      </c>
      <c r="N93" s="135">
        <v>44308</v>
      </c>
      <c r="O93" s="135">
        <v>44308</v>
      </c>
      <c r="P93" s="135">
        <v>44328</v>
      </c>
      <c r="Q93" s="135"/>
      <c r="R93" s="143"/>
      <c r="S93" s="143"/>
      <c r="T93" s="143"/>
      <c r="U93" s="143">
        <v>3</v>
      </c>
      <c r="V93" s="143">
        <v>48151</v>
      </c>
      <c r="W93" s="143" t="str">
        <f ca="1">IF(H93="",IF(D93="","",IF(U93+V93&lt;15,"Données Nb pers ou RFR manquantes",IF(COUNTA(INDIRECT("TabRFR["&amp;YEAR(D93)&amp;"]"))&lt;&gt;COUNTA(TabRFR[Recherche RFR]),"Data RFR manquantes", IF(V93&lt;=INDEX(TabRFR[[2021]:[2025]],MATCH(BD!U93&amp;"-Très modestes",TabRFR[Recherche RFR],0),MATCH(TEXT(YEAR(BD!D93),"Standard"),TabRFR[[#Headers],[2021]:[2025]],0)),"Très Modeste",IF(V93&lt;=INDEX(TabRFR[[2021]:[2025]],MATCH(BD!U93&amp;"-modestes",TabRFR[Recherche RFR],0),MATCH(TEXT(YEAR(BD!D93),"Standard"),TabRFR[[#Headers],[2021]:[2025]],0)),"Modeste",IF(V93&lt;=INDEX(TabRFR[[2021]:[2025]],MATCH(BD!U93&amp;"-Intermédiaire",TabRFR[Recherche RFR],0),MATCH(TEXT(YEAR(BD!D93),"Standard"),TabRFR[[#Headers],[2021]:[2025]],0)),"Intermédiaire","Supérieur")))))),IF(D93="","",IF(U93+V93&lt;15,"Données Nb pers ou RFR manquantes",IF(COUNTA(INDIRECT("TabRFR["&amp;YEAR(H93)&amp;"]"))&lt;&gt;COUNTA(TabRFR[Recherche RFR]),"Data RFR manquantes", IF(V93&lt;=INDEX(TabRFR[[2021]:[2025]],MATCH(BD!U93&amp;"-Très modestes",TabRFR[Recherche RFR],0),MATCH(TEXT(YEAR(BD!H93),"Standard"),TabRFR[[#Headers],[2021]:[2025]],0)),"Très Modeste",IF(V93&lt;=INDEX(TabRFR[[2021]:[2025]],MATCH(BD!U93&amp;"-modestes",TabRFR[Recherche RFR],0),MATCH(TEXT(YEAR(BD!H93),"Standard"),TabRFR[[#Headers],[2021]:[2025]],0)),"Modeste",IF(V93&lt;=INDEX(TabRFR[[2021]:[2025]],MATCH(BD!U93&amp;"-Intermédiaire",TabRFR[Recherche RFR],0),MATCH(TEXT(YEAR(BD!H93),"Standard"),TabRFR[[#Headers],[2021]:[2025]],0)),"Intermédiaire","Supérieur")))))))</f>
        <v>Data RFR manquantes</v>
      </c>
      <c r="X93" s="143"/>
      <c r="Y93" s="143" t="s">
        <v>522</v>
      </c>
      <c r="Z93" s="143">
        <v>38500</v>
      </c>
      <c r="AA93" s="143" t="s">
        <v>108</v>
      </c>
      <c r="AB93" s="148"/>
      <c r="AC93" s="149"/>
      <c r="AD93" s="143" t="s">
        <v>91</v>
      </c>
      <c r="AE93" s="143" t="s">
        <v>76</v>
      </c>
      <c r="AF93" s="143" t="s">
        <v>76</v>
      </c>
      <c r="AG93" s="143" t="s">
        <v>76</v>
      </c>
      <c r="AH93" s="143" t="s">
        <v>76</v>
      </c>
      <c r="AI93" s="135" t="s">
        <v>220</v>
      </c>
      <c r="AJ93" s="143" t="s">
        <v>108</v>
      </c>
      <c r="AK93" s="143" t="s">
        <v>221</v>
      </c>
      <c r="AL93" s="150" t="s">
        <v>222</v>
      </c>
      <c r="AM93" s="148">
        <v>476323235</v>
      </c>
      <c r="AN93" s="143" t="s">
        <v>76</v>
      </c>
      <c r="AO93" s="150" t="s">
        <v>102</v>
      </c>
      <c r="AP93" s="147">
        <v>44429</v>
      </c>
      <c r="AQ93" s="143" t="s">
        <v>3413</v>
      </c>
      <c r="AR93" s="143">
        <v>1998</v>
      </c>
      <c r="AS93" s="143" t="s">
        <v>3413</v>
      </c>
      <c r="AT93" s="143" t="s">
        <v>98</v>
      </c>
      <c r="AU93" s="143" t="s">
        <v>113</v>
      </c>
      <c r="AV93" s="143" t="s">
        <v>569</v>
      </c>
      <c r="AW93" s="143">
        <v>17</v>
      </c>
      <c r="AX93" s="143">
        <v>8.1</v>
      </c>
      <c r="AY93" s="143">
        <v>90.9</v>
      </c>
      <c r="AZ93" s="143">
        <v>2E-3</v>
      </c>
      <c r="BA93" s="143" t="s">
        <v>101</v>
      </c>
      <c r="BB93" s="143"/>
      <c r="BC93" s="143">
        <f>2493+168+135+48+88+165+135</f>
        <v>3232</v>
      </c>
      <c r="BD93" s="143"/>
      <c r="BE93" s="143">
        <f>60+380</f>
        <v>440</v>
      </c>
      <c r="BF93" s="143">
        <f t="shared" si="3"/>
        <v>3672</v>
      </c>
      <c r="BG93" s="151">
        <f t="shared" si="4"/>
        <v>201.96</v>
      </c>
      <c r="BH93" s="151">
        <f t="shared" si="5"/>
        <v>3873.96</v>
      </c>
      <c r="BI93" s="151">
        <v>3876.96</v>
      </c>
      <c r="BJ93" s="143" t="s">
        <v>102</v>
      </c>
      <c r="BK93" s="143"/>
      <c r="BL93" s="143"/>
      <c r="BM93" s="144" t="s">
        <v>3576</v>
      </c>
      <c r="BN93" s="144" t="s">
        <v>103</v>
      </c>
      <c r="BO93" s="144" t="s">
        <v>143</v>
      </c>
      <c r="BP93" s="143" t="s">
        <v>3583</v>
      </c>
      <c r="BQ93" s="203" t="s">
        <v>144</v>
      </c>
    </row>
    <row r="94" spans="1:69" ht="41.1" customHeight="1">
      <c r="A94" s="133" t="s">
        <v>86</v>
      </c>
      <c r="B94" s="133" t="s">
        <v>570</v>
      </c>
      <c r="C94" s="134">
        <v>800</v>
      </c>
      <c r="D94" s="135">
        <v>44177</v>
      </c>
      <c r="E94" s="135">
        <v>44179</v>
      </c>
      <c r="F94" s="147">
        <v>44179</v>
      </c>
      <c r="G94" s="135" t="s">
        <v>571</v>
      </c>
      <c r="H94" s="147">
        <v>44186</v>
      </c>
      <c r="I94" s="147">
        <v>44186</v>
      </c>
      <c r="J94" s="147">
        <v>44223</v>
      </c>
      <c r="K94" s="135">
        <v>44467</v>
      </c>
      <c r="L94" s="135">
        <v>44376</v>
      </c>
      <c r="M94" s="135" t="s">
        <v>76</v>
      </c>
      <c r="N94" s="135">
        <v>44469</v>
      </c>
      <c r="O94" s="135">
        <v>44469</v>
      </c>
      <c r="P94" s="135">
        <v>44469</v>
      </c>
      <c r="Q94" s="135"/>
      <c r="R94" s="143"/>
      <c r="S94" s="143"/>
      <c r="T94" s="143"/>
      <c r="U94" s="143">
        <v>1</v>
      </c>
      <c r="V94" s="143">
        <v>15437</v>
      </c>
      <c r="W94" s="143" t="str">
        <f ca="1">IF(H94="",IF(D94="","",IF(U94+V94&lt;15,"Données Nb pers ou RFR manquantes",IF(COUNTA(INDIRECT("TabRFR["&amp;YEAR(D94)&amp;"]"))&lt;&gt;COUNTA(TabRFR[Recherche RFR]),"Data RFR manquantes", IF(V94&lt;=INDEX(TabRFR[[2021]:[2025]],MATCH(BD!U94&amp;"-Très modestes",TabRFR[Recherche RFR],0),MATCH(TEXT(YEAR(BD!D94),"Standard"),TabRFR[[#Headers],[2021]:[2025]],0)),"Très Modeste",IF(V94&lt;=INDEX(TabRFR[[2021]:[2025]],MATCH(BD!U94&amp;"-modestes",TabRFR[Recherche RFR],0),MATCH(TEXT(YEAR(BD!D94),"Standard"),TabRFR[[#Headers],[2021]:[2025]],0)),"Modeste",IF(V94&lt;=INDEX(TabRFR[[2021]:[2025]],MATCH(BD!U94&amp;"-Intermédiaire",TabRFR[Recherche RFR],0),MATCH(TEXT(YEAR(BD!D94),"Standard"),TabRFR[[#Headers],[2021]:[2025]],0)),"Intermédiaire","Supérieur")))))),IF(D94="","",IF(U94+V94&lt;15,"Données Nb pers ou RFR manquantes",IF(COUNTA(INDIRECT("TabRFR["&amp;YEAR(H94)&amp;"]"))&lt;&gt;COUNTA(TabRFR[Recherche RFR]),"Data RFR manquantes", IF(V94&lt;=INDEX(TabRFR[[2021]:[2025]],MATCH(BD!U94&amp;"-Très modestes",TabRFR[Recherche RFR],0),MATCH(TEXT(YEAR(BD!H94),"Standard"),TabRFR[[#Headers],[2021]:[2025]],0)),"Très Modeste",IF(V94&lt;=INDEX(TabRFR[[2021]:[2025]],MATCH(BD!U94&amp;"-modestes",TabRFR[Recherche RFR],0),MATCH(TEXT(YEAR(BD!H94),"Standard"),TabRFR[[#Headers],[2021]:[2025]],0)),"Modeste",IF(V94&lt;=INDEX(TabRFR[[2021]:[2025]],MATCH(BD!U94&amp;"-Intermédiaire",TabRFR[Recherche RFR],0),MATCH(TEXT(YEAR(BD!H94),"Standard"),TabRFR[[#Headers],[2021]:[2025]],0)),"Intermédiaire","Supérieur")))))))</f>
        <v>Data RFR manquantes</v>
      </c>
      <c r="X94" s="143"/>
      <c r="Y94" s="143" t="s">
        <v>572</v>
      </c>
      <c r="Z94" s="143">
        <v>38960</v>
      </c>
      <c r="AA94" s="143" t="s">
        <v>209</v>
      </c>
      <c r="AB94" s="148"/>
      <c r="AC94" s="149"/>
      <c r="AD94" s="143" t="s">
        <v>91</v>
      </c>
      <c r="AE94" s="143" t="s">
        <v>76</v>
      </c>
      <c r="AF94" s="143" t="s">
        <v>76</v>
      </c>
      <c r="AG94" s="143" t="s">
        <v>76</v>
      </c>
      <c r="AH94" s="143" t="s">
        <v>76</v>
      </c>
      <c r="AI94" s="135" t="s">
        <v>285</v>
      </c>
      <c r="AJ94" s="143" t="s">
        <v>108</v>
      </c>
      <c r="AK94" s="143" t="s">
        <v>286</v>
      </c>
      <c r="AL94" s="150" t="s">
        <v>287</v>
      </c>
      <c r="AM94" s="148">
        <v>476069938</v>
      </c>
      <c r="AN94" s="143" t="s">
        <v>76</v>
      </c>
      <c r="AO94" s="150" t="s">
        <v>102</v>
      </c>
      <c r="AP94" s="147">
        <v>44457</v>
      </c>
      <c r="AQ94" s="135" t="s">
        <v>3323</v>
      </c>
      <c r="AR94" s="143" t="s">
        <v>213</v>
      </c>
      <c r="AS94" s="143" t="s">
        <v>3413</v>
      </c>
      <c r="AT94" s="135" t="s">
        <v>3446</v>
      </c>
      <c r="AU94" s="143" t="s">
        <v>532</v>
      </c>
      <c r="AV94" s="143" t="s">
        <v>573</v>
      </c>
      <c r="AW94" s="143">
        <v>40</v>
      </c>
      <c r="AX94" s="143">
        <v>6</v>
      </c>
      <c r="AY94" s="143">
        <v>83</v>
      </c>
      <c r="AZ94" s="143">
        <v>7.0000000000000007E-2</v>
      </c>
      <c r="BA94" s="143" t="s">
        <v>101</v>
      </c>
      <c r="BB94" s="143"/>
      <c r="BC94" s="143">
        <f>2680+590+250+2590+89</f>
        <v>6199</v>
      </c>
      <c r="BD94" s="143"/>
      <c r="BE94" s="143">
        <v>300</v>
      </c>
      <c r="BF94" s="143">
        <f t="shared" si="3"/>
        <v>6499</v>
      </c>
      <c r="BG94" s="143">
        <f t="shared" si="4"/>
        <v>357.44499999999999</v>
      </c>
      <c r="BH94" s="143">
        <f t="shared" si="5"/>
        <v>6856.4449999999997</v>
      </c>
      <c r="BI94" s="151">
        <v>6856.45</v>
      </c>
      <c r="BJ94" s="143" t="s">
        <v>102</v>
      </c>
      <c r="BK94" s="143"/>
      <c r="BL94" s="143"/>
      <c r="BM94" s="144" t="s">
        <v>3592</v>
      </c>
      <c r="BN94" s="144" t="s">
        <v>103</v>
      </c>
      <c r="BO94" s="135" t="s">
        <v>155</v>
      </c>
      <c r="BP94" s="144">
        <v>2021</v>
      </c>
      <c r="BQ94" s="203" t="s">
        <v>144</v>
      </c>
    </row>
    <row r="95" spans="1:69" ht="41.1" customHeight="1">
      <c r="A95" s="133" t="s">
        <v>86</v>
      </c>
      <c r="B95" s="133" t="s">
        <v>574</v>
      </c>
      <c r="C95" s="134">
        <v>400</v>
      </c>
      <c r="D95" s="135">
        <v>44186</v>
      </c>
      <c r="E95" s="135">
        <v>44187</v>
      </c>
      <c r="F95" s="147">
        <v>44201</v>
      </c>
      <c r="G95" s="135" t="s">
        <v>575</v>
      </c>
      <c r="H95" s="147">
        <v>44222</v>
      </c>
      <c r="I95" s="147">
        <v>44222</v>
      </c>
      <c r="J95" s="147">
        <v>44229</v>
      </c>
      <c r="K95" s="135">
        <v>44572</v>
      </c>
      <c r="L95" s="135">
        <v>44383</v>
      </c>
      <c r="M95" s="135" t="s">
        <v>576</v>
      </c>
      <c r="N95" s="135">
        <v>44650</v>
      </c>
      <c r="O95" s="135">
        <v>44650</v>
      </c>
      <c r="P95" s="135">
        <v>44652</v>
      </c>
      <c r="Q95" s="135"/>
      <c r="R95" s="143"/>
      <c r="S95" s="143"/>
      <c r="T95" s="143"/>
      <c r="U95" s="143">
        <v>5</v>
      </c>
      <c r="V95" s="143">
        <v>98055</v>
      </c>
      <c r="W95" s="143" t="str">
        <f ca="1">IF(H95="",IF(D95="","",IF(U95+V95&lt;15,"Données Nb pers ou RFR manquantes",IF(COUNTA(INDIRECT("TabRFR["&amp;YEAR(D95)&amp;"]"))&lt;&gt;COUNTA(TabRFR[Recherche RFR]),"Data RFR manquantes", IF(V95&lt;=INDEX(TabRFR[[2021]:[2025]],MATCH(BD!U95&amp;"-Très modestes",TabRFR[Recherche RFR],0),MATCH(TEXT(YEAR(BD!D95),"Standard"),TabRFR[[#Headers],[2021]:[2025]],0)),"Très Modeste",IF(V95&lt;=INDEX(TabRFR[[2021]:[2025]],MATCH(BD!U95&amp;"-modestes",TabRFR[Recherche RFR],0),MATCH(TEXT(YEAR(BD!D95),"Standard"),TabRFR[[#Headers],[2021]:[2025]],0)),"Modeste",IF(V95&lt;=INDEX(TabRFR[[2021]:[2025]],MATCH(BD!U95&amp;"-Intermédiaire",TabRFR[Recherche RFR],0),MATCH(TEXT(YEAR(BD!D95),"Standard"),TabRFR[[#Headers],[2021]:[2025]],0)),"Intermédiaire","Supérieur")))))),IF(D95="","",IF(U95+V95&lt;15,"Données Nb pers ou RFR manquantes",IF(COUNTA(INDIRECT("TabRFR["&amp;YEAR(H95)&amp;"]"))&lt;&gt;COUNTA(TabRFR[Recherche RFR]),"Data RFR manquantes", IF(V95&lt;=INDEX(TabRFR[[2021]:[2025]],MATCH(BD!U95&amp;"-Très modestes",TabRFR[Recherche RFR],0),MATCH(TEXT(YEAR(BD!H95),"Standard"),TabRFR[[#Headers],[2021]:[2025]],0)),"Très Modeste",IF(V95&lt;=INDEX(TabRFR[[2021]:[2025]],MATCH(BD!U95&amp;"-modestes",TabRFR[Recherche RFR],0),MATCH(TEXT(YEAR(BD!H95),"Standard"),TabRFR[[#Headers],[2021]:[2025]],0)),"Modeste",IF(V95&lt;=INDEX(TabRFR[[2021]:[2025]],MATCH(BD!U95&amp;"-Intermédiaire",TabRFR[Recherche RFR],0),MATCH(TEXT(YEAR(BD!H95),"Standard"),TabRFR[[#Headers],[2021]:[2025]],0)),"Intermédiaire","Supérieur")))))))</f>
        <v>Supérieur</v>
      </c>
      <c r="X95" s="143"/>
      <c r="Y95" s="143" t="s">
        <v>577</v>
      </c>
      <c r="Z95" s="143">
        <v>38500</v>
      </c>
      <c r="AA95" s="143" t="s">
        <v>284</v>
      </c>
      <c r="AB95" s="148"/>
      <c r="AC95" s="149"/>
      <c r="AD95" s="143" t="s">
        <v>91</v>
      </c>
      <c r="AE95" s="143" t="s">
        <v>76</v>
      </c>
      <c r="AF95" s="143" t="s">
        <v>76</v>
      </c>
      <c r="AG95" s="143" t="s">
        <v>76</v>
      </c>
      <c r="AH95" s="143" t="s">
        <v>76</v>
      </c>
      <c r="AI95" s="143" t="s">
        <v>185</v>
      </c>
      <c r="AJ95" s="143" t="s">
        <v>108</v>
      </c>
      <c r="AK95" s="143" t="s">
        <v>186</v>
      </c>
      <c r="AL95" s="150" t="s">
        <v>187</v>
      </c>
      <c r="AM95" s="148">
        <v>951096343</v>
      </c>
      <c r="AN95" s="143" t="s">
        <v>76</v>
      </c>
      <c r="AO95" s="150" t="s">
        <v>102</v>
      </c>
      <c r="AP95" s="147">
        <v>44433</v>
      </c>
      <c r="AQ95" s="135" t="s">
        <v>3449</v>
      </c>
      <c r="AR95" s="143" t="s">
        <v>213</v>
      </c>
      <c r="AS95" s="135" t="s">
        <v>3496</v>
      </c>
      <c r="AT95" s="135" t="s">
        <v>3446</v>
      </c>
      <c r="AU95" s="143" t="s">
        <v>578</v>
      </c>
      <c r="AV95" s="143" t="s">
        <v>579</v>
      </c>
      <c r="AW95" s="143">
        <v>31</v>
      </c>
      <c r="AX95" s="143">
        <v>9.6999999999999993</v>
      </c>
      <c r="AY95" s="143">
        <v>75</v>
      </c>
      <c r="AZ95" s="143">
        <v>0.11</v>
      </c>
      <c r="BA95" s="143" t="s">
        <v>101</v>
      </c>
      <c r="BB95" s="143"/>
      <c r="BC95" s="143">
        <f>2950+480+450+850.42+693.25+268.06+72.83</f>
        <v>5764.56</v>
      </c>
      <c r="BD95" s="143"/>
      <c r="BE95" s="143">
        <f>1029</f>
        <v>1029</v>
      </c>
      <c r="BF95" s="143">
        <f t="shared" si="3"/>
        <v>6793.56</v>
      </c>
      <c r="BG95" s="151">
        <f t="shared" si="4"/>
        <v>373.64580000000001</v>
      </c>
      <c r="BH95" s="151">
        <f t="shared" si="5"/>
        <v>7167.2058000000006</v>
      </c>
      <c r="BI95" s="151">
        <v>7000</v>
      </c>
      <c r="BJ95" s="143" t="s">
        <v>102</v>
      </c>
      <c r="BK95" s="143"/>
      <c r="BL95" s="143"/>
      <c r="BM95" s="144" t="s">
        <v>3592</v>
      </c>
      <c r="BN95" s="144" t="s">
        <v>103</v>
      </c>
      <c r="BO95" s="144" t="s">
        <v>143</v>
      </c>
      <c r="BP95" s="144">
        <v>2021</v>
      </c>
      <c r="BQ95" s="203" t="s">
        <v>144</v>
      </c>
    </row>
    <row r="96" spans="1:69" ht="41.1" customHeight="1">
      <c r="A96" s="133" t="s">
        <v>86</v>
      </c>
      <c r="B96" s="133" t="s">
        <v>580</v>
      </c>
      <c r="C96" s="134">
        <v>800</v>
      </c>
      <c r="D96" s="135">
        <v>44186</v>
      </c>
      <c r="E96" s="135">
        <v>44187</v>
      </c>
      <c r="F96" s="147">
        <v>44204</v>
      </c>
      <c r="G96" s="135" t="s">
        <v>581</v>
      </c>
      <c r="H96" s="147">
        <v>44302</v>
      </c>
      <c r="I96" s="147">
        <v>44302</v>
      </c>
      <c r="J96" s="147">
        <v>44309</v>
      </c>
      <c r="K96" s="135">
        <v>44344</v>
      </c>
      <c r="L96" s="135">
        <v>44257</v>
      </c>
      <c r="M96" s="135" t="s">
        <v>582</v>
      </c>
      <c r="N96" s="135">
        <v>44347</v>
      </c>
      <c r="O96" s="135">
        <v>44347</v>
      </c>
      <c r="P96" s="135">
        <v>44372</v>
      </c>
      <c r="Q96" s="135"/>
      <c r="R96" s="143"/>
      <c r="S96" s="143"/>
      <c r="T96" s="143"/>
      <c r="U96" s="143">
        <v>2</v>
      </c>
      <c r="V96" s="143">
        <v>18509</v>
      </c>
      <c r="W96" s="143" t="str">
        <f ca="1">IF(H96="",IF(D96="","",IF(U96+V96&lt;15,"Données Nb pers ou RFR manquantes",IF(COUNTA(INDIRECT("TabRFR["&amp;YEAR(D96)&amp;"]"))&lt;&gt;COUNTA(TabRFR[Recherche RFR]),"Data RFR manquantes", IF(V96&lt;=INDEX(TabRFR[[2021]:[2025]],MATCH(BD!U96&amp;"-Très modestes",TabRFR[Recherche RFR],0),MATCH(TEXT(YEAR(BD!D96),"Standard"),TabRFR[[#Headers],[2021]:[2025]],0)),"Très Modeste",IF(V96&lt;=INDEX(TabRFR[[2021]:[2025]],MATCH(BD!U96&amp;"-modestes",TabRFR[Recherche RFR],0),MATCH(TEXT(YEAR(BD!D96),"Standard"),TabRFR[[#Headers],[2021]:[2025]],0)),"Modeste",IF(V96&lt;=INDEX(TabRFR[[2021]:[2025]],MATCH(BD!U96&amp;"-Intermédiaire",TabRFR[Recherche RFR],0),MATCH(TEXT(YEAR(BD!D96),"Standard"),TabRFR[[#Headers],[2021]:[2025]],0)),"Intermédiaire","Supérieur")))))),IF(D96="","",IF(U96+V96&lt;15,"Données Nb pers ou RFR manquantes",IF(COUNTA(INDIRECT("TabRFR["&amp;YEAR(H96)&amp;"]"))&lt;&gt;COUNTA(TabRFR[Recherche RFR]),"Data RFR manquantes", IF(V96&lt;=INDEX(TabRFR[[2021]:[2025]],MATCH(BD!U96&amp;"-Très modestes",TabRFR[Recherche RFR],0),MATCH(TEXT(YEAR(BD!H96),"Standard"),TabRFR[[#Headers],[2021]:[2025]],0)),"Très Modeste",IF(V96&lt;=INDEX(TabRFR[[2021]:[2025]],MATCH(BD!U96&amp;"-modestes",TabRFR[Recherche RFR],0),MATCH(TEXT(YEAR(BD!H96),"Standard"),TabRFR[[#Headers],[2021]:[2025]],0)),"Modeste",IF(V96&lt;=INDEX(TabRFR[[2021]:[2025]],MATCH(BD!U96&amp;"-Intermédiaire",TabRFR[Recherche RFR],0),MATCH(TEXT(YEAR(BD!H96),"Standard"),TabRFR[[#Headers],[2021]:[2025]],0)),"Intermédiaire","Supérieur")))))))</f>
        <v>Très Modeste</v>
      </c>
      <c r="X96" s="143"/>
      <c r="Y96" s="143" t="s">
        <v>583</v>
      </c>
      <c r="Z96" s="143">
        <v>38134</v>
      </c>
      <c r="AA96" s="143" t="s">
        <v>413</v>
      </c>
      <c r="AB96" s="148"/>
      <c r="AC96" s="149"/>
      <c r="AD96" s="143" t="s">
        <v>91</v>
      </c>
      <c r="AE96" s="143" t="s">
        <v>76</v>
      </c>
      <c r="AF96" s="143" t="s">
        <v>76</v>
      </c>
      <c r="AG96" s="143" t="s">
        <v>76</v>
      </c>
      <c r="AH96" s="143" t="s">
        <v>76</v>
      </c>
      <c r="AI96" s="143" t="s">
        <v>584</v>
      </c>
      <c r="AJ96" s="143" t="s">
        <v>450</v>
      </c>
      <c r="AK96" s="143" t="s">
        <v>585</v>
      </c>
      <c r="AL96" s="150" t="s">
        <v>586</v>
      </c>
      <c r="AM96" s="148">
        <v>479262569</v>
      </c>
      <c r="AN96" s="143" t="s">
        <v>76</v>
      </c>
      <c r="AO96" s="150" t="s">
        <v>102</v>
      </c>
      <c r="AP96" s="147">
        <v>44418</v>
      </c>
      <c r="AQ96" s="135" t="s">
        <v>3496</v>
      </c>
      <c r="AR96" s="143" t="s">
        <v>213</v>
      </c>
      <c r="AS96" s="143" t="s">
        <v>3413</v>
      </c>
      <c r="AT96" s="135" t="s">
        <v>3446</v>
      </c>
      <c r="AU96" s="143" t="s">
        <v>587</v>
      </c>
      <c r="AV96" s="143" t="s">
        <v>588</v>
      </c>
      <c r="AW96" s="143">
        <v>8</v>
      </c>
      <c r="AX96" s="143">
        <v>7.7</v>
      </c>
      <c r="AY96" s="143">
        <v>82</v>
      </c>
      <c r="AZ96" s="143">
        <v>0.1</v>
      </c>
      <c r="BA96" s="143" t="s">
        <v>101</v>
      </c>
      <c r="BB96" s="143"/>
      <c r="BC96" s="143">
        <f>1630+750</f>
        <v>2380</v>
      </c>
      <c r="BD96" s="143"/>
      <c r="BE96" s="143">
        <f>180+650</f>
        <v>830</v>
      </c>
      <c r="BF96" s="143">
        <f t="shared" si="3"/>
        <v>3210</v>
      </c>
      <c r="BG96" s="151">
        <f t="shared" si="4"/>
        <v>176.55</v>
      </c>
      <c r="BH96" s="151">
        <f t="shared" si="5"/>
        <v>3386.55</v>
      </c>
      <c r="BI96" s="151">
        <v>3386.55</v>
      </c>
      <c r="BJ96" s="143" t="s">
        <v>115</v>
      </c>
      <c r="BK96" s="143"/>
      <c r="BL96" s="143"/>
      <c r="BM96" s="144" t="s">
        <v>3592</v>
      </c>
      <c r="BN96" s="144" t="s">
        <v>103</v>
      </c>
      <c r="BO96" s="135" t="s">
        <v>155</v>
      </c>
      <c r="BP96" s="144">
        <v>2021</v>
      </c>
      <c r="BQ96" s="203" t="s">
        <v>3274</v>
      </c>
    </row>
    <row r="97" spans="1:69" ht="41.1" customHeight="1">
      <c r="A97" s="133" t="s">
        <v>86</v>
      </c>
      <c r="B97" s="133" t="s">
        <v>589</v>
      </c>
      <c r="C97" s="134">
        <v>400</v>
      </c>
      <c r="D97" s="135">
        <v>44186</v>
      </c>
      <c r="E97" s="135">
        <v>44187</v>
      </c>
      <c r="F97" s="147" t="s">
        <v>76</v>
      </c>
      <c r="G97" s="135" t="s">
        <v>76</v>
      </c>
      <c r="H97" s="147">
        <v>44204</v>
      </c>
      <c r="I97" s="147">
        <v>44204</v>
      </c>
      <c r="J97" s="147">
        <v>44211</v>
      </c>
      <c r="K97" s="135">
        <v>44249</v>
      </c>
      <c r="L97" s="135">
        <v>44236</v>
      </c>
      <c r="M97" s="135" t="s">
        <v>76</v>
      </c>
      <c r="N97" s="135">
        <v>44252</v>
      </c>
      <c r="O97" s="135">
        <v>44252</v>
      </c>
      <c r="P97" s="135">
        <v>44264</v>
      </c>
      <c r="Q97" s="135"/>
      <c r="R97" s="143"/>
      <c r="S97" s="143"/>
      <c r="T97" s="143"/>
      <c r="U97" s="143">
        <v>2</v>
      </c>
      <c r="V97" s="143">
        <v>76086</v>
      </c>
      <c r="W97" s="143" t="str">
        <f ca="1">IF(H97="",IF(D97="","",IF(U97+V97&lt;15,"Données Nb pers ou RFR manquantes",IF(COUNTA(INDIRECT("TabRFR["&amp;YEAR(D97)&amp;"]"))&lt;&gt;COUNTA(TabRFR[Recherche RFR]),"Data RFR manquantes", IF(V97&lt;=INDEX(TabRFR[[2021]:[2025]],MATCH(BD!U97&amp;"-Très modestes",TabRFR[Recherche RFR],0),MATCH(TEXT(YEAR(BD!D97),"Standard"),TabRFR[[#Headers],[2021]:[2025]],0)),"Très Modeste",IF(V97&lt;=INDEX(TabRFR[[2021]:[2025]],MATCH(BD!U97&amp;"-modestes",TabRFR[Recherche RFR],0),MATCH(TEXT(YEAR(BD!D97),"Standard"),TabRFR[[#Headers],[2021]:[2025]],0)),"Modeste",IF(V97&lt;=INDEX(TabRFR[[2021]:[2025]],MATCH(BD!U97&amp;"-Intermédiaire",TabRFR[Recherche RFR],0),MATCH(TEXT(YEAR(BD!D97),"Standard"),TabRFR[[#Headers],[2021]:[2025]],0)),"Intermédiaire","Supérieur")))))),IF(D97="","",IF(U97+V97&lt;15,"Données Nb pers ou RFR manquantes",IF(COUNTA(INDIRECT("TabRFR["&amp;YEAR(H97)&amp;"]"))&lt;&gt;COUNTA(TabRFR[Recherche RFR]),"Data RFR manquantes", IF(V97&lt;=INDEX(TabRFR[[2021]:[2025]],MATCH(BD!U97&amp;"-Très modestes",TabRFR[Recherche RFR],0),MATCH(TEXT(YEAR(BD!H97),"Standard"),TabRFR[[#Headers],[2021]:[2025]],0)),"Très Modeste",IF(V97&lt;=INDEX(TabRFR[[2021]:[2025]],MATCH(BD!U97&amp;"-modestes",TabRFR[Recherche RFR],0),MATCH(TEXT(YEAR(BD!H97),"Standard"),TabRFR[[#Headers],[2021]:[2025]],0)),"Modeste",IF(V97&lt;=INDEX(TabRFR[[2021]:[2025]],MATCH(BD!U97&amp;"-Intermédiaire",TabRFR[Recherche RFR],0),MATCH(TEXT(YEAR(BD!H97),"Standard"),TabRFR[[#Headers],[2021]:[2025]],0)),"Intermédiaire","Supérieur")))))))</f>
        <v>Supérieur</v>
      </c>
      <c r="X97" s="143"/>
      <c r="Y97" s="143" t="s">
        <v>590</v>
      </c>
      <c r="Z97" s="143">
        <v>38500</v>
      </c>
      <c r="AA97" s="143" t="s">
        <v>591</v>
      </c>
      <c r="AB97" s="148"/>
      <c r="AC97" s="149"/>
      <c r="AD97" s="143" t="s">
        <v>91</v>
      </c>
      <c r="AE97" s="143" t="s">
        <v>76</v>
      </c>
      <c r="AF97" s="143" t="s">
        <v>76</v>
      </c>
      <c r="AG97" s="143" t="s">
        <v>76</v>
      </c>
      <c r="AH97" s="143" t="s">
        <v>76</v>
      </c>
      <c r="AI97" s="135" t="s">
        <v>285</v>
      </c>
      <c r="AJ97" s="143" t="s">
        <v>108</v>
      </c>
      <c r="AK97" s="143" t="s">
        <v>286</v>
      </c>
      <c r="AL97" s="150" t="s">
        <v>287</v>
      </c>
      <c r="AM97" s="148">
        <v>476069938</v>
      </c>
      <c r="AN97" s="143" t="s">
        <v>76</v>
      </c>
      <c r="AO97" s="150" t="s">
        <v>102</v>
      </c>
      <c r="AP97" s="147">
        <v>44457</v>
      </c>
      <c r="AQ97" s="135" t="s">
        <v>3449</v>
      </c>
      <c r="AR97" s="143">
        <v>1985</v>
      </c>
      <c r="AS97" s="135" t="s">
        <v>3496</v>
      </c>
      <c r="AT97" s="135" t="s">
        <v>3446</v>
      </c>
      <c r="AU97" s="143" t="s">
        <v>381</v>
      </c>
      <c r="AV97" s="143" t="s">
        <v>592</v>
      </c>
      <c r="AW97" s="143">
        <v>30</v>
      </c>
      <c r="AX97" s="143">
        <v>8</v>
      </c>
      <c r="AY97" s="143">
        <v>85</v>
      </c>
      <c r="AZ97" s="143">
        <v>7.0000000000000007E-2</v>
      </c>
      <c r="BA97" s="143" t="s">
        <v>101</v>
      </c>
      <c r="BB97" s="143"/>
      <c r="BC97" s="143">
        <f>4139.16+290+990+590+89</f>
        <v>6098.16</v>
      </c>
      <c r="BD97" s="143"/>
      <c r="BE97" s="143">
        <f>690+790+450</f>
        <v>1930</v>
      </c>
      <c r="BF97" s="143">
        <f t="shared" si="3"/>
        <v>8028.16</v>
      </c>
      <c r="BG97" s="143">
        <f t="shared" si="4"/>
        <v>441.54879999999997</v>
      </c>
      <c r="BH97" s="143">
        <f t="shared" si="5"/>
        <v>8469.7088000000003</v>
      </c>
      <c r="BI97" s="151">
        <v>8469.7099999999991</v>
      </c>
      <c r="BJ97" s="143" t="s">
        <v>102</v>
      </c>
      <c r="BK97" s="143"/>
      <c r="BL97" s="143"/>
      <c r="BM97" s="144" t="s">
        <v>142</v>
      </c>
      <c r="BN97" s="144" t="s">
        <v>103</v>
      </c>
      <c r="BO97" s="144" t="s">
        <v>143</v>
      </c>
      <c r="BP97" s="144">
        <v>2021</v>
      </c>
      <c r="BQ97" s="203" t="s">
        <v>144</v>
      </c>
    </row>
    <row r="98" spans="1:69" ht="41.1" customHeight="1">
      <c r="A98" s="133" t="s">
        <v>86</v>
      </c>
      <c r="B98" s="133" t="s">
        <v>593</v>
      </c>
      <c r="C98" s="134">
        <v>800</v>
      </c>
      <c r="D98" s="135">
        <v>44186</v>
      </c>
      <c r="E98" s="135">
        <v>44187</v>
      </c>
      <c r="F98" s="147" t="s">
        <v>76</v>
      </c>
      <c r="G98" s="135" t="s">
        <v>76</v>
      </c>
      <c r="H98" s="147">
        <v>44204</v>
      </c>
      <c r="I98" s="147">
        <v>44204</v>
      </c>
      <c r="J98" s="147">
        <v>44211</v>
      </c>
      <c r="K98" s="135">
        <v>44257</v>
      </c>
      <c r="L98" s="135">
        <v>44237</v>
      </c>
      <c r="M98" s="135" t="s">
        <v>76</v>
      </c>
      <c r="N98" s="135">
        <v>44259</v>
      </c>
      <c r="O98" s="135">
        <v>44259</v>
      </c>
      <c r="P98" s="135">
        <v>44270</v>
      </c>
      <c r="Q98" s="135"/>
      <c r="R98" s="143"/>
      <c r="S98" s="143"/>
      <c r="T98" s="143"/>
      <c r="U98" s="143">
        <v>6</v>
      </c>
      <c r="V98" s="143">
        <v>43548</v>
      </c>
      <c r="W98" s="143" t="str">
        <f ca="1">IF(H98="",IF(D98="","",IF(U98+V98&lt;15,"Données Nb pers ou RFR manquantes",IF(COUNTA(INDIRECT("TabRFR["&amp;YEAR(D98)&amp;"]"))&lt;&gt;COUNTA(TabRFR[Recherche RFR]),"Data RFR manquantes", IF(V98&lt;=INDEX(TabRFR[[2021]:[2025]],MATCH(BD!U98&amp;"-Très modestes",TabRFR[Recherche RFR],0),MATCH(TEXT(YEAR(BD!D98),"Standard"),TabRFR[[#Headers],[2021]:[2025]],0)),"Très Modeste",IF(V98&lt;=INDEX(TabRFR[[2021]:[2025]],MATCH(BD!U98&amp;"-modestes",TabRFR[Recherche RFR],0),MATCH(TEXT(YEAR(BD!D98),"Standard"),TabRFR[[#Headers],[2021]:[2025]],0)),"Modeste",IF(V98&lt;=INDEX(TabRFR[[2021]:[2025]],MATCH(BD!U98&amp;"-Intermédiaire",TabRFR[Recherche RFR],0),MATCH(TEXT(YEAR(BD!D98),"Standard"),TabRFR[[#Headers],[2021]:[2025]],0)),"Intermédiaire","Supérieur")))))),IF(D98="","",IF(U98+V98&lt;15,"Données Nb pers ou RFR manquantes",IF(COUNTA(INDIRECT("TabRFR["&amp;YEAR(H98)&amp;"]"))&lt;&gt;COUNTA(TabRFR[Recherche RFR]),"Data RFR manquantes", IF(V98&lt;=INDEX(TabRFR[[2021]:[2025]],MATCH(BD!U98&amp;"-Très modestes",TabRFR[Recherche RFR],0),MATCH(TEXT(YEAR(BD!H98),"Standard"),TabRFR[[#Headers],[2021]:[2025]],0)),"Très Modeste",IF(V98&lt;=INDEX(TabRFR[[2021]:[2025]],MATCH(BD!U98&amp;"-modestes",TabRFR[Recherche RFR],0),MATCH(TEXT(YEAR(BD!H98),"Standard"),TabRFR[[#Headers],[2021]:[2025]],0)),"Modeste",IF(V98&lt;=INDEX(TabRFR[[2021]:[2025]],MATCH(BD!U98&amp;"-Intermédiaire",TabRFR[Recherche RFR],0),MATCH(TEXT(YEAR(BD!H98),"Standard"),TabRFR[[#Headers],[2021]:[2025]],0)),"Intermédiaire","Supérieur")))))))</f>
        <v>Modeste</v>
      </c>
      <c r="X98" s="143"/>
      <c r="Y98" s="143" t="s">
        <v>594</v>
      </c>
      <c r="Z98" s="143">
        <v>38850</v>
      </c>
      <c r="AA98" s="143" t="s">
        <v>168</v>
      </c>
      <c r="AB98" s="148"/>
      <c r="AC98" s="149"/>
      <c r="AD98" s="143" t="s">
        <v>91</v>
      </c>
      <c r="AE98" s="143" t="s">
        <v>76</v>
      </c>
      <c r="AF98" s="143" t="s">
        <v>76</v>
      </c>
      <c r="AG98" s="143" t="s">
        <v>76</v>
      </c>
      <c r="AH98" s="143" t="s">
        <v>76</v>
      </c>
      <c r="AI98" s="143" t="s">
        <v>135</v>
      </c>
      <c r="AJ98" s="143" t="s">
        <v>136</v>
      </c>
      <c r="AK98" s="143" t="s">
        <v>137</v>
      </c>
      <c r="AL98" s="149" t="s">
        <v>138</v>
      </c>
      <c r="AM98" s="148">
        <v>474937373</v>
      </c>
      <c r="AN98" s="143" t="s">
        <v>76</v>
      </c>
      <c r="AO98" s="150" t="s">
        <v>102</v>
      </c>
      <c r="AP98" s="147">
        <v>44314</v>
      </c>
      <c r="AQ98" s="135" t="s">
        <v>3449</v>
      </c>
      <c r="AR98" s="143">
        <v>1980</v>
      </c>
      <c r="AS98" s="143" t="s">
        <v>3413</v>
      </c>
      <c r="AT98" s="143" t="s">
        <v>98</v>
      </c>
      <c r="AU98" s="143" t="s">
        <v>361</v>
      </c>
      <c r="AV98" s="143" t="s">
        <v>595</v>
      </c>
      <c r="AW98" s="143">
        <v>11</v>
      </c>
      <c r="AX98" s="143">
        <v>10</v>
      </c>
      <c r="AY98" s="143">
        <v>91.2</v>
      </c>
      <c r="AZ98" s="143">
        <v>0.01</v>
      </c>
      <c r="BA98" s="143" t="s">
        <v>126</v>
      </c>
      <c r="BB98" s="143"/>
      <c r="BC98" s="143">
        <f>3940+240+150</f>
        <v>4330</v>
      </c>
      <c r="BD98" s="143"/>
      <c r="BE98" s="143">
        <f>900+500</f>
        <v>1400</v>
      </c>
      <c r="BF98" s="143">
        <f t="shared" si="3"/>
        <v>5730</v>
      </c>
      <c r="BG98" s="151">
        <f t="shared" si="4"/>
        <v>315.14999999999998</v>
      </c>
      <c r="BH98" s="151">
        <f t="shared" si="5"/>
        <v>6045.15</v>
      </c>
      <c r="BI98" s="151">
        <v>6045.15</v>
      </c>
      <c r="BJ98" s="143" t="s">
        <v>115</v>
      </c>
      <c r="BK98" s="143"/>
      <c r="BL98" s="143"/>
      <c r="BM98" s="144" t="s">
        <v>142</v>
      </c>
      <c r="BN98" s="144" t="s">
        <v>103</v>
      </c>
      <c r="BO98" s="135" t="s">
        <v>155</v>
      </c>
      <c r="BP98" s="143" t="s">
        <v>3583</v>
      </c>
      <c r="BQ98" s="203" t="s">
        <v>3274</v>
      </c>
    </row>
    <row r="99" spans="1:69" ht="41.1" customHeight="1">
      <c r="A99" s="133" t="s">
        <v>86</v>
      </c>
      <c r="B99" s="133" t="s">
        <v>596</v>
      </c>
      <c r="C99" s="134">
        <v>400</v>
      </c>
      <c r="D99" s="135">
        <v>44187</v>
      </c>
      <c r="E99" s="135">
        <v>44187</v>
      </c>
      <c r="F99" s="147">
        <v>44204</v>
      </c>
      <c r="G99" s="135" t="s">
        <v>378</v>
      </c>
      <c r="H99" s="147">
        <v>44204</v>
      </c>
      <c r="I99" s="147">
        <v>44204</v>
      </c>
      <c r="J99" s="147">
        <v>44211</v>
      </c>
      <c r="K99" s="135">
        <v>44364</v>
      </c>
      <c r="L99" s="135">
        <v>44357</v>
      </c>
      <c r="M99" s="135" t="s">
        <v>76</v>
      </c>
      <c r="N99" s="135">
        <v>44368</v>
      </c>
      <c r="O99" s="135">
        <v>44368</v>
      </c>
      <c r="P99" s="135">
        <v>44378</v>
      </c>
      <c r="Q99" s="135"/>
      <c r="R99" s="143"/>
      <c r="S99" s="143"/>
      <c r="T99" s="143"/>
      <c r="U99" s="143">
        <v>2</v>
      </c>
      <c r="V99" s="143">
        <f>32569+13574</f>
        <v>46143</v>
      </c>
      <c r="W99" s="143" t="str">
        <f ca="1">IF(H99="",IF(D99="","",IF(U99+V99&lt;15,"Données Nb pers ou RFR manquantes",IF(COUNTA(INDIRECT("TabRFR["&amp;YEAR(D99)&amp;"]"))&lt;&gt;COUNTA(TabRFR[Recherche RFR]),"Data RFR manquantes", IF(V99&lt;=INDEX(TabRFR[[2021]:[2025]],MATCH(BD!U99&amp;"-Très modestes",TabRFR[Recherche RFR],0),MATCH(TEXT(YEAR(BD!D99),"Standard"),TabRFR[[#Headers],[2021]:[2025]],0)),"Très Modeste",IF(V99&lt;=INDEX(TabRFR[[2021]:[2025]],MATCH(BD!U99&amp;"-modestes",TabRFR[Recherche RFR],0),MATCH(TEXT(YEAR(BD!D99),"Standard"),TabRFR[[#Headers],[2021]:[2025]],0)),"Modeste",IF(V99&lt;=INDEX(TabRFR[[2021]:[2025]],MATCH(BD!U99&amp;"-Intermédiaire",TabRFR[Recherche RFR],0),MATCH(TEXT(YEAR(BD!D99),"Standard"),TabRFR[[#Headers],[2021]:[2025]],0)),"Intermédiaire","Supérieur")))))),IF(D99="","",IF(U99+V99&lt;15,"Données Nb pers ou RFR manquantes",IF(COUNTA(INDIRECT("TabRFR["&amp;YEAR(H99)&amp;"]"))&lt;&gt;COUNTA(TabRFR[Recherche RFR]),"Data RFR manquantes", IF(V99&lt;=INDEX(TabRFR[[2021]:[2025]],MATCH(BD!U99&amp;"-Très modestes",TabRFR[Recherche RFR],0),MATCH(TEXT(YEAR(BD!H99),"Standard"),TabRFR[[#Headers],[2021]:[2025]],0)),"Très Modeste",IF(V99&lt;=INDEX(TabRFR[[2021]:[2025]],MATCH(BD!U99&amp;"-modestes",TabRFR[Recherche RFR],0),MATCH(TEXT(YEAR(BD!H99),"Standard"),TabRFR[[#Headers],[2021]:[2025]],0)),"Modeste",IF(V99&lt;=INDEX(TabRFR[[2021]:[2025]],MATCH(BD!U99&amp;"-Intermédiaire",TabRFR[Recherche RFR],0),MATCH(TEXT(YEAR(BD!H99),"Standard"),TabRFR[[#Headers],[2021]:[2025]],0)),"Intermédiaire","Supérieur")))))))</f>
        <v>Supérieur</v>
      </c>
      <c r="X99" s="143"/>
      <c r="Y99" s="143" t="s">
        <v>597</v>
      </c>
      <c r="Z99" s="143">
        <v>38850</v>
      </c>
      <c r="AA99" s="143" t="s">
        <v>168</v>
      </c>
      <c r="AB99" s="148"/>
      <c r="AC99" s="149"/>
      <c r="AD99" s="143" t="s">
        <v>91</v>
      </c>
      <c r="AE99" s="143" t="s">
        <v>76</v>
      </c>
      <c r="AF99" s="143" t="s">
        <v>76</v>
      </c>
      <c r="AG99" s="143" t="s">
        <v>76</v>
      </c>
      <c r="AH99" s="143" t="s">
        <v>76</v>
      </c>
      <c r="AI99" s="143" t="s">
        <v>120</v>
      </c>
      <c r="AJ99" s="143" t="s">
        <v>121</v>
      </c>
      <c r="AK99" s="143" t="s">
        <v>122</v>
      </c>
      <c r="AL99" s="150" t="s">
        <v>123</v>
      </c>
      <c r="AM99" s="148">
        <v>608287337</v>
      </c>
      <c r="AN99" s="143" t="s">
        <v>76</v>
      </c>
      <c r="AO99" s="150" t="s">
        <v>102</v>
      </c>
      <c r="AP99" s="147">
        <v>44417</v>
      </c>
      <c r="AQ99" s="135" t="s">
        <v>3496</v>
      </c>
      <c r="AR99" s="143">
        <v>1987</v>
      </c>
      <c r="AS99" s="143" t="s">
        <v>3413</v>
      </c>
      <c r="AT99" s="143" t="s">
        <v>98</v>
      </c>
      <c r="AU99" s="143" t="s">
        <v>430</v>
      </c>
      <c r="AV99" s="143" t="s">
        <v>598</v>
      </c>
      <c r="AW99" s="143">
        <v>14.8</v>
      </c>
      <c r="AX99" s="143">
        <v>7.4</v>
      </c>
      <c r="AY99" s="143">
        <v>92.5</v>
      </c>
      <c r="AZ99" s="143">
        <v>1.2E-2</v>
      </c>
      <c r="BA99" s="143" t="s">
        <v>126</v>
      </c>
      <c r="BB99" s="143"/>
      <c r="BC99" s="143">
        <f>2840+682+200</f>
        <v>3722</v>
      </c>
      <c r="BD99" s="143"/>
      <c r="BE99" s="143">
        <v>718</v>
      </c>
      <c r="BF99" s="143">
        <f t="shared" si="3"/>
        <v>4440</v>
      </c>
      <c r="BG99" s="151">
        <f t="shared" si="4"/>
        <v>244.2</v>
      </c>
      <c r="BH99" s="151">
        <f t="shared" si="5"/>
        <v>4684.2</v>
      </c>
      <c r="BI99" s="151">
        <v>4400</v>
      </c>
      <c r="BJ99" s="143" t="s">
        <v>102</v>
      </c>
      <c r="BK99" s="143"/>
      <c r="BL99" s="143"/>
      <c r="BM99" s="144" t="s">
        <v>3592</v>
      </c>
      <c r="BN99" s="144" t="s">
        <v>103</v>
      </c>
      <c r="BO99" s="144" t="s">
        <v>143</v>
      </c>
      <c r="BP99" s="143" t="s">
        <v>3583</v>
      </c>
      <c r="BQ99" s="203" t="s">
        <v>144</v>
      </c>
    </row>
    <row r="100" spans="1:69" ht="41.1" customHeight="1">
      <c r="A100" s="133" t="s">
        <v>86</v>
      </c>
      <c r="B100" s="133" t="s">
        <v>599</v>
      </c>
      <c r="C100" s="134">
        <v>400</v>
      </c>
      <c r="D100" s="135">
        <v>44188</v>
      </c>
      <c r="E100" s="135">
        <v>44200</v>
      </c>
      <c r="F100" s="147">
        <v>44204</v>
      </c>
      <c r="G100" s="135" t="s">
        <v>600</v>
      </c>
      <c r="H100" s="147">
        <v>44217</v>
      </c>
      <c r="I100" s="147">
        <v>44217</v>
      </c>
      <c r="J100" s="147">
        <v>44221</v>
      </c>
      <c r="K100" s="135">
        <v>44265</v>
      </c>
      <c r="L100" s="135">
        <v>44258</v>
      </c>
      <c r="M100" s="135" t="s">
        <v>76</v>
      </c>
      <c r="N100" s="135">
        <v>44271</v>
      </c>
      <c r="O100" s="135">
        <v>44271</v>
      </c>
      <c r="P100" s="135">
        <v>44277</v>
      </c>
      <c r="Q100" s="135"/>
      <c r="R100" s="143"/>
      <c r="S100" s="143"/>
      <c r="T100" s="143"/>
      <c r="U100" s="143">
        <v>2</v>
      </c>
      <c r="V100" s="143">
        <v>31045</v>
      </c>
      <c r="W100" s="143" t="str">
        <f ca="1">IF(H100="",IF(D100="","",IF(U100+V100&lt;15,"Données Nb pers ou RFR manquantes",IF(COUNTA(INDIRECT("TabRFR["&amp;YEAR(D100)&amp;"]"))&lt;&gt;COUNTA(TabRFR[Recherche RFR]),"Data RFR manquantes", IF(V100&lt;=INDEX(TabRFR[[2021]:[2025]],MATCH(BD!U100&amp;"-Très modestes",TabRFR[Recherche RFR],0),MATCH(TEXT(YEAR(BD!D100),"Standard"),TabRFR[[#Headers],[2021]:[2025]],0)),"Très Modeste",IF(V100&lt;=INDEX(TabRFR[[2021]:[2025]],MATCH(BD!U100&amp;"-modestes",TabRFR[Recherche RFR],0),MATCH(TEXT(YEAR(BD!D100),"Standard"),TabRFR[[#Headers],[2021]:[2025]],0)),"Modeste",IF(V100&lt;=INDEX(TabRFR[[2021]:[2025]],MATCH(BD!U100&amp;"-Intermédiaire",TabRFR[Recherche RFR],0),MATCH(TEXT(YEAR(BD!D100),"Standard"),TabRFR[[#Headers],[2021]:[2025]],0)),"Intermédiaire","Supérieur")))))),IF(D100="","",IF(U100+V100&lt;15,"Données Nb pers ou RFR manquantes",IF(COUNTA(INDIRECT("TabRFR["&amp;YEAR(H100)&amp;"]"))&lt;&gt;COUNTA(TabRFR[Recherche RFR]),"Data RFR manquantes", IF(V100&lt;=INDEX(TabRFR[[2021]:[2025]],MATCH(BD!U100&amp;"-Très modestes",TabRFR[Recherche RFR],0),MATCH(TEXT(YEAR(BD!H100),"Standard"),TabRFR[[#Headers],[2021]:[2025]],0)),"Très Modeste",IF(V100&lt;=INDEX(TabRFR[[2021]:[2025]],MATCH(BD!U100&amp;"-modestes",TabRFR[Recherche RFR],0),MATCH(TEXT(YEAR(BD!H100),"Standard"),TabRFR[[#Headers],[2021]:[2025]],0)),"Modeste",IF(V100&lt;=INDEX(TabRFR[[2021]:[2025]],MATCH(BD!U100&amp;"-Intermédiaire",TabRFR[Recherche RFR],0),MATCH(TEXT(YEAR(BD!H100),"Standard"),TabRFR[[#Headers],[2021]:[2025]],0)),"Intermédiaire","Supérieur")))))))</f>
        <v>Intermédiaire</v>
      </c>
      <c r="X100" s="143"/>
      <c r="Y100" s="143" t="s">
        <v>601</v>
      </c>
      <c r="Z100" s="143">
        <v>38620</v>
      </c>
      <c r="AA100" s="143" t="s">
        <v>262</v>
      </c>
      <c r="AB100" s="148"/>
      <c r="AC100" s="149"/>
      <c r="AD100" s="143" t="s">
        <v>91</v>
      </c>
      <c r="AE100" s="143" t="s">
        <v>76</v>
      </c>
      <c r="AF100" s="143" t="s">
        <v>76</v>
      </c>
      <c r="AG100" s="143" t="s">
        <v>76</v>
      </c>
      <c r="AH100" s="143" t="s">
        <v>76</v>
      </c>
      <c r="AI100" s="143" t="s">
        <v>92</v>
      </c>
      <c r="AJ100" s="143" t="s">
        <v>93</v>
      </c>
      <c r="AK100" s="143" t="s">
        <v>94</v>
      </c>
      <c r="AL100" s="149" t="s">
        <v>95</v>
      </c>
      <c r="AM100" s="148" t="s">
        <v>96</v>
      </c>
      <c r="AN100" s="143" t="s">
        <v>76</v>
      </c>
      <c r="AO100" s="150" t="s">
        <v>97</v>
      </c>
      <c r="AP100" s="147">
        <v>44517</v>
      </c>
      <c r="AQ100" s="143" t="s">
        <v>3413</v>
      </c>
      <c r="AR100" s="143">
        <v>2000</v>
      </c>
      <c r="AS100" s="143" t="s">
        <v>3413</v>
      </c>
      <c r="AT100" s="143" t="s">
        <v>98</v>
      </c>
      <c r="AU100" s="143" t="s">
        <v>99</v>
      </c>
      <c r="AV100" s="143" t="s">
        <v>602</v>
      </c>
      <c r="AW100" s="143">
        <v>11</v>
      </c>
      <c r="AX100" s="143">
        <v>12</v>
      </c>
      <c r="AY100" s="143">
        <v>88.5</v>
      </c>
      <c r="AZ100" s="143">
        <v>0.01</v>
      </c>
      <c r="BA100" s="143" t="s">
        <v>101</v>
      </c>
      <c r="BB100" s="143"/>
      <c r="BC100" s="143">
        <f>2650+595+258.5+263+198</f>
        <v>3964.5</v>
      </c>
      <c r="BD100" s="143"/>
      <c r="BE100" s="143">
        <f>590</f>
        <v>590</v>
      </c>
      <c r="BF100" s="143">
        <f t="shared" si="3"/>
        <v>4554.5</v>
      </c>
      <c r="BG100" s="151">
        <f t="shared" si="4"/>
        <v>250.4975</v>
      </c>
      <c r="BH100" s="151">
        <f t="shared" si="5"/>
        <v>4804.9975000000004</v>
      </c>
      <c r="BI100" s="151">
        <v>4805</v>
      </c>
      <c r="BJ100" s="143" t="s">
        <v>115</v>
      </c>
      <c r="BK100" s="143"/>
      <c r="BL100" s="143"/>
      <c r="BM100" s="144" t="s">
        <v>3592</v>
      </c>
      <c r="BN100" s="144" t="s">
        <v>103</v>
      </c>
      <c r="BO100" s="144" t="s">
        <v>143</v>
      </c>
      <c r="BP100" s="143" t="s">
        <v>3583</v>
      </c>
      <c r="BQ100" s="203" t="s">
        <v>3274</v>
      </c>
    </row>
    <row r="101" spans="1:69" ht="41.1" customHeight="1">
      <c r="A101" s="133" t="s">
        <v>86</v>
      </c>
      <c r="B101" s="133" t="s">
        <v>603</v>
      </c>
      <c r="C101" s="134">
        <v>800</v>
      </c>
      <c r="D101" s="135">
        <v>44189</v>
      </c>
      <c r="E101" s="135">
        <v>44200</v>
      </c>
      <c r="F101" s="147" t="s">
        <v>76</v>
      </c>
      <c r="G101" s="135" t="s">
        <v>76</v>
      </c>
      <c r="H101" s="147">
        <v>44204</v>
      </c>
      <c r="I101" s="147">
        <v>44204</v>
      </c>
      <c r="J101" s="147">
        <v>44211</v>
      </c>
      <c r="K101" s="135">
        <v>44273</v>
      </c>
      <c r="L101" s="135">
        <v>44253</v>
      </c>
      <c r="M101" s="135" t="s">
        <v>76</v>
      </c>
      <c r="N101" s="135">
        <v>44278</v>
      </c>
      <c r="O101" s="135">
        <v>44278</v>
      </c>
      <c r="P101" s="135">
        <v>44284</v>
      </c>
      <c r="Q101" s="135"/>
      <c r="R101" s="143"/>
      <c r="S101" s="143"/>
      <c r="T101" s="143"/>
      <c r="U101" s="143">
        <v>1</v>
      </c>
      <c r="V101" s="143">
        <v>18493</v>
      </c>
      <c r="W101" s="143" t="str">
        <f ca="1">IF(H101="",IF(D101="","",IF(U101+V101&lt;15,"Données Nb pers ou RFR manquantes",IF(COUNTA(INDIRECT("TabRFR["&amp;YEAR(D101)&amp;"]"))&lt;&gt;COUNTA(TabRFR[Recherche RFR]),"Data RFR manquantes", IF(V101&lt;=INDEX(TabRFR[[2021]:[2025]],MATCH(BD!U101&amp;"-Très modestes",TabRFR[Recherche RFR],0),MATCH(TEXT(YEAR(BD!D101),"Standard"),TabRFR[[#Headers],[2021]:[2025]],0)),"Très Modeste",IF(V101&lt;=INDEX(TabRFR[[2021]:[2025]],MATCH(BD!U101&amp;"-modestes",TabRFR[Recherche RFR],0),MATCH(TEXT(YEAR(BD!D101),"Standard"),TabRFR[[#Headers],[2021]:[2025]],0)),"Modeste",IF(V101&lt;=INDEX(TabRFR[[2021]:[2025]],MATCH(BD!U101&amp;"-Intermédiaire",TabRFR[Recherche RFR],0),MATCH(TEXT(YEAR(BD!D101),"Standard"),TabRFR[[#Headers],[2021]:[2025]],0)),"Intermédiaire","Supérieur")))))),IF(D101="","",IF(U101+V101&lt;15,"Données Nb pers ou RFR manquantes",IF(COUNTA(INDIRECT("TabRFR["&amp;YEAR(H101)&amp;"]"))&lt;&gt;COUNTA(TabRFR[Recherche RFR]),"Data RFR manquantes", IF(V101&lt;=INDEX(TabRFR[[2021]:[2025]],MATCH(BD!U101&amp;"-Très modestes",TabRFR[Recherche RFR],0),MATCH(TEXT(YEAR(BD!H101),"Standard"),TabRFR[[#Headers],[2021]:[2025]],0)),"Très Modeste",IF(V101&lt;=INDEX(TabRFR[[2021]:[2025]],MATCH(BD!U101&amp;"-modestes",TabRFR[Recherche RFR],0),MATCH(TEXT(YEAR(BD!H101),"Standard"),TabRFR[[#Headers],[2021]:[2025]],0)),"Modeste",IF(V101&lt;=INDEX(TabRFR[[2021]:[2025]],MATCH(BD!U101&amp;"-Intermédiaire",TabRFR[Recherche RFR],0),MATCH(TEXT(YEAR(BD!H101),"Standard"),TabRFR[[#Headers],[2021]:[2025]],0)),"Intermédiaire","Supérieur")))))))</f>
        <v>Modeste</v>
      </c>
      <c r="X101" s="143"/>
      <c r="Y101" s="143" t="s">
        <v>604</v>
      </c>
      <c r="Z101" s="143">
        <v>38210</v>
      </c>
      <c r="AA101" s="143" t="s">
        <v>130</v>
      </c>
      <c r="AB101" s="148"/>
      <c r="AC101" s="149"/>
      <c r="AD101" s="143" t="s">
        <v>91</v>
      </c>
      <c r="AE101" s="143" t="s">
        <v>76</v>
      </c>
      <c r="AF101" s="143" t="s">
        <v>76</v>
      </c>
      <c r="AG101" s="143" t="s">
        <v>76</v>
      </c>
      <c r="AH101" s="143" t="s">
        <v>76</v>
      </c>
      <c r="AI101" s="135" t="s">
        <v>220</v>
      </c>
      <c r="AJ101" s="143" t="s">
        <v>108</v>
      </c>
      <c r="AK101" s="143" t="s">
        <v>221</v>
      </c>
      <c r="AL101" s="150" t="s">
        <v>222</v>
      </c>
      <c r="AM101" s="148">
        <v>476323235</v>
      </c>
      <c r="AN101" s="143" t="s">
        <v>76</v>
      </c>
      <c r="AO101" s="150" t="s">
        <v>102</v>
      </c>
      <c r="AP101" s="147">
        <v>44429</v>
      </c>
      <c r="AQ101" s="143" t="s">
        <v>3413</v>
      </c>
      <c r="AR101" s="143">
        <v>2000</v>
      </c>
      <c r="AS101" s="143" t="s">
        <v>3413</v>
      </c>
      <c r="AT101" s="135" t="s">
        <v>3446</v>
      </c>
      <c r="AU101" s="143" t="s">
        <v>223</v>
      </c>
      <c r="AV101" s="143" t="s">
        <v>605</v>
      </c>
      <c r="AW101" s="143">
        <v>12</v>
      </c>
      <c r="AX101" s="143">
        <v>9.1999999999999993</v>
      </c>
      <c r="AY101" s="143">
        <v>77</v>
      </c>
      <c r="AZ101" s="143">
        <v>0.04</v>
      </c>
      <c r="BA101" s="143" t="s">
        <v>101</v>
      </c>
      <c r="BB101" s="143"/>
      <c r="BC101" s="143">
        <f>1850+80+69+41+29+25+65+30</f>
        <v>2189</v>
      </c>
      <c r="BD101" s="143"/>
      <c r="BE101" s="143">
        <f>25+510+265+240+30+35+260</f>
        <v>1365</v>
      </c>
      <c r="BF101" s="143">
        <f t="shared" si="3"/>
        <v>3554</v>
      </c>
      <c r="BG101" s="151">
        <f t="shared" si="4"/>
        <v>195.47</v>
      </c>
      <c r="BH101" s="151">
        <f t="shared" si="5"/>
        <v>3749.47</v>
      </c>
      <c r="BI101" s="151">
        <v>3598.23</v>
      </c>
      <c r="BJ101" s="143" t="s">
        <v>115</v>
      </c>
      <c r="BK101" s="143"/>
      <c r="BL101" s="143"/>
      <c r="BM101" s="144" t="s">
        <v>3592</v>
      </c>
      <c r="BN101" s="144" t="s">
        <v>103</v>
      </c>
      <c r="BO101" s="135" t="s">
        <v>155</v>
      </c>
      <c r="BP101" s="144">
        <v>2021</v>
      </c>
      <c r="BQ101" s="203" t="s">
        <v>3274</v>
      </c>
    </row>
    <row r="102" spans="1:69" ht="41.1" customHeight="1">
      <c r="A102" s="133" t="s">
        <v>86</v>
      </c>
      <c r="B102" s="133" t="s">
        <v>606</v>
      </c>
      <c r="C102" s="134">
        <v>400</v>
      </c>
      <c r="D102" s="135">
        <v>44189</v>
      </c>
      <c r="E102" s="135">
        <v>44200</v>
      </c>
      <c r="F102" s="147" t="s">
        <v>76</v>
      </c>
      <c r="G102" s="135" t="s">
        <v>76</v>
      </c>
      <c r="H102" s="147">
        <v>44204</v>
      </c>
      <c r="I102" s="147">
        <v>44204</v>
      </c>
      <c r="J102" s="147">
        <v>44211</v>
      </c>
      <c r="K102" s="135">
        <v>44424</v>
      </c>
      <c r="L102" s="135">
        <v>44365</v>
      </c>
      <c r="M102" s="135" t="s">
        <v>76</v>
      </c>
      <c r="N102" s="135">
        <v>44424</v>
      </c>
      <c r="O102" s="135">
        <v>44424</v>
      </c>
      <c r="P102" s="135">
        <v>44461</v>
      </c>
      <c r="Q102" s="135"/>
      <c r="R102" s="143"/>
      <c r="S102" s="143"/>
      <c r="T102" s="143"/>
      <c r="U102" s="143">
        <v>6</v>
      </c>
      <c r="V102" s="143">
        <v>53020</v>
      </c>
      <c r="W102" s="143" t="str">
        <f ca="1">IF(H102="",IF(D102="","",IF(U102+V102&lt;15,"Données Nb pers ou RFR manquantes",IF(COUNTA(INDIRECT("TabRFR["&amp;YEAR(D102)&amp;"]"))&lt;&gt;COUNTA(TabRFR[Recherche RFR]),"Data RFR manquantes", IF(V102&lt;=INDEX(TabRFR[[2021]:[2025]],MATCH(BD!U102&amp;"-Très modestes",TabRFR[Recherche RFR],0),MATCH(TEXT(YEAR(BD!D102),"Standard"),TabRFR[[#Headers],[2021]:[2025]],0)),"Très Modeste",IF(V102&lt;=INDEX(TabRFR[[2021]:[2025]],MATCH(BD!U102&amp;"-modestes",TabRFR[Recherche RFR],0),MATCH(TEXT(YEAR(BD!D102),"Standard"),TabRFR[[#Headers],[2021]:[2025]],0)),"Modeste",IF(V102&lt;=INDEX(TabRFR[[2021]:[2025]],MATCH(BD!U102&amp;"-Intermédiaire",TabRFR[Recherche RFR],0),MATCH(TEXT(YEAR(BD!D102),"Standard"),TabRFR[[#Headers],[2021]:[2025]],0)),"Intermédiaire","Supérieur")))))),IF(D102="","",IF(U102+V102&lt;15,"Données Nb pers ou RFR manquantes",IF(COUNTA(INDIRECT("TabRFR["&amp;YEAR(H102)&amp;"]"))&lt;&gt;COUNTA(TabRFR[Recherche RFR]),"Data RFR manquantes", IF(V102&lt;=INDEX(TabRFR[[2021]:[2025]],MATCH(BD!U102&amp;"-Très modestes",TabRFR[Recherche RFR],0),MATCH(TEXT(YEAR(BD!H102),"Standard"),TabRFR[[#Headers],[2021]:[2025]],0)),"Très Modeste",IF(V102&lt;=INDEX(TabRFR[[2021]:[2025]],MATCH(BD!U102&amp;"-modestes",TabRFR[Recherche RFR],0),MATCH(TEXT(YEAR(BD!H102),"Standard"),TabRFR[[#Headers],[2021]:[2025]],0)),"Modeste",IF(V102&lt;=INDEX(TabRFR[[2021]:[2025]],MATCH(BD!U102&amp;"-Intermédiaire",TabRFR[Recherche RFR],0),MATCH(TEXT(YEAR(BD!H102),"Standard"),TabRFR[[#Headers],[2021]:[2025]],0)),"Intermédiaire","Supérieur")))))))</f>
        <v>Intermédiaire</v>
      </c>
      <c r="X102" s="143"/>
      <c r="Y102" s="143" t="s">
        <v>607</v>
      </c>
      <c r="Z102" s="143">
        <v>38340</v>
      </c>
      <c r="AA102" s="143" t="s">
        <v>266</v>
      </c>
      <c r="AB102" s="148"/>
      <c r="AC102" s="149"/>
      <c r="AD102" s="143" t="s">
        <v>91</v>
      </c>
      <c r="AE102" s="143" t="s">
        <v>76</v>
      </c>
      <c r="AF102" s="143" t="s">
        <v>76</v>
      </c>
      <c r="AG102" s="143" t="s">
        <v>76</v>
      </c>
      <c r="AH102" s="143" t="s">
        <v>76</v>
      </c>
      <c r="AI102" s="143" t="s">
        <v>250</v>
      </c>
      <c r="AJ102" s="143" t="s">
        <v>121</v>
      </c>
      <c r="AK102" s="143" t="s">
        <v>251</v>
      </c>
      <c r="AL102" s="150" t="s">
        <v>252</v>
      </c>
      <c r="AM102" s="148">
        <v>476452433</v>
      </c>
      <c r="AN102" s="143" t="s">
        <v>76</v>
      </c>
      <c r="AO102" s="150" t="s">
        <v>102</v>
      </c>
      <c r="AP102" s="147">
        <v>44589</v>
      </c>
      <c r="AQ102" s="135" t="s">
        <v>3449</v>
      </c>
      <c r="AR102" s="143">
        <v>1975</v>
      </c>
      <c r="AS102" s="143" t="s">
        <v>3413</v>
      </c>
      <c r="AT102" s="135" t="s">
        <v>3446</v>
      </c>
      <c r="AU102" s="143" t="s">
        <v>253</v>
      </c>
      <c r="AV102" s="143" t="s">
        <v>608</v>
      </c>
      <c r="AW102" s="143">
        <v>16</v>
      </c>
      <c r="AX102" s="143">
        <v>6.4</v>
      </c>
      <c r="AY102" s="143">
        <v>81</v>
      </c>
      <c r="AZ102" s="143">
        <v>0.08</v>
      </c>
      <c r="BA102" s="143" t="s">
        <v>101</v>
      </c>
      <c r="BB102" s="143"/>
      <c r="BC102" s="143">
        <f>3488.06+404.83+681.52+255+175.33</f>
        <v>5004.74</v>
      </c>
      <c r="BD102" s="143"/>
      <c r="BE102" s="143">
        <f>380+400</f>
        <v>780</v>
      </c>
      <c r="BF102" s="143">
        <f t="shared" si="3"/>
        <v>5784.74</v>
      </c>
      <c r="BG102" s="151">
        <f t="shared" si="4"/>
        <v>318.16069999999996</v>
      </c>
      <c r="BH102" s="151">
        <f t="shared" si="5"/>
        <v>6102.9007000000001</v>
      </c>
      <c r="BI102" s="151">
        <v>6102.9</v>
      </c>
      <c r="BJ102" s="143" t="s">
        <v>102</v>
      </c>
      <c r="BK102" s="143"/>
      <c r="BL102" s="143"/>
      <c r="BM102" s="144" t="s">
        <v>3592</v>
      </c>
      <c r="BN102" s="144" t="s">
        <v>103</v>
      </c>
      <c r="BO102" s="144" t="s">
        <v>143</v>
      </c>
      <c r="BP102" s="144">
        <v>2021</v>
      </c>
      <c r="BQ102" s="203" t="s">
        <v>144</v>
      </c>
    </row>
    <row r="103" spans="1:69" ht="41.1" customHeight="1">
      <c r="A103" s="133" t="s">
        <v>86</v>
      </c>
      <c r="B103" s="133" t="s">
        <v>609</v>
      </c>
      <c r="C103" s="134">
        <v>400</v>
      </c>
      <c r="D103" s="135">
        <v>44194</v>
      </c>
      <c r="E103" s="135">
        <v>44200</v>
      </c>
      <c r="F103" s="147">
        <v>44204</v>
      </c>
      <c r="G103" s="135" t="s">
        <v>610</v>
      </c>
      <c r="H103" s="147">
        <v>44204</v>
      </c>
      <c r="I103" s="147">
        <v>44204</v>
      </c>
      <c r="J103" s="147">
        <v>44211</v>
      </c>
      <c r="K103" s="135">
        <v>44445</v>
      </c>
      <c r="L103" s="135">
        <v>44334</v>
      </c>
      <c r="M103" s="135" t="s">
        <v>76</v>
      </c>
      <c r="N103" s="135">
        <v>44455</v>
      </c>
      <c r="O103" s="135">
        <v>44455</v>
      </c>
      <c r="P103" s="135">
        <v>44469</v>
      </c>
      <c r="Q103" s="135"/>
      <c r="R103" s="143"/>
      <c r="S103" s="143"/>
      <c r="T103" s="143"/>
      <c r="U103" s="143">
        <v>2</v>
      </c>
      <c r="V103" s="143">
        <v>50726</v>
      </c>
      <c r="W103" s="143" t="str">
        <f ca="1">IF(H103="",IF(D103="","",IF(U103+V103&lt;15,"Données Nb pers ou RFR manquantes",IF(COUNTA(INDIRECT("TabRFR["&amp;YEAR(D103)&amp;"]"))&lt;&gt;COUNTA(TabRFR[Recherche RFR]),"Data RFR manquantes", IF(V103&lt;=INDEX(TabRFR[[2021]:[2025]],MATCH(BD!U103&amp;"-Très modestes",TabRFR[Recherche RFR],0),MATCH(TEXT(YEAR(BD!D103),"Standard"),TabRFR[[#Headers],[2021]:[2025]],0)),"Très Modeste",IF(V103&lt;=INDEX(TabRFR[[2021]:[2025]],MATCH(BD!U103&amp;"-modestes",TabRFR[Recherche RFR],0),MATCH(TEXT(YEAR(BD!D103),"Standard"),TabRFR[[#Headers],[2021]:[2025]],0)),"Modeste",IF(V103&lt;=INDEX(TabRFR[[2021]:[2025]],MATCH(BD!U103&amp;"-Intermédiaire",TabRFR[Recherche RFR],0),MATCH(TEXT(YEAR(BD!D103),"Standard"),TabRFR[[#Headers],[2021]:[2025]],0)),"Intermédiaire","Supérieur")))))),IF(D103="","",IF(U103+V103&lt;15,"Données Nb pers ou RFR manquantes",IF(COUNTA(INDIRECT("TabRFR["&amp;YEAR(H103)&amp;"]"))&lt;&gt;COUNTA(TabRFR[Recherche RFR]),"Data RFR manquantes", IF(V103&lt;=INDEX(TabRFR[[2021]:[2025]],MATCH(BD!U103&amp;"-Très modestes",TabRFR[Recherche RFR],0),MATCH(TEXT(YEAR(BD!H103),"Standard"),TabRFR[[#Headers],[2021]:[2025]],0)),"Très Modeste",IF(V103&lt;=INDEX(TabRFR[[2021]:[2025]],MATCH(BD!U103&amp;"-modestes",TabRFR[Recherche RFR],0),MATCH(TEXT(YEAR(BD!H103),"Standard"),TabRFR[[#Headers],[2021]:[2025]],0)),"Modeste",IF(V103&lt;=INDEX(TabRFR[[2021]:[2025]],MATCH(BD!U103&amp;"-Intermédiaire",TabRFR[Recherche RFR],0),MATCH(TEXT(YEAR(BD!H103),"Standard"),TabRFR[[#Headers],[2021]:[2025]],0)),"Intermédiaire","Supérieur")))))))</f>
        <v>Supérieur</v>
      </c>
      <c r="X103" s="143"/>
      <c r="Y103" s="143" t="s">
        <v>611</v>
      </c>
      <c r="Z103" s="143">
        <v>38140</v>
      </c>
      <c r="AA103" s="143" t="s">
        <v>200</v>
      </c>
      <c r="AB103" s="148"/>
      <c r="AC103" s="149"/>
      <c r="AD103" s="143" t="s">
        <v>91</v>
      </c>
      <c r="AE103" s="143" t="s">
        <v>76</v>
      </c>
      <c r="AF103" s="143" t="s">
        <v>76</v>
      </c>
      <c r="AG103" s="143" t="s">
        <v>76</v>
      </c>
      <c r="AH103" s="143" t="s">
        <v>76</v>
      </c>
      <c r="AI103" s="135" t="s">
        <v>2703</v>
      </c>
      <c r="AJ103" s="143" t="s">
        <v>266</v>
      </c>
      <c r="AK103" s="143" t="s">
        <v>317</v>
      </c>
      <c r="AL103" s="150" t="s">
        <v>318</v>
      </c>
      <c r="AM103" s="148">
        <v>476500550</v>
      </c>
      <c r="AN103" s="143" t="s">
        <v>76</v>
      </c>
      <c r="AO103" s="150" t="s">
        <v>102</v>
      </c>
      <c r="AP103" s="147">
        <v>44375</v>
      </c>
      <c r="AQ103" s="135" t="s">
        <v>3323</v>
      </c>
      <c r="AR103" s="143" t="s">
        <v>213</v>
      </c>
      <c r="AS103" s="143" t="s">
        <v>3413</v>
      </c>
      <c r="AT103" s="135" t="s">
        <v>3446</v>
      </c>
      <c r="AU103" s="143" t="s">
        <v>369</v>
      </c>
      <c r="AV103" s="143" t="s">
        <v>612</v>
      </c>
      <c r="AW103" s="143">
        <v>6</v>
      </c>
      <c r="AX103" s="143">
        <v>7</v>
      </c>
      <c r="AY103" s="143">
        <v>83</v>
      </c>
      <c r="AZ103" s="143">
        <v>5.8000000000000003E-2</v>
      </c>
      <c r="BA103" s="143" t="s">
        <v>101</v>
      </c>
      <c r="BB103" s="143"/>
      <c r="BC103" s="143">
        <f>121.33+226.03+48.35+60.08+45.73+72.36+938.21+40.09+40.09+72.56+77.13+1974+225.2</f>
        <v>3941.16</v>
      </c>
      <c r="BD103" s="143"/>
      <c r="BE103" s="143">
        <f>900+440</f>
        <v>1340</v>
      </c>
      <c r="BF103" s="143">
        <f t="shared" si="3"/>
        <v>5281.16</v>
      </c>
      <c r="BG103" s="151">
        <f t="shared" si="4"/>
        <v>290.46379999999999</v>
      </c>
      <c r="BH103" s="151">
        <f t="shared" si="5"/>
        <v>5571.6237999999994</v>
      </c>
      <c r="BI103" s="151">
        <v>5100</v>
      </c>
      <c r="BJ103" s="143" t="s">
        <v>102</v>
      </c>
      <c r="BK103" s="143"/>
      <c r="BL103" s="143"/>
      <c r="BM103" s="144" t="s">
        <v>3592</v>
      </c>
      <c r="BN103" s="144" t="s">
        <v>103</v>
      </c>
      <c r="BO103" s="144" t="s">
        <v>143</v>
      </c>
      <c r="BP103" s="144">
        <v>2021</v>
      </c>
      <c r="BQ103" s="203" t="s">
        <v>144</v>
      </c>
    </row>
    <row r="104" spans="1:69" ht="41.1" customHeight="1">
      <c r="A104" s="133" t="s">
        <v>86</v>
      </c>
      <c r="B104" s="133" t="s">
        <v>613</v>
      </c>
      <c r="C104" s="134">
        <v>800</v>
      </c>
      <c r="D104" s="135">
        <v>44194</v>
      </c>
      <c r="E104" s="135">
        <v>44200</v>
      </c>
      <c r="F104" s="147">
        <v>44204</v>
      </c>
      <c r="G104" s="135" t="s">
        <v>614</v>
      </c>
      <c r="H104" s="147">
        <v>44210</v>
      </c>
      <c r="I104" s="147">
        <v>44210</v>
      </c>
      <c r="J104" s="147">
        <v>44211</v>
      </c>
      <c r="K104" s="135">
        <v>44322</v>
      </c>
      <c r="L104" s="135">
        <v>44301</v>
      </c>
      <c r="M104" s="135" t="s">
        <v>76</v>
      </c>
      <c r="N104" s="135">
        <v>44323</v>
      </c>
      <c r="O104" s="135">
        <v>44323</v>
      </c>
      <c r="P104" s="135">
        <v>44350</v>
      </c>
      <c r="Q104" s="135"/>
      <c r="R104" s="143"/>
      <c r="S104" s="143"/>
      <c r="T104" s="143"/>
      <c r="U104" s="143">
        <v>4</v>
      </c>
      <c r="V104" s="143">
        <v>38746</v>
      </c>
      <c r="W104" s="143" t="str">
        <f ca="1">IF(H104="",IF(D104="","",IF(U104+V104&lt;15,"Données Nb pers ou RFR manquantes",IF(COUNTA(INDIRECT("TabRFR["&amp;YEAR(D104)&amp;"]"))&lt;&gt;COUNTA(TabRFR[Recherche RFR]),"Data RFR manquantes", IF(V104&lt;=INDEX(TabRFR[[2021]:[2025]],MATCH(BD!U104&amp;"-Très modestes",TabRFR[Recherche RFR],0),MATCH(TEXT(YEAR(BD!D104),"Standard"),TabRFR[[#Headers],[2021]:[2025]],0)),"Très Modeste",IF(V104&lt;=INDEX(TabRFR[[2021]:[2025]],MATCH(BD!U104&amp;"-modestes",TabRFR[Recherche RFR],0),MATCH(TEXT(YEAR(BD!D104),"Standard"),TabRFR[[#Headers],[2021]:[2025]],0)),"Modeste",IF(V104&lt;=INDEX(TabRFR[[2021]:[2025]],MATCH(BD!U104&amp;"-Intermédiaire",TabRFR[Recherche RFR],0),MATCH(TEXT(YEAR(BD!D104),"Standard"),TabRFR[[#Headers],[2021]:[2025]],0)),"Intermédiaire","Supérieur")))))),IF(D104="","",IF(U104+V104&lt;15,"Données Nb pers ou RFR manquantes",IF(COUNTA(INDIRECT("TabRFR["&amp;YEAR(H104)&amp;"]"))&lt;&gt;COUNTA(TabRFR[Recherche RFR]),"Data RFR manquantes", IF(V104&lt;=INDEX(TabRFR[[2021]:[2025]],MATCH(BD!U104&amp;"-Très modestes",TabRFR[Recherche RFR],0),MATCH(TEXT(YEAR(BD!H104),"Standard"),TabRFR[[#Headers],[2021]:[2025]],0)),"Très Modeste",IF(V104&lt;=INDEX(TabRFR[[2021]:[2025]],MATCH(BD!U104&amp;"-modestes",TabRFR[Recherche RFR],0),MATCH(TEXT(YEAR(BD!H104),"Standard"),TabRFR[[#Headers],[2021]:[2025]],0)),"Modeste",IF(V104&lt;=INDEX(TabRFR[[2021]:[2025]],MATCH(BD!U104&amp;"-Intermédiaire",TabRFR[Recherche RFR],0),MATCH(TEXT(YEAR(BD!H104),"Standard"),TabRFR[[#Headers],[2021]:[2025]],0)),"Intermédiaire","Supérieur")))))))</f>
        <v>Modeste</v>
      </c>
      <c r="X104" s="143"/>
      <c r="Y104" s="143" t="s">
        <v>615</v>
      </c>
      <c r="Z104" s="143">
        <v>38960</v>
      </c>
      <c r="AA104" s="143" t="s">
        <v>360</v>
      </c>
      <c r="AB104" s="148"/>
      <c r="AC104" s="149"/>
      <c r="AD104" s="143" t="s">
        <v>91</v>
      </c>
      <c r="AE104" s="143" t="s">
        <v>76</v>
      </c>
      <c r="AF104" s="143" t="s">
        <v>76</v>
      </c>
      <c r="AG104" s="143" t="s">
        <v>76</v>
      </c>
      <c r="AH104" s="143" t="s">
        <v>76</v>
      </c>
      <c r="AI104" s="135" t="s">
        <v>2703</v>
      </c>
      <c r="AJ104" s="143" t="s">
        <v>266</v>
      </c>
      <c r="AK104" s="143" t="s">
        <v>317</v>
      </c>
      <c r="AL104" s="150" t="s">
        <v>318</v>
      </c>
      <c r="AM104" s="148">
        <v>476500550</v>
      </c>
      <c r="AN104" s="143" t="s">
        <v>76</v>
      </c>
      <c r="AO104" s="150" t="s">
        <v>102</v>
      </c>
      <c r="AP104" s="147">
        <v>44375</v>
      </c>
      <c r="AQ104" s="135" t="s">
        <v>3449</v>
      </c>
      <c r="AR104" s="143">
        <v>1980</v>
      </c>
      <c r="AS104" s="143" t="s">
        <v>3413</v>
      </c>
      <c r="AT104" s="135" t="s">
        <v>3446</v>
      </c>
      <c r="AU104" s="143" t="s">
        <v>319</v>
      </c>
      <c r="AV104" s="143" t="s">
        <v>415</v>
      </c>
      <c r="AW104" s="143">
        <v>32</v>
      </c>
      <c r="AX104" s="143">
        <v>7</v>
      </c>
      <c r="AY104" s="143">
        <v>77.8</v>
      </c>
      <c r="AZ104" s="143">
        <v>8.0000000000000002E-3</v>
      </c>
      <c r="BA104" s="143" t="s">
        <v>101</v>
      </c>
      <c r="BB104" s="143"/>
      <c r="BC104" s="143">
        <f>141.48+297.28+51.09+196.52+2250+85.75+215.2</f>
        <v>3237.3199999999997</v>
      </c>
      <c r="BD104" s="143"/>
      <c r="BE104" s="143">
        <v>900</v>
      </c>
      <c r="BF104" s="143">
        <f t="shared" si="3"/>
        <v>4137.32</v>
      </c>
      <c r="BG104" s="151">
        <f t="shared" si="4"/>
        <v>227.55259999999998</v>
      </c>
      <c r="BH104" s="151">
        <f t="shared" si="5"/>
        <v>4364.8725999999997</v>
      </c>
      <c r="BI104" s="151">
        <v>4067.87</v>
      </c>
      <c r="BJ104" s="143" t="s">
        <v>115</v>
      </c>
      <c r="BK104" s="143"/>
      <c r="BL104" s="143"/>
      <c r="BM104" s="144" t="s">
        <v>3592</v>
      </c>
      <c r="BN104" s="144" t="s">
        <v>103</v>
      </c>
      <c r="BO104" s="135" t="s">
        <v>155</v>
      </c>
      <c r="BP104" s="144">
        <v>2021</v>
      </c>
      <c r="BQ104" s="203" t="s">
        <v>3274</v>
      </c>
    </row>
    <row r="105" spans="1:69" ht="41.1" customHeight="1">
      <c r="A105" s="133" t="s">
        <v>86</v>
      </c>
      <c r="B105" s="133" t="s">
        <v>616</v>
      </c>
      <c r="C105" s="143">
        <v>1000</v>
      </c>
      <c r="D105" s="135">
        <v>44200</v>
      </c>
      <c r="E105" s="135">
        <v>44200</v>
      </c>
      <c r="F105" s="147" t="s">
        <v>76</v>
      </c>
      <c r="G105" s="135" t="s">
        <v>76</v>
      </c>
      <c r="H105" s="147">
        <v>44204</v>
      </c>
      <c r="I105" s="147">
        <v>44204</v>
      </c>
      <c r="J105" s="147">
        <v>44211</v>
      </c>
      <c r="K105" s="135">
        <v>44309</v>
      </c>
      <c r="L105" s="135">
        <v>44299</v>
      </c>
      <c r="M105" s="135" t="s">
        <v>76</v>
      </c>
      <c r="N105" s="135">
        <v>44313</v>
      </c>
      <c r="O105" s="135">
        <v>44313</v>
      </c>
      <c r="P105" s="135">
        <v>44319</v>
      </c>
      <c r="Q105" s="135"/>
      <c r="R105" s="143"/>
      <c r="S105" s="143"/>
      <c r="T105" s="143"/>
      <c r="U105" s="143">
        <v>1</v>
      </c>
      <c r="V105" s="143">
        <v>15945</v>
      </c>
      <c r="W105" s="143" t="str">
        <f ca="1">IF(H105="",IF(D105="","",IF(U105+V105&lt;15,"Données Nb pers ou RFR manquantes",IF(COUNTA(INDIRECT("TabRFR["&amp;YEAR(D105)&amp;"]"))&lt;&gt;COUNTA(TabRFR[Recherche RFR]),"Data RFR manquantes", IF(V105&lt;=INDEX(TabRFR[[2021]:[2025]],MATCH(BD!U105&amp;"-Très modestes",TabRFR[Recherche RFR],0),MATCH(TEXT(YEAR(BD!D105),"Standard"),TabRFR[[#Headers],[2021]:[2025]],0)),"Très Modeste",IF(V105&lt;=INDEX(TabRFR[[2021]:[2025]],MATCH(BD!U105&amp;"-modestes",TabRFR[Recherche RFR],0),MATCH(TEXT(YEAR(BD!D105),"Standard"),TabRFR[[#Headers],[2021]:[2025]],0)),"Modeste",IF(V105&lt;=INDEX(TabRFR[[2021]:[2025]],MATCH(BD!U105&amp;"-Intermédiaire",TabRFR[Recherche RFR],0),MATCH(TEXT(YEAR(BD!D105),"Standard"),TabRFR[[#Headers],[2021]:[2025]],0)),"Intermédiaire","Supérieur")))))),IF(D105="","",IF(U105+V105&lt;15,"Données Nb pers ou RFR manquantes",IF(COUNTA(INDIRECT("TabRFR["&amp;YEAR(H105)&amp;"]"))&lt;&gt;COUNTA(TabRFR[Recherche RFR]),"Data RFR manquantes", IF(V105&lt;=INDEX(TabRFR[[2021]:[2025]],MATCH(BD!U105&amp;"-Très modestes",TabRFR[Recherche RFR],0),MATCH(TEXT(YEAR(BD!H105),"Standard"),TabRFR[[#Headers],[2021]:[2025]],0)),"Très Modeste",IF(V105&lt;=INDEX(TabRFR[[2021]:[2025]],MATCH(BD!U105&amp;"-modestes",TabRFR[Recherche RFR],0),MATCH(TEXT(YEAR(BD!H105),"Standard"),TabRFR[[#Headers],[2021]:[2025]],0)),"Modeste",IF(V105&lt;=INDEX(TabRFR[[2021]:[2025]],MATCH(BD!U105&amp;"-Intermédiaire",TabRFR[Recherche RFR],0),MATCH(TEXT(YEAR(BD!H105),"Standard"),TabRFR[[#Headers],[2021]:[2025]],0)),"Intermédiaire","Supérieur")))))))</f>
        <v>Modeste</v>
      </c>
      <c r="X105" s="143"/>
      <c r="Y105" s="143" t="s">
        <v>617</v>
      </c>
      <c r="Z105" s="143">
        <v>38500</v>
      </c>
      <c r="AA105" s="143" t="s">
        <v>591</v>
      </c>
      <c r="AB105" s="148"/>
      <c r="AC105" s="149"/>
      <c r="AD105" s="143" t="s">
        <v>91</v>
      </c>
      <c r="AE105" s="143" t="s">
        <v>76</v>
      </c>
      <c r="AF105" s="143" t="s">
        <v>76</v>
      </c>
      <c r="AG105" s="143" t="s">
        <v>76</v>
      </c>
      <c r="AH105" s="143" t="s">
        <v>76</v>
      </c>
      <c r="AI105" s="135" t="s">
        <v>2703</v>
      </c>
      <c r="AJ105" s="143" t="s">
        <v>266</v>
      </c>
      <c r="AK105" s="143" t="s">
        <v>317</v>
      </c>
      <c r="AL105" s="150" t="s">
        <v>318</v>
      </c>
      <c r="AM105" s="148">
        <v>476500550</v>
      </c>
      <c r="AN105" s="143" t="s">
        <v>76</v>
      </c>
      <c r="AO105" s="150" t="s">
        <v>102</v>
      </c>
      <c r="AP105" s="147">
        <v>44375</v>
      </c>
      <c r="AQ105" s="135" t="s">
        <v>3496</v>
      </c>
      <c r="AR105" s="143">
        <v>1980</v>
      </c>
      <c r="AS105" s="135" t="s">
        <v>3496</v>
      </c>
      <c r="AT105" s="135" t="s">
        <v>3446</v>
      </c>
      <c r="AU105" s="143" t="s">
        <v>319</v>
      </c>
      <c r="AV105" s="143" t="s">
        <v>618</v>
      </c>
      <c r="AW105" s="143">
        <v>40</v>
      </c>
      <c r="AX105" s="143">
        <v>18</v>
      </c>
      <c r="AY105" s="143">
        <v>79</v>
      </c>
      <c r="AZ105" s="143">
        <v>7.0000000000000007E-2</v>
      </c>
      <c r="BA105" s="143" t="s">
        <v>101</v>
      </c>
      <c r="BB105" s="143"/>
      <c r="BC105" s="143">
        <f>469.44+51.09+2658.33+233.33+154.49+159.06+130.9+62.19+228.7</f>
        <v>4147.53</v>
      </c>
      <c r="BD105" s="143"/>
      <c r="BE105" s="143">
        <v>900</v>
      </c>
      <c r="BF105" s="143">
        <f t="shared" si="3"/>
        <v>5047.53</v>
      </c>
      <c r="BG105" s="151">
        <f t="shared" si="4"/>
        <v>277.61415</v>
      </c>
      <c r="BH105" s="151">
        <f t="shared" si="5"/>
        <v>5325.1441500000001</v>
      </c>
      <c r="BI105" s="151">
        <v>5025.1400000000003</v>
      </c>
      <c r="BJ105" s="143" t="s">
        <v>102</v>
      </c>
      <c r="BK105" s="143"/>
      <c r="BL105" s="143"/>
      <c r="BM105" s="144" t="s">
        <v>3592</v>
      </c>
      <c r="BN105" s="144" t="s">
        <v>103</v>
      </c>
      <c r="BO105" s="135" t="s">
        <v>155</v>
      </c>
      <c r="BP105" s="144">
        <v>2021</v>
      </c>
      <c r="BQ105" s="203" t="s">
        <v>144</v>
      </c>
    </row>
    <row r="106" spans="1:69" ht="41.1" customHeight="1">
      <c r="A106" s="133" t="s">
        <v>86</v>
      </c>
      <c r="B106" s="133" t="s">
        <v>619</v>
      </c>
      <c r="C106" s="143">
        <v>600</v>
      </c>
      <c r="D106" s="135">
        <v>44203</v>
      </c>
      <c r="E106" s="135">
        <v>44204</v>
      </c>
      <c r="F106" s="147">
        <v>44204</v>
      </c>
      <c r="G106" s="135" t="s">
        <v>620</v>
      </c>
      <c r="H106" s="147">
        <v>44208</v>
      </c>
      <c r="I106" s="147">
        <v>44208</v>
      </c>
      <c r="J106" s="147">
        <v>44309</v>
      </c>
      <c r="K106" s="135">
        <v>44203</v>
      </c>
      <c r="L106" s="135">
        <v>44018</v>
      </c>
      <c r="M106" s="135" t="s">
        <v>76</v>
      </c>
      <c r="N106" s="135">
        <v>44208</v>
      </c>
      <c r="O106" s="135">
        <v>44208</v>
      </c>
      <c r="P106" s="135">
        <v>44309</v>
      </c>
      <c r="Q106" s="135"/>
      <c r="R106" s="143"/>
      <c r="S106" s="143"/>
      <c r="T106" s="143"/>
      <c r="U106" s="143">
        <v>2</v>
      </c>
      <c r="V106" s="143">
        <v>43712</v>
      </c>
      <c r="W106" s="143" t="str">
        <f ca="1">IF(H106="",IF(D106="","",IF(U106+V106&lt;15,"Données Nb pers ou RFR manquantes",IF(COUNTA(INDIRECT("TabRFR["&amp;YEAR(D106)&amp;"]"))&lt;&gt;COUNTA(TabRFR[Recherche RFR]),"Data RFR manquantes", IF(V106&lt;=INDEX(TabRFR[[2021]:[2025]],MATCH(BD!U106&amp;"-Très modestes",TabRFR[Recherche RFR],0),MATCH(TEXT(YEAR(BD!D106),"Standard"),TabRFR[[#Headers],[2021]:[2025]],0)),"Très Modeste",IF(V106&lt;=INDEX(TabRFR[[2021]:[2025]],MATCH(BD!U106&amp;"-modestes",TabRFR[Recherche RFR],0),MATCH(TEXT(YEAR(BD!D106),"Standard"),TabRFR[[#Headers],[2021]:[2025]],0)),"Modeste",IF(V106&lt;=INDEX(TabRFR[[2021]:[2025]],MATCH(BD!U106&amp;"-Intermédiaire",TabRFR[Recherche RFR],0),MATCH(TEXT(YEAR(BD!D106),"Standard"),TabRFR[[#Headers],[2021]:[2025]],0)),"Intermédiaire","Supérieur")))))),IF(D106="","",IF(U106+V106&lt;15,"Données Nb pers ou RFR manquantes",IF(COUNTA(INDIRECT("TabRFR["&amp;YEAR(H106)&amp;"]"))&lt;&gt;COUNTA(TabRFR[Recherche RFR]),"Data RFR manquantes", IF(V106&lt;=INDEX(TabRFR[[2021]:[2025]],MATCH(BD!U106&amp;"-Très modestes",TabRFR[Recherche RFR],0),MATCH(TEXT(YEAR(BD!H106),"Standard"),TabRFR[[#Headers],[2021]:[2025]],0)),"Très Modeste",IF(V106&lt;=INDEX(TabRFR[[2021]:[2025]],MATCH(BD!U106&amp;"-modestes",TabRFR[Recherche RFR],0),MATCH(TEXT(YEAR(BD!H106),"Standard"),TabRFR[[#Headers],[2021]:[2025]],0)),"Modeste",IF(V106&lt;=INDEX(TabRFR[[2021]:[2025]],MATCH(BD!U106&amp;"-Intermédiaire",TabRFR[Recherche RFR],0),MATCH(TEXT(YEAR(BD!H106),"Standard"),TabRFR[[#Headers],[2021]:[2025]],0)),"Intermédiaire","Supérieur")))))))</f>
        <v>Supérieur</v>
      </c>
      <c r="X106" s="143"/>
      <c r="Y106" s="143" t="s">
        <v>129</v>
      </c>
      <c r="Z106" s="143">
        <v>38210</v>
      </c>
      <c r="AA106" s="143" t="s">
        <v>130</v>
      </c>
      <c r="AB106" s="148"/>
      <c r="AC106" s="149"/>
      <c r="AD106" s="143" t="s">
        <v>91</v>
      </c>
      <c r="AE106" s="143" t="s">
        <v>76</v>
      </c>
      <c r="AF106" s="143" t="s">
        <v>76</v>
      </c>
      <c r="AG106" s="143" t="s">
        <v>76</v>
      </c>
      <c r="AH106" s="143" t="s">
        <v>76</v>
      </c>
      <c r="AI106" s="143" t="s">
        <v>120</v>
      </c>
      <c r="AJ106" s="143" t="s">
        <v>121</v>
      </c>
      <c r="AK106" s="143" t="s">
        <v>122</v>
      </c>
      <c r="AL106" s="150" t="s">
        <v>123</v>
      </c>
      <c r="AM106" s="148">
        <v>608287337</v>
      </c>
      <c r="AN106" s="143" t="s">
        <v>76</v>
      </c>
      <c r="AO106" s="150" t="s">
        <v>102</v>
      </c>
      <c r="AP106" s="147">
        <v>44417</v>
      </c>
      <c r="AQ106" s="143" t="s">
        <v>3413</v>
      </c>
      <c r="AR106" s="143" t="s">
        <v>213</v>
      </c>
      <c r="AS106" s="143" t="s">
        <v>3413</v>
      </c>
      <c r="AT106" s="143" t="s">
        <v>98</v>
      </c>
      <c r="AU106" s="143" t="s">
        <v>124</v>
      </c>
      <c r="AV106" s="143" t="s">
        <v>499</v>
      </c>
      <c r="AW106" s="143">
        <v>26</v>
      </c>
      <c r="AX106" s="143">
        <v>8</v>
      </c>
      <c r="AY106" s="143">
        <v>91.9</v>
      </c>
      <c r="AZ106" s="143">
        <v>7.0000000000000001E-3</v>
      </c>
      <c r="BA106" s="143" t="s">
        <v>126</v>
      </c>
      <c r="BB106" s="143"/>
      <c r="BC106" s="143">
        <f>3290+600+200+344</f>
        <v>4434</v>
      </c>
      <c r="BD106" s="143"/>
      <c r="BE106" s="143">
        <v>500</v>
      </c>
      <c r="BF106" s="143">
        <f t="shared" si="3"/>
        <v>4934</v>
      </c>
      <c r="BG106" s="151">
        <f t="shared" si="4"/>
        <v>271.37</v>
      </c>
      <c r="BH106" s="151">
        <f t="shared" si="5"/>
        <v>5205.37</v>
      </c>
      <c r="BI106" s="151">
        <v>4800</v>
      </c>
      <c r="BJ106" s="143" t="s">
        <v>102</v>
      </c>
      <c r="BK106" s="143"/>
      <c r="BL106" s="143"/>
      <c r="BM106" s="144" t="s">
        <v>3592</v>
      </c>
      <c r="BN106" s="144" t="s">
        <v>103</v>
      </c>
      <c r="BO106" s="144" t="s">
        <v>143</v>
      </c>
      <c r="BP106" s="143" t="s">
        <v>3583</v>
      </c>
      <c r="BQ106" s="203" t="s">
        <v>144</v>
      </c>
    </row>
    <row r="107" spans="1:69" ht="41.1" customHeight="1">
      <c r="A107" s="133" t="s">
        <v>86</v>
      </c>
      <c r="B107" s="133" t="s">
        <v>621</v>
      </c>
      <c r="C107" s="143">
        <v>600</v>
      </c>
      <c r="D107" s="135">
        <v>44210</v>
      </c>
      <c r="E107" s="135">
        <v>44214</v>
      </c>
      <c r="F107" s="147" t="s">
        <v>76</v>
      </c>
      <c r="G107" s="135" t="s">
        <v>76</v>
      </c>
      <c r="H107" s="147">
        <v>44214</v>
      </c>
      <c r="I107" s="147">
        <v>44214</v>
      </c>
      <c r="J107" s="147">
        <v>44216</v>
      </c>
      <c r="K107" s="135">
        <v>44259</v>
      </c>
      <c r="L107" s="135">
        <v>44249</v>
      </c>
      <c r="M107" s="135" t="s">
        <v>76</v>
      </c>
      <c r="N107" s="135">
        <v>44259</v>
      </c>
      <c r="O107" s="135">
        <v>44259</v>
      </c>
      <c r="P107" s="135">
        <v>44270</v>
      </c>
      <c r="Q107" s="135"/>
      <c r="R107" s="143"/>
      <c r="S107" s="143"/>
      <c r="T107" s="143"/>
      <c r="U107" s="143">
        <v>2</v>
      </c>
      <c r="V107" s="143">
        <v>45466</v>
      </c>
      <c r="W107" s="143" t="str">
        <f ca="1">IF(H107="",IF(D107="","",IF(U107+V107&lt;15,"Données Nb pers ou RFR manquantes",IF(COUNTA(INDIRECT("TabRFR["&amp;YEAR(D107)&amp;"]"))&lt;&gt;COUNTA(TabRFR[Recherche RFR]),"Data RFR manquantes", IF(V107&lt;=INDEX(TabRFR[[2021]:[2025]],MATCH(BD!U107&amp;"-Très modestes",TabRFR[Recherche RFR],0),MATCH(TEXT(YEAR(BD!D107),"Standard"),TabRFR[[#Headers],[2021]:[2025]],0)),"Très Modeste",IF(V107&lt;=INDEX(TabRFR[[2021]:[2025]],MATCH(BD!U107&amp;"-modestes",TabRFR[Recherche RFR],0),MATCH(TEXT(YEAR(BD!D107),"Standard"),TabRFR[[#Headers],[2021]:[2025]],0)),"Modeste",IF(V107&lt;=INDEX(TabRFR[[2021]:[2025]],MATCH(BD!U107&amp;"-Intermédiaire",TabRFR[Recherche RFR],0),MATCH(TEXT(YEAR(BD!D107),"Standard"),TabRFR[[#Headers],[2021]:[2025]],0)),"Intermédiaire","Supérieur")))))),IF(D107="","",IF(U107+V107&lt;15,"Données Nb pers ou RFR manquantes",IF(COUNTA(INDIRECT("TabRFR["&amp;YEAR(H107)&amp;"]"))&lt;&gt;COUNTA(TabRFR[Recherche RFR]),"Data RFR manquantes", IF(V107&lt;=INDEX(TabRFR[[2021]:[2025]],MATCH(BD!U107&amp;"-Très modestes",TabRFR[Recherche RFR],0),MATCH(TEXT(YEAR(BD!H107),"Standard"),TabRFR[[#Headers],[2021]:[2025]],0)),"Très Modeste",IF(V107&lt;=INDEX(TabRFR[[2021]:[2025]],MATCH(BD!U107&amp;"-modestes",TabRFR[Recherche RFR],0),MATCH(TEXT(YEAR(BD!H107),"Standard"),TabRFR[[#Headers],[2021]:[2025]],0)),"Modeste",IF(V107&lt;=INDEX(TabRFR[[2021]:[2025]],MATCH(BD!U107&amp;"-Intermédiaire",TabRFR[Recherche RFR],0),MATCH(TEXT(YEAR(BD!H107),"Standard"),TabRFR[[#Headers],[2021]:[2025]],0)),"Intermédiaire","Supérieur")))))))</f>
        <v>Supérieur</v>
      </c>
      <c r="X107" s="143"/>
      <c r="Y107" s="143" t="s">
        <v>622</v>
      </c>
      <c r="Z107" s="143">
        <v>38850</v>
      </c>
      <c r="AA107" s="143" t="s">
        <v>435</v>
      </c>
      <c r="AB107" s="148"/>
      <c r="AC107" s="149"/>
      <c r="AD107" s="143" t="s">
        <v>91</v>
      </c>
      <c r="AE107" s="143" t="s">
        <v>76</v>
      </c>
      <c r="AF107" s="143" t="s">
        <v>76</v>
      </c>
      <c r="AG107" s="143" t="s">
        <v>76</v>
      </c>
      <c r="AH107" s="143" t="s">
        <v>76</v>
      </c>
      <c r="AI107" s="143" t="s">
        <v>169</v>
      </c>
      <c r="AJ107" s="143" t="s">
        <v>119</v>
      </c>
      <c r="AK107" s="143" t="s">
        <v>170</v>
      </c>
      <c r="AL107" s="149" t="s">
        <v>171</v>
      </c>
      <c r="AM107" s="148">
        <v>476355605</v>
      </c>
      <c r="AN107" s="143" t="s">
        <v>76</v>
      </c>
      <c r="AO107" s="150" t="s">
        <v>102</v>
      </c>
      <c r="AP107" s="147">
        <v>44495</v>
      </c>
      <c r="AQ107" s="135" t="s">
        <v>3496</v>
      </c>
      <c r="AR107" s="143">
        <v>1985</v>
      </c>
      <c r="AS107" s="143" t="s">
        <v>3413</v>
      </c>
      <c r="AT107" s="135" t="s">
        <v>3446</v>
      </c>
      <c r="AU107" s="143" t="s">
        <v>173</v>
      </c>
      <c r="AV107" s="143" t="s">
        <v>623</v>
      </c>
      <c r="AW107" s="143">
        <v>22</v>
      </c>
      <c r="AX107" s="143">
        <v>7</v>
      </c>
      <c r="AY107" s="143">
        <v>80</v>
      </c>
      <c r="AZ107" s="143">
        <v>0.08</v>
      </c>
      <c r="BA107" s="143" t="s">
        <v>101</v>
      </c>
      <c r="BB107" s="143"/>
      <c r="BC107" s="143">
        <f>360+24.5+41.4+94+1970+238+89.6+38.54+65.6+74.56+47.7</f>
        <v>3043.8999999999996</v>
      </c>
      <c r="BD107" s="143"/>
      <c r="BE107" s="143">
        <f>99.09+350+525</f>
        <v>974.09</v>
      </c>
      <c r="BF107" s="143">
        <f t="shared" si="3"/>
        <v>4017.99</v>
      </c>
      <c r="BG107" s="151">
        <f t="shared" si="4"/>
        <v>220.98944999999998</v>
      </c>
      <c r="BH107" s="151">
        <f t="shared" si="5"/>
        <v>4238.9794499999998</v>
      </c>
      <c r="BI107" s="151">
        <v>4238.9799999999996</v>
      </c>
      <c r="BJ107" s="143" t="s">
        <v>102</v>
      </c>
      <c r="BK107" s="143"/>
      <c r="BL107" s="143"/>
      <c r="BM107" s="144" t="s">
        <v>3592</v>
      </c>
      <c r="BN107" s="144" t="s">
        <v>103</v>
      </c>
      <c r="BO107" s="144" t="s">
        <v>143</v>
      </c>
      <c r="BP107" s="144">
        <v>2021</v>
      </c>
      <c r="BQ107" s="203" t="s">
        <v>144</v>
      </c>
    </row>
    <row r="108" spans="1:69" ht="41.1" customHeight="1">
      <c r="A108" s="133" t="s">
        <v>86</v>
      </c>
      <c r="B108" s="133" t="s">
        <v>624</v>
      </c>
      <c r="C108" s="143">
        <v>600</v>
      </c>
      <c r="D108" s="135">
        <v>44214</v>
      </c>
      <c r="E108" s="135">
        <v>44217</v>
      </c>
      <c r="F108" s="147">
        <v>44217</v>
      </c>
      <c r="G108" s="135" t="s">
        <v>625</v>
      </c>
      <c r="H108" s="147">
        <v>44222</v>
      </c>
      <c r="I108" s="147">
        <v>44222</v>
      </c>
      <c r="J108" s="147">
        <v>44229</v>
      </c>
      <c r="K108" s="135">
        <v>44321</v>
      </c>
      <c r="L108" s="135">
        <v>44244</v>
      </c>
      <c r="M108" s="135" t="s">
        <v>76</v>
      </c>
      <c r="N108" s="135">
        <v>44322</v>
      </c>
      <c r="O108" s="135">
        <v>44322</v>
      </c>
      <c r="P108" s="135">
        <v>44333</v>
      </c>
      <c r="Q108" s="135"/>
      <c r="R108" s="143"/>
      <c r="S108" s="143"/>
      <c r="T108" s="143"/>
      <c r="U108" s="143">
        <v>1</v>
      </c>
      <c r="V108" s="143">
        <v>38019</v>
      </c>
      <c r="W108" s="143" t="str">
        <f ca="1">IF(H108="",IF(D108="","",IF(U108+V108&lt;15,"Données Nb pers ou RFR manquantes",IF(COUNTA(INDIRECT("TabRFR["&amp;YEAR(D108)&amp;"]"))&lt;&gt;COUNTA(TabRFR[Recherche RFR]),"Data RFR manquantes", IF(V108&lt;=INDEX(TabRFR[[2021]:[2025]],MATCH(BD!U108&amp;"-Très modestes",TabRFR[Recherche RFR],0),MATCH(TEXT(YEAR(BD!D108),"Standard"),TabRFR[[#Headers],[2021]:[2025]],0)),"Très Modeste",IF(V108&lt;=INDEX(TabRFR[[2021]:[2025]],MATCH(BD!U108&amp;"-modestes",TabRFR[Recherche RFR],0),MATCH(TEXT(YEAR(BD!D108),"Standard"),TabRFR[[#Headers],[2021]:[2025]],0)),"Modeste",IF(V108&lt;=INDEX(TabRFR[[2021]:[2025]],MATCH(BD!U108&amp;"-Intermédiaire",TabRFR[Recherche RFR],0),MATCH(TEXT(YEAR(BD!D108),"Standard"),TabRFR[[#Headers],[2021]:[2025]],0)),"Intermédiaire","Supérieur")))))),IF(D108="","",IF(U108+V108&lt;15,"Données Nb pers ou RFR manquantes",IF(COUNTA(INDIRECT("TabRFR["&amp;YEAR(H108)&amp;"]"))&lt;&gt;COUNTA(TabRFR[Recherche RFR]),"Data RFR manquantes", IF(V108&lt;=INDEX(TabRFR[[2021]:[2025]],MATCH(BD!U108&amp;"-Très modestes",TabRFR[Recherche RFR],0),MATCH(TEXT(YEAR(BD!H108),"Standard"),TabRFR[[#Headers],[2021]:[2025]],0)),"Très Modeste",IF(V108&lt;=INDEX(TabRFR[[2021]:[2025]],MATCH(BD!U108&amp;"-modestes",TabRFR[Recherche RFR],0),MATCH(TEXT(YEAR(BD!H108),"Standard"),TabRFR[[#Headers],[2021]:[2025]],0)),"Modeste",IF(V108&lt;=INDEX(TabRFR[[2021]:[2025]],MATCH(BD!U108&amp;"-Intermédiaire",TabRFR[Recherche RFR],0),MATCH(TEXT(YEAR(BD!H108),"Standard"),TabRFR[[#Headers],[2021]:[2025]],0)),"Intermédiaire","Supérieur")))))))</f>
        <v>Supérieur</v>
      </c>
      <c r="X108" s="143"/>
      <c r="Y108" s="143" t="s">
        <v>626</v>
      </c>
      <c r="Z108" s="143">
        <v>38850</v>
      </c>
      <c r="AA108" s="143" t="s">
        <v>168</v>
      </c>
      <c r="AB108" s="148"/>
      <c r="AC108" s="149"/>
      <c r="AD108" s="143" t="s">
        <v>91</v>
      </c>
      <c r="AE108" s="143" t="s">
        <v>76</v>
      </c>
      <c r="AF108" s="143" t="s">
        <v>76</v>
      </c>
      <c r="AG108" s="143" t="s">
        <v>76</v>
      </c>
      <c r="AH108" s="143" t="s">
        <v>76</v>
      </c>
      <c r="AI108" s="143" t="s">
        <v>160</v>
      </c>
      <c r="AJ108" s="143" t="s">
        <v>161</v>
      </c>
      <c r="AK108" s="143" t="s">
        <v>227</v>
      </c>
      <c r="AL108" s="150" t="s">
        <v>228</v>
      </c>
      <c r="AM108" s="148">
        <v>438021901</v>
      </c>
      <c r="AN108" s="143" t="s">
        <v>76</v>
      </c>
      <c r="AO108" s="150" t="s">
        <v>102</v>
      </c>
      <c r="AP108" s="147">
        <v>44641</v>
      </c>
      <c r="AQ108" s="135" t="s">
        <v>3496</v>
      </c>
      <c r="AR108" s="143">
        <v>1986</v>
      </c>
      <c r="AS108" s="135" t="s">
        <v>3496</v>
      </c>
      <c r="AT108" s="135" t="s">
        <v>3446</v>
      </c>
      <c r="AU108" s="143" t="s">
        <v>164</v>
      </c>
      <c r="AV108" s="143" t="s">
        <v>627</v>
      </c>
      <c r="AW108" s="143">
        <v>33</v>
      </c>
      <c r="AX108" s="143">
        <v>10</v>
      </c>
      <c r="AY108" s="143">
        <v>80.8</v>
      </c>
      <c r="AZ108" s="143">
        <v>0.09</v>
      </c>
      <c r="BA108" s="143" t="s">
        <v>101</v>
      </c>
      <c r="BB108" s="143"/>
      <c r="BC108" s="143">
        <f>595+1806+92+142+112+533+92+350+95+67+495+104</f>
        <v>4483</v>
      </c>
      <c r="BD108" s="143"/>
      <c r="BE108" s="143">
        <v>892</v>
      </c>
      <c r="BF108" s="143">
        <f t="shared" si="3"/>
        <v>5375</v>
      </c>
      <c r="BG108" s="151">
        <f t="shared" si="4"/>
        <v>295.625</v>
      </c>
      <c r="BH108" s="151">
        <f t="shared" si="5"/>
        <v>5670.625</v>
      </c>
      <c r="BI108" s="151">
        <v>5059</v>
      </c>
      <c r="BJ108" s="143" t="s">
        <v>102</v>
      </c>
      <c r="BK108" s="143"/>
      <c r="BL108" s="143"/>
      <c r="BM108" s="144" t="s">
        <v>3592</v>
      </c>
      <c r="BN108" s="144" t="s">
        <v>103</v>
      </c>
      <c r="BO108" s="144" t="s">
        <v>143</v>
      </c>
      <c r="BP108" s="144">
        <v>2021</v>
      </c>
      <c r="BQ108" s="203" t="s">
        <v>144</v>
      </c>
    </row>
    <row r="109" spans="1:69" ht="41.1" customHeight="1">
      <c r="A109" s="133" t="s">
        <v>86</v>
      </c>
      <c r="B109" s="133" t="s">
        <v>628</v>
      </c>
      <c r="C109" s="143">
        <v>600</v>
      </c>
      <c r="D109" s="135">
        <v>44217</v>
      </c>
      <c r="E109" s="135">
        <v>44218</v>
      </c>
      <c r="F109" s="147" t="s">
        <v>76</v>
      </c>
      <c r="G109" s="135" t="s">
        <v>76</v>
      </c>
      <c r="H109" s="147">
        <v>44222</v>
      </c>
      <c r="I109" s="147">
        <v>44222</v>
      </c>
      <c r="J109" s="147">
        <v>44229</v>
      </c>
      <c r="K109" s="135">
        <v>44246</v>
      </c>
      <c r="L109" s="135">
        <v>44245</v>
      </c>
      <c r="M109" s="135" t="s">
        <v>76</v>
      </c>
      <c r="N109" s="135">
        <v>44252</v>
      </c>
      <c r="O109" s="135">
        <v>44252</v>
      </c>
      <c r="P109" s="135">
        <v>44264</v>
      </c>
      <c r="Q109" s="135"/>
      <c r="R109" s="143"/>
      <c r="S109" s="143"/>
      <c r="T109" s="143"/>
      <c r="U109" s="143">
        <v>2</v>
      </c>
      <c r="V109" s="143">
        <v>80661</v>
      </c>
      <c r="W109" s="143" t="str">
        <f ca="1">IF(H109="",IF(D109="","",IF(U109+V109&lt;15,"Données Nb pers ou RFR manquantes",IF(COUNTA(INDIRECT("TabRFR["&amp;YEAR(D109)&amp;"]"))&lt;&gt;COUNTA(TabRFR[Recherche RFR]),"Data RFR manquantes", IF(V109&lt;=INDEX(TabRFR[[2021]:[2025]],MATCH(BD!U109&amp;"-Très modestes",TabRFR[Recherche RFR],0),MATCH(TEXT(YEAR(BD!D109),"Standard"),TabRFR[[#Headers],[2021]:[2025]],0)),"Très Modeste",IF(V109&lt;=INDEX(TabRFR[[2021]:[2025]],MATCH(BD!U109&amp;"-modestes",TabRFR[Recherche RFR],0),MATCH(TEXT(YEAR(BD!D109),"Standard"),TabRFR[[#Headers],[2021]:[2025]],0)),"Modeste",IF(V109&lt;=INDEX(TabRFR[[2021]:[2025]],MATCH(BD!U109&amp;"-Intermédiaire",TabRFR[Recherche RFR],0),MATCH(TEXT(YEAR(BD!D109),"Standard"),TabRFR[[#Headers],[2021]:[2025]],0)),"Intermédiaire","Supérieur")))))),IF(D109="","",IF(U109+V109&lt;15,"Données Nb pers ou RFR manquantes",IF(COUNTA(INDIRECT("TabRFR["&amp;YEAR(H109)&amp;"]"))&lt;&gt;COUNTA(TabRFR[Recherche RFR]),"Data RFR manquantes", IF(V109&lt;=INDEX(TabRFR[[2021]:[2025]],MATCH(BD!U109&amp;"-Très modestes",TabRFR[Recherche RFR],0),MATCH(TEXT(YEAR(BD!H109),"Standard"),TabRFR[[#Headers],[2021]:[2025]],0)),"Très Modeste",IF(V109&lt;=INDEX(TabRFR[[2021]:[2025]],MATCH(BD!U109&amp;"-modestes",TabRFR[Recherche RFR],0),MATCH(TEXT(YEAR(BD!H109),"Standard"),TabRFR[[#Headers],[2021]:[2025]],0)),"Modeste",IF(V109&lt;=INDEX(TabRFR[[2021]:[2025]],MATCH(BD!U109&amp;"-Intermédiaire",TabRFR[Recherche RFR],0),MATCH(TEXT(YEAR(BD!H109),"Standard"),TabRFR[[#Headers],[2021]:[2025]],0)),"Intermédiaire","Supérieur")))))))</f>
        <v>Supérieur</v>
      </c>
      <c r="X109" s="143"/>
      <c r="Y109" s="143" t="s">
        <v>629</v>
      </c>
      <c r="Z109" s="143">
        <v>38430</v>
      </c>
      <c r="AA109" s="143" t="s">
        <v>119</v>
      </c>
      <c r="AB109" s="148"/>
      <c r="AC109" s="149"/>
      <c r="AD109" s="143" t="s">
        <v>91</v>
      </c>
      <c r="AE109" s="143" t="s">
        <v>76</v>
      </c>
      <c r="AF109" s="143" t="s">
        <v>76</v>
      </c>
      <c r="AG109" s="143" t="s">
        <v>76</v>
      </c>
      <c r="AH109" s="143" t="s">
        <v>76</v>
      </c>
      <c r="AI109" s="143" t="s">
        <v>169</v>
      </c>
      <c r="AJ109" s="143" t="s">
        <v>119</v>
      </c>
      <c r="AK109" s="143" t="s">
        <v>170</v>
      </c>
      <c r="AL109" s="149" t="s">
        <v>171</v>
      </c>
      <c r="AM109" s="148">
        <v>476355605</v>
      </c>
      <c r="AN109" s="143" t="s">
        <v>76</v>
      </c>
      <c r="AO109" s="150" t="s">
        <v>102</v>
      </c>
      <c r="AP109" s="147">
        <v>44495</v>
      </c>
      <c r="AQ109" s="135" t="s">
        <v>3449</v>
      </c>
      <c r="AR109" s="143">
        <v>1970</v>
      </c>
      <c r="AS109" s="135" t="s">
        <v>3496</v>
      </c>
      <c r="AT109" s="135" t="s">
        <v>3446</v>
      </c>
      <c r="AU109" s="143" t="s">
        <v>173</v>
      </c>
      <c r="AV109" s="143" t="s">
        <v>630</v>
      </c>
      <c r="AW109" s="143">
        <v>23</v>
      </c>
      <c r="AX109" s="143">
        <v>10</v>
      </c>
      <c r="AY109" s="143">
        <v>78</v>
      </c>
      <c r="AZ109" s="143">
        <v>7.0000000000000007E-2</v>
      </c>
      <c r="BA109" s="143" t="s">
        <v>101</v>
      </c>
      <c r="BB109" s="143"/>
      <c r="BC109" s="143">
        <f>540+24.5+41.4+365.75+1745+490.56+156+177.6+65.3</f>
        <v>3606.11</v>
      </c>
      <c r="BD109" s="143"/>
      <c r="BE109" s="143">
        <f>282.94+99.09+98+950</f>
        <v>1430.03</v>
      </c>
      <c r="BF109" s="143">
        <f t="shared" si="3"/>
        <v>5036.1400000000003</v>
      </c>
      <c r="BG109" s="151">
        <f t="shared" si="4"/>
        <v>276.98770000000002</v>
      </c>
      <c r="BH109" s="151">
        <f t="shared" si="5"/>
        <v>5313.1277</v>
      </c>
      <c r="BI109" s="151">
        <v>5313.18</v>
      </c>
      <c r="BJ109" s="143" t="s">
        <v>102</v>
      </c>
      <c r="BK109" s="143"/>
      <c r="BL109" s="143"/>
      <c r="BM109" s="144" t="s">
        <v>3592</v>
      </c>
      <c r="BN109" s="144" t="s">
        <v>103</v>
      </c>
      <c r="BO109" s="144" t="s">
        <v>143</v>
      </c>
      <c r="BP109" s="144">
        <v>2021</v>
      </c>
      <c r="BQ109" s="203" t="s">
        <v>144</v>
      </c>
    </row>
    <row r="110" spans="1:69" ht="41.1" customHeight="1">
      <c r="A110" s="133" t="s">
        <v>86</v>
      </c>
      <c r="B110" s="133" t="s">
        <v>631</v>
      </c>
      <c r="C110" s="143">
        <v>600</v>
      </c>
      <c r="D110" s="135">
        <v>44219</v>
      </c>
      <c r="E110" s="135">
        <v>44222</v>
      </c>
      <c r="F110" s="147">
        <v>44222</v>
      </c>
      <c r="G110" s="135" t="s">
        <v>632</v>
      </c>
      <c r="H110" s="147">
        <v>44222</v>
      </c>
      <c r="I110" s="147">
        <v>44222</v>
      </c>
      <c r="J110" s="147">
        <v>44229</v>
      </c>
      <c r="K110" s="135">
        <v>44280</v>
      </c>
      <c r="L110" s="135">
        <v>44271</v>
      </c>
      <c r="M110" s="135" t="s">
        <v>76</v>
      </c>
      <c r="N110" s="135">
        <v>44281</v>
      </c>
      <c r="O110" s="135">
        <v>44281</v>
      </c>
      <c r="P110" s="135">
        <v>44286</v>
      </c>
      <c r="Q110" s="135"/>
      <c r="R110" s="143"/>
      <c r="S110" s="143"/>
      <c r="T110" s="143"/>
      <c r="U110" s="143">
        <v>4</v>
      </c>
      <c r="V110" s="143">
        <v>77784</v>
      </c>
      <c r="W110" s="143" t="str">
        <f ca="1">IF(H110="",IF(D110="","",IF(U110+V110&lt;15,"Données Nb pers ou RFR manquantes",IF(COUNTA(INDIRECT("TabRFR["&amp;YEAR(D110)&amp;"]"))&lt;&gt;COUNTA(TabRFR[Recherche RFR]),"Data RFR manquantes", IF(V110&lt;=INDEX(TabRFR[[2021]:[2025]],MATCH(BD!U110&amp;"-Très modestes",TabRFR[Recherche RFR],0),MATCH(TEXT(YEAR(BD!D110),"Standard"),TabRFR[[#Headers],[2021]:[2025]],0)),"Très Modeste",IF(V110&lt;=INDEX(TabRFR[[2021]:[2025]],MATCH(BD!U110&amp;"-modestes",TabRFR[Recherche RFR],0),MATCH(TEXT(YEAR(BD!D110),"Standard"),TabRFR[[#Headers],[2021]:[2025]],0)),"Modeste",IF(V110&lt;=INDEX(TabRFR[[2021]:[2025]],MATCH(BD!U110&amp;"-Intermédiaire",TabRFR[Recherche RFR],0),MATCH(TEXT(YEAR(BD!D110),"Standard"),TabRFR[[#Headers],[2021]:[2025]],0)),"Intermédiaire","Supérieur")))))),IF(D110="","",IF(U110+V110&lt;15,"Données Nb pers ou RFR manquantes",IF(COUNTA(INDIRECT("TabRFR["&amp;YEAR(H110)&amp;"]"))&lt;&gt;COUNTA(TabRFR[Recherche RFR]),"Data RFR manquantes", IF(V110&lt;=INDEX(TabRFR[[2021]:[2025]],MATCH(BD!U110&amp;"-Très modestes",TabRFR[Recherche RFR],0),MATCH(TEXT(YEAR(BD!H110),"Standard"),TabRFR[[#Headers],[2021]:[2025]],0)),"Très Modeste",IF(V110&lt;=INDEX(TabRFR[[2021]:[2025]],MATCH(BD!U110&amp;"-modestes",TabRFR[Recherche RFR],0),MATCH(TEXT(YEAR(BD!H110),"Standard"),TabRFR[[#Headers],[2021]:[2025]],0)),"Modeste",IF(V110&lt;=INDEX(TabRFR[[2021]:[2025]],MATCH(BD!U110&amp;"-Intermédiaire",TabRFR[Recherche RFR],0),MATCH(TEXT(YEAR(BD!H110),"Standard"),TabRFR[[#Headers],[2021]:[2025]],0)),"Intermédiaire","Supérieur")))))))</f>
        <v>Supérieur</v>
      </c>
      <c r="X110" s="143"/>
      <c r="Y110" s="143" t="s">
        <v>633</v>
      </c>
      <c r="Z110" s="143">
        <v>38500</v>
      </c>
      <c r="AA110" s="143" t="s">
        <v>284</v>
      </c>
      <c r="AB110" s="148"/>
      <c r="AC110" s="149"/>
      <c r="AD110" s="143" t="s">
        <v>91</v>
      </c>
      <c r="AE110" s="143" t="s">
        <v>76</v>
      </c>
      <c r="AF110" s="143" t="s">
        <v>76</v>
      </c>
      <c r="AG110" s="143" t="s">
        <v>76</v>
      </c>
      <c r="AH110" s="143" t="s">
        <v>76</v>
      </c>
      <c r="AI110" s="135" t="s">
        <v>220</v>
      </c>
      <c r="AJ110" s="143" t="s">
        <v>108</v>
      </c>
      <c r="AK110" s="143" t="s">
        <v>221</v>
      </c>
      <c r="AL110" s="150" t="s">
        <v>222</v>
      </c>
      <c r="AM110" s="148">
        <v>476323235</v>
      </c>
      <c r="AN110" s="143" t="s">
        <v>76</v>
      </c>
      <c r="AO110" s="150" t="s">
        <v>102</v>
      </c>
      <c r="AP110" s="147">
        <v>44429</v>
      </c>
      <c r="AQ110" s="135" t="s">
        <v>3449</v>
      </c>
      <c r="AR110" s="143">
        <v>1972</v>
      </c>
      <c r="AS110" s="143" t="s">
        <v>3413</v>
      </c>
      <c r="AT110" s="135" t="s">
        <v>3446</v>
      </c>
      <c r="AU110" s="143" t="s">
        <v>223</v>
      </c>
      <c r="AV110" s="143" t="s">
        <v>224</v>
      </c>
      <c r="AW110" s="143">
        <v>12</v>
      </c>
      <c r="AX110" s="143">
        <v>9.1999999999999993</v>
      </c>
      <c r="AY110" s="143">
        <v>77</v>
      </c>
      <c r="AZ110" s="143">
        <v>0.04</v>
      </c>
      <c r="BA110" s="143" t="s">
        <v>101</v>
      </c>
      <c r="BB110" s="143"/>
      <c r="BC110" s="143">
        <f>538+480+2350+80+90+69+41+29+26+95+60</f>
        <v>3858</v>
      </c>
      <c r="BD110" s="143"/>
      <c r="BE110" s="143">
        <f>295+48+75+280</f>
        <v>698</v>
      </c>
      <c r="BF110" s="143">
        <f t="shared" si="3"/>
        <v>4556</v>
      </c>
      <c r="BG110" s="151">
        <f t="shared" si="4"/>
        <v>250.58</v>
      </c>
      <c r="BH110" s="151">
        <f t="shared" si="5"/>
        <v>4806.58</v>
      </c>
      <c r="BI110" s="151">
        <v>4700</v>
      </c>
      <c r="BJ110" s="143" t="s">
        <v>115</v>
      </c>
      <c r="BK110" s="143"/>
      <c r="BL110" s="143"/>
      <c r="BM110" s="144" t="s">
        <v>3592</v>
      </c>
      <c r="BN110" s="144" t="s">
        <v>103</v>
      </c>
      <c r="BO110" s="144" t="s">
        <v>143</v>
      </c>
      <c r="BP110" s="144">
        <v>2021</v>
      </c>
      <c r="BQ110" s="203" t="s">
        <v>3274</v>
      </c>
    </row>
    <row r="111" spans="1:69" ht="41.1" customHeight="1">
      <c r="A111" s="133" t="s">
        <v>86</v>
      </c>
      <c r="B111" s="133" t="s">
        <v>634</v>
      </c>
      <c r="C111" s="143">
        <v>600</v>
      </c>
      <c r="D111" s="135">
        <v>44219</v>
      </c>
      <c r="E111" s="135">
        <v>44222</v>
      </c>
      <c r="F111" s="147">
        <v>44222</v>
      </c>
      <c r="G111" s="135" t="s">
        <v>635</v>
      </c>
      <c r="H111" s="147">
        <v>44224</v>
      </c>
      <c r="I111" s="147">
        <v>44224</v>
      </c>
      <c r="J111" s="147">
        <v>44231</v>
      </c>
      <c r="K111" s="135">
        <v>44348</v>
      </c>
      <c r="L111" s="135">
        <v>44342</v>
      </c>
      <c r="M111" s="135" t="s">
        <v>636</v>
      </c>
      <c r="N111" s="135">
        <v>44351</v>
      </c>
      <c r="O111" s="135">
        <v>44351</v>
      </c>
      <c r="P111" s="135">
        <v>44378</v>
      </c>
      <c r="Q111" s="135"/>
      <c r="R111" s="143"/>
      <c r="S111" s="143"/>
      <c r="T111" s="143"/>
      <c r="U111" s="143">
        <v>3</v>
      </c>
      <c r="V111" s="143">
        <v>79930</v>
      </c>
      <c r="W111" s="143" t="str">
        <f ca="1">IF(H111="",IF(D111="","",IF(U111+V111&lt;15,"Données Nb pers ou RFR manquantes",IF(COUNTA(INDIRECT("TabRFR["&amp;YEAR(D111)&amp;"]"))&lt;&gt;COUNTA(TabRFR[Recherche RFR]),"Data RFR manquantes", IF(V111&lt;=INDEX(TabRFR[[2021]:[2025]],MATCH(BD!U111&amp;"-Très modestes",TabRFR[Recherche RFR],0),MATCH(TEXT(YEAR(BD!D111),"Standard"),TabRFR[[#Headers],[2021]:[2025]],0)),"Très Modeste",IF(V111&lt;=INDEX(TabRFR[[2021]:[2025]],MATCH(BD!U111&amp;"-modestes",TabRFR[Recherche RFR],0),MATCH(TEXT(YEAR(BD!D111),"Standard"),TabRFR[[#Headers],[2021]:[2025]],0)),"Modeste",IF(V111&lt;=INDEX(TabRFR[[2021]:[2025]],MATCH(BD!U111&amp;"-Intermédiaire",TabRFR[Recherche RFR],0),MATCH(TEXT(YEAR(BD!D111),"Standard"),TabRFR[[#Headers],[2021]:[2025]],0)),"Intermédiaire","Supérieur")))))),IF(D111="","",IF(U111+V111&lt;15,"Données Nb pers ou RFR manquantes",IF(COUNTA(INDIRECT("TabRFR["&amp;YEAR(H111)&amp;"]"))&lt;&gt;COUNTA(TabRFR[Recherche RFR]),"Data RFR manquantes", IF(V111&lt;=INDEX(TabRFR[[2021]:[2025]],MATCH(BD!U111&amp;"-Très modestes",TabRFR[Recherche RFR],0),MATCH(TEXT(YEAR(BD!H111),"Standard"),TabRFR[[#Headers],[2021]:[2025]],0)),"Très Modeste",IF(V111&lt;=INDEX(TabRFR[[2021]:[2025]],MATCH(BD!U111&amp;"-modestes",TabRFR[Recherche RFR],0),MATCH(TEXT(YEAR(BD!H111),"Standard"),TabRFR[[#Headers],[2021]:[2025]],0)),"Modeste",IF(V111&lt;=INDEX(TabRFR[[2021]:[2025]],MATCH(BD!U111&amp;"-Intermédiaire",TabRFR[Recherche RFR],0),MATCH(TEXT(YEAR(BD!H111),"Standard"),TabRFR[[#Headers],[2021]:[2025]],0)),"Intermédiaire","Supérieur")))))))</f>
        <v>Supérieur</v>
      </c>
      <c r="X111" s="143"/>
      <c r="Y111" s="143" t="s">
        <v>637</v>
      </c>
      <c r="Z111" s="143">
        <v>38210</v>
      </c>
      <c r="AA111" s="143" t="s">
        <v>202</v>
      </c>
      <c r="AB111" s="148"/>
      <c r="AC111" s="149"/>
      <c r="AD111" s="143" t="s">
        <v>91</v>
      </c>
      <c r="AE111" s="143" t="s">
        <v>76</v>
      </c>
      <c r="AF111" s="143" t="s">
        <v>76</v>
      </c>
      <c r="AG111" s="143" t="s">
        <v>76</v>
      </c>
      <c r="AH111" s="143" t="s">
        <v>76</v>
      </c>
      <c r="AI111" s="135" t="s">
        <v>285</v>
      </c>
      <c r="AJ111" s="143" t="s">
        <v>108</v>
      </c>
      <c r="AK111" s="143" t="s">
        <v>286</v>
      </c>
      <c r="AL111" s="150" t="s">
        <v>287</v>
      </c>
      <c r="AM111" s="148">
        <v>476069938</v>
      </c>
      <c r="AN111" s="143" t="s">
        <v>76</v>
      </c>
      <c r="AO111" s="150" t="s">
        <v>102</v>
      </c>
      <c r="AP111" s="147">
        <v>44457</v>
      </c>
      <c r="AQ111" s="135" t="s">
        <v>3496</v>
      </c>
      <c r="AR111" s="143">
        <v>1990</v>
      </c>
      <c r="AS111" s="143" t="s">
        <v>3413</v>
      </c>
      <c r="AT111" s="143" t="s">
        <v>98</v>
      </c>
      <c r="AU111" s="143" t="s">
        <v>99</v>
      </c>
      <c r="AV111" s="143" t="s">
        <v>638</v>
      </c>
      <c r="AW111" s="143">
        <v>11</v>
      </c>
      <c r="AX111" s="143">
        <v>12</v>
      </c>
      <c r="AY111" s="143">
        <v>88.5</v>
      </c>
      <c r="AZ111" s="143">
        <v>7.0000000000000001E-3</v>
      </c>
      <c r="BA111" s="143" t="s">
        <v>101</v>
      </c>
      <c r="BB111" s="143"/>
      <c r="BC111" s="143">
        <f>1890+3390+375+470+250</f>
        <v>6375</v>
      </c>
      <c r="BD111" s="143"/>
      <c r="BE111" s="143">
        <f>690+390+450+450</f>
        <v>1980</v>
      </c>
      <c r="BF111" s="143">
        <f t="shared" si="3"/>
        <v>8355</v>
      </c>
      <c r="BG111" s="143">
        <f t="shared" si="4"/>
        <v>459.52499999999998</v>
      </c>
      <c r="BH111" s="143">
        <f t="shared" si="5"/>
        <v>8814.5249999999996</v>
      </c>
      <c r="BI111" s="151">
        <v>8814.5300000000007</v>
      </c>
      <c r="BJ111" s="143" t="s">
        <v>115</v>
      </c>
      <c r="BK111" s="143"/>
      <c r="BL111" s="143"/>
      <c r="BM111" s="144" t="s">
        <v>3592</v>
      </c>
      <c r="BN111" s="144" t="s">
        <v>103</v>
      </c>
      <c r="BO111" s="144" t="s">
        <v>143</v>
      </c>
      <c r="BP111" s="143" t="s">
        <v>3583</v>
      </c>
      <c r="BQ111" s="203" t="s">
        <v>3274</v>
      </c>
    </row>
    <row r="112" spans="1:69" ht="41.1" customHeight="1">
      <c r="A112" s="133" t="s">
        <v>86</v>
      </c>
      <c r="B112" s="133" t="s">
        <v>639</v>
      </c>
      <c r="C112" s="143">
        <v>600</v>
      </c>
      <c r="D112" s="135">
        <v>44223</v>
      </c>
      <c r="E112" s="135">
        <v>44224</v>
      </c>
      <c r="F112" s="147" t="s">
        <v>76</v>
      </c>
      <c r="G112" s="135" t="s">
        <v>76</v>
      </c>
      <c r="H112" s="147">
        <v>44224</v>
      </c>
      <c r="I112" s="147">
        <v>44224</v>
      </c>
      <c r="J112" s="147">
        <v>44231</v>
      </c>
      <c r="K112" s="135">
        <v>44354</v>
      </c>
      <c r="L112" s="135">
        <v>44344</v>
      </c>
      <c r="M112" s="135" t="s">
        <v>76</v>
      </c>
      <c r="N112" s="135">
        <v>44355</v>
      </c>
      <c r="O112" s="135">
        <v>44355</v>
      </c>
      <c r="P112" s="135">
        <v>44378</v>
      </c>
      <c r="Q112" s="135"/>
      <c r="R112" s="143"/>
      <c r="S112" s="143"/>
      <c r="T112" s="143"/>
      <c r="U112" s="143">
        <v>2</v>
      </c>
      <c r="V112" s="143">
        <v>91184</v>
      </c>
      <c r="W112" s="143" t="str">
        <f ca="1">IF(H112="",IF(D112="","",IF(U112+V112&lt;15,"Données Nb pers ou RFR manquantes",IF(COUNTA(INDIRECT("TabRFR["&amp;YEAR(D112)&amp;"]"))&lt;&gt;COUNTA(TabRFR[Recherche RFR]),"Data RFR manquantes", IF(V112&lt;=INDEX(TabRFR[[2021]:[2025]],MATCH(BD!U112&amp;"-Très modestes",TabRFR[Recherche RFR],0),MATCH(TEXT(YEAR(BD!D112),"Standard"),TabRFR[[#Headers],[2021]:[2025]],0)),"Très Modeste",IF(V112&lt;=INDEX(TabRFR[[2021]:[2025]],MATCH(BD!U112&amp;"-modestes",TabRFR[Recherche RFR],0),MATCH(TEXT(YEAR(BD!D112),"Standard"),TabRFR[[#Headers],[2021]:[2025]],0)),"Modeste",IF(V112&lt;=INDEX(TabRFR[[2021]:[2025]],MATCH(BD!U112&amp;"-Intermédiaire",TabRFR[Recherche RFR],0),MATCH(TEXT(YEAR(BD!D112),"Standard"),TabRFR[[#Headers],[2021]:[2025]],0)),"Intermédiaire","Supérieur")))))),IF(D112="","",IF(U112+V112&lt;15,"Données Nb pers ou RFR manquantes",IF(COUNTA(INDIRECT("TabRFR["&amp;YEAR(H112)&amp;"]"))&lt;&gt;COUNTA(TabRFR[Recherche RFR]),"Data RFR manquantes", IF(V112&lt;=INDEX(TabRFR[[2021]:[2025]],MATCH(BD!U112&amp;"-Très modestes",TabRFR[Recherche RFR],0),MATCH(TEXT(YEAR(BD!H112),"Standard"),TabRFR[[#Headers],[2021]:[2025]],0)),"Très Modeste",IF(V112&lt;=INDEX(TabRFR[[2021]:[2025]],MATCH(BD!U112&amp;"-modestes",TabRFR[Recherche RFR],0),MATCH(TEXT(YEAR(BD!H112),"Standard"),TabRFR[[#Headers],[2021]:[2025]],0)),"Modeste",IF(V112&lt;=INDEX(TabRFR[[2021]:[2025]],MATCH(BD!U112&amp;"-Intermédiaire",TabRFR[Recherche RFR],0),MATCH(TEXT(YEAR(BD!H112),"Standard"),TabRFR[[#Headers],[2021]:[2025]],0)),"Intermédiaire","Supérieur")))))))</f>
        <v>Supérieur</v>
      </c>
      <c r="X112" s="143"/>
      <c r="Y112" s="143" t="s">
        <v>640</v>
      </c>
      <c r="Z112" s="143">
        <v>38430</v>
      </c>
      <c r="AA112" s="143" t="s">
        <v>119</v>
      </c>
      <c r="AB112" s="148"/>
      <c r="AC112" s="149"/>
      <c r="AD112" s="143" t="s">
        <v>91</v>
      </c>
      <c r="AE112" s="143" t="s">
        <v>76</v>
      </c>
      <c r="AF112" s="143" t="s">
        <v>76</v>
      </c>
      <c r="AG112" s="143" t="s">
        <v>76</v>
      </c>
      <c r="AH112" s="143" t="s">
        <v>76</v>
      </c>
      <c r="AI112" s="143" t="s">
        <v>250</v>
      </c>
      <c r="AJ112" s="143" t="s">
        <v>121</v>
      </c>
      <c r="AK112" s="143" t="s">
        <v>251</v>
      </c>
      <c r="AL112" s="150" t="s">
        <v>252</v>
      </c>
      <c r="AM112" s="148">
        <v>476452433</v>
      </c>
      <c r="AN112" s="143" t="s">
        <v>76</v>
      </c>
      <c r="AO112" s="150" t="s">
        <v>102</v>
      </c>
      <c r="AP112" s="147">
        <v>44620</v>
      </c>
      <c r="AQ112" s="135" t="s">
        <v>3496</v>
      </c>
      <c r="AR112" s="143" t="s">
        <v>172</v>
      </c>
      <c r="AS112" s="143" t="s">
        <v>3413</v>
      </c>
      <c r="AT112" s="143" t="s">
        <v>98</v>
      </c>
      <c r="AU112" s="143" t="s">
        <v>311</v>
      </c>
      <c r="AV112" s="143" t="s">
        <v>641</v>
      </c>
      <c r="AW112" s="143">
        <v>14.4</v>
      </c>
      <c r="AX112" s="143">
        <v>8.25</v>
      </c>
      <c r="AY112" s="143">
        <v>92</v>
      </c>
      <c r="AZ112" s="143">
        <v>4.0000000000000001E-3</v>
      </c>
      <c r="BA112" s="143" t="s">
        <v>126</v>
      </c>
      <c r="BB112" s="143"/>
      <c r="BC112" s="143">
        <f>3375+200+595.43+218.45+87.66+69.78</f>
        <v>4546.32</v>
      </c>
      <c r="BD112" s="143"/>
      <c r="BE112" s="143">
        <f>450+400</f>
        <v>850</v>
      </c>
      <c r="BF112" s="143">
        <f t="shared" si="3"/>
        <v>5396.32</v>
      </c>
      <c r="BG112" s="151">
        <f t="shared" si="4"/>
        <v>296.79759999999999</v>
      </c>
      <c r="BH112" s="151">
        <f t="shared" si="5"/>
        <v>5693.1175999999996</v>
      </c>
      <c r="BI112" s="151">
        <v>5334.42</v>
      </c>
      <c r="BJ112" s="143" t="s">
        <v>115</v>
      </c>
      <c r="BK112" s="143"/>
      <c r="BL112" s="143"/>
      <c r="BM112" s="144" t="s">
        <v>3592</v>
      </c>
      <c r="BN112" s="144" t="s">
        <v>103</v>
      </c>
      <c r="BO112" s="144" t="s">
        <v>143</v>
      </c>
      <c r="BP112" s="143" t="s">
        <v>3583</v>
      </c>
      <c r="BQ112" s="203" t="s">
        <v>3274</v>
      </c>
    </row>
    <row r="113" spans="1:69" ht="41.1" customHeight="1">
      <c r="A113" s="133" t="s">
        <v>86</v>
      </c>
      <c r="B113" s="133" t="s">
        <v>642</v>
      </c>
      <c r="C113" s="143">
        <v>1000</v>
      </c>
      <c r="D113" s="135">
        <v>44225</v>
      </c>
      <c r="E113" s="135">
        <v>44229</v>
      </c>
      <c r="F113" s="147">
        <v>44229</v>
      </c>
      <c r="G113" s="135" t="s">
        <v>643</v>
      </c>
      <c r="H113" s="147">
        <v>44229</v>
      </c>
      <c r="I113" s="147">
        <v>44229</v>
      </c>
      <c r="J113" s="147">
        <v>44231</v>
      </c>
      <c r="K113" s="135">
        <v>44347</v>
      </c>
      <c r="L113" s="135">
        <v>44329</v>
      </c>
      <c r="M113" s="135" t="s">
        <v>76</v>
      </c>
      <c r="N113" s="135">
        <v>44347</v>
      </c>
      <c r="O113" s="135">
        <v>44347</v>
      </c>
      <c r="P113" s="135">
        <v>44372</v>
      </c>
      <c r="Q113" s="135"/>
      <c r="R113" s="143"/>
      <c r="S113" s="143"/>
      <c r="T113" s="143"/>
      <c r="U113" s="143">
        <v>5</v>
      </c>
      <c r="V113" s="143">
        <v>34763</v>
      </c>
      <c r="W113" s="143" t="str">
        <f ca="1">IF(H113="",IF(D113="","",IF(U113+V113&lt;15,"Données Nb pers ou RFR manquantes",IF(COUNTA(INDIRECT("TabRFR["&amp;YEAR(D113)&amp;"]"))&lt;&gt;COUNTA(TabRFR[Recherche RFR]),"Data RFR manquantes", IF(V113&lt;=INDEX(TabRFR[[2021]:[2025]],MATCH(BD!U113&amp;"-Très modestes",TabRFR[Recherche RFR],0),MATCH(TEXT(YEAR(BD!D113),"Standard"),TabRFR[[#Headers],[2021]:[2025]],0)),"Très Modeste",IF(V113&lt;=INDEX(TabRFR[[2021]:[2025]],MATCH(BD!U113&amp;"-modestes",TabRFR[Recherche RFR],0),MATCH(TEXT(YEAR(BD!D113),"Standard"),TabRFR[[#Headers],[2021]:[2025]],0)),"Modeste",IF(V113&lt;=INDEX(TabRFR[[2021]:[2025]],MATCH(BD!U113&amp;"-Intermédiaire",TabRFR[Recherche RFR],0),MATCH(TEXT(YEAR(BD!D113),"Standard"),TabRFR[[#Headers],[2021]:[2025]],0)),"Intermédiaire","Supérieur")))))),IF(D113="","",IF(U113+V113&lt;15,"Données Nb pers ou RFR manquantes",IF(COUNTA(INDIRECT("TabRFR["&amp;YEAR(H113)&amp;"]"))&lt;&gt;COUNTA(TabRFR[Recherche RFR]),"Data RFR manquantes", IF(V113&lt;=INDEX(TabRFR[[2021]:[2025]],MATCH(BD!U113&amp;"-Très modestes",TabRFR[Recherche RFR],0),MATCH(TEXT(YEAR(BD!H113),"Standard"),TabRFR[[#Headers],[2021]:[2025]],0)),"Très Modeste",IF(V113&lt;=INDEX(TabRFR[[2021]:[2025]],MATCH(BD!U113&amp;"-modestes",TabRFR[Recherche RFR],0),MATCH(TEXT(YEAR(BD!H113),"Standard"),TabRFR[[#Headers],[2021]:[2025]],0)),"Modeste",IF(V113&lt;=INDEX(TabRFR[[2021]:[2025]],MATCH(BD!U113&amp;"-Intermédiaire",TabRFR[Recherche RFR],0),MATCH(TEXT(YEAR(BD!H113),"Standard"),TabRFR[[#Headers],[2021]:[2025]],0)),"Intermédiaire","Supérieur")))))))</f>
        <v>Très Modeste</v>
      </c>
      <c r="X113" s="143"/>
      <c r="Y113" s="143" t="s">
        <v>644</v>
      </c>
      <c r="Z113" s="143">
        <v>38430</v>
      </c>
      <c r="AA113" s="143" t="s">
        <v>119</v>
      </c>
      <c r="AB113" s="148"/>
      <c r="AC113" s="149"/>
      <c r="AD113" s="143" t="s">
        <v>91</v>
      </c>
      <c r="AE113" s="143" t="s">
        <v>76</v>
      </c>
      <c r="AF113" s="143" t="s">
        <v>76</v>
      </c>
      <c r="AG113" s="143" t="s">
        <v>76</v>
      </c>
      <c r="AH113" s="143" t="s">
        <v>76</v>
      </c>
      <c r="AI113" s="143" t="s">
        <v>169</v>
      </c>
      <c r="AJ113" s="143" t="s">
        <v>119</v>
      </c>
      <c r="AK113" s="143" t="s">
        <v>170</v>
      </c>
      <c r="AL113" s="149" t="s">
        <v>171</v>
      </c>
      <c r="AM113" s="148">
        <v>476355605</v>
      </c>
      <c r="AN113" s="143" t="s">
        <v>76</v>
      </c>
      <c r="AO113" s="150" t="s">
        <v>102</v>
      </c>
      <c r="AP113" s="147">
        <v>44495</v>
      </c>
      <c r="AQ113" s="135" t="s">
        <v>3496</v>
      </c>
      <c r="AR113" s="143">
        <v>2000</v>
      </c>
      <c r="AS113" s="143" t="s">
        <v>3413</v>
      </c>
      <c r="AT113" s="135" t="s">
        <v>3446</v>
      </c>
      <c r="AU113" s="143" t="s">
        <v>173</v>
      </c>
      <c r="AV113" s="143" t="s">
        <v>373</v>
      </c>
      <c r="AW113" s="143">
        <v>31</v>
      </c>
      <c r="AX113" s="143">
        <v>6</v>
      </c>
      <c r="AY113" s="143">
        <v>80</v>
      </c>
      <c r="AZ113" s="143">
        <v>0.08</v>
      </c>
      <c r="BA113" s="143" t="s">
        <v>101</v>
      </c>
      <c r="BB113" s="143"/>
      <c r="BC113" s="143">
        <f>420+24.5+41.4+47.54+74+1900+218+89.6+33.54</f>
        <v>2848.58</v>
      </c>
      <c r="BD113" s="143"/>
      <c r="BE113" s="143">
        <f>350+425</f>
        <v>775</v>
      </c>
      <c r="BF113" s="143">
        <f t="shared" si="3"/>
        <v>3623.58</v>
      </c>
      <c r="BG113" s="151">
        <f t="shared" si="4"/>
        <v>199.29689999999999</v>
      </c>
      <c r="BH113" s="151">
        <f t="shared" si="5"/>
        <v>3822.8768999999998</v>
      </c>
      <c r="BI113" s="151">
        <v>3822.88</v>
      </c>
      <c r="BJ113" s="143" t="s">
        <v>115</v>
      </c>
      <c r="BK113" s="143"/>
      <c r="BL113" s="143"/>
      <c r="BM113" s="144" t="s">
        <v>3592</v>
      </c>
      <c r="BN113" s="144" t="s">
        <v>103</v>
      </c>
      <c r="BO113" s="135" t="s">
        <v>155</v>
      </c>
      <c r="BP113" s="144">
        <v>2021</v>
      </c>
      <c r="BQ113" s="203" t="s">
        <v>3274</v>
      </c>
    </row>
    <row r="114" spans="1:69" ht="41.1" customHeight="1">
      <c r="A114" s="133" t="s">
        <v>86</v>
      </c>
      <c r="B114" s="133" t="s">
        <v>645</v>
      </c>
      <c r="C114" s="143">
        <v>600</v>
      </c>
      <c r="D114" s="135">
        <v>44225</v>
      </c>
      <c r="E114" s="135">
        <v>44229</v>
      </c>
      <c r="F114" s="147">
        <v>44229</v>
      </c>
      <c r="G114" s="135" t="s">
        <v>646</v>
      </c>
      <c r="H114" s="147">
        <v>44236</v>
      </c>
      <c r="I114" s="147">
        <v>44236</v>
      </c>
      <c r="J114" s="147">
        <v>44243</v>
      </c>
      <c r="K114" s="135">
        <v>44307</v>
      </c>
      <c r="L114" s="135">
        <v>44260</v>
      </c>
      <c r="M114" s="135" t="s">
        <v>76</v>
      </c>
      <c r="N114" s="135">
        <v>44308</v>
      </c>
      <c r="O114" s="135">
        <v>44308</v>
      </c>
      <c r="P114" s="135">
        <v>44328</v>
      </c>
      <c r="Q114" s="135"/>
      <c r="R114" s="143"/>
      <c r="S114" s="143"/>
      <c r="T114" s="143"/>
      <c r="U114" s="143">
        <v>1</v>
      </c>
      <c r="V114" s="143">
        <v>54543</v>
      </c>
      <c r="W114" s="143" t="str">
        <f ca="1">IF(H114="",IF(D114="","",IF(U114+V114&lt;15,"Données Nb pers ou RFR manquantes",IF(COUNTA(INDIRECT("TabRFR["&amp;YEAR(D114)&amp;"]"))&lt;&gt;COUNTA(TabRFR[Recherche RFR]),"Data RFR manquantes", IF(V114&lt;=INDEX(TabRFR[[2021]:[2025]],MATCH(BD!U114&amp;"-Très modestes",TabRFR[Recherche RFR],0),MATCH(TEXT(YEAR(BD!D114),"Standard"),TabRFR[[#Headers],[2021]:[2025]],0)),"Très Modeste",IF(V114&lt;=INDEX(TabRFR[[2021]:[2025]],MATCH(BD!U114&amp;"-modestes",TabRFR[Recherche RFR],0),MATCH(TEXT(YEAR(BD!D114),"Standard"),TabRFR[[#Headers],[2021]:[2025]],0)),"Modeste",IF(V114&lt;=INDEX(TabRFR[[2021]:[2025]],MATCH(BD!U114&amp;"-Intermédiaire",TabRFR[Recherche RFR],0),MATCH(TEXT(YEAR(BD!D114),"Standard"),TabRFR[[#Headers],[2021]:[2025]],0)),"Intermédiaire","Supérieur")))))),IF(D114="","",IF(U114+V114&lt;15,"Données Nb pers ou RFR manquantes",IF(COUNTA(INDIRECT("TabRFR["&amp;YEAR(H114)&amp;"]"))&lt;&gt;COUNTA(TabRFR[Recherche RFR]),"Data RFR manquantes", IF(V114&lt;=INDEX(TabRFR[[2021]:[2025]],MATCH(BD!U114&amp;"-Très modestes",TabRFR[Recherche RFR],0),MATCH(TEXT(YEAR(BD!H114),"Standard"),TabRFR[[#Headers],[2021]:[2025]],0)),"Très Modeste",IF(V114&lt;=INDEX(TabRFR[[2021]:[2025]],MATCH(BD!U114&amp;"-modestes",TabRFR[Recherche RFR],0),MATCH(TEXT(YEAR(BD!H114),"Standard"),TabRFR[[#Headers],[2021]:[2025]],0)),"Modeste",IF(V114&lt;=INDEX(TabRFR[[2021]:[2025]],MATCH(BD!U114&amp;"-Intermédiaire",TabRFR[Recherche RFR],0),MATCH(TEXT(YEAR(BD!H114),"Standard"),TabRFR[[#Headers],[2021]:[2025]],0)),"Intermédiaire","Supérieur")))))))</f>
        <v>Supérieur</v>
      </c>
      <c r="X114" s="143"/>
      <c r="Y114" s="143" t="s">
        <v>647</v>
      </c>
      <c r="Z114" s="143">
        <v>38850</v>
      </c>
      <c r="AA114" s="143" t="s">
        <v>148</v>
      </c>
      <c r="AB114" s="148"/>
      <c r="AC114" s="149"/>
      <c r="AD114" s="143" t="s">
        <v>91</v>
      </c>
      <c r="AE114" s="143" t="s">
        <v>76</v>
      </c>
      <c r="AF114" s="143" t="s">
        <v>76</v>
      </c>
      <c r="AG114" s="143" t="s">
        <v>76</v>
      </c>
      <c r="AH114" s="143" t="s">
        <v>76</v>
      </c>
      <c r="AI114" s="143" t="s">
        <v>352</v>
      </c>
      <c r="AJ114" s="143" t="s">
        <v>353</v>
      </c>
      <c r="AK114" s="143" t="s">
        <v>354</v>
      </c>
      <c r="AL114" s="150" t="s">
        <v>355</v>
      </c>
      <c r="AM114" s="148">
        <v>478900404</v>
      </c>
      <c r="AN114" s="143" t="s">
        <v>76</v>
      </c>
      <c r="AO114" s="150" t="s">
        <v>102</v>
      </c>
      <c r="AP114" s="147">
        <v>44265</v>
      </c>
      <c r="AQ114" s="135" t="s">
        <v>3496</v>
      </c>
      <c r="AR114" s="143">
        <v>1970</v>
      </c>
      <c r="AS114" s="143" t="s">
        <v>3413</v>
      </c>
      <c r="AT114" s="135" t="s">
        <v>3446</v>
      </c>
      <c r="AU114" s="143" t="s">
        <v>459</v>
      </c>
      <c r="AV114" s="143" t="s">
        <v>648</v>
      </c>
      <c r="AW114" s="143">
        <v>18</v>
      </c>
      <c r="AX114" s="143">
        <v>4.9000000000000004</v>
      </c>
      <c r="AY114" s="143">
        <v>78</v>
      </c>
      <c r="AZ114" s="143">
        <v>0.09</v>
      </c>
      <c r="BA114" s="143" t="s">
        <v>101</v>
      </c>
      <c r="BB114" s="143"/>
      <c r="BC114" s="143">
        <f>2248.34+278.72+640.04+104.27+85.31</f>
        <v>3356.6800000000003</v>
      </c>
      <c r="BD114" s="143"/>
      <c r="BE114" s="143">
        <f>624.36</f>
        <v>624.36</v>
      </c>
      <c r="BF114" s="143">
        <f t="shared" si="3"/>
        <v>3981.0400000000004</v>
      </c>
      <c r="BG114" s="151">
        <f t="shared" si="4"/>
        <v>218.95720000000003</v>
      </c>
      <c r="BH114" s="151">
        <f t="shared" si="5"/>
        <v>4199.9972000000007</v>
      </c>
      <c r="BI114" s="151">
        <v>4200</v>
      </c>
      <c r="BJ114" s="143" t="s">
        <v>115</v>
      </c>
      <c r="BK114" s="143"/>
      <c r="BL114" s="143"/>
      <c r="BM114" s="144" t="s">
        <v>3592</v>
      </c>
      <c r="BN114" s="144" t="s">
        <v>103</v>
      </c>
      <c r="BO114" s="144" t="s">
        <v>143</v>
      </c>
      <c r="BP114" s="144">
        <v>2021</v>
      </c>
      <c r="BQ114" s="203" t="s">
        <v>3274</v>
      </c>
    </row>
    <row r="115" spans="1:69" ht="41.1" customHeight="1">
      <c r="A115" s="145" t="s">
        <v>86</v>
      </c>
      <c r="B115" s="145" t="s">
        <v>649</v>
      </c>
      <c r="C115" s="146" t="s">
        <v>76</v>
      </c>
      <c r="D115" s="135">
        <v>44235</v>
      </c>
      <c r="E115" s="135">
        <v>44236</v>
      </c>
      <c r="F115" s="147">
        <v>44236</v>
      </c>
      <c r="G115" s="135" t="s">
        <v>650</v>
      </c>
      <c r="H115" s="147" t="s">
        <v>76</v>
      </c>
      <c r="I115" s="147" t="s">
        <v>76</v>
      </c>
      <c r="J115" s="147" t="s">
        <v>76</v>
      </c>
      <c r="K115" s="135" t="s">
        <v>76</v>
      </c>
      <c r="L115" s="135" t="s">
        <v>76</v>
      </c>
      <c r="M115" s="135" t="s">
        <v>76</v>
      </c>
      <c r="N115" s="135" t="s">
        <v>76</v>
      </c>
      <c r="O115" s="135" t="s">
        <v>76</v>
      </c>
      <c r="P115" s="135" t="s">
        <v>76</v>
      </c>
      <c r="Q115" s="135">
        <v>44424</v>
      </c>
      <c r="R115" s="143" t="s">
        <v>177</v>
      </c>
      <c r="S115" s="143"/>
      <c r="T115" s="143"/>
      <c r="U115" s="143">
        <v>5</v>
      </c>
      <c r="V115" s="143">
        <v>117003</v>
      </c>
      <c r="W115" s="143" t="str">
        <f ca="1">IF(H115="",IF(D115="","",IF(U115+V115&lt;15,"Données Nb pers ou RFR manquantes",IF(COUNTA(INDIRECT("TabRFR["&amp;YEAR(D115)&amp;"]"))&lt;&gt;COUNTA(TabRFR[Recherche RFR]),"Data RFR manquantes", IF(V115&lt;=INDEX(TabRFR[[2021]:[2025]],MATCH(BD!U115&amp;"-Très modestes",TabRFR[Recherche RFR],0),MATCH(TEXT(YEAR(BD!D115),"Standard"),TabRFR[[#Headers],[2021]:[2025]],0)),"Très Modeste",IF(V115&lt;=INDEX(TabRFR[[2021]:[2025]],MATCH(BD!U115&amp;"-modestes",TabRFR[Recherche RFR],0),MATCH(TEXT(YEAR(BD!D115),"Standard"),TabRFR[[#Headers],[2021]:[2025]],0)),"Modeste",IF(V115&lt;=INDEX(TabRFR[[2021]:[2025]],MATCH(BD!U115&amp;"-Intermédiaire",TabRFR[Recherche RFR],0),MATCH(TEXT(YEAR(BD!D115),"Standard"),TabRFR[[#Headers],[2021]:[2025]],0)),"Intermédiaire","Supérieur")))))),IF(D115="","",IF(U115+V115&lt;15,"Données Nb pers ou RFR manquantes",IF(COUNTA(INDIRECT("TabRFR["&amp;YEAR(H115)&amp;"]"))&lt;&gt;COUNTA(TabRFR[Recherche RFR]),"Data RFR manquantes", IF(V115&lt;=INDEX(TabRFR[[2021]:[2025]],MATCH(BD!U115&amp;"-Très modestes",TabRFR[Recherche RFR],0),MATCH(TEXT(YEAR(BD!H115),"Standard"),TabRFR[[#Headers],[2021]:[2025]],0)),"Très Modeste",IF(V115&lt;=INDEX(TabRFR[[2021]:[2025]],MATCH(BD!U115&amp;"-modestes",TabRFR[Recherche RFR],0),MATCH(TEXT(YEAR(BD!H115),"Standard"),TabRFR[[#Headers],[2021]:[2025]],0)),"Modeste",IF(V115&lt;=INDEX(TabRFR[[2021]:[2025]],MATCH(BD!U115&amp;"-Intermédiaire",TabRFR[Recherche RFR],0),MATCH(TEXT(YEAR(BD!H115),"Standard"),TabRFR[[#Headers],[2021]:[2025]],0)),"Intermédiaire","Supérieur")))))))</f>
        <v>Data RFR manquantes</v>
      </c>
      <c r="X115" s="143"/>
      <c r="Y115" s="143" t="s">
        <v>651</v>
      </c>
      <c r="Z115" s="143">
        <v>38340</v>
      </c>
      <c r="AA115" s="143" t="s">
        <v>266</v>
      </c>
      <c r="AB115" s="148"/>
      <c r="AC115" s="149"/>
      <c r="AD115" s="143" t="s">
        <v>91</v>
      </c>
      <c r="AE115" s="143" t="s">
        <v>76</v>
      </c>
      <c r="AF115" s="143" t="s">
        <v>76</v>
      </c>
      <c r="AG115" s="143" t="s">
        <v>76</v>
      </c>
      <c r="AH115" s="143" t="s">
        <v>76</v>
      </c>
      <c r="AI115" s="143" t="s">
        <v>120</v>
      </c>
      <c r="AJ115" s="143" t="s">
        <v>121</v>
      </c>
      <c r="AK115" s="143" t="s">
        <v>122</v>
      </c>
      <c r="AL115" s="150" t="s">
        <v>123</v>
      </c>
      <c r="AM115" s="148">
        <v>608287337</v>
      </c>
      <c r="AN115" s="143" t="s">
        <v>76</v>
      </c>
      <c r="AO115" s="150" t="s">
        <v>102</v>
      </c>
      <c r="AP115" s="147">
        <v>44417</v>
      </c>
      <c r="AQ115" s="143" t="s">
        <v>3413</v>
      </c>
      <c r="AR115" s="143" t="s">
        <v>172</v>
      </c>
      <c r="AS115" s="143" t="s">
        <v>3413</v>
      </c>
      <c r="AT115" s="135" t="s">
        <v>3446</v>
      </c>
      <c r="AU115" s="143" t="s">
        <v>476</v>
      </c>
      <c r="AV115" s="143" t="s">
        <v>477</v>
      </c>
      <c r="AW115" s="143">
        <v>39</v>
      </c>
      <c r="AX115" s="143">
        <v>7</v>
      </c>
      <c r="AY115" s="143">
        <v>75</v>
      </c>
      <c r="AZ115" s="143">
        <v>0.09</v>
      </c>
      <c r="BA115" s="143" t="s">
        <v>115</v>
      </c>
      <c r="BB115" s="143"/>
      <c r="BC115" s="143">
        <f>2662+1840+274+150</f>
        <v>4926</v>
      </c>
      <c r="BD115" s="143"/>
      <c r="BE115" s="143">
        <f>330+600</f>
        <v>930</v>
      </c>
      <c r="BF115" s="143">
        <f t="shared" si="3"/>
        <v>5856</v>
      </c>
      <c r="BG115" s="151">
        <f t="shared" si="4"/>
        <v>322.08</v>
      </c>
      <c r="BH115" s="151">
        <f t="shared" si="5"/>
        <v>6178.08</v>
      </c>
      <c r="BI115" s="151">
        <v>5893</v>
      </c>
      <c r="BJ115" s="143" t="s">
        <v>102</v>
      </c>
      <c r="BK115" s="143"/>
      <c r="BL115" s="143"/>
      <c r="BM115" s="144">
        <v>0</v>
      </c>
      <c r="BN115" s="144" t="s">
        <v>103</v>
      </c>
      <c r="BO115" s="144" t="s">
        <v>103</v>
      </c>
      <c r="BP115" s="203" t="s">
        <v>3582</v>
      </c>
      <c r="BQ115" s="203" t="s">
        <v>3273</v>
      </c>
    </row>
    <row r="116" spans="1:69" ht="41.1" customHeight="1">
      <c r="A116" s="133" t="s">
        <v>86</v>
      </c>
      <c r="B116" s="133" t="s">
        <v>652</v>
      </c>
      <c r="C116" s="143">
        <v>1000</v>
      </c>
      <c r="D116" s="135">
        <v>44235</v>
      </c>
      <c r="E116" s="135">
        <v>44236</v>
      </c>
      <c r="F116" s="147">
        <v>44236</v>
      </c>
      <c r="G116" s="135" t="s">
        <v>653</v>
      </c>
      <c r="H116" s="147">
        <v>44236</v>
      </c>
      <c r="I116" s="147">
        <v>44236</v>
      </c>
      <c r="J116" s="147">
        <v>44243</v>
      </c>
      <c r="K116" s="135">
        <v>44309</v>
      </c>
      <c r="L116" s="135">
        <v>44305</v>
      </c>
      <c r="M116" s="135" t="s">
        <v>654</v>
      </c>
      <c r="N116" s="135">
        <v>44319</v>
      </c>
      <c r="O116" s="135">
        <v>44319</v>
      </c>
      <c r="P116" s="135">
        <v>44326</v>
      </c>
      <c r="Q116" s="135"/>
      <c r="R116" s="143"/>
      <c r="S116" s="143"/>
      <c r="T116" s="143"/>
      <c r="U116" s="143">
        <v>4</v>
      </c>
      <c r="V116" s="143">
        <v>34556</v>
      </c>
      <c r="W116" s="143" t="str">
        <f ca="1">IF(H116="",IF(D116="","",IF(U116+V116&lt;15,"Données Nb pers ou RFR manquantes",IF(COUNTA(INDIRECT("TabRFR["&amp;YEAR(D116)&amp;"]"))&lt;&gt;COUNTA(TabRFR[Recherche RFR]),"Data RFR manquantes", IF(V116&lt;=INDEX(TabRFR[[2021]:[2025]],MATCH(BD!U116&amp;"-Très modestes",TabRFR[Recherche RFR],0),MATCH(TEXT(YEAR(BD!D116),"Standard"),TabRFR[[#Headers],[2021]:[2025]],0)),"Très Modeste",IF(V116&lt;=INDEX(TabRFR[[2021]:[2025]],MATCH(BD!U116&amp;"-modestes",TabRFR[Recherche RFR],0),MATCH(TEXT(YEAR(BD!D116),"Standard"),TabRFR[[#Headers],[2021]:[2025]],0)),"Modeste",IF(V116&lt;=INDEX(TabRFR[[2021]:[2025]],MATCH(BD!U116&amp;"-Intermédiaire",TabRFR[Recherche RFR],0),MATCH(TEXT(YEAR(BD!D116),"Standard"),TabRFR[[#Headers],[2021]:[2025]],0)),"Intermédiaire","Supérieur")))))),IF(D116="","",IF(U116+V116&lt;15,"Données Nb pers ou RFR manquantes",IF(COUNTA(INDIRECT("TabRFR["&amp;YEAR(H116)&amp;"]"))&lt;&gt;COUNTA(TabRFR[Recherche RFR]),"Data RFR manquantes", IF(V116&lt;=INDEX(TabRFR[[2021]:[2025]],MATCH(BD!U116&amp;"-Très modestes",TabRFR[Recherche RFR],0),MATCH(TEXT(YEAR(BD!H116),"Standard"),TabRFR[[#Headers],[2021]:[2025]],0)),"Très Modeste",IF(V116&lt;=INDEX(TabRFR[[2021]:[2025]],MATCH(BD!U116&amp;"-modestes",TabRFR[Recherche RFR],0),MATCH(TEXT(YEAR(BD!H116),"Standard"),TabRFR[[#Headers],[2021]:[2025]],0)),"Modeste",IF(V116&lt;=INDEX(TabRFR[[2021]:[2025]],MATCH(BD!U116&amp;"-Intermédiaire",TabRFR[Recherche RFR],0),MATCH(TEXT(YEAR(BD!H116),"Standard"),TabRFR[[#Headers],[2021]:[2025]],0)),"Intermédiaire","Supérieur")))))))</f>
        <v>Modeste</v>
      </c>
      <c r="X116" s="143"/>
      <c r="Y116" s="143" t="s">
        <v>655</v>
      </c>
      <c r="Z116" s="143">
        <v>38620</v>
      </c>
      <c r="AA116" s="143" t="s">
        <v>90</v>
      </c>
      <c r="AB116" s="148"/>
      <c r="AC116" s="149"/>
      <c r="AD116" s="143" t="s">
        <v>91</v>
      </c>
      <c r="AE116" s="143" t="s">
        <v>76</v>
      </c>
      <c r="AF116" s="143" t="s">
        <v>76</v>
      </c>
      <c r="AG116" s="143" t="s">
        <v>76</v>
      </c>
      <c r="AH116" s="143" t="s">
        <v>76</v>
      </c>
      <c r="AI116" s="135" t="s">
        <v>285</v>
      </c>
      <c r="AJ116" s="143" t="s">
        <v>108</v>
      </c>
      <c r="AK116" s="143" t="s">
        <v>286</v>
      </c>
      <c r="AL116" s="150" t="s">
        <v>287</v>
      </c>
      <c r="AM116" s="148">
        <v>476069938</v>
      </c>
      <c r="AN116" s="143" t="s">
        <v>76</v>
      </c>
      <c r="AO116" s="150" t="s">
        <v>102</v>
      </c>
      <c r="AP116" s="147">
        <v>44457</v>
      </c>
      <c r="AQ116" s="135" t="s">
        <v>3496</v>
      </c>
      <c r="AR116" s="143">
        <v>1980</v>
      </c>
      <c r="AS116" s="143" t="s">
        <v>3413</v>
      </c>
      <c r="AT116" s="138" t="s">
        <v>98</v>
      </c>
      <c r="AU116" s="143" t="s">
        <v>430</v>
      </c>
      <c r="AV116" s="143" t="s">
        <v>598</v>
      </c>
      <c r="AW116" s="143">
        <v>14.8</v>
      </c>
      <c r="AX116" s="143">
        <v>7.4</v>
      </c>
      <c r="AY116" s="143">
        <v>92.5</v>
      </c>
      <c r="AZ116" s="143">
        <v>1.2E-2</v>
      </c>
      <c r="BA116" s="143" t="s">
        <v>126</v>
      </c>
      <c r="BB116" s="143"/>
      <c r="BC116" s="143">
        <f>970+89+250+2910</f>
        <v>4219</v>
      </c>
      <c r="BD116" s="143"/>
      <c r="BE116" s="143">
        <f>450+390</f>
        <v>840</v>
      </c>
      <c r="BF116" s="143">
        <f t="shared" si="3"/>
        <v>5059</v>
      </c>
      <c r="BG116" s="143">
        <f t="shared" si="4"/>
        <v>278.245</v>
      </c>
      <c r="BH116" s="143">
        <f t="shared" si="5"/>
        <v>5337.2449999999999</v>
      </c>
      <c r="BI116" s="151">
        <v>5337.25</v>
      </c>
      <c r="BJ116" s="143" t="s">
        <v>102</v>
      </c>
      <c r="BK116" s="143"/>
      <c r="BL116" s="143"/>
      <c r="BM116" s="144" t="s">
        <v>3592</v>
      </c>
      <c r="BN116" s="144" t="s">
        <v>103</v>
      </c>
      <c r="BO116" s="135" t="s">
        <v>155</v>
      </c>
      <c r="BP116" s="143" t="s">
        <v>3583</v>
      </c>
      <c r="BQ116" s="203" t="s">
        <v>144</v>
      </c>
    </row>
    <row r="117" spans="1:69" ht="41.1" customHeight="1">
      <c r="A117" s="133" t="s">
        <v>86</v>
      </c>
      <c r="B117" s="133" t="s">
        <v>656</v>
      </c>
      <c r="C117" s="143">
        <v>600</v>
      </c>
      <c r="D117" s="135">
        <v>44239</v>
      </c>
      <c r="E117" s="135">
        <v>44242</v>
      </c>
      <c r="F117" s="147" t="s">
        <v>76</v>
      </c>
      <c r="G117" s="135" t="s">
        <v>76</v>
      </c>
      <c r="H117" s="147">
        <v>44246</v>
      </c>
      <c r="I117" s="147">
        <v>44246</v>
      </c>
      <c r="J117" s="147">
        <v>44252</v>
      </c>
      <c r="K117" s="135">
        <v>44350</v>
      </c>
      <c r="L117" s="135">
        <v>44284</v>
      </c>
      <c r="M117" s="135" t="s">
        <v>657</v>
      </c>
      <c r="N117" s="135">
        <v>44355</v>
      </c>
      <c r="O117" s="135">
        <v>44355</v>
      </c>
      <c r="P117" s="135">
        <v>44378</v>
      </c>
      <c r="Q117" s="135"/>
      <c r="R117" s="143"/>
      <c r="S117" s="143"/>
      <c r="T117" s="143"/>
      <c r="U117" s="143">
        <v>3</v>
      </c>
      <c r="V117" s="143">
        <v>52060</v>
      </c>
      <c r="W117" s="143" t="str">
        <f ca="1">IF(H117="",IF(D117="","",IF(U117+V117&lt;15,"Données Nb pers ou RFR manquantes",IF(COUNTA(INDIRECT("TabRFR["&amp;YEAR(D117)&amp;"]"))&lt;&gt;COUNTA(TabRFR[Recherche RFR]),"Data RFR manquantes", IF(V117&lt;=INDEX(TabRFR[[2021]:[2025]],MATCH(BD!U117&amp;"-Très modestes",TabRFR[Recherche RFR],0),MATCH(TEXT(YEAR(BD!D117),"Standard"),TabRFR[[#Headers],[2021]:[2025]],0)),"Très Modeste",IF(V117&lt;=INDEX(TabRFR[[2021]:[2025]],MATCH(BD!U117&amp;"-modestes",TabRFR[Recherche RFR],0),MATCH(TEXT(YEAR(BD!D117),"Standard"),TabRFR[[#Headers],[2021]:[2025]],0)),"Modeste",IF(V117&lt;=INDEX(TabRFR[[2021]:[2025]],MATCH(BD!U117&amp;"-Intermédiaire",TabRFR[Recherche RFR],0),MATCH(TEXT(YEAR(BD!D117),"Standard"),TabRFR[[#Headers],[2021]:[2025]],0)),"Intermédiaire","Supérieur")))))),IF(D117="","",IF(U117+V117&lt;15,"Données Nb pers ou RFR manquantes",IF(COUNTA(INDIRECT("TabRFR["&amp;YEAR(H117)&amp;"]"))&lt;&gt;COUNTA(TabRFR[Recherche RFR]),"Data RFR manquantes", IF(V117&lt;=INDEX(TabRFR[[2021]:[2025]],MATCH(BD!U117&amp;"-Très modestes",TabRFR[Recherche RFR],0),MATCH(TEXT(YEAR(BD!H117),"Standard"),TabRFR[[#Headers],[2021]:[2025]],0)),"Très Modeste",IF(V117&lt;=INDEX(TabRFR[[2021]:[2025]],MATCH(BD!U117&amp;"-modestes",TabRFR[Recherche RFR],0),MATCH(TEXT(YEAR(BD!H117),"Standard"),TabRFR[[#Headers],[2021]:[2025]],0)),"Modeste",IF(V117&lt;=INDEX(TabRFR[[2021]:[2025]],MATCH(BD!U117&amp;"-Intermédiaire",TabRFR[Recherche RFR],0),MATCH(TEXT(YEAR(BD!H117),"Standard"),TabRFR[[#Headers],[2021]:[2025]],0)),"Intermédiaire","Supérieur")))))))</f>
        <v>Supérieur</v>
      </c>
      <c r="X117" s="143"/>
      <c r="Y117" s="143" t="s">
        <v>658</v>
      </c>
      <c r="Z117" s="143">
        <v>38850</v>
      </c>
      <c r="AA117" s="143" t="s">
        <v>168</v>
      </c>
      <c r="AB117" s="148"/>
      <c r="AC117" s="149"/>
      <c r="AD117" s="143" t="s">
        <v>91</v>
      </c>
      <c r="AE117" s="143" t="s">
        <v>76</v>
      </c>
      <c r="AF117" s="143" t="s">
        <v>76</v>
      </c>
      <c r="AG117" s="143" t="s">
        <v>76</v>
      </c>
      <c r="AH117" s="143" t="s">
        <v>76</v>
      </c>
      <c r="AI117" s="135" t="s">
        <v>285</v>
      </c>
      <c r="AJ117" s="143" t="s">
        <v>108</v>
      </c>
      <c r="AK117" s="143" t="s">
        <v>286</v>
      </c>
      <c r="AL117" s="150" t="s">
        <v>287</v>
      </c>
      <c r="AM117" s="148">
        <v>476069938</v>
      </c>
      <c r="AN117" s="143" t="s">
        <v>76</v>
      </c>
      <c r="AO117" s="150" t="s">
        <v>102</v>
      </c>
      <c r="AP117" s="147">
        <v>44457</v>
      </c>
      <c r="AQ117" s="143" t="s">
        <v>3413</v>
      </c>
      <c r="AR117" s="143" t="s">
        <v>659</v>
      </c>
      <c r="AS117" s="143" t="s">
        <v>3413</v>
      </c>
      <c r="AT117" s="143" t="s">
        <v>98</v>
      </c>
      <c r="AU117" s="143" t="s">
        <v>430</v>
      </c>
      <c r="AV117" s="143" t="s">
        <v>598</v>
      </c>
      <c r="AW117" s="143">
        <v>14.8</v>
      </c>
      <c r="AX117" s="143">
        <v>7.4</v>
      </c>
      <c r="AY117" s="143">
        <v>92.5</v>
      </c>
      <c r="AZ117" s="143">
        <v>1.2E-2</v>
      </c>
      <c r="BA117" s="143" t="s">
        <v>126</v>
      </c>
      <c r="BB117" s="143"/>
      <c r="BC117" s="143">
        <f>1890+123.66+2690</f>
        <v>4703.66</v>
      </c>
      <c r="BD117" s="143"/>
      <c r="BE117" s="143">
        <f>590+390+50</f>
        <v>1030</v>
      </c>
      <c r="BF117" s="143">
        <f t="shared" si="3"/>
        <v>5733.66</v>
      </c>
      <c r="BG117" s="143">
        <f t="shared" si="4"/>
        <v>315.35129999999998</v>
      </c>
      <c r="BH117" s="143">
        <f t="shared" si="5"/>
        <v>6049.0113000000001</v>
      </c>
      <c r="BI117" s="151">
        <v>6049.01</v>
      </c>
      <c r="BJ117" s="143" t="s">
        <v>115</v>
      </c>
      <c r="BK117" s="143"/>
      <c r="BL117" s="143"/>
      <c r="BM117" s="144" t="s">
        <v>3592</v>
      </c>
      <c r="BN117" s="144" t="s">
        <v>103</v>
      </c>
      <c r="BO117" s="144" t="s">
        <v>143</v>
      </c>
      <c r="BP117" s="143" t="s">
        <v>3583</v>
      </c>
      <c r="BQ117" s="203" t="s">
        <v>3274</v>
      </c>
    </row>
    <row r="118" spans="1:69" ht="41.1" customHeight="1">
      <c r="A118" s="133" t="s">
        <v>86</v>
      </c>
      <c r="B118" s="133" t="s">
        <v>660</v>
      </c>
      <c r="C118" s="143">
        <v>600</v>
      </c>
      <c r="D118" s="135">
        <v>44241</v>
      </c>
      <c r="E118" s="135">
        <v>44242</v>
      </c>
      <c r="F118" s="147">
        <v>44246</v>
      </c>
      <c r="G118" s="135" t="s">
        <v>661</v>
      </c>
      <c r="H118" s="147">
        <v>44252</v>
      </c>
      <c r="I118" s="147">
        <v>44252</v>
      </c>
      <c r="J118" s="147">
        <v>44258</v>
      </c>
      <c r="K118" s="135">
        <v>44383</v>
      </c>
      <c r="L118" s="135">
        <v>44361</v>
      </c>
      <c r="M118" s="135" t="s">
        <v>662</v>
      </c>
      <c r="N118" s="135">
        <v>44438</v>
      </c>
      <c r="O118" s="135">
        <v>44438</v>
      </c>
      <c r="P118" s="135">
        <v>44455</v>
      </c>
      <c r="Q118" s="135"/>
      <c r="R118" s="143"/>
      <c r="S118" s="143"/>
      <c r="T118" s="143"/>
      <c r="U118" s="143">
        <v>1</v>
      </c>
      <c r="V118" s="143">
        <v>27210</v>
      </c>
      <c r="W118" s="143" t="str">
        <f ca="1">IF(H118="",IF(D118="","",IF(U118+V118&lt;15,"Données Nb pers ou RFR manquantes",IF(COUNTA(INDIRECT("TabRFR["&amp;YEAR(D118)&amp;"]"))&lt;&gt;COUNTA(TabRFR[Recherche RFR]),"Data RFR manquantes", IF(V118&lt;=INDEX(TabRFR[[2021]:[2025]],MATCH(BD!U118&amp;"-Très modestes",TabRFR[Recherche RFR],0),MATCH(TEXT(YEAR(BD!D118),"Standard"),TabRFR[[#Headers],[2021]:[2025]],0)),"Très Modeste",IF(V118&lt;=INDEX(TabRFR[[2021]:[2025]],MATCH(BD!U118&amp;"-modestes",TabRFR[Recherche RFR],0),MATCH(TEXT(YEAR(BD!D118),"Standard"),TabRFR[[#Headers],[2021]:[2025]],0)),"Modeste",IF(V118&lt;=INDEX(TabRFR[[2021]:[2025]],MATCH(BD!U118&amp;"-Intermédiaire",TabRFR[Recherche RFR],0),MATCH(TEXT(YEAR(BD!D118),"Standard"),TabRFR[[#Headers],[2021]:[2025]],0)),"Intermédiaire","Supérieur")))))),IF(D118="","",IF(U118+V118&lt;15,"Données Nb pers ou RFR manquantes",IF(COUNTA(INDIRECT("TabRFR["&amp;YEAR(H118)&amp;"]"))&lt;&gt;COUNTA(TabRFR[Recherche RFR]),"Data RFR manquantes", IF(V118&lt;=INDEX(TabRFR[[2021]:[2025]],MATCH(BD!U118&amp;"-Très modestes",TabRFR[Recherche RFR],0),MATCH(TEXT(YEAR(BD!H118),"Standard"),TabRFR[[#Headers],[2021]:[2025]],0)),"Très Modeste",IF(V118&lt;=INDEX(TabRFR[[2021]:[2025]],MATCH(BD!U118&amp;"-modestes",TabRFR[Recherche RFR],0),MATCH(TEXT(YEAR(BD!H118),"Standard"),TabRFR[[#Headers],[2021]:[2025]],0)),"Modeste",IF(V118&lt;=INDEX(TabRFR[[2021]:[2025]],MATCH(BD!U118&amp;"-Intermédiaire",TabRFR[Recherche RFR],0),MATCH(TEXT(YEAR(BD!H118),"Standard"),TabRFR[[#Headers],[2021]:[2025]],0)),"Intermédiaire","Supérieur")))))))</f>
        <v>Intermédiaire</v>
      </c>
      <c r="X118" s="143"/>
      <c r="Y118" s="143" t="s">
        <v>663</v>
      </c>
      <c r="Z118" s="143">
        <v>38500</v>
      </c>
      <c r="AA118" s="143" t="s">
        <v>108</v>
      </c>
      <c r="AB118" s="148"/>
      <c r="AC118" s="149"/>
      <c r="AD118" s="143" t="s">
        <v>91</v>
      </c>
      <c r="AE118" s="143" t="s">
        <v>76</v>
      </c>
      <c r="AF118" s="143" t="s">
        <v>76</v>
      </c>
      <c r="AG118" s="143" t="s">
        <v>76</v>
      </c>
      <c r="AH118" s="143" t="s">
        <v>76</v>
      </c>
      <c r="AI118" s="135" t="s">
        <v>285</v>
      </c>
      <c r="AJ118" s="143" t="s">
        <v>108</v>
      </c>
      <c r="AK118" s="143" t="s">
        <v>286</v>
      </c>
      <c r="AL118" s="150" t="s">
        <v>287</v>
      </c>
      <c r="AM118" s="148">
        <v>476069938</v>
      </c>
      <c r="AN118" s="143" t="s">
        <v>76</v>
      </c>
      <c r="AO118" s="150" t="s">
        <v>102</v>
      </c>
      <c r="AP118" s="147">
        <v>44457</v>
      </c>
      <c r="AQ118" s="143" t="s">
        <v>3413</v>
      </c>
      <c r="AR118" s="143" t="s">
        <v>172</v>
      </c>
      <c r="AS118" s="143" t="s">
        <v>3413</v>
      </c>
      <c r="AT118" s="135" t="s">
        <v>3446</v>
      </c>
      <c r="AU118" s="143" t="s">
        <v>532</v>
      </c>
      <c r="AV118" s="143" t="s">
        <v>664</v>
      </c>
      <c r="AW118" s="143">
        <v>40</v>
      </c>
      <c r="AX118" s="143">
        <v>5.9</v>
      </c>
      <c r="AY118" s="143">
        <v>83.6</v>
      </c>
      <c r="AZ118" s="143">
        <v>7.0000000000000007E-2</v>
      </c>
      <c r="BA118" s="143" t="s">
        <v>101</v>
      </c>
      <c r="BB118" s="143"/>
      <c r="BC118" s="143">
        <f>2272+170+460+215</f>
        <v>3117</v>
      </c>
      <c r="BD118" s="143"/>
      <c r="BE118" s="143">
        <f>300+450</f>
        <v>750</v>
      </c>
      <c r="BF118" s="143">
        <f t="shared" si="3"/>
        <v>3867</v>
      </c>
      <c r="BG118" s="143">
        <f t="shared" si="4"/>
        <v>212.685</v>
      </c>
      <c r="BH118" s="143">
        <f t="shared" si="5"/>
        <v>4079.6849999999999</v>
      </c>
      <c r="BI118" s="151">
        <v>4079.69</v>
      </c>
      <c r="BJ118" s="143" t="s">
        <v>102</v>
      </c>
      <c r="BK118" s="143"/>
      <c r="BL118" s="143"/>
      <c r="BM118" s="144" t="s">
        <v>3592</v>
      </c>
      <c r="BN118" s="144" t="s">
        <v>103</v>
      </c>
      <c r="BO118" s="144" t="s">
        <v>143</v>
      </c>
      <c r="BP118" s="144">
        <v>2021</v>
      </c>
      <c r="BQ118" s="203" t="s">
        <v>144</v>
      </c>
    </row>
    <row r="119" spans="1:69" ht="41.1" customHeight="1">
      <c r="A119" s="143" t="s">
        <v>86</v>
      </c>
      <c r="B119" s="143" t="s">
        <v>665</v>
      </c>
      <c r="C119" s="143">
        <v>600</v>
      </c>
      <c r="D119" s="135">
        <v>44244</v>
      </c>
      <c r="E119" s="135">
        <v>44245</v>
      </c>
      <c r="F119" s="147">
        <v>44246</v>
      </c>
      <c r="G119" s="135" t="s">
        <v>666</v>
      </c>
      <c r="H119" s="147">
        <v>44348</v>
      </c>
      <c r="I119" s="147">
        <v>44348</v>
      </c>
      <c r="J119" s="147">
        <v>44354</v>
      </c>
      <c r="K119" s="135">
        <v>44526</v>
      </c>
      <c r="L119" s="135">
        <v>44453</v>
      </c>
      <c r="M119" s="135" t="s">
        <v>667</v>
      </c>
      <c r="N119" s="135"/>
      <c r="O119" s="135"/>
      <c r="P119" s="135"/>
      <c r="Q119" s="135"/>
      <c r="R119" s="143"/>
      <c r="S119" s="143"/>
      <c r="T119" s="143"/>
      <c r="U119" s="143">
        <v>4</v>
      </c>
      <c r="V119" s="143">
        <v>46699</v>
      </c>
      <c r="W119" s="143" t="str">
        <f ca="1">IF(H119="",IF(D119="","",IF(U119+V119&lt;15,"Données Nb pers ou RFR manquantes",IF(COUNTA(INDIRECT("TabRFR["&amp;YEAR(D119)&amp;"]"))&lt;&gt;COUNTA(TabRFR[Recherche RFR]),"Data RFR manquantes", IF(V119&lt;=INDEX(TabRFR[[2021]:[2025]],MATCH(BD!U119&amp;"-Très modestes",TabRFR[Recherche RFR],0),MATCH(TEXT(YEAR(BD!D119),"Standard"),TabRFR[[#Headers],[2021]:[2025]],0)),"Très Modeste",IF(V119&lt;=INDEX(TabRFR[[2021]:[2025]],MATCH(BD!U119&amp;"-modestes",TabRFR[Recherche RFR],0),MATCH(TEXT(YEAR(BD!D119),"Standard"),TabRFR[[#Headers],[2021]:[2025]],0)),"Modeste",IF(V119&lt;=INDEX(TabRFR[[2021]:[2025]],MATCH(BD!U119&amp;"-Intermédiaire",TabRFR[Recherche RFR],0),MATCH(TEXT(YEAR(BD!D119),"Standard"),TabRFR[[#Headers],[2021]:[2025]],0)),"Intermédiaire","Supérieur")))))),IF(D119="","",IF(U119+V119&lt;15,"Données Nb pers ou RFR manquantes",IF(COUNTA(INDIRECT("TabRFR["&amp;YEAR(H119)&amp;"]"))&lt;&gt;COUNTA(TabRFR[Recherche RFR]),"Data RFR manquantes", IF(V119&lt;=INDEX(TabRFR[[2021]:[2025]],MATCH(BD!U119&amp;"-Très modestes",TabRFR[Recherche RFR],0),MATCH(TEXT(YEAR(BD!H119),"Standard"),TabRFR[[#Headers],[2021]:[2025]],0)),"Très Modeste",IF(V119&lt;=INDEX(TabRFR[[2021]:[2025]],MATCH(BD!U119&amp;"-modestes",TabRFR[Recherche RFR],0),MATCH(TEXT(YEAR(BD!H119),"Standard"),TabRFR[[#Headers],[2021]:[2025]],0)),"Modeste",IF(V119&lt;=INDEX(TabRFR[[2021]:[2025]],MATCH(BD!U119&amp;"-Intermédiaire",TabRFR[Recherche RFR],0),MATCH(TEXT(YEAR(BD!H119),"Standard"),TabRFR[[#Headers],[2021]:[2025]],0)),"Intermédiaire","Supérieur")))))))</f>
        <v>Intermédiaire</v>
      </c>
      <c r="X119" s="143"/>
      <c r="Y119" s="143" t="s">
        <v>249</v>
      </c>
      <c r="Z119" s="143">
        <v>38210</v>
      </c>
      <c r="AA119" s="143" t="s">
        <v>130</v>
      </c>
      <c r="AB119" s="148"/>
      <c r="AC119" s="149"/>
      <c r="AD119" s="143" t="s">
        <v>91</v>
      </c>
      <c r="AE119" s="143" t="s">
        <v>76</v>
      </c>
      <c r="AF119" s="143" t="s">
        <v>76</v>
      </c>
      <c r="AG119" s="143" t="s">
        <v>76</v>
      </c>
      <c r="AH119" s="143" t="s">
        <v>76</v>
      </c>
      <c r="AI119" s="143" t="s">
        <v>668</v>
      </c>
      <c r="AJ119" s="143" t="s">
        <v>669</v>
      </c>
      <c r="AK119" s="143" t="s">
        <v>670</v>
      </c>
      <c r="AL119" s="150" t="s">
        <v>671</v>
      </c>
      <c r="AM119" s="148">
        <v>681726245</v>
      </c>
      <c r="AN119" s="143" t="s">
        <v>76</v>
      </c>
      <c r="AO119" s="150" t="s">
        <v>102</v>
      </c>
      <c r="AP119" s="147">
        <v>44278</v>
      </c>
      <c r="AQ119" s="135" t="s">
        <v>3496</v>
      </c>
      <c r="AR119" s="143">
        <v>1975</v>
      </c>
      <c r="AS119" s="143" t="s">
        <v>3413</v>
      </c>
      <c r="AT119" s="143" t="s">
        <v>98</v>
      </c>
      <c r="AU119" s="143" t="s">
        <v>276</v>
      </c>
      <c r="AV119" s="143" t="s">
        <v>672</v>
      </c>
      <c r="AW119" s="143"/>
      <c r="AX119" s="143">
        <v>8</v>
      </c>
      <c r="AY119" s="143">
        <v>91.3</v>
      </c>
      <c r="AZ119" s="143">
        <v>0.121</v>
      </c>
      <c r="BA119" s="143" t="s">
        <v>126</v>
      </c>
      <c r="BB119" s="143"/>
      <c r="BC119" s="143">
        <f>1416.42+6435+149.97+139.26</f>
        <v>8140.6500000000005</v>
      </c>
      <c r="BD119" s="143"/>
      <c r="BE119" s="143">
        <f>384+384</f>
        <v>768</v>
      </c>
      <c r="BF119" s="143">
        <f t="shared" si="3"/>
        <v>8908.6500000000015</v>
      </c>
      <c r="BG119" s="151">
        <f t="shared" si="4"/>
        <v>489.97575000000006</v>
      </c>
      <c r="BH119" s="151">
        <f t="shared" si="5"/>
        <v>9398.6257500000011</v>
      </c>
      <c r="BI119" s="151">
        <v>8632.8700000000008</v>
      </c>
      <c r="BJ119" s="143" t="s">
        <v>102</v>
      </c>
      <c r="BK119" s="143"/>
      <c r="BL119" s="143"/>
      <c r="BM119" s="144" t="s">
        <v>3592</v>
      </c>
      <c r="BN119" s="144" t="s">
        <v>103</v>
      </c>
      <c r="BO119" s="144" t="s">
        <v>143</v>
      </c>
      <c r="BP119" s="143" t="s">
        <v>3583</v>
      </c>
      <c r="BQ119" s="203"/>
    </row>
    <row r="120" spans="1:69" ht="41.1" customHeight="1">
      <c r="A120" s="206" t="s">
        <v>86</v>
      </c>
      <c r="B120" s="206" t="s">
        <v>673</v>
      </c>
      <c r="C120" s="143">
        <v>1000</v>
      </c>
      <c r="D120" s="135">
        <v>44244</v>
      </c>
      <c r="E120" s="135">
        <v>44245</v>
      </c>
      <c r="F120" s="147">
        <v>44246</v>
      </c>
      <c r="G120" s="135" t="s">
        <v>674</v>
      </c>
      <c r="H120" s="147">
        <v>44259</v>
      </c>
      <c r="I120" s="147">
        <v>44259</v>
      </c>
      <c r="J120" s="147">
        <v>44270</v>
      </c>
      <c r="K120" s="135">
        <v>44498</v>
      </c>
      <c r="L120" s="135">
        <v>44469</v>
      </c>
      <c r="M120" s="135" t="s">
        <v>76</v>
      </c>
      <c r="N120" s="135">
        <v>44512</v>
      </c>
      <c r="O120" s="135">
        <v>44512</v>
      </c>
      <c r="P120" s="135">
        <v>44518</v>
      </c>
      <c r="Q120" s="135"/>
      <c r="R120" s="143"/>
      <c r="S120" s="143"/>
      <c r="T120" s="143"/>
      <c r="U120" s="143">
        <v>2</v>
      </c>
      <c r="V120" s="143">
        <v>26187</v>
      </c>
      <c r="W120" s="143" t="str">
        <f ca="1">IF(H120="",IF(D120="","",IF(U120+V120&lt;15,"Données Nb pers ou RFR manquantes",IF(COUNTA(INDIRECT("TabRFR["&amp;YEAR(D120)&amp;"]"))&lt;&gt;COUNTA(TabRFR[Recherche RFR]),"Data RFR manquantes", IF(V120&lt;=INDEX(TabRFR[[2021]:[2025]],MATCH(BD!U120&amp;"-Très modestes",TabRFR[Recherche RFR],0),MATCH(TEXT(YEAR(BD!D120),"Standard"),TabRFR[[#Headers],[2021]:[2025]],0)),"Très Modeste",IF(V120&lt;=INDEX(TabRFR[[2021]:[2025]],MATCH(BD!U120&amp;"-modestes",TabRFR[Recherche RFR],0),MATCH(TEXT(YEAR(BD!D120),"Standard"),TabRFR[[#Headers],[2021]:[2025]],0)),"Modeste",IF(V120&lt;=INDEX(TabRFR[[2021]:[2025]],MATCH(BD!U120&amp;"-Intermédiaire",TabRFR[Recherche RFR],0),MATCH(TEXT(YEAR(BD!D120),"Standard"),TabRFR[[#Headers],[2021]:[2025]],0)),"Intermédiaire","Supérieur")))))),IF(D120="","",IF(U120+V120&lt;15,"Données Nb pers ou RFR manquantes",IF(COUNTA(INDIRECT("TabRFR["&amp;YEAR(H120)&amp;"]"))&lt;&gt;COUNTA(TabRFR[Recherche RFR]),"Data RFR manquantes", IF(V120&lt;=INDEX(TabRFR[[2021]:[2025]],MATCH(BD!U120&amp;"-Très modestes",TabRFR[Recherche RFR],0),MATCH(TEXT(YEAR(BD!H120),"Standard"),TabRFR[[#Headers],[2021]:[2025]],0)),"Très Modeste",IF(V120&lt;=INDEX(TabRFR[[2021]:[2025]],MATCH(BD!U120&amp;"-modestes",TabRFR[Recherche RFR],0),MATCH(TEXT(YEAR(BD!H120),"Standard"),TabRFR[[#Headers],[2021]:[2025]],0)),"Modeste",IF(V120&lt;=INDEX(TabRFR[[2021]:[2025]],MATCH(BD!U120&amp;"-Intermédiaire",TabRFR[Recherche RFR],0),MATCH(TEXT(YEAR(BD!H120),"Standard"),TabRFR[[#Headers],[2021]:[2025]],0)),"Intermédiaire","Supérieur")))))))</f>
        <v>Modeste</v>
      </c>
      <c r="X120" s="143"/>
      <c r="Y120" s="143" t="s">
        <v>675</v>
      </c>
      <c r="Z120" s="143">
        <v>38500</v>
      </c>
      <c r="AA120" s="143" t="s">
        <v>108</v>
      </c>
      <c r="AB120" s="148"/>
      <c r="AC120" s="149"/>
      <c r="AD120" s="143" t="s">
        <v>91</v>
      </c>
      <c r="AE120" s="143" t="s">
        <v>76</v>
      </c>
      <c r="AF120" s="143" t="s">
        <v>76</v>
      </c>
      <c r="AG120" s="143" t="s">
        <v>76</v>
      </c>
      <c r="AH120" s="143" t="s">
        <v>76</v>
      </c>
      <c r="AI120" s="143" t="s">
        <v>109</v>
      </c>
      <c r="AJ120" s="143" t="s">
        <v>108</v>
      </c>
      <c r="AK120" s="143" t="s">
        <v>110</v>
      </c>
      <c r="AL120" s="149" t="s">
        <v>111</v>
      </c>
      <c r="AM120" s="148" t="s">
        <v>112</v>
      </c>
      <c r="AN120" s="143" t="s">
        <v>76</v>
      </c>
      <c r="AO120" s="150" t="s">
        <v>102</v>
      </c>
      <c r="AP120" s="147">
        <v>44503</v>
      </c>
      <c r="AQ120" s="135" t="s">
        <v>3496</v>
      </c>
      <c r="AR120" s="143">
        <v>1990</v>
      </c>
      <c r="AS120" s="143" t="s">
        <v>3413</v>
      </c>
      <c r="AT120" s="143" t="s">
        <v>98</v>
      </c>
      <c r="AU120" s="143" t="s">
        <v>113</v>
      </c>
      <c r="AV120" s="143" t="s">
        <v>676</v>
      </c>
      <c r="AW120" s="143">
        <v>18</v>
      </c>
      <c r="AX120" s="143">
        <v>10</v>
      </c>
      <c r="AY120" s="143">
        <v>90.4</v>
      </c>
      <c r="AZ120" s="143">
        <v>3.3999999999999998E-3</v>
      </c>
      <c r="BA120" s="143" t="s">
        <v>101</v>
      </c>
      <c r="BB120" s="143"/>
      <c r="BC120" s="143">
        <f>2480+112+90+62+45+60+85+15</f>
        <v>2949</v>
      </c>
      <c r="BD120" s="143"/>
      <c r="BE120" s="143">
        <f>30+300</f>
        <v>330</v>
      </c>
      <c r="BF120" s="143">
        <f t="shared" si="3"/>
        <v>3279</v>
      </c>
      <c r="BG120" s="151">
        <f t="shared" si="4"/>
        <v>180.345</v>
      </c>
      <c r="BH120" s="151">
        <f t="shared" si="5"/>
        <v>3459.3449999999998</v>
      </c>
      <c r="BI120" s="151">
        <v>3459.35</v>
      </c>
      <c r="BJ120" s="143" t="s">
        <v>115</v>
      </c>
      <c r="BK120" s="143"/>
      <c r="BL120" s="143"/>
      <c r="BM120" s="144" t="s">
        <v>3592</v>
      </c>
      <c r="BN120" s="144" t="s">
        <v>103</v>
      </c>
      <c r="BO120" s="135" t="s">
        <v>155</v>
      </c>
      <c r="BP120" s="143" t="s">
        <v>3583</v>
      </c>
      <c r="BQ120" s="203" t="s">
        <v>3274</v>
      </c>
    </row>
    <row r="121" spans="1:69" ht="41.1" customHeight="1">
      <c r="A121" s="206" t="s">
        <v>86</v>
      </c>
      <c r="B121" s="206" t="s">
        <v>677</v>
      </c>
      <c r="C121" s="143">
        <v>600</v>
      </c>
      <c r="D121" s="135">
        <v>44245</v>
      </c>
      <c r="E121" s="135">
        <v>44245</v>
      </c>
      <c r="F121" s="147" t="s">
        <v>76</v>
      </c>
      <c r="G121" s="135" t="s">
        <v>76</v>
      </c>
      <c r="H121" s="147">
        <v>44246</v>
      </c>
      <c r="I121" s="147">
        <v>44246</v>
      </c>
      <c r="J121" s="147">
        <v>44252</v>
      </c>
      <c r="K121" s="135">
        <v>44390</v>
      </c>
      <c r="L121" s="135">
        <v>44382</v>
      </c>
      <c r="M121" s="135" t="s">
        <v>678</v>
      </c>
      <c r="N121" s="135">
        <v>44413</v>
      </c>
      <c r="O121" s="135">
        <v>44413</v>
      </c>
      <c r="P121" s="135">
        <v>44453</v>
      </c>
      <c r="Q121" s="135"/>
      <c r="R121" s="143"/>
      <c r="S121" s="143"/>
      <c r="T121" s="143"/>
      <c r="U121" s="143">
        <v>2</v>
      </c>
      <c r="V121" s="143">
        <v>40838</v>
      </c>
      <c r="W121" s="143" t="str">
        <f ca="1">IF(H121="",IF(D121="","",IF(U121+V121&lt;15,"Données Nb pers ou RFR manquantes",IF(COUNTA(INDIRECT("TabRFR["&amp;YEAR(D121)&amp;"]"))&lt;&gt;COUNTA(TabRFR[Recherche RFR]),"Data RFR manquantes", IF(V121&lt;=INDEX(TabRFR[[2021]:[2025]],MATCH(BD!U121&amp;"-Très modestes",TabRFR[Recherche RFR],0),MATCH(TEXT(YEAR(BD!D121),"Standard"),TabRFR[[#Headers],[2021]:[2025]],0)),"Très Modeste",IF(V121&lt;=INDEX(TabRFR[[2021]:[2025]],MATCH(BD!U121&amp;"-modestes",TabRFR[Recherche RFR],0),MATCH(TEXT(YEAR(BD!D121),"Standard"),TabRFR[[#Headers],[2021]:[2025]],0)),"Modeste",IF(V121&lt;=INDEX(TabRFR[[2021]:[2025]],MATCH(BD!U121&amp;"-Intermédiaire",TabRFR[Recherche RFR],0),MATCH(TEXT(YEAR(BD!D121),"Standard"),TabRFR[[#Headers],[2021]:[2025]],0)),"Intermédiaire","Supérieur")))))),IF(D121="","",IF(U121+V121&lt;15,"Données Nb pers ou RFR manquantes",IF(COUNTA(INDIRECT("TabRFR["&amp;YEAR(H121)&amp;"]"))&lt;&gt;COUNTA(TabRFR[Recherche RFR]),"Data RFR manquantes", IF(V121&lt;=INDEX(TabRFR[[2021]:[2025]],MATCH(BD!U121&amp;"-Très modestes",TabRFR[Recherche RFR],0),MATCH(TEXT(YEAR(BD!H121),"Standard"),TabRFR[[#Headers],[2021]:[2025]],0)),"Très Modeste",IF(V121&lt;=INDEX(TabRFR[[2021]:[2025]],MATCH(BD!U121&amp;"-modestes",TabRFR[Recherche RFR],0),MATCH(TEXT(YEAR(BD!H121),"Standard"),TabRFR[[#Headers],[2021]:[2025]],0)),"Modeste",IF(V121&lt;=INDEX(TabRFR[[2021]:[2025]],MATCH(BD!U121&amp;"-Intermédiaire",TabRFR[Recherche RFR],0),MATCH(TEXT(YEAR(BD!H121),"Standard"),TabRFR[[#Headers],[2021]:[2025]],0)),"Intermédiaire","Supérieur")))))))</f>
        <v>Intermédiaire</v>
      </c>
      <c r="X121" s="143"/>
      <c r="Y121" s="143" t="s">
        <v>679</v>
      </c>
      <c r="Z121" s="143">
        <v>38620</v>
      </c>
      <c r="AA121" s="143" t="s">
        <v>680</v>
      </c>
      <c r="AB121" s="148"/>
      <c r="AC121" s="149"/>
      <c r="AD121" s="143" t="s">
        <v>91</v>
      </c>
      <c r="AE121" s="143" t="s">
        <v>76</v>
      </c>
      <c r="AF121" s="143" t="s">
        <v>76</v>
      </c>
      <c r="AG121" s="143" t="s">
        <v>76</v>
      </c>
      <c r="AH121" s="143" t="s">
        <v>76</v>
      </c>
      <c r="AI121" s="143" t="s">
        <v>210</v>
      </c>
      <c r="AJ121" s="143" t="s">
        <v>136</v>
      </c>
      <c r="AK121" s="143" t="s">
        <v>211</v>
      </c>
      <c r="AL121" s="150" t="s">
        <v>212</v>
      </c>
      <c r="AM121" s="148">
        <v>474432868</v>
      </c>
      <c r="AN121" s="143" t="s">
        <v>76</v>
      </c>
      <c r="AO121" s="150" t="s">
        <v>102</v>
      </c>
      <c r="AP121" s="147">
        <v>44514</v>
      </c>
      <c r="AQ121" s="135" t="s">
        <v>3496</v>
      </c>
      <c r="AR121" s="143">
        <v>1985</v>
      </c>
      <c r="AS121" s="143" t="s">
        <v>3413</v>
      </c>
      <c r="AT121" s="143" t="s">
        <v>98</v>
      </c>
      <c r="AU121" s="143" t="s">
        <v>214</v>
      </c>
      <c r="AV121" s="143" t="s">
        <v>681</v>
      </c>
      <c r="AW121" s="143">
        <v>14</v>
      </c>
      <c r="AX121" s="143">
        <v>9.1</v>
      </c>
      <c r="AY121" s="143">
        <v>90.2</v>
      </c>
      <c r="AZ121" s="143">
        <v>4.5999999999999999E-3</v>
      </c>
      <c r="BA121" s="143" t="s">
        <v>101</v>
      </c>
      <c r="BB121" s="143"/>
      <c r="BC121" s="143">
        <f>3250+216+396.28+166</f>
        <v>4028.2799999999997</v>
      </c>
      <c r="BD121" s="143"/>
      <c r="BE121" s="143">
        <v>675</v>
      </c>
      <c r="BF121" s="143">
        <f t="shared" si="3"/>
        <v>4703.28</v>
      </c>
      <c r="BG121" s="151">
        <f t="shared" si="4"/>
        <v>258.68039999999996</v>
      </c>
      <c r="BH121" s="151">
        <f t="shared" si="5"/>
        <v>4961.9603999999999</v>
      </c>
      <c r="BI121" s="151">
        <v>4961.96</v>
      </c>
      <c r="BJ121" s="143" t="s">
        <v>102</v>
      </c>
      <c r="BK121" s="143"/>
      <c r="BL121" s="143"/>
      <c r="BM121" s="144" t="s">
        <v>3592</v>
      </c>
      <c r="BN121" s="144" t="s">
        <v>103</v>
      </c>
      <c r="BO121" s="144" t="s">
        <v>143</v>
      </c>
      <c r="BP121" s="143" t="s">
        <v>3583</v>
      </c>
      <c r="BQ121" s="203" t="s">
        <v>144</v>
      </c>
    </row>
    <row r="122" spans="1:69" ht="41.1" customHeight="1">
      <c r="A122" s="206" t="s">
        <v>86</v>
      </c>
      <c r="B122" s="206" t="s">
        <v>682</v>
      </c>
      <c r="C122" s="143">
        <v>600</v>
      </c>
      <c r="D122" s="135">
        <v>44245</v>
      </c>
      <c r="E122" s="135">
        <v>44245</v>
      </c>
      <c r="F122" s="147" t="s">
        <v>76</v>
      </c>
      <c r="G122" s="135" t="s">
        <v>76</v>
      </c>
      <c r="H122" s="147">
        <v>44246</v>
      </c>
      <c r="I122" s="147">
        <v>44246</v>
      </c>
      <c r="J122" s="147">
        <v>44252</v>
      </c>
      <c r="K122" s="135">
        <v>44551</v>
      </c>
      <c r="L122" s="135">
        <v>44403</v>
      </c>
      <c r="M122" s="135" t="s">
        <v>683</v>
      </c>
      <c r="N122" s="135">
        <v>44592</v>
      </c>
      <c r="O122" s="135">
        <v>44592</v>
      </c>
      <c r="P122" s="135">
        <v>44593</v>
      </c>
      <c r="Q122" s="135"/>
      <c r="R122" s="143"/>
      <c r="S122" s="143"/>
      <c r="T122" s="143"/>
      <c r="U122" s="143">
        <v>2</v>
      </c>
      <c r="V122" s="143">
        <v>82383</v>
      </c>
      <c r="W122" s="143" t="str">
        <f ca="1">IF(H122="",IF(D122="","",IF(U122+V122&lt;15,"Données Nb pers ou RFR manquantes",IF(COUNTA(INDIRECT("TabRFR["&amp;YEAR(D122)&amp;"]"))&lt;&gt;COUNTA(TabRFR[Recherche RFR]),"Data RFR manquantes", IF(V122&lt;=INDEX(TabRFR[[2021]:[2025]],MATCH(BD!U122&amp;"-Très modestes",TabRFR[Recherche RFR],0),MATCH(TEXT(YEAR(BD!D122),"Standard"),TabRFR[[#Headers],[2021]:[2025]],0)),"Très Modeste",IF(V122&lt;=INDEX(TabRFR[[2021]:[2025]],MATCH(BD!U122&amp;"-modestes",TabRFR[Recherche RFR],0),MATCH(TEXT(YEAR(BD!D122),"Standard"),TabRFR[[#Headers],[2021]:[2025]],0)),"Modeste",IF(V122&lt;=INDEX(TabRFR[[2021]:[2025]],MATCH(BD!U122&amp;"-Intermédiaire",TabRFR[Recherche RFR],0),MATCH(TEXT(YEAR(BD!D122),"Standard"),TabRFR[[#Headers],[2021]:[2025]],0)),"Intermédiaire","Supérieur")))))),IF(D122="","",IF(U122+V122&lt;15,"Données Nb pers ou RFR manquantes",IF(COUNTA(INDIRECT("TabRFR["&amp;YEAR(H122)&amp;"]"))&lt;&gt;COUNTA(TabRFR[Recherche RFR]),"Data RFR manquantes", IF(V122&lt;=INDEX(TabRFR[[2021]:[2025]],MATCH(BD!U122&amp;"-Très modestes",TabRFR[Recherche RFR],0),MATCH(TEXT(YEAR(BD!H122),"Standard"),TabRFR[[#Headers],[2021]:[2025]],0)),"Très Modeste",IF(V122&lt;=INDEX(TabRFR[[2021]:[2025]],MATCH(BD!U122&amp;"-modestes",TabRFR[Recherche RFR],0),MATCH(TEXT(YEAR(BD!H122),"Standard"),TabRFR[[#Headers],[2021]:[2025]],0)),"Modeste",IF(V122&lt;=INDEX(TabRFR[[2021]:[2025]],MATCH(BD!U122&amp;"-Intermédiaire",TabRFR[Recherche RFR],0),MATCH(TEXT(YEAR(BD!H122),"Standard"),TabRFR[[#Headers],[2021]:[2025]],0)),"Intermédiaire","Supérieur")))))))</f>
        <v>Supérieur</v>
      </c>
      <c r="X122" s="143"/>
      <c r="Y122" s="143" t="s">
        <v>684</v>
      </c>
      <c r="Z122" s="143">
        <v>38850</v>
      </c>
      <c r="AA122" s="143" t="s">
        <v>435</v>
      </c>
      <c r="AB122" s="148"/>
      <c r="AC122" s="149"/>
      <c r="AD122" s="143" t="s">
        <v>91</v>
      </c>
      <c r="AE122" s="143" t="s">
        <v>76</v>
      </c>
      <c r="AF122" s="143" t="s">
        <v>76</v>
      </c>
      <c r="AG122" s="143" t="s">
        <v>76</v>
      </c>
      <c r="AH122" s="143" t="s">
        <v>76</v>
      </c>
      <c r="AI122" s="143" t="s">
        <v>210</v>
      </c>
      <c r="AJ122" s="143" t="s">
        <v>136</v>
      </c>
      <c r="AK122" s="143" t="s">
        <v>211</v>
      </c>
      <c r="AL122" s="150" t="s">
        <v>212</v>
      </c>
      <c r="AM122" s="148">
        <v>474432868</v>
      </c>
      <c r="AN122" s="143" t="s">
        <v>76</v>
      </c>
      <c r="AO122" s="150" t="s">
        <v>102</v>
      </c>
      <c r="AP122" s="147">
        <v>44514</v>
      </c>
      <c r="AQ122" s="135" t="s">
        <v>3496</v>
      </c>
      <c r="AR122" s="143">
        <v>1993</v>
      </c>
      <c r="AS122" s="135" t="s">
        <v>3496</v>
      </c>
      <c r="AT122" s="135" t="s">
        <v>3446</v>
      </c>
      <c r="AU122" s="143" t="s">
        <v>685</v>
      </c>
      <c r="AV122" s="143" t="s">
        <v>686</v>
      </c>
      <c r="AW122" s="143">
        <v>38</v>
      </c>
      <c r="AX122" s="143">
        <v>9.9</v>
      </c>
      <c r="AY122" s="143">
        <v>77.900000000000006</v>
      </c>
      <c r="AZ122" s="143">
        <v>0.1</v>
      </c>
      <c r="BA122" s="143" t="s">
        <v>101</v>
      </c>
      <c r="BB122" s="143"/>
      <c r="BC122" s="143">
        <f>4248+512.5+35+238+845.52+236+28+107+305+472</f>
        <v>7027.02</v>
      </c>
      <c r="BD122" s="143"/>
      <c r="BE122" s="143">
        <f>350+1400</f>
        <v>1750</v>
      </c>
      <c r="BF122" s="143">
        <f t="shared" si="3"/>
        <v>8777.02</v>
      </c>
      <c r="BG122" s="151">
        <f t="shared" si="4"/>
        <v>482.73610000000002</v>
      </c>
      <c r="BH122" s="151">
        <f t="shared" si="5"/>
        <v>9259.7561000000005</v>
      </c>
      <c r="BI122" s="151">
        <v>9864.27</v>
      </c>
      <c r="BJ122" s="143" t="s">
        <v>115</v>
      </c>
      <c r="BK122" s="143"/>
      <c r="BL122" s="143"/>
      <c r="BM122" s="144" t="s">
        <v>3592</v>
      </c>
      <c r="BN122" s="144" t="s">
        <v>103</v>
      </c>
      <c r="BO122" s="144" t="s">
        <v>143</v>
      </c>
      <c r="BP122" s="144">
        <v>2021</v>
      </c>
      <c r="BQ122" s="203" t="s">
        <v>3274</v>
      </c>
    </row>
    <row r="123" spans="1:69" ht="41.1" customHeight="1">
      <c r="A123" s="206" t="s">
        <v>86</v>
      </c>
      <c r="B123" s="206" t="s">
        <v>687</v>
      </c>
      <c r="C123" s="143">
        <v>600</v>
      </c>
      <c r="D123" s="135">
        <v>44245</v>
      </c>
      <c r="E123" s="135">
        <v>44245</v>
      </c>
      <c r="F123" s="147">
        <v>44215</v>
      </c>
      <c r="G123" s="135" t="s">
        <v>688</v>
      </c>
      <c r="H123" s="147">
        <v>44266</v>
      </c>
      <c r="I123" s="147">
        <v>44266</v>
      </c>
      <c r="J123" s="147">
        <v>44277</v>
      </c>
      <c r="K123" s="135">
        <v>44371</v>
      </c>
      <c r="L123" s="135">
        <v>44320</v>
      </c>
      <c r="M123" s="135" t="s">
        <v>76</v>
      </c>
      <c r="N123" s="135">
        <v>44372</v>
      </c>
      <c r="O123" s="135">
        <v>44372</v>
      </c>
      <c r="P123" s="135">
        <v>44389</v>
      </c>
      <c r="Q123" s="135"/>
      <c r="R123" s="143"/>
      <c r="S123" s="143"/>
      <c r="T123" s="143"/>
      <c r="U123" s="143">
        <v>2</v>
      </c>
      <c r="V123" s="143">
        <v>102564</v>
      </c>
      <c r="W123" s="143" t="str">
        <f ca="1">IF(H123="",IF(D123="","",IF(U123+V123&lt;15,"Données Nb pers ou RFR manquantes",IF(COUNTA(INDIRECT("TabRFR["&amp;YEAR(D123)&amp;"]"))&lt;&gt;COUNTA(TabRFR[Recherche RFR]),"Data RFR manquantes", IF(V123&lt;=INDEX(TabRFR[[2021]:[2025]],MATCH(BD!U123&amp;"-Très modestes",TabRFR[Recherche RFR],0),MATCH(TEXT(YEAR(BD!D123),"Standard"),TabRFR[[#Headers],[2021]:[2025]],0)),"Très Modeste",IF(V123&lt;=INDEX(TabRFR[[2021]:[2025]],MATCH(BD!U123&amp;"-modestes",TabRFR[Recherche RFR],0),MATCH(TEXT(YEAR(BD!D123),"Standard"),TabRFR[[#Headers],[2021]:[2025]],0)),"Modeste",IF(V123&lt;=INDEX(TabRFR[[2021]:[2025]],MATCH(BD!U123&amp;"-Intermédiaire",TabRFR[Recherche RFR],0),MATCH(TEXT(YEAR(BD!D123),"Standard"),TabRFR[[#Headers],[2021]:[2025]],0)),"Intermédiaire","Supérieur")))))),IF(D123="","",IF(U123+V123&lt;15,"Données Nb pers ou RFR manquantes",IF(COUNTA(INDIRECT("TabRFR["&amp;YEAR(H123)&amp;"]"))&lt;&gt;COUNTA(TabRFR[Recherche RFR]),"Data RFR manquantes", IF(V123&lt;=INDEX(TabRFR[[2021]:[2025]],MATCH(BD!U123&amp;"-Très modestes",TabRFR[Recherche RFR],0),MATCH(TEXT(YEAR(BD!H123),"Standard"),TabRFR[[#Headers],[2021]:[2025]],0)),"Très Modeste",IF(V123&lt;=INDEX(TabRFR[[2021]:[2025]],MATCH(BD!U123&amp;"-modestes",TabRFR[Recherche RFR],0),MATCH(TEXT(YEAR(BD!H123),"Standard"),TabRFR[[#Headers],[2021]:[2025]],0)),"Modeste",IF(V123&lt;=INDEX(TabRFR[[2021]:[2025]],MATCH(BD!U123&amp;"-Intermédiaire",TabRFR[Recherche RFR],0),MATCH(TEXT(YEAR(BD!H123),"Standard"),TabRFR[[#Headers],[2021]:[2025]],0)),"Intermédiaire","Supérieur")))))))</f>
        <v>Supérieur</v>
      </c>
      <c r="X123" s="143"/>
      <c r="Y123" s="143" t="s">
        <v>690</v>
      </c>
      <c r="Z123" s="143">
        <v>38140</v>
      </c>
      <c r="AA123" s="143" t="s">
        <v>159</v>
      </c>
      <c r="AB123" s="148"/>
      <c r="AC123" s="149"/>
      <c r="AD123" s="143" t="s">
        <v>91</v>
      </c>
      <c r="AE123" s="143" t="s">
        <v>76</v>
      </c>
      <c r="AF123" s="143" t="s">
        <v>76</v>
      </c>
      <c r="AG123" s="143" t="s">
        <v>76</v>
      </c>
      <c r="AH123" s="143" t="s">
        <v>76</v>
      </c>
      <c r="AI123" s="135" t="s">
        <v>2703</v>
      </c>
      <c r="AJ123" s="143" t="s">
        <v>266</v>
      </c>
      <c r="AK123" s="143" t="s">
        <v>317</v>
      </c>
      <c r="AL123" s="150" t="s">
        <v>318</v>
      </c>
      <c r="AM123" s="148">
        <v>476500550</v>
      </c>
      <c r="AN123" s="143" t="s">
        <v>76</v>
      </c>
      <c r="AO123" s="150" t="s">
        <v>102</v>
      </c>
      <c r="AP123" s="147">
        <v>44375</v>
      </c>
      <c r="AQ123" s="135" t="s">
        <v>3496</v>
      </c>
      <c r="AR123" s="143">
        <v>1993</v>
      </c>
      <c r="AS123" s="143" t="s">
        <v>3413</v>
      </c>
      <c r="AT123" s="135" t="s">
        <v>3446</v>
      </c>
      <c r="AU123" s="143" t="s">
        <v>319</v>
      </c>
      <c r="AV123" s="143" t="s">
        <v>691</v>
      </c>
      <c r="AW123" s="143">
        <v>32</v>
      </c>
      <c r="AX123" s="143">
        <v>7</v>
      </c>
      <c r="AY123" s="143">
        <v>77.900000000000006</v>
      </c>
      <c r="AZ123" s="143">
        <v>0.08</v>
      </c>
      <c r="BA123" s="143" t="s">
        <v>101</v>
      </c>
      <c r="BB123" s="143"/>
      <c r="BC123" s="143">
        <f>184.2+108.46+2250+265.4</f>
        <v>2808.06</v>
      </c>
      <c r="BD123" s="143"/>
      <c r="BE123" s="143">
        <f>614.56+900</f>
        <v>1514.56</v>
      </c>
      <c r="BF123" s="143">
        <f t="shared" si="3"/>
        <v>4322.62</v>
      </c>
      <c r="BG123" s="151">
        <f t="shared" si="4"/>
        <v>237.7441</v>
      </c>
      <c r="BH123" s="151">
        <f t="shared" si="5"/>
        <v>4560.3640999999998</v>
      </c>
      <c r="BI123" s="151">
        <v>4560.3599999999997</v>
      </c>
      <c r="BJ123" s="143" t="s">
        <v>115</v>
      </c>
      <c r="BK123" s="143"/>
      <c r="BL123" s="143"/>
      <c r="BM123" s="144" t="s">
        <v>3592</v>
      </c>
      <c r="BN123" s="144" t="s">
        <v>103</v>
      </c>
      <c r="BO123" s="144" t="s">
        <v>143</v>
      </c>
      <c r="BP123" s="144">
        <v>2021</v>
      </c>
      <c r="BQ123" s="203" t="s">
        <v>3274</v>
      </c>
    </row>
    <row r="124" spans="1:69" ht="41.1" customHeight="1">
      <c r="A124" s="206" t="s">
        <v>86</v>
      </c>
      <c r="B124" s="206" t="s">
        <v>692</v>
      </c>
      <c r="C124" s="143">
        <v>1000</v>
      </c>
      <c r="D124" s="135">
        <v>44249</v>
      </c>
      <c r="E124" s="135">
        <v>44250</v>
      </c>
      <c r="F124" s="147" t="s">
        <v>76</v>
      </c>
      <c r="G124" s="135" t="s">
        <v>76</v>
      </c>
      <c r="H124" s="147">
        <v>44252</v>
      </c>
      <c r="I124" s="147">
        <v>44252</v>
      </c>
      <c r="J124" s="147">
        <v>44258</v>
      </c>
      <c r="K124" s="135">
        <v>44393</v>
      </c>
      <c r="L124" s="135">
        <v>44368</v>
      </c>
      <c r="M124" s="135" t="s">
        <v>76</v>
      </c>
      <c r="N124" s="135">
        <v>44413</v>
      </c>
      <c r="O124" s="135">
        <v>44413</v>
      </c>
      <c r="P124" s="135">
        <v>44453</v>
      </c>
      <c r="Q124" s="135"/>
      <c r="R124" s="143"/>
      <c r="S124" s="143"/>
      <c r="T124" s="143"/>
      <c r="U124" s="143">
        <v>6</v>
      </c>
      <c r="V124" s="143">
        <v>28729</v>
      </c>
      <c r="W124" s="143" t="str">
        <f ca="1">IF(H124="",IF(D124="","",IF(U124+V124&lt;15,"Données Nb pers ou RFR manquantes",IF(COUNTA(INDIRECT("TabRFR["&amp;YEAR(D124)&amp;"]"))&lt;&gt;COUNTA(TabRFR[Recherche RFR]),"Data RFR manquantes", IF(V124&lt;=INDEX(TabRFR[[2021]:[2025]],MATCH(BD!U124&amp;"-Très modestes",TabRFR[Recherche RFR],0),MATCH(TEXT(YEAR(BD!D124),"Standard"),TabRFR[[#Headers],[2021]:[2025]],0)),"Très Modeste",IF(V124&lt;=INDEX(TabRFR[[2021]:[2025]],MATCH(BD!U124&amp;"-modestes",TabRFR[Recherche RFR],0),MATCH(TEXT(YEAR(BD!D124),"Standard"),TabRFR[[#Headers],[2021]:[2025]],0)),"Modeste",IF(V124&lt;=INDEX(TabRFR[[2021]:[2025]],MATCH(BD!U124&amp;"-Intermédiaire",TabRFR[Recherche RFR],0),MATCH(TEXT(YEAR(BD!D124),"Standard"),TabRFR[[#Headers],[2021]:[2025]],0)),"Intermédiaire","Supérieur")))))),IF(D124="","",IF(U124+V124&lt;15,"Données Nb pers ou RFR manquantes",IF(COUNTA(INDIRECT("TabRFR["&amp;YEAR(H124)&amp;"]"))&lt;&gt;COUNTA(TabRFR[Recherche RFR]),"Data RFR manquantes", IF(V124&lt;=INDEX(TabRFR[[2021]:[2025]],MATCH(BD!U124&amp;"-Très modestes",TabRFR[Recherche RFR],0),MATCH(TEXT(YEAR(BD!H124),"Standard"),TabRFR[[#Headers],[2021]:[2025]],0)),"Très Modeste",IF(V124&lt;=INDEX(TabRFR[[2021]:[2025]],MATCH(BD!U124&amp;"-modestes",TabRFR[Recherche RFR],0),MATCH(TEXT(YEAR(BD!H124),"Standard"),TabRFR[[#Headers],[2021]:[2025]],0)),"Modeste",IF(V124&lt;=INDEX(TabRFR[[2021]:[2025]],MATCH(BD!U124&amp;"-Intermédiaire",TabRFR[Recherche RFR],0),MATCH(TEXT(YEAR(BD!H124),"Standard"),TabRFR[[#Headers],[2021]:[2025]],0)),"Intermédiaire","Supérieur")))))))</f>
        <v>Très Modeste</v>
      </c>
      <c r="X124" s="143"/>
      <c r="Y124" s="143" t="s">
        <v>633</v>
      </c>
      <c r="Z124" s="143">
        <v>38500</v>
      </c>
      <c r="AA124" s="143" t="s">
        <v>284</v>
      </c>
      <c r="AB124" s="148"/>
      <c r="AC124" s="149"/>
      <c r="AD124" s="143" t="s">
        <v>91</v>
      </c>
      <c r="AE124" s="143" t="s">
        <v>76</v>
      </c>
      <c r="AF124" s="143" t="s">
        <v>76</v>
      </c>
      <c r="AG124" s="143" t="s">
        <v>76</v>
      </c>
      <c r="AH124" s="143" t="s">
        <v>76</v>
      </c>
      <c r="AI124" s="135" t="s">
        <v>285</v>
      </c>
      <c r="AJ124" s="143" t="s">
        <v>108</v>
      </c>
      <c r="AK124" s="143" t="s">
        <v>286</v>
      </c>
      <c r="AL124" s="150" t="s">
        <v>287</v>
      </c>
      <c r="AM124" s="148">
        <v>476069938</v>
      </c>
      <c r="AN124" s="143" t="s">
        <v>76</v>
      </c>
      <c r="AO124" s="150" t="s">
        <v>102</v>
      </c>
      <c r="AP124" s="147">
        <v>44457</v>
      </c>
      <c r="AQ124" s="135" t="s">
        <v>3449</v>
      </c>
      <c r="AR124" s="143">
        <v>1977</v>
      </c>
      <c r="AS124" s="143" t="s">
        <v>3413</v>
      </c>
      <c r="AT124" s="135" t="s">
        <v>3446</v>
      </c>
      <c r="AU124" s="143" t="s">
        <v>693</v>
      </c>
      <c r="AV124" s="143" t="s">
        <v>694</v>
      </c>
      <c r="AW124" s="143">
        <v>23</v>
      </c>
      <c r="AX124" s="143">
        <v>6.2</v>
      </c>
      <c r="AY124" s="143">
        <v>80.400000000000006</v>
      </c>
      <c r="AZ124" s="143">
        <v>0.09</v>
      </c>
      <c r="BA124" s="143" t="s">
        <v>101</v>
      </c>
      <c r="BB124" s="143"/>
      <c r="BC124" s="143">
        <f>460+250+96.84+89+250+1920+265</f>
        <v>3330.84</v>
      </c>
      <c r="BD124" s="143"/>
      <c r="BE124" s="143">
        <f>450+300</f>
        <v>750</v>
      </c>
      <c r="BF124" s="143">
        <f t="shared" si="3"/>
        <v>4080.84</v>
      </c>
      <c r="BG124" s="143">
        <f t="shared" si="4"/>
        <v>224.4462</v>
      </c>
      <c r="BH124" s="143">
        <f t="shared" si="5"/>
        <v>4305.2862000000005</v>
      </c>
      <c r="BI124" s="151">
        <v>4318.9399999999996</v>
      </c>
      <c r="BJ124" s="143" t="s">
        <v>102</v>
      </c>
      <c r="BK124" s="143"/>
      <c r="BL124" s="143"/>
      <c r="BM124" s="144" t="s">
        <v>3592</v>
      </c>
      <c r="BN124" s="144" t="s">
        <v>103</v>
      </c>
      <c r="BO124" s="135" t="s">
        <v>155</v>
      </c>
      <c r="BP124" s="144">
        <v>2021</v>
      </c>
      <c r="BQ124" s="203" t="s">
        <v>144</v>
      </c>
    </row>
    <row r="125" spans="1:69" ht="41.1" customHeight="1">
      <c r="A125" s="207" t="s">
        <v>86</v>
      </c>
      <c r="B125" s="207" t="s">
        <v>695</v>
      </c>
      <c r="C125" s="146" t="s">
        <v>76</v>
      </c>
      <c r="D125" s="135">
        <v>44250</v>
      </c>
      <c r="E125" s="135">
        <v>44250</v>
      </c>
      <c r="F125" s="147">
        <v>44252</v>
      </c>
      <c r="G125" s="135" t="s">
        <v>696</v>
      </c>
      <c r="H125" s="147" t="s">
        <v>76</v>
      </c>
      <c r="I125" s="147" t="s">
        <v>76</v>
      </c>
      <c r="J125" s="147" t="s">
        <v>76</v>
      </c>
      <c r="K125" s="135" t="s">
        <v>76</v>
      </c>
      <c r="L125" s="135" t="s">
        <v>76</v>
      </c>
      <c r="M125" s="135" t="s">
        <v>76</v>
      </c>
      <c r="N125" s="135" t="s">
        <v>76</v>
      </c>
      <c r="O125" s="135" t="s">
        <v>76</v>
      </c>
      <c r="P125" s="135" t="s">
        <v>76</v>
      </c>
      <c r="Q125" s="135">
        <v>44301</v>
      </c>
      <c r="R125" s="143" t="s">
        <v>697</v>
      </c>
      <c r="S125" s="143"/>
      <c r="T125" s="143"/>
      <c r="U125" s="143">
        <v>4</v>
      </c>
      <c r="V125" s="143">
        <v>40747</v>
      </c>
      <c r="W125" s="143" t="str">
        <f ca="1">IF(H125="",IF(D125="","",IF(U125+V125&lt;15,"Données Nb pers ou RFR manquantes",IF(COUNTA(INDIRECT("TabRFR["&amp;YEAR(D125)&amp;"]"))&lt;&gt;COUNTA(TabRFR[Recherche RFR]),"Data RFR manquantes", IF(V125&lt;=INDEX(TabRFR[[2021]:[2025]],MATCH(BD!U125&amp;"-Très modestes",TabRFR[Recherche RFR],0),MATCH(TEXT(YEAR(BD!D125),"Standard"),TabRFR[[#Headers],[2021]:[2025]],0)),"Très Modeste",IF(V125&lt;=INDEX(TabRFR[[2021]:[2025]],MATCH(BD!U125&amp;"-modestes",TabRFR[Recherche RFR],0),MATCH(TEXT(YEAR(BD!D125),"Standard"),TabRFR[[#Headers],[2021]:[2025]],0)),"Modeste",IF(V125&lt;=INDEX(TabRFR[[2021]:[2025]],MATCH(BD!U125&amp;"-Intermédiaire",TabRFR[Recherche RFR],0),MATCH(TEXT(YEAR(BD!D125),"Standard"),TabRFR[[#Headers],[2021]:[2025]],0)),"Intermédiaire","Supérieur")))))),IF(D125="","",IF(U125+V125&lt;15,"Données Nb pers ou RFR manquantes",IF(COUNTA(INDIRECT("TabRFR["&amp;YEAR(H125)&amp;"]"))&lt;&gt;COUNTA(TabRFR[Recherche RFR]),"Data RFR manquantes", IF(V125&lt;=INDEX(TabRFR[[2021]:[2025]],MATCH(BD!U125&amp;"-Très modestes",TabRFR[Recherche RFR],0),MATCH(TEXT(YEAR(BD!H125),"Standard"),TabRFR[[#Headers],[2021]:[2025]],0)),"Très Modeste",IF(V125&lt;=INDEX(TabRFR[[2021]:[2025]],MATCH(BD!U125&amp;"-modestes",TabRFR[Recherche RFR],0),MATCH(TEXT(YEAR(BD!H125),"Standard"),TabRFR[[#Headers],[2021]:[2025]],0)),"Modeste",IF(V125&lt;=INDEX(TabRFR[[2021]:[2025]],MATCH(BD!U125&amp;"-Intermédiaire",TabRFR[Recherche RFR],0),MATCH(TEXT(YEAR(BD!H125),"Standard"),TabRFR[[#Headers],[2021]:[2025]],0)),"Intermédiaire","Supérieur")))))))</f>
        <v>Data RFR manquantes</v>
      </c>
      <c r="X125" s="143"/>
      <c r="Y125" s="143" t="s">
        <v>698</v>
      </c>
      <c r="Z125" s="143">
        <v>38140</v>
      </c>
      <c r="AA125" s="143" t="s">
        <v>159</v>
      </c>
      <c r="AB125" s="148"/>
      <c r="AC125" s="149"/>
      <c r="AD125" s="143" t="s">
        <v>91</v>
      </c>
      <c r="AE125" s="143" t="s">
        <v>76</v>
      </c>
      <c r="AF125" s="143" t="s">
        <v>76</v>
      </c>
      <c r="AG125" s="143" t="s">
        <v>76</v>
      </c>
      <c r="AH125" s="143" t="s">
        <v>76</v>
      </c>
      <c r="AI125" s="135" t="s">
        <v>2748</v>
      </c>
      <c r="AJ125" s="143" t="s">
        <v>108</v>
      </c>
      <c r="AK125" s="135" t="s">
        <v>2749</v>
      </c>
      <c r="AL125" s="150" t="s">
        <v>275</v>
      </c>
      <c r="AM125" s="148">
        <v>476059444</v>
      </c>
      <c r="AN125" s="143" t="s">
        <v>76</v>
      </c>
      <c r="AO125" s="150" t="s">
        <v>102</v>
      </c>
      <c r="AP125" s="147">
        <v>44424</v>
      </c>
      <c r="AQ125" s="143" t="s">
        <v>3413</v>
      </c>
      <c r="AR125" s="143" t="s">
        <v>699</v>
      </c>
      <c r="AS125" s="143" t="s">
        <v>3413</v>
      </c>
      <c r="AT125" s="138" t="s">
        <v>98</v>
      </c>
      <c r="AU125" s="143" t="s">
        <v>276</v>
      </c>
      <c r="AV125" s="143" t="s">
        <v>700</v>
      </c>
      <c r="AW125" s="143">
        <v>14.5</v>
      </c>
      <c r="AX125" s="143">
        <v>8</v>
      </c>
      <c r="AY125" s="143">
        <v>91.5</v>
      </c>
      <c r="AZ125" s="143">
        <v>4.0000000000000001E-3</v>
      </c>
      <c r="BA125" s="143" t="s">
        <v>126</v>
      </c>
      <c r="BB125" s="143"/>
      <c r="BC125" s="143">
        <f>3930+220+175+410</f>
        <v>4735</v>
      </c>
      <c r="BD125" s="143"/>
      <c r="BE125" s="143">
        <v>490</v>
      </c>
      <c r="BF125" s="143">
        <f t="shared" si="3"/>
        <v>5225</v>
      </c>
      <c r="BG125" s="151">
        <f t="shared" si="4"/>
        <v>287.375</v>
      </c>
      <c r="BH125" s="151">
        <f t="shared" si="5"/>
        <v>5512.375</v>
      </c>
      <c r="BI125" s="151">
        <v>5512.38</v>
      </c>
      <c r="BJ125" s="143" t="s">
        <v>102</v>
      </c>
      <c r="BK125" s="143"/>
      <c r="BL125" s="143"/>
      <c r="BM125" s="144">
        <v>0</v>
      </c>
      <c r="BN125" s="144" t="s">
        <v>103</v>
      </c>
      <c r="BO125" s="144" t="s">
        <v>103</v>
      </c>
      <c r="BP125" s="203" t="s">
        <v>3582</v>
      </c>
      <c r="BQ125" s="203" t="s">
        <v>3273</v>
      </c>
    </row>
    <row r="126" spans="1:69" ht="41.1" customHeight="1">
      <c r="A126" s="206" t="s">
        <v>86</v>
      </c>
      <c r="B126" s="206" t="s">
        <v>701</v>
      </c>
      <c r="C126" s="143">
        <v>600</v>
      </c>
      <c r="D126" s="135">
        <v>44250</v>
      </c>
      <c r="E126" s="135">
        <v>44252</v>
      </c>
      <c r="F126" s="147">
        <v>44252</v>
      </c>
      <c r="G126" s="135" t="s">
        <v>702</v>
      </c>
      <c r="H126" s="147">
        <v>44252</v>
      </c>
      <c r="I126" s="147">
        <v>44252</v>
      </c>
      <c r="J126" s="147">
        <v>44230</v>
      </c>
      <c r="K126" s="135">
        <v>44330</v>
      </c>
      <c r="L126" s="135">
        <v>44323</v>
      </c>
      <c r="M126" s="135" t="s">
        <v>76</v>
      </c>
      <c r="N126" s="135">
        <v>44341</v>
      </c>
      <c r="O126" s="135">
        <v>44341</v>
      </c>
      <c r="P126" s="135">
        <v>44347</v>
      </c>
      <c r="Q126" s="135"/>
      <c r="R126" s="143"/>
      <c r="S126" s="143"/>
      <c r="T126" s="143"/>
      <c r="U126" s="143">
        <v>4</v>
      </c>
      <c r="V126" s="143">
        <v>41724</v>
      </c>
      <c r="W126" s="143" t="str">
        <f ca="1">IF(H126="",IF(D126="","",IF(U126+V126&lt;15,"Données Nb pers ou RFR manquantes",IF(COUNTA(INDIRECT("TabRFR["&amp;YEAR(D126)&amp;"]"))&lt;&gt;COUNTA(TabRFR[Recherche RFR]),"Data RFR manquantes", IF(V126&lt;=INDEX(TabRFR[[2021]:[2025]],MATCH(BD!U126&amp;"-Très modestes",TabRFR[Recherche RFR],0),MATCH(TEXT(YEAR(BD!D126),"Standard"),TabRFR[[#Headers],[2021]:[2025]],0)),"Très Modeste",IF(V126&lt;=INDEX(TabRFR[[2021]:[2025]],MATCH(BD!U126&amp;"-modestes",TabRFR[Recherche RFR],0),MATCH(TEXT(YEAR(BD!D126),"Standard"),TabRFR[[#Headers],[2021]:[2025]],0)),"Modeste",IF(V126&lt;=INDEX(TabRFR[[2021]:[2025]],MATCH(BD!U126&amp;"-Intermédiaire",TabRFR[Recherche RFR],0),MATCH(TEXT(YEAR(BD!D126),"Standard"),TabRFR[[#Headers],[2021]:[2025]],0)),"Intermédiaire","Supérieur")))))),IF(D126="","",IF(U126+V126&lt;15,"Données Nb pers ou RFR manquantes",IF(COUNTA(INDIRECT("TabRFR["&amp;YEAR(H126)&amp;"]"))&lt;&gt;COUNTA(TabRFR[Recherche RFR]),"Data RFR manquantes", IF(V126&lt;=INDEX(TabRFR[[2021]:[2025]],MATCH(BD!U126&amp;"-Très modestes",TabRFR[Recherche RFR],0),MATCH(TEXT(YEAR(BD!H126),"Standard"),TabRFR[[#Headers],[2021]:[2025]],0)),"Très Modeste",IF(V126&lt;=INDEX(TabRFR[[2021]:[2025]],MATCH(BD!U126&amp;"-modestes",TabRFR[Recherche RFR],0),MATCH(TEXT(YEAR(BD!H126),"Standard"),TabRFR[[#Headers],[2021]:[2025]],0)),"Modeste",IF(V126&lt;=INDEX(TabRFR[[2021]:[2025]],MATCH(BD!U126&amp;"-Intermédiaire",TabRFR[Recherche RFR],0),MATCH(TEXT(YEAR(BD!H126),"Standard"),TabRFR[[#Headers],[2021]:[2025]],0)),"Intermédiaire","Supérieur")))))))</f>
        <v>Intermédiaire</v>
      </c>
      <c r="X126" s="143"/>
      <c r="Y126" s="143" t="s">
        <v>703</v>
      </c>
      <c r="Z126" s="143">
        <v>38500</v>
      </c>
      <c r="AA126" s="143" t="s">
        <v>219</v>
      </c>
      <c r="AB126" s="148"/>
      <c r="AC126" s="149"/>
      <c r="AD126" s="143" t="s">
        <v>91</v>
      </c>
      <c r="AE126" s="143" t="s">
        <v>76</v>
      </c>
      <c r="AF126" s="143" t="s">
        <v>76</v>
      </c>
      <c r="AG126" s="143" t="s">
        <v>76</v>
      </c>
      <c r="AH126" s="143" t="s">
        <v>76</v>
      </c>
      <c r="AI126" s="143" t="s">
        <v>169</v>
      </c>
      <c r="AJ126" s="143" t="s">
        <v>119</v>
      </c>
      <c r="AK126" s="143" t="s">
        <v>170</v>
      </c>
      <c r="AL126" s="149" t="s">
        <v>171</v>
      </c>
      <c r="AM126" s="148">
        <v>476355605</v>
      </c>
      <c r="AN126" s="143" t="s">
        <v>76</v>
      </c>
      <c r="AO126" s="150" t="s">
        <v>102</v>
      </c>
      <c r="AP126" s="147">
        <v>44495</v>
      </c>
      <c r="AQ126" s="135" t="s">
        <v>3496</v>
      </c>
      <c r="AR126" s="143">
        <v>1996</v>
      </c>
      <c r="AS126" s="143" t="s">
        <v>3413</v>
      </c>
      <c r="AT126" s="135" t="s">
        <v>3446</v>
      </c>
      <c r="AU126" s="143" t="s">
        <v>173</v>
      </c>
      <c r="AV126" s="143" t="s">
        <v>704</v>
      </c>
      <c r="AW126" s="143">
        <v>22</v>
      </c>
      <c r="AX126" s="143">
        <v>7</v>
      </c>
      <c r="AY126" s="143">
        <v>80</v>
      </c>
      <c r="AZ126" s="143">
        <v>0.08</v>
      </c>
      <c r="BA126" s="143" t="s">
        <v>101</v>
      </c>
      <c r="BB126" s="143"/>
      <c r="BC126" s="143">
        <f>49.54+75.64+2365+218+89.6+33.54+75.6</f>
        <v>2906.9199999999996</v>
      </c>
      <c r="BD126" s="143"/>
      <c r="BE126" s="143">
        <v>525</v>
      </c>
      <c r="BF126" s="143">
        <f t="shared" si="3"/>
        <v>3431.9199999999996</v>
      </c>
      <c r="BG126" s="151">
        <f t="shared" si="4"/>
        <v>188.75559999999999</v>
      </c>
      <c r="BH126" s="151">
        <f t="shared" si="5"/>
        <v>3620.6755999999996</v>
      </c>
      <c r="BI126" s="151">
        <v>3620.68</v>
      </c>
      <c r="BJ126" s="143" t="s">
        <v>115</v>
      </c>
      <c r="BK126" s="143"/>
      <c r="BL126" s="143"/>
      <c r="BM126" s="144" t="s">
        <v>3592</v>
      </c>
      <c r="BN126" s="144" t="s">
        <v>103</v>
      </c>
      <c r="BO126" s="144" t="s">
        <v>143</v>
      </c>
      <c r="BP126" s="144">
        <v>2021</v>
      </c>
      <c r="BQ126" s="203" t="s">
        <v>3274</v>
      </c>
    </row>
    <row r="127" spans="1:69" ht="41.1" customHeight="1">
      <c r="A127" s="206" t="s">
        <v>86</v>
      </c>
      <c r="B127" s="206" t="s">
        <v>705</v>
      </c>
      <c r="C127" s="143">
        <v>1000</v>
      </c>
      <c r="D127" s="135">
        <v>44251</v>
      </c>
      <c r="E127" s="135">
        <v>44252</v>
      </c>
      <c r="F127" s="147">
        <v>44252</v>
      </c>
      <c r="G127" s="135" t="s">
        <v>706</v>
      </c>
      <c r="H127" s="147">
        <v>44259</v>
      </c>
      <c r="I127" s="147">
        <v>44259</v>
      </c>
      <c r="J127" s="147">
        <v>44270</v>
      </c>
      <c r="K127" s="135">
        <v>44628</v>
      </c>
      <c r="L127" s="135">
        <v>44561</v>
      </c>
      <c r="M127" s="135" t="s">
        <v>76</v>
      </c>
      <c r="N127" s="135">
        <v>44630</v>
      </c>
      <c r="O127" s="135">
        <v>44630</v>
      </c>
      <c r="P127" s="135">
        <v>44630</v>
      </c>
      <c r="Q127" s="135"/>
      <c r="R127" s="143"/>
      <c r="S127" s="143"/>
      <c r="T127" s="143"/>
      <c r="U127" s="143">
        <v>3</v>
      </c>
      <c r="V127" s="143">
        <v>32876</v>
      </c>
      <c r="W127" s="143" t="str">
        <f ca="1">IF(H127="",IF(D127="","",IF(U127+V127&lt;15,"Données Nb pers ou RFR manquantes",IF(COUNTA(INDIRECT("TabRFR["&amp;YEAR(D127)&amp;"]"))&lt;&gt;COUNTA(TabRFR[Recherche RFR]),"Data RFR manquantes", IF(V127&lt;=INDEX(TabRFR[[2021]:[2025]],MATCH(BD!U127&amp;"-Très modestes",TabRFR[Recherche RFR],0),MATCH(TEXT(YEAR(BD!D127),"Standard"),TabRFR[[#Headers],[2021]:[2025]],0)),"Très Modeste",IF(V127&lt;=INDEX(TabRFR[[2021]:[2025]],MATCH(BD!U127&amp;"-modestes",TabRFR[Recherche RFR],0),MATCH(TEXT(YEAR(BD!D127),"Standard"),TabRFR[[#Headers],[2021]:[2025]],0)),"Modeste",IF(V127&lt;=INDEX(TabRFR[[2021]:[2025]],MATCH(BD!U127&amp;"-Intermédiaire",TabRFR[Recherche RFR],0),MATCH(TEXT(YEAR(BD!D127),"Standard"),TabRFR[[#Headers],[2021]:[2025]],0)),"Intermédiaire","Supérieur")))))),IF(D127="","",IF(U127+V127&lt;15,"Données Nb pers ou RFR manquantes",IF(COUNTA(INDIRECT("TabRFR["&amp;YEAR(H127)&amp;"]"))&lt;&gt;COUNTA(TabRFR[Recherche RFR]),"Data RFR manquantes", IF(V127&lt;=INDEX(TabRFR[[2021]:[2025]],MATCH(BD!U127&amp;"-Très modestes",TabRFR[Recherche RFR],0),MATCH(TEXT(YEAR(BD!H127),"Standard"),TabRFR[[#Headers],[2021]:[2025]],0)),"Très Modeste",IF(V127&lt;=INDEX(TabRFR[[2021]:[2025]],MATCH(BD!U127&amp;"-modestes",TabRFR[Recherche RFR],0),MATCH(TEXT(YEAR(BD!H127),"Standard"),TabRFR[[#Headers],[2021]:[2025]],0)),"Modeste",IF(V127&lt;=INDEX(TabRFR[[2021]:[2025]],MATCH(BD!U127&amp;"-Intermédiaire",TabRFR[Recherche RFR],0),MATCH(TEXT(YEAR(BD!H127),"Standard"),TabRFR[[#Headers],[2021]:[2025]],0)),"Intermédiaire","Supérieur")))))))</f>
        <v>Modeste</v>
      </c>
      <c r="X127" s="143"/>
      <c r="Y127" s="143" t="s">
        <v>707</v>
      </c>
      <c r="Z127" s="143">
        <v>38850</v>
      </c>
      <c r="AA127" s="143" t="s">
        <v>435</v>
      </c>
      <c r="AB127" s="148"/>
      <c r="AC127" s="149"/>
      <c r="AD127" s="143" t="s">
        <v>91</v>
      </c>
      <c r="AE127" s="143" t="s">
        <v>76</v>
      </c>
      <c r="AF127" s="143" t="s">
        <v>76</v>
      </c>
      <c r="AG127" s="143" t="s">
        <v>76</v>
      </c>
      <c r="AH127" s="143" t="s">
        <v>76</v>
      </c>
      <c r="AI127" s="143" t="s">
        <v>201</v>
      </c>
      <c r="AJ127" s="143" t="s">
        <v>202</v>
      </c>
      <c r="AK127" s="143" t="s">
        <v>203</v>
      </c>
      <c r="AL127" s="150" t="s">
        <v>204</v>
      </c>
      <c r="AM127" s="148">
        <v>476065876</v>
      </c>
      <c r="AN127" s="143" t="s">
        <v>76</v>
      </c>
      <c r="AO127" s="150" t="s">
        <v>102</v>
      </c>
      <c r="AP127" s="147">
        <v>44398</v>
      </c>
      <c r="AQ127" s="135" t="s">
        <v>3449</v>
      </c>
      <c r="AR127" s="143">
        <v>1900</v>
      </c>
      <c r="AS127" s="143" t="s">
        <v>3413</v>
      </c>
      <c r="AT127" s="143" t="s">
        <v>98</v>
      </c>
      <c r="AU127" s="143" t="s">
        <v>99</v>
      </c>
      <c r="AV127" s="143" t="s">
        <v>708</v>
      </c>
      <c r="AW127" s="143">
        <v>16</v>
      </c>
      <c r="AX127" s="143">
        <v>9.1</v>
      </c>
      <c r="AY127" s="143">
        <v>91.8</v>
      </c>
      <c r="AZ127" s="143">
        <v>3.0000000000000001E-3</v>
      </c>
      <c r="BA127" s="143" t="s">
        <v>101</v>
      </c>
      <c r="BB127" s="143"/>
      <c r="BC127" s="143">
        <f>3170+520</f>
        <v>3690</v>
      </c>
      <c r="BD127" s="143"/>
      <c r="BE127" s="143">
        <v>400</v>
      </c>
      <c r="BF127" s="143">
        <f t="shared" si="3"/>
        <v>4090</v>
      </c>
      <c r="BG127" s="151">
        <f t="shared" si="4"/>
        <v>224.95</v>
      </c>
      <c r="BH127" s="151">
        <f t="shared" si="5"/>
        <v>4314.95</v>
      </c>
      <c r="BI127" s="151">
        <v>4314.95</v>
      </c>
      <c r="BJ127" s="143" t="s">
        <v>115</v>
      </c>
      <c r="BK127" s="143"/>
      <c r="BL127" s="143"/>
      <c r="BM127" s="144" t="s">
        <v>3592</v>
      </c>
      <c r="BN127" s="144" t="s">
        <v>103</v>
      </c>
      <c r="BO127" s="135" t="s">
        <v>155</v>
      </c>
      <c r="BP127" s="143" t="s">
        <v>3583</v>
      </c>
      <c r="BQ127" s="203" t="s">
        <v>3274</v>
      </c>
    </row>
    <row r="128" spans="1:69" ht="41.1" customHeight="1">
      <c r="A128" s="206" t="s">
        <v>86</v>
      </c>
      <c r="B128" s="206" t="s">
        <v>709</v>
      </c>
      <c r="C128" s="143">
        <v>600</v>
      </c>
      <c r="D128" s="135">
        <v>44251</v>
      </c>
      <c r="E128" s="135">
        <v>44252</v>
      </c>
      <c r="F128" s="147" t="s">
        <v>76</v>
      </c>
      <c r="G128" s="135" t="s">
        <v>76</v>
      </c>
      <c r="H128" s="147">
        <v>44252</v>
      </c>
      <c r="I128" s="147">
        <v>44252</v>
      </c>
      <c r="J128" s="147">
        <v>44230</v>
      </c>
      <c r="K128" s="135">
        <v>44313</v>
      </c>
      <c r="L128" s="135">
        <v>44292</v>
      </c>
      <c r="M128" s="135" t="s">
        <v>76</v>
      </c>
      <c r="N128" s="135">
        <v>44319</v>
      </c>
      <c r="O128" s="135">
        <v>44319</v>
      </c>
      <c r="P128" s="135">
        <v>44326</v>
      </c>
      <c r="Q128" s="135"/>
      <c r="R128" s="143"/>
      <c r="S128" s="143"/>
      <c r="T128" s="143"/>
      <c r="U128" s="143">
        <v>2</v>
      </c>
      <c r="V128" s="143">
        <v>129708</v>
      </c>
      <c r="W128" s="143" t="str">
        <f ca="1">IF(H128="",IF(D128="","",IF(U128+V128&lt;15,"Données Nb pers ou RFR manquantes",IF(COUNTA(INDIRECT("TabRFR["&amp;YEAR(D128)&amp;"]"))&lt;&gt;COUNTA(TabRFR[Recherche RFR]),"Data RFR manquantes", IF(V128&lt;=INDEX(TabRFR[[2021]:[2025]],MATCH(BD!U128&amp;"-Très modestes",TabRFR[Recherche RFR],0),MATCH(TEXT(YEAR(BD!D128),"Standard"),TabRFR[[#Headers],[2021]:[2025]],0)),"Très Modeste",IF(V128&lt;=INDEX(TabRFR[[2021]:[2025]],MATCH(BD!U128&amp;"-modestes",TabRFR[Recherche RFR],0),MATCH(TEXT(YEAR(BD!D128),"Standard"),TabRFR[[#Headers],[2021]:[2025]],0)),"Modeste",IF(V128&lt;=INDEX(TabRFR[[2021]:[2025]],MATCH(BD!U128&amp;"-Intermédiaire",TabRFR[Recherche RFR],0),MATCH(TEXT(YEAR(BD!D128),"Standard"),TabRFR[[#Headers],[2021]:[2025]],0)),"Intermédiaire","Supérieur")))))),IF(D128="","",IF(U128+V128&lt;15,"Données Nb pers ou RFR manquantes",IF(COUNTA(INDIRECT("TabRFR["&amp;YEAR(H128)&amp;"]"))&lt;&gt;COUNTA(TabRFR[Recherche RFR]),"Data RFR manquantes", IF(V128&lt;=INDEX(TabRFR[[2021]:[2025]],MATCH(BD!U128&amp;"-Très modestes",TabRFR[Recherche RFR],0),MATCH(TEXT(YEAR(BD!H128),"Standard"),TabRFR[[#Headers],[2021]:[2025]],0)),"Très Modeste",IF(V128&lt;=INDEX(TabRFR[[2021]:[2025]],MATCH(BD!U128&amp;"-modestes",TabRFR[Recherche RFR],0),MATCH(TEXT(YEAR(BD!H128),"Standard"),TabRFR[[#Headers],[2021]:[2025]],0)),"Modeste",IF(V128&lt;=INDEX(TabRFR[[2021]:[2025]],MATCH(BD!U128&amp;"-Intermédiaire",TabRFR[Recherche RFR],0),MATCH(TEXT(YEAR(BD!H128),"Standard"),TabRFR[[#Headers],[2021]:[2025]],0)),"Intermédiaire","Supérieur")))))))</f>
        <v>Supérieur</v>
      </c>
      <c r="X128" s="143"/>
      <c r="Y128" s="143" t="s">
        <v>710</v>
      </c>
      <c r="Z128" s="143">
        <v>38500</v>
      </c>
      <c r="AA128" s="143" t="s">
        <v>108</v>
      </c>
      <c r="AB128" s="148"/>
      <c r="AC128" s="149"/>
      <c r="AD128" s="143" t="s">
        <v>91</v>
      </c>
      <c r="AE128" s="143" t="s">
        <v>76</v>
      </c>
      <c r="AF128" s="143" t="s">
        <v>76</v>
      </c>
      <c r="AG128" s="143" t="s">
        <v>76</v>
      </c>
      <c r="AH128" s="143" t="s">
        <v>76</v>
      </c>
      <c r="AI128" s="135" t="s">
        <v>285</v>
      </c>
      <c r="AJ128" s="143" t="s">
        <v>108</v>
      </c>
      <c r="AK128" s="143" t="s">
        <v>286</v>
      </c>
      <c r="AL128" s="150" t="s">
        <v>287</v>
      </c>
      <c r="AM128" s="148">
        <v>476069938</v>
      </c>
      <c r="AN128" s="143" t="s">
        <v>76</v>
      </c>
      <c r="AO128" s="150" t="s">
        <v>102</v>
      </c>
      <c r="AP128" s="147">
        <v>44457</v>
      </c>
      <c r="AQ128" s="135" t="s">
        <v>3449</v>
      </c>
      <c r="AR128" s="143">
        <v>1963</v>
      </c>
      <c r="AS128" s="135" t="s">
        <v>3496</v>
      </c>
      <c r="AT128" s="135" t="s">
        <v>3446</v>
      </c>
      <c r="AU128" s="143" t="s">
        <v>99</v>
      </c>
      <c r="AV128" s="143" t="s">
        <v>711</v>
      </c>
      <c r="AW128" s="143">
        <v>28</v>
      </c>
      <c r="AX128" s="143">
        <v>12.6</v>
      </c>
      <c r="AY128" s="143">
        <v>76.2</v>
      </c>
      <c r="AZ128" s="143">
        <v>0.09</v>
      </c>
      <c r="BA128" s="143" t="s">
        <v>101</v>
      </c>
      <c r="BB128" s="143"/>
      <c r="BC128" s="143">
        <f>2145.4+290+550+370+140</f>
        <v>3495.4</v>
      </c>
      <c r="BD128" s="143"/>
      <c r="BE128" s="143">
        <f>320+450</f>
        <v>770</v>
      </c>
      <c r="BF128" s="143">
        <f t="shared" si="3"/>
        <v>4265.3999999999996</v>
      </c>
      <c r="BG128" s="143">
        <f t="shared" si="4"/>
        <v>234.59699999999998</v>
      </c>
      <c r="BH128" s="143">
        <f t="shared" si="5"/>
        <v>4499.9969999999994</v>
      </c>
      <c r="BI128" s="151">
        <v>4500</v>
      </c>
      <c r="BJ128" s="143" t="s">
        <v>102</v>
      </c>
      <c r="BK128" s="143"/>
      <c r="BL128" s="143"/>
      <c r="BM128" s="144" t="s">
        <v>3592</v>
      </c>
      <c r="BN128" s="144" t="s">
        <v>103</v>
      </c>
      <c r="BO128" s="144" t="s">
        <v>143</v>
      </c>
      <c r="BP128" s="144">
        <v>2021</v>
      </c>
      <c r="BQ128" s="203" t="s">
        <v>144</v>
      </c>
    </row>
    <row r="129" spans="1:69" ht="41.1" customHeight="1">
      <c r="A129" s="206" t="s">
        <v>86</v>
      </c>
      <c r="B129" s="206" t="s">
        <v>712</v>
      </c>
      <c r="C129" s="143">
        <v>600</v>
      </c>
      <c r="D129" s="135">
        <v>44252</v>
      </c>
      <c r="E129" s="135">
        <v>44253</v>
      </c>
      <c r="F129" s="147" t="s">
        <v>76</v>
      </c>
      <c r="G129" s="135" t="s">
        <v>76</v>
      </c>
      <c r="H129" s="147">
        <v>44259</v>
      </c>
      <c r="I129" s="147">
        <v>44259</v>
      </c>
      <c r="J129" s="147">
        <v>44270</v>
      </c>
      <c r="K129" s="135">
        <v>44392</v>
      </c>
      <c r="L129" s="135">
        <v>44376</v>
      </c>
      <c r="M129" s="135" t="s">
        <v>76</v>
      </c>
      <c r="N129" s="135">
        <v>44393</v>
      </c>
      <c r="O129" s="135">
        <v>44393</v>
      </c>
      <c r="P129" s="135">
        <v>44434</v>
      </c>
      <c r="Q129" s="135"/>
      <c r="R129" s="143"/>
      <c r="S129" s="143"/>
      <c r="T129" s="143"/>
      <c r="U129" s="143">
        <v>2</v>
      </c>
      <c r="V129" s="143">
        <v>42826</v>
      </c>
      <c r="W129" s="143" t="str">
        <f ca="1">IF(H129="",IF(D129="","",IF(U129+V129&lt;15,"Données Nb pers ou RFR manquantes",IF(COUNTA(INDIRECT("TabRFR["&amp;YEAR(D129)&amp;"]"))&lt;&gt;COUNTA(TabRFR[Recherche RFR]),"Data RFR manquantes", IF(V129&lt;=INDEX(TabRFR[[2021]:[2025]],MATCH(BD!U129&amp;"-Très modestes",TabRFR[Recherche RFR],0),MATCH(TEXT(YEAR(BD!D129),"Standard"),TabRFR[[#Headers],[2021]:[2025]],0)),"Très Modeste",IF(V129&lt;=INDEX(TabRFR[[2021]:[2025]],MATCH(BD!U129&amp;"-modestes",TabRFR[Recherche RFR],0),MATCH(TEXT(YEAR(BD!D129),"Standard"),TabRFR[[#Headers],[2021]:[2025]],0)),"Modeste",IF(V129&lt;=INDEX(TabRFR[[2021]:[2025]],MATCH(BD!U129&amp;"-Intermédiaire",TabRFR[Recherche RFR],0),MATCH(TEXT(YEAR(BD!D129),"Standard"),TabRFR[[#Headers],[2021]:[2025]],0)),"Intermédiaire","Supérieur")))))),IF(D129="","",IF(U129+V129&lt;15,"Données Nb pers ou RFR manquantes",IF(COUNTA(INDIRECT("TabRFR["&amp;YEAR(H129)&amp;"]"))&lt;&gt;COUNTA(TabRFR[Recherche RFR]),"Data RFR manquantes", IF(V129&lt;=INDEX(TabRFR[[2021]:[2025]],MATCH(BD!U129&amp;"-Très modestes",TabRFR[Recherche RFR],0),MATCH(TEXT(YEAR(BD!H129),"Standard"),TabRFR[[#Headers],[2021]:[2025]],0)),"Très Modeste",IF(V129&lt;=INDEX(TabRFR[[2021]:[2025]],MATCH(BD!U129&amp;"-modestes",TabRFR[Recherche RFR],0),MATCH(TEXT(YEAR(BD!H129),"Standard"),TabRFR[[#Headers],[2021]:[2025]],0)),"Modeste",IF(V129&lt;=INDEX(TabRFR[[2021]:[2025]],MATCH(BD!U129&amp;"-Intermédiaire",TabRFR[Recherche RFR],0),MATCH(TEXT(YEAR(BD!H129),"Standard"),TabRFR[[#Headers],[2021]:[2025]],0)),"Intermédiaire","Supérieur")))))))</f>
        <v>Intermédiaire</v>
      </c>
      <c r="X129" s="143"/>
      <c r="Y129" s="143" t="s">
        <v>713</v>
      </c>
      <c r="Z129" s="143">
        <v>38140</v>
      </c>
      <c r="AA129" s="143" t="s">
        <v>184</v>
      </c>
      <c r="AB129" s="148"/>
      <c r="AC129" s="149"/>
      <c r="AD129" s="143" t="s">
        <v>91</v>
      </c>
      <c r="AE129" s="143" t="s">
        <v>76</v>
      </c>
      <c r="AF129" s="143" t="s">
        <v>76</v>
      </c>
      <c r="AG129" s="143" t="s">
        <v>76</v>
      </c>
      <c r="AH129" s="143" t="s">
        <v>76</v>
      </c>
      <c r="AI129" s="143" t="s">
        <v>92</v>
      </c>
      <c r="AJ129" s="143" t="s">
        <v>93</v>
      </c>
      <c r="AK129" s="143" t="s">
        <v>94</v>
      </c>
      <c r="AL129" s="149" t="s">
        <v>95</v>
      </c>
      <c r="AM129" s="148" t="s">
        <v>96</v>
      </c>
      <c r="AN129" s="143" t="s">
        <v>76</v>
      </c>
      <c r="AO129" s="150" t="s">
        <v>97</v>
      </c>
      <c r="AP129" s="147">
        <v>44517</v>
      </c>
      <c r="AQ129" s="135" t="s">
        <v>3496</v>
      </c>
      <c r="AR129" s="143">
        <v>1990</v>
      </c>
      <c r="AS129" s="143" t="s">
        <v>3413</v>
      </c>
      <c r="AT129" s="135" t="s">
        <v>3446</v>
      </c>
      <c r="AU129" s="143" t="s">
        <v>532</v>
      </c>
      <c r="AV129" s="143" t="s">
        <v>714</v>
      </c>
      <c r="AW129" s="143">
        <v>17</v>
      </c>
      <c r="AX129" s="143">
        <v>9</v>
      </c>
      <c r="AY129" s="143">
        <v>79.5</v>
      </c>
      <c r="AZ129" s="143">
        <v>0.12</v>
      </c>
      <c r="BA129" s="143" t="s">
        <v>101</v>
      </c>
      <c r="BB129" s="143"/>
      <c r="BC129" s="143">
        <f>2650+119+45+82</f>
        <v>2896</v>
      </c>
      <c r="BD129" s="143"/>
      <c r="BE129" s="143">
        <v>490</v>
      </c>
      <c r="BF129" s="143">
        <f t="shared" si="3"/>
        <v>3386</v>
      </c>
      <c r="BG129" s="151">
        <f t="shared" si="4"/>
        <v>186.23</v>
      </c>
      <c r="BH129" s="151">
        <f t="shared" si="5"/>
        <v>3572.23</v>
      </c>
      <c r="BI129" s="151">
        <v>3572.23</v>
      </c>
      <c r="BJ129" s="143" t="s">
        <v>102</v>
      </c>
      <c r="BK129" s="143"/>
      <c r="BL129" s="143"/>
      <c r="BM129" s="144" t="s">
        <v>3592</v>
      </c>
      <c r="BN129" s="144" t="s">
        <v>103</v>
      </c>
      <c r="BO129" s="144" t="s">
        <v>143</v>
      </c>
      <c r="BP129" s="144">
        <v>2021</v>
      </c>
      <c r="BQ129" s="203" t="s">
        <v>144</v>
      </c>
    </row>
    <row r="130" spans="1:69" ht="41.1" customHeight="1">
      <c r="A130" s="206" t="s">
        <v>86</v>
      </c>
      <c r="B130" s="206" t="s">
        <v>715</v>
      </c>
      <c r="C130" s="143">
        <v>600</v>
      </c>
      <c r="D130" s="135">
        <v>44252</v>
      </c>
      <c r="E130" s="135">
        <v>44253</v>
      </c>
      <c r="F130" s="147" t="s">
        <v>76</v>
      </c>
      <c r="G130" s="135" t="s">
        <v>76</v>
      </c>
      <c r="H130" s="147">
        <v>44259</v>
      </c>
      <c r="I130" s="147">
        <v>44259</v>
      </c>
      <c r="J130" s="147">
        <v>44270</v>
      </c>
      <c r="K130" s="135">
        <v>44399</v>
      </c>
      <c r="L130" s="135">
        <v>44389</v>
      </c>
      <c r="M130" s="135" t="s">
        <v>76</v>
      </c>
      <c r="N130" s="135">
        <v>44413</v>
      </c>
      <c r="O130" s="135">
        <v>44413</v>
      </c>
      <c r="P130" s="135">
        <v>44453</v>
      </c>
      <c r="Q130" s="135"/>
      <c r="R130" s="143"/>
      <c r="S130" s="143"/>
      <c r="T130" s="143"/>
      <c r="U130" s="143">
        <v>2</v>
      </c>
      <c r="V130" s="143">
        <v>33129</v>
      </c>
      <c r="W130" s="143" t="str">
        <f ca="1">IF(H130="",IF(D130="","",IF(U130+V130&lt;15,"Données Nb pers ou RFR manquantes",IF(COUNTA(INDIRECT("TabRFR["&amp;YEAR(D130)&amp;"]"))&lt;&gt;COUNTA(TabRFR[Recherche RFR]),"Data RFR manquantes", IF(V130&lt;=INDEX(TabRFR[[2021]:[2025]],MATCH(BD!U130&amp;"-Très modestes",TabRFR[Recherche RFR],0),MATCH(TEXT(YEAR(BD!D130),"Standard"),TabRFR[[#Headers],[2021]:[2025]],0)),"Très Modeste",IF(V130&lt;=INDEX(TabRFR[[2021]:[2025]],MATCH(BD!U130&amp;"-modestes",TabRFR[Recherche RFR],0),MATCH(TEXT(YEAR(BD!D130),"Standard"),TabRFR[[#Headers],[2021]:[2025]],0)),"Modeste",IF(V130&lt;=INDEX(TabRFR[[2021]:[2025]],MATCH(BD!U130&amp;"-Intermédiaire",TabRFR[Recherche RFR],0),MATCH(TEXT(YEAR(BD!D130),"Standard"),TabRFR[[#Headers],[2021]:[2025]],0)),"Intermédiaire","Supérieur")))))),IF(D130="","",IF(U130+V130&lt;15,"Données Nb pers ou RFR manquantes",IF(COUNTA(INDIRECT("TabRFR["&amp;YEAR(H130)&amp;"]"))&lt;&gt;COUNTA(TabRFR[Recherche RFR]),"Data RFR manquantes", IF(V130&lt;=INDEX(TabRFR[[2021]:[2025]],MATCH(BD!U130&amp;"-Très modestes",TabRFR[Recherche RFR],0),MATCH(TEXT(YEAR(BD!H130),"Standard"),TabRFR[[#Headers],[2021]:[2025]],0)),"Très Modeste",IF(V130&lt;=INDEX(TabRFR[[2021]:[2025]],MATCH(BD!U130&amp;"-modestes",TabRFR[Recherche RFR],0),MATCH(TEXT(YEAR(BD!H130),"Standard"),TabRFR[[#Headers],[2021]:[2025]],0)),"Modeste",IF(V130&lt;=INDEX(TabRFR[[2021]:[2025]],MATCH(BD!U130&amp;"-Intermédiaire",TabRFR[Recherche RFR],0),MATCH(TEXT(YEAR(BD!H130),"Standard"),TabRFR[[#Headers],[2021]:[2025]],0)),"Intermédiaire","Supérieur")))))))</f>
        <v>Intermédiaire</v>
      </c>
      <c r="X130" s="143"/>
      <c r="Y130" s="143" t="s">
        <v>716</v>
      </c>
      <c r="Z130" s="143">
        <v>38140</v>
      </c>
      <c r="AA130" s="143" t="s">
        <v>159</v>
      </c>
      <c r="AB130" s="148"/>
      <c r="AC130" s="149"/>
      <c r="AD130" s="143" t="s">
        <v>91</v>
      </c>
      <c r="AE130" s="143" t="s">
        <v>76</v>
      </c>
      <c r="AF130" s="143" t="s">
        <v>76</v>
      </c>
      <c r="AG130" s="143" t="s">
        <v>76</v>
      </c>
      <c r="AH130" s="143" t="s">
        <v>76</v>
      </c>
      <c r="AI130" s="143" t="s">
        <v>169</v>
      </c>
      <c r="AJ130" s="143" t="s">
        <v>119</v>
      </c>
      <c r="AK130" s="143" t="s">
        <v>170</v>
      </c>
      <c r="AL130" s="149" t="s">
        <v>171</v>
      </c>
      <c r="AM130" s="148">
        <v>476355605</v>
      </c>
      <c r="AN130" s="143" t="s">
        <v>76</v>
      </c>
      <c r="AO130" s="150" t="s">
        <v>102</v>
      </c>
      <c r="AP130" s="147">
        <v>44495</v>
      </c>
      <c r="AQ130" s="135" t="s">
        <v>3496</v>
      </c>
      <c r="AR130" s="143">
        <v>1986</v>
      </c>
      <c r="AS130" s="143" t="s">
        <v>3413</v>
      </c>
      <c r="AT130" s="135" t="s">
        <v>3446</v>
      </c>
      <c r="AU130" s="143" t="s">
        <v>173</v>
      </c>
      <c r="AV130" s="143" t="s">
        <v>717</v>
      </c>
      <c r="AW130" s="143">
        <v>14</v>
      </c>
      <c r="AX130" s="143">
        <v>7.8</v>
      </c>
      <c r="AY130" s="143">
        <v>81</v>
      </c>
      <c r="AZ130" s="143">
        <v>0.08</v>
      </c>
      <c r="BA130" s="143" t="s">
        <v>101</v>
      </c>
      <c r="BB130" s="143"/>
      <c r="BC130" s="143">
        <f>232+24.5+44.8+118+74+235+47.55+2470+218+89.6+33.54+65.35</f>
        <v>3652.3399999999997</v>
      </c>
      <c r="BD130" s="143"/>
      <c r="BE130" s="143">
        <f>99.9+325+525</f>
        <v>949.9</v>
      </c>
      <c r="BF130" s="143">
        <f t="shared" si="3"/>
        <v>4602.24</v>
      </c>
      <c r="BG130" s="151">
        <f t="shared" si="4"/>
        <v>253.1232</v>
      </c>
      <c r="BH130" s="151">
        <f t="shared" si="5"/>
        <v>4855.3631999999998</v>
      </c>
      <c r="BI130" s="151">
        <v>4854.51</v>
      </c>
      <c r="BJ130" s="143" t="s">
        <v>102</v>
      </c>
      <c r="BK130" s="143"/>
      <c r="BL130" s="143"/>
      <c r="BM130" s="144" t="s">
        <v>3592</v>
      </c>
      <c r="BN130" s="144" t="s">
        <v>103</v>
      </c>
      <c r="BO130" s="144" t="s">
        <v>143</v>
      </c>
      <c r="BP130" s="144">
        <v>2021</v>
      </c>
      <c r="BQ130" s="203" t="s">
        <v>144</v>
      </c>
    </row>
    <row r="131" spans="1:69" ht="41.1" customHeight="1">
      <c r="A131" s="206" t="s">
        <v>86</v>
      </c>
      <c r="B131" s="206" t="s">
        <v>718</v>
      </c>
      <c r="C131" s="143">
        <v>600</v>
      </c>
      <c r="D131" s="135">
        <v>44230</v>
      </c>
      <c r="E131" s="135">
        <v>44231</v>
      </c>
      <c r="F131" s="147" t="s">
        <v>76</v>
      </c>
      <c r="G131" s="135" t="s">
        <v>76</v>
      </c>
      <c r="H131" s="147">
        <v>44259</v>
      </c>
      <c r="I131" s="147">
        <v>44259</v>
      </c>
      <c r="J131" s="147">
        <v>44270</v>
      </c>
      <c r="K131" s="135">
        <v>44347</v>
      </c>
      <c r="L131" s="135">
        <v>44336</v>
      </c>
      <c r="M131" s="135" t="s">
        <v>76</v>
      </c>
      <c r="N131" s="135">
        <v>44347</v>
      </c>
      <c r="O131" s="135">
        <v>44347</v>
      </c>
      <c r="P131" s="135">
        <v>44372</v>
      </c>
      <c r="Q131" s="135"/>
      <c r="R131" s="143"/>
      <c r="S131" s="143"/>
      <c r="T131" s="143"/>
      <c r="U131" s="143">
        <v>2</v>
      </c>
      <c r="V131" s="143">
        <v>45831</v>
      </c>
      <c r="W131" s="143" t="str">
        <f ca="1">IF(H131="",IF(D131="","",IF(U131+V131&lt;15,"Données Nb pers ou RFR manquantes",IF(COUNTA(INDIRECT("TabRFR["&amp;YEAR(D131)&amp;"]"))&lt;&gt;COUNTA(TabRFR[Recherche RFR]),"Data RFR manquantes", IF(V131&lt;=INDEX(TabRFR[[2021]:[2025]],MATCH(BD!U131&amp;"-Très modestes",TabRFR[Recherche RFR],0),MATCH(TEXT(YEAR(BD!D131),"Standard"),TabRFR[[#Headers],[2021]:[2025]],0)),"Très Modeste",IF(V131&lt;=INDEX(TabRFR[[2021]:[2025]],MATCH(BD!U131&amp;"-modestes",TabRFR[Recherche RFR],0),MATCH(TEXT(YEAR(BD!D131),"Standard"),TabRFR[[#Headers],[2021]:[2025]],0)),"Modeste",IF(V131&lt;=INDEX(TabRFR[[2021]:[2025]],MATCH(BD!U131&amp;"-Intermédiaire",TabRFR[Recherche RFR],0),MATCH(TEXT(YEAR(BD!D131),"Standard"),TabRFR[[#Headers],[2021]:[2025]],0)),"Intermédiaire","Supérieur")))))),IF(D131="","",IF(U131+V131&lt;15,"Données Nb pers ou RFR manquantes",IF(COUNTA(INDIRECT("TabRFR["&amp;YEAR(H131)&amp;"]"))&lt;&gt;COUNTA(TabRFR[Recherche RFR]),"Data RFR manquantes", IF(V131&lt;=INDEX(TabRFR[[2021]:[2025]],MATCH(BD!U131&amp;"-Très modestes",TabRFR[Recherche RFR],0),MATCH(TEXT(YEAR(BD!H131),"Standard"),TabRFR[[#Headers],[2021]:[2025]],0)),"Très Modeste",IF(V131&lt;=INDEX(TabRFR[[2021]:[2025]],MATCH(BD!U131&amp;"-modestes",TabRFR[Recherche RFR],0),MATCH(TEXT(YEAR(BD!H131),"Standard"),TabRFR[[#Headers],[2021]:[2025]],0)),"Modeste",IF(V131&lt;=INDEX(TabRFR[[2021]:[2025]],MATCH(BD!U131&amp;"-Intermédiaire",TabRFR[Recherche RFR],0),MATCH(TEXT(YEAR(BD!H131),"Standard"),TabRFR[[#Headers],[2021]:[2025]],0)),"Intermédiaire","Supérieur")))))))</f>
        <v>Supérieur</v>
      </c>
      <c r="X131" s="143"/>
      <c r="Y131" s="143" t="s">
        <v>167</v>
      </c>
      <c r="Z131" s="143">
        <v>38850</v>
      </c>
      <c r="AA131" s="143" t="s">
        <v>168</v>
      </c>
      <c r="AB131" s="148"/>
      <c r="AC131" s="149"/>
      <c r="AD131" s="143" t="s">
        <v>91</v>
      </c>
      <c r="AE131" s="143" t="s">
        <v>76</v>
      </c>
      <c r="AF131" s="143" t="s">
        <v>76</v>
      </c>
      <c r="AG131" s="143" t="s">
        <v>76</v>
      </c>
      <c r="AH131" s="143" t="s">
        <v>76</v>
      </c>
      <c r="AI131" s="143" t="s">
        <v>719</v>
      </c>
      <c r="AJ131" s="143" t="s">
        <v>720</v>
      </c>
      <c r="AK131" s="143" t="s">
        <v>721</v>
      </c>
      <c r="AL131" s="150" t="s">
        <v>722</v>
      </c>
      <c r="AM131" s="148">
        <v>479524432</v>
      </c>
      <c r="AN131" s="143" t="s">
        <v>76</v>
      </c>
      <c r="AO131" s="150" t="s">
        <v>102</v>
      </c>
      <c r="AP131" s="147">
        <v>44377</v>
      </c>
      <c r="AQ131" s="135" t="s">
        <v>3496</v>
      </c>
      <c r="AR131" s="143" t="s">
        <v>699</v>
      </c>
      <c r="AS131" s="143" t="s">
        <v>3413</v>
      </c>
      <c r="AT131" s="143" t="s">
        <v>98</v>
      </c>
      <c r="AU131" s="143" t="s">
        <v>723</v>
      </c>
      <c r="AV131" s="143" t="s">
        <v>724</v>
      </c>
      <c r="AW131" s="143">
        <v>14</v>
      </c>
      <c r="AX131" s="143">
        <v>7.9</v>
      </c>
      <c r="AY131" s="143">
        <v>87.1</v>
      </c>
      <c r="AZ131" s="143">
        <v>6.0000000000000001E-3</v>
      </c>
      <c r="BA131" s="143" t="s">
        <v>101</v>
      </c>
      <c r="BB131" s="143"/>
      <c r="BC131" s="143">
        <f>2760+490+240+80+180</f>
        <v>3750</v>
      </c>
      <c r="BD131" s="143"/>
      <c r="BE131" s="143">
        <v>81</v>
      </c>
      <c r="BF131" s="143">
        <f t="shared" si="3"/>
        <v>3831</v>
      </c>
      <c r="BG131" s="151">
        <f t="shared" si="4"/>
        <v>210.70500000000001</v>
      </c>
      <c r="BH131" s="151">
        <f t="shared" si="5"/>
        <v>4041.7049999999999</v>
      </c>
      <c r="BI131" s="151">
        <v>4083</v>
      </c>
      <c r="BJ131" s="143" t="s">
        <v>102</v>
      </c>
      <c r="BK131" s="143"/>
      <c r="BL131" s="143"/>
      <c r="BM131" s="144" t="s">
        <v>3592</v>
      </c>
      <c r="BN131" s="144" t="s">
        <v>103</v>
      </c>
      <c r="BO131" s="144" t="s">
        <v>143</v>
      </c>
      <c r="BP131" s="143" t="s">
        <v>3583</v>
      </c>
      <c r="BQ131" s="203" t="s">
        <v>144</v>
      </c>
    </row>
    <row r="132" spans="1:69" ht="41.1" customHeight="1">
      <c r="A132" s="206" t="s">
        <v>86</v>
      </c>
      <c r="B132" s="206" t="s">
        <v>725</v>
      </c>
      <c r="C132" s="143">
        <v>1000</v>
      </c>
      <c r="D132" s="135">
        <v>44260</v>
      </c>
      <c r="E132" s="135">
        <v>44263</v>
      </c>
      <c r="F132" s="147">
        <v>44278</v>
      </c>
      <c r="G132" s="135" t="s">
        <v>726</v>
      </c>
      <c r="H132" s="147">
        <v>44287</v>
      </c>
      <c r="I132" s="147">
        <v>44287</v>
      </c>
      <c r="J132" s="147">
        <v>44292</v>
      </c>
      <c r="K132" s="135">
        <v>44377</v>
      </c>
      <c r="L132" s="135">
        <v>44369</v>
      </c>
      <c r="M132" s="135" t="s">
        <v>76</v>
      </c>
      <c r="N132" s="135">
        <v>44383</v>
      </c>
      <c r="O132" s="135">
        <v>44383</v>
      </c>
      <c r="P132" s="135">
        <v>44389</v>
      </c>
      <c r="Q132" s="135"/>
      <c r="R132" s="143"/>
      <c r="S132" s="143"/>
      <c r="T132" s="143"/>
      <c r="U132" s="143">
        <v>2</v>
      </c>
      <c r="V132" s="143">
        <v>25406</v>
      </c>
      <c r="W132" s="143" t="str">
        <f ca="1">IF(H132="",IF(D132="","",IF(U132+V132&lt;15,"Données Nb pers ou RFR manquantes",IF(COUNTA(INDIRECT("TabRFR["&amp;YEAR(D132)&amp;"]"))&lt;&gt;COUNTA(TabRFR[Recherche RFR]),"Data RFR manquantes", IF(V132&lt;=INDEX(TabRFR[[2021]:[2025]],MATCH(BD!U132&amp;"-Très modestes",TabRFR[Recherche RFR],0),MATCH(TEXT(YEAR(BD!D132),"Standard"),TabRFR[[#Headers],[2021]:[2025]],0)),"Très Modeste",IF(V132&lt;=INDEX(TabRFR[[2021]:[2025]],MATCH(BD!U132&amp;"-modestes",TabRFR[Recherche RFR],0),MATCH(TEXT(YEAR(BD!D132),"Standard"),TabRFR[[#Headers],[2021]:[2025]],0)),"Modeste",IF(V132&lt;=INDEX(TabRFR[[2021]:[2025]],MATCH(BD!U132&amp;"-Intermédiaire",TabRFR[Recherche RFR],0),MATCH(TEXT(YEAR(BD!D132),"Standard"),TabRFR[[#Headers],[2021]:[2025]],0)),"Intermédiaire","Supérieur")))))),IF(D132="","",IF(U132+V132&lt;15,"Données Nb pers ou RFR manquantes",IF(COUNTA(INDIRECT("TabRFR["&amp;YEAR(H132)&amp;"]"))&lt;&gt;COUNTA(TabRFR[Recherche RFR]),"Data RFR manquantes", IF(V132&lt;=INDEX(TabRFR[[2021]:[2025]],MATCH(BD!U132&amp;"-Très modestes",TabRFR[Recherche RFR],0),MATCH(TEXT(YEAR(BD!H132),"Standard"),TabRFR[[#Headers],[2021]:[2025]],0)),"Très Modeste",IF(V132&lt;=INDEX(TabRFR[[2021]:[2025]],MATCH(BD!U132&amp;"-modestes",TabRFR[Recherche RFR],0),MATCH(TEXT(YEAR(BD!H132),"Standard"),TabRFR[[#Headers],[2021]:[2025]],0)),"Modeste",IF(V132&lt;=INDEX(TabRFR[[2021]:[2025]],MATCH(BD!U132&amp;"-Intermédiaire",TabRFR[Recherche RFR],0),MATCH(TEXT(YEAR(BD!H132),"Standard"),TabRFR[[#Headers],[2021]:[2025]],0)),"Intermédiaire","Supérieur")))))))</f>
        <v>Modeste</v>
      </c>
      <c r="X132" s="143"/>
      <c r="Y132" s="143" t="s">
        <v>727</v>
      </c>
      <c r="Z132" s="143">
        <v>38500</v>
      </c>
      <c r="AA132" s="143" t="s">
        <v>591</v>
      </c>
      <c r="AB132" s="148"/>
      <c r="AC132" s="149"/>
      <c r="AD132" s="143" t="s">
        <v>91</v>
      </c>
      <c r="AE132" s="143" t="s">
        <v>76</v>
      </c>
      <c r="AF132" s="143" t="s">
        <v>76</v>
      </c>
      <c r="AG132" s="143" t="s">
        <v>76</v>
      </c>
      <c r="AH132" s="143" t="s">
        <v>76</v>
      </c>
      <c r="AI132" s="135" t="s">
        <v>285</v>
      </c>
      <c r="AJ132" s="143" t="s">
        <v>108</v>
      </c>
      <c r="AK132" s="143" t="s">
        <v>286</v>
      </c>
      <c r="AL132" s="150" t="s">
        <v>287</v>
      </c>
      <c r="AM132" s="148">
        <v>476069938</v>
      </c>
      <c r="AN132" s="143" t="s">
        <v>76</v>
      </c>
      <c r="AO132" s="150" t="s">
        <v>102</v>
      </c>
      <c r="AP132" s="147">
        <v>44457</v>
      </c>
      <c r="AQ132" s="135" t="s">
        <v>3496</v>
      </c>
      <c r="AR132" s="143" t="s">
        <v>172</v>
      </c>
      <c r="AS132" s="135" t="s">
        <v>3496</v>
      </c>
      <c r="AT132" s="135" t="s">
        <v>3446</v>
      </c>
      <c r="AU132" s="143" t="s">
        <v>381</v>
      </c>
      <c r="AV132" s="143" t="s">
        <v>728</v>
      </c>
      <c r="AW132" s="143">
        <v>35</v>
      </c>
      <c r="AX132" s="143">
        <v>8.6</v>
      </c>
      <c r="AY132" s="143">
        <v>80.5</v>
      </c>
      <c r="AZ132" s="143">
        <v>0.1</v>
      </c>
      <c r="BA132" s="143" t="s">
        <v>101</v>
      </c>
      <c r="BB132" s="143"/>
      <c r="BC132" s="143">
        <f>760+2750+990</f>
        <v>4500</v>
      </c>
      <c r="BD132" s="143"/>
      <c r="BE132" s="143">
        <f>450+790</f>
        <v>1240</v>
      </c>
      <c r="BF132" s="143">
        <f t="shared" si="3"/>
        <v>5740</v>
      </c>
      <c r="BG132" s="143">
        <f t="shared" si="4"/>
        <v>315.7</v>
      </c>
      <c r="BH132" s="143">
        <f t="shared" si="5"/>
        <v>6055.7</v>
      </c>
      <c r="BI132" s="151">
        <v>6055.7</v>
      </c>
      <c r="BJ132" s="143" t="s">
        <v>102</v>
      </c>
      <c r="BK132" s="143"/>
      <c r="BL132" s="143"/>
      <c r="BM132" s="144" t="s">
        <v>3592</v>
      </c>
      <c r="BN132" s="144" t="s">
        <v>103</v>
      </c>
      <c r="BO132" s="135" t="s">
        <v>155</v>
      </c>
      <c r="BP132" s="144">
        <v>2021</v>
      </c>
      <c r="BQ132" s="203" t="s">
        <v>144</v>
      </c>
    </row>
    <row r="133" spans="1:69" ht="41.1" customHeight="1">
      <c r="A133" s="206" t="s">
        <v>86</v>
      </c>
      <c r="B133" s="206" t="s">
        <v>729</v>
      </c>
      <c r="C133" s="143">
        <v>1000</v>
      </c>
      <c r="D133" s="135">
        <v>44264</v>
      </c>
      <c r="E133" s="135">
        <v>44278</v>
      </c>
      <c r="F133" s="147" t="s">
        <v>76</v>
      </c>
      <c r="G133" s="135" t="s">
        <v>76</v>
      </c>
      <c r="H133" s="147">
        <v>44271</v>
      </c>
      <c r="I133" s="147">
        <v>44271</v>
      </c>
      <c r="J133" s="147">
        <v>44277</v>
      </c>
      <c r="K133" s="135">
        <v>44322</v>
      </c>
      <c r="L133" s="135">
        <v>44320</v>
      </c>
      <c r="M133" s="135" t="s">
        <v>76</v>
      </c>
      <c r="N133" s="135">
        <v>44323</v>
      </c>
      <c r="O133" s="135">
        <v>44323</v>
      </c>
      <c r="P133" s="135">
        <v>44350</v>
      </c>
      <c r="Q133" s="135"/>
      <c r="R133" s="143"/>
      <c r="S133" s="143"/>
      <c r="T133" s="143"/>
      <c r="U133" s="143">
        <v>1</v>
      </c>
      <c r="V133" s="143">
        <v>18520</v>
      </c>
      <c r="W133" s="143" t="str">
        <f ca="1">IF(H133="",IF(D133="","",IF(U133+V133&lt;15,"Données Nb pers ou RFR manquantes",IF(COUNTA(INDIRECT("TabRFR["&amp;YEAR(D133)&amp;"]"))&lt;&gt;COUNTA(TabRFR[Recherche RFR]),"Data RFR manquantes", IF(V133&lt;=INDEX(TabRFR[[2021]:[2025]],MATCH(BD!U133&amp;"-Très modestes",TabRFR[Recherche RFR],0),MATCH(TEXT(YEAR(BD!D133),"Standard"),TabRFR[[#Headers],[2021]:[2025]],0)),"Très Modeste",IF(V133&lt;=INDEX(TabRFR[[2021]:[2025]],MATCH(BD!U133&amp;"-modestes",TabRFR[Recherche RFR],0),MATCH(TEXT(YEAR(BD!D133),"Standard"),TabRFR[[#Headers],[2021]:[2025]],0)),"Modeste",IF(V133&lt;=INDEX(TabRFR[[2021]:[2025]],MATCH(BD!U133&amp;"-Intermédiaire",TabRFR[Recherche RFR],0),MATCH(TEXT(YEAR(BD!D133),"Standard"),TabRFR[[#Headers],[2021]:[2025]],0)),"Intermédiaire","Supérieur")))))),IF(D133="","",IF(U133+V133&lt;15,"Données Nb pers ou RFR manquantes",IF(COUNTA(INDIRECT("TabRFR["&amp;YEAR(H133)&amp;"]"))&lt;&gt;COUNTA(TabRFR[Recherche RFR]),"Data RFR manquantes", IF(V133&lt;=INDEX(TabRFR[[2021]:[2025]],MATCH(BD!U133&amp;"-Très modestes",TabRFR[Recherche RFR],0),MATCH(TEXT(YEAR(BD!H133),"Standard"),TabRFR[[#Headers],[2021]:[2025]],0)),"Très Modeste",IF(V133&lt;=INDEX(TabRFR[[2021]:[2025]],MATCH(BD!U133&amp;"-modestes",TabRFR[Recherche RFR],0),MATCH(TEXT(YEAR(BD!H133),"Standard"),TabRFR[[#Headers],[2021]:[2025]],0)),"Modeste",IF(V133&lt;=INDEX(TabRFR[[2021]:[2025]],MATCH(BD!U133&amp;"-Intermédiaire",TabRFR[Recherche RFR],0),MATCH(TEXT(YEAR(BD!H133),"Standard"),TabRFR[[#Headers],[2021]:[2025]],0)),"Intermédiaire","Supérieur")))))))</f>
        <v>Modeste</v>
      </c>
      <c r="X133" s="143"/>
      <c r="Y133" s="143" t="s">
        <v>730</v>
      </c>
      <c r="Z133" s="143">
        <v>38500</v>
      </c>
      <c r="AA133" s="143" t="s">
        <v>219</v>
      </c>
      <c r="AB133" s="148"/>
      <c r="AC133" s="149"/>
      <c r="AD133" s="143" t="s">
        <v>91</v>
      </c>
      <c r="AE133" s="143" t="s">
        <v>76</v>
      </c>
      <c r="AF133" s="143" t="s">
        <v>76</v>
      </c>
      <c r="AG133" s="143" t="s">
        <v>76</v>
      </c>
      <c r="AH133" s="143" t="s">
        <v>76</v>
      </c>
      <c r="AI133" s="143" t="s">
        <v>185</v>
      </c>
      <c r="AJ133" s="143" t="s">
        <v>108</v>
      </c>
      <c r="AK133" s="143" t="s">
        <v>186</v>
      </c>
      <c r="AL133" s="150" t="s">
        <v>187</v>
      </c>
      <c r="AM133" s="148">
        <v>951096343</v>
      </c>
      <c r="AN133" s="143" t="s">
        <v>76</v>
      </c>
      <c r="AO133" s="150" t="s">
        <v>102</v>
      </c>
      <c r="AP133" s="147">
        <v>44433</v>
      </c>
      <c r="AQ133" s="143" t="s">
        <v>3413</v>
      </c>
      <c r="AR133" s="143" t="s">
        <v>172</v>
      </c>
      <c r="AS133" s="143" t="s">
        <v>3413</v>
      </c>
      <c r="AT133" s="143" t="s">
        <v>98</v>
      </c>
      <c r="AU133" s="143" t="s">
        <v>188</v>
      </c>
      <c r="AV133" s="143" t="s">
        <v>189</v>
      </c>
      <c r="AW133" s="143">
        <v>20</v>
      </c>
      <c r="AX133" s="143">
        <v>8.3000000000000007</v>
      </c>
      <c r="AY133" s="143">
        <v>87</v>
      </c>
      <c r="AZ133" s="143">
        <v>1.7999999999999999E-2</v>
      </c>
      <c r="BA133" s="143" t="s">
        <v>126</v>
      </c>
      <c r="BB133" s="143"/>
      <c r="BC133" s="143">
        <f>4390+274.4+271.35+66.18+977.5+58.75</f>
        <v>6038.18</v>
      </c>
      <c r="BD133" s="143"/>
      <c r="BE133" s="143">
        <v>630</v>
      </c>
      <c r="BF133" s="143">
        <f t="shared" ref="BF133:BF196" si="6">BC133+BE133</f>
        <v>6668.18</v>
      </c>
      <c r="BG133" s="151">
        <f t="shared" ref="BG133:BG196" si="7">BF133*0.055</f>
        <v>366.74990000000003</v>
      </c>
      <c r="BH133" s="151">
        <f t="shared" ref="BH133:BH196" si="8">BF133+BG133</f>
        <v>7034.9299000000001</v>
      </c>
      <c r="BI133" s="151">
        <v>6500</v>
      </c>
      <c r="BJ133" s="143" t="s">
        <v>115</v>
      </c>
      <c r="BK133" s="143"/>
      <c r="BL133" s="143"/>
      <c r="BM133" s="144" t="s">
        <v>3592</v>
      </c>
      <c r="BN133" s="144" t="s">
        <v>103</v>
      </c>
      <c r="BO133" s="135" t="s">
        <v>155</v>
      </c>
      <c r="BP133" s="143" t="s">
        <v>3583</v>
      </c>
      <c r="BQ133" s="203" t="s">
        <v>3274</v>
      </c>
    </row>
    <row r="134" spans="1:69" ht="41.1" customHeight="1">
      <c r="A134" s="206" t="s">
        <v>86</v>
      </c>
      <c r="B134" s="206" t="s">
        <v>731</v>
      </c>
      <c r="C134" s="143">
        <v>600</v>
      </c>
      <c r="D134" s="135">
        <v>44264</v>
      </c>
      <c r="E134" s="135">
        <v>44278</v>
      </c>
      <c r="F134" s="147">
        <v>44271</v>
      </c>
      <c r="G134" s="135" t="s">
        <v>732</v>
      </c>
      <c r="H134" s="147">
        <v>44281</v>
      </c>
      <c r="I134" s="147">
        <v>44281</v>
      </c>
      <c r="J134" s="147">
        <v>44286</v>
      </c>
      <c r="K134" s="135">
        <v>44320</v>
      </c>
      <c r="L134" s="135">
        <v>44313</v>
      </c>
      <c r="M134" s="135" t="s">
        <v>76</v>
      </c>
      <c r="N134" s="135">
        <v>44322</v>
      </c>
      <c r="O134" s="135">
        <v>44322</v>
      </c>
      <c r="P134" s="135">
        <v>44333</v>
      </c>
      <c r="Q134" s="135"/>
      <c r="R134" s="143"/>
      <c r="S134" s="143"/>
      <c r="T134" s="143"/>
      <c r="U134" s="143">
        <v>3</v>
      </c>
      <c r="V134" s="143">
        <v>74146</v>
      </c>
      <c r="W134" s="143" t="str">
        <f ca="1">IF(H134="",IF(D134="","",IF(U134+V134&lt;15,"Données Nb pers ou RFR manquantes",IF(COUNTA(INDIRECT("TabRFR["&amp;YEAR(D134)&amp;"]"))&lt;&gt;COUNTA(TabRFR[Recherche RFR]),"Data RFR manquantes", IF(V134&lt;=INDEX(TabRFR[[2021]:[2025]],MATCH(BD!U134&amp;"-Très modestes",TabRFR[Recherche RFR],0),MATCH(TEXT(YEAR(BD!D134),"Standard"),TabRFR[[#Headers],[2021]:[2025]],0)),"Très Modeste",IF(V134&lt;=INDEX(TabRFR[[2021]:[2025]],MATCH(BD!U134&amp;"-modestes",TabRFR[Recherche RFR],0),MATCH(TEXT(YEAR(BD!D134),"Standard"),TabRFR[[#Headers],[2021]:[2025]],0)),"Modeste",IF(V134&lt;=INDEX(TabRFR[[2021]:[2025]],MATCH(BD!U134&amp;"-Intermédiaire",TabRFR[Recherche RFR],0),MATCH(TEXT(YEAR(BD!D134),"Standard"),TabRFR[[#Headers],[2021]:[2025]],0)),"Intermédiaire","Supérieur")))))),IF(D134="","",IF(U134+V134&lt;15,"Données Nb pers ou RFR manquantes",IF(COUNTA(INDIRECT("TabRFR["&amp;YEAR(H134)&amp;"]"))&lt;&gt;COUNTA(TabRFR[Recherche RFR]),"Data RFR manquantes", IF(V134&lt;=INDEX(TabRFR[[2021]:[2025]],MATCH(BD!U134&amp;"-Très modestes",TabRFR[Recherche RFR],0),MATCH(TEXT(YEAR(BD!H134),"Standard"),TabRFR[[#Headers],[2021]:[2025]],0)),"Très Modeste",IF(V134&lt;=INDEX(TabRFR[[2021]:[2025]],MATCH(BD!U134&amp;"-modestes",TabRFR[Recherche RFR],0),MATCH(TEXT(YEAR(BD!H134),"Standard"),TabRFR[[#Headers],[2021]:[2025]],0)),"Modeste",IF(V134&lt;=INDEX(TabRFR[[2021]:[2025]],MATCH(BD!U134&amp;"-Intermédiaire",TabRFR[Recherche RFR],0),MATCH(TEXT(YEAR(BD!H134),"Standard"),TabRFR[[#Headers],[2021]:[2025]],0)),"Intermédiaire","Supérieur")))))))</f>
        <v>Supérieur</v>
      </c>
      <c r="X134" s="143"/>
      <c r="Y134" s="143" t="s">
        <v>733</v>
      </c>
      <c r="Z134" s="143">
        <v>38340</v>
      </c>
      <c r="AA134" s="143" t="s">
        <v>266</v>
      </c>
      <c r="AB134" s="148"/>
      <c r="AC134" s="149"/>
      <c r="AD134" s="143" t="s">
        <v>91</v>
      </c>
      <c r="AE134" s="143" t="s">
        <v>76</v>
      </c>
      <c r="AF134" s="143" t="s">
        <v>76</v>
      </c>
      <c r="AG134" s="143" t="s">
        <v>76</v>
      </c>
      <c r="AH134" s="143" t="s">
        <v>76</v>
      </c>
      <c r="AI134" s="135" t="s">
        <v>2703</v>
      </c>
      <c r="AJ134" s="143" t="s">
        <v>266</v>
      </c>
      <c r="AK134" s="143" t="s">
        <v>317</v>
      </c>
      <c r="AL134" s="150" t="s">
        <v>318</v>
      </c>
      <c r="AM134" s="148">
        <v>476500550</v>
      </c>
      <c r="AN134" s="143" t="s">
        <v>76</v>
      </c>
      <c r="AO134" s="150" t="s">
        <v>102</v>
      </c>
      <c r="AP134" s="147">
        <v>44375</v>
      </c>
      <c r="AQ134" s="143" t="s">
        <v>3413</v>
      </c>
      <c r="AR134" s="143">
        <v>2001</v>
      </c>
      <c r="AS134" s="143" t="s">
        <v>3413</v>
      </c>
      <c r="AT134" s="135" t="s">
        <v>3446</v>
      </c>
      <c r="AU134" s="143" t="s">
        <v>319</v>
      </c>
      <c r="AV134" s="143" t="s">
        <v>734</v>
      </c>
      <c r="AW134" s="143">
        <v>8</v>
      </c>
      <c r="AX134" s="143">
        <v>4</v>
      </c>
      <c r="AY134" s="143">
        <v>76</v>
      </c>
      <c r="AZ134" s="143">
        <v>0.09</v>
      </c>
      <c r="BA134" s="143" t="s">
        <v>101</v>
      </c>
      <c r="BB134" s="143"/>
      <c r="BC134" s="143">
        <f>338.99+61.09+152.53+2458.33+205.2</f>
        <v>3216.14</v>
      </c>
      <c r="BD134" s="143"/>
      <c r="BE134" s="143">
        <f>40+650</f>
        <v>690</v>
      </c>
      <c r="BF134" s="143">
        <f t="shared" si="6"/>
        <v>3906.14</v>
      </c>
      <c r="BG134" s="151">
        <f t="shared" si="7"/>
        <v>214.83769999999998</v>
      </c>
      <c r="BH134" s="151">
        <f t="shared" si="8"/>
        <v>4120.9776999999995</v>
      </c>
      <c r="BI134" s="151">
        <v>3637.44</v>
      </c>
      <c r="BJ134" s="143" t="s">
        <v>102</v>
      </c>
      <c r="BK134" s="143"/>
      <c r="BL134" s="143"/>
      <c r="BM134" s="144" t="s">
        <v>3592</v>
      </c>
      <c r="BN134" s="144" t="s">
        <v>103</v>
      </c>
      <c r="BO134" s="144" t="s">
        <v>143</v>
      </c>
      <c r="BP134" s="144">
        <v>2021</v>
      </c>
      <c r="BQ134" s="203" t="s">
        <v>144</v>
      </c>
    </row>
    <row r="135" spans="1:69" ht="41.1" customHeight="1">
      <c r="A135" s="206" t="s">
        <v>86</v>
      </c>
      <c r="B135" s="206" t="s">
        <v>735</v>
      </c>
      <c r="C135" s="143">
        <v>600</v>
      </c>
      <c r="D135" s="135">
        <v>44267</v>
      </c>
      <c r="E135" s="135">
        <v>44278</v>
      </c>
      <c r="F135" s="147" t="s">
        <v>76</v>
      </c>
      <c r="G135" s="135" t="s">
        <v>76</v>
      </c>
      <c r="H135" s="147">
        <v>44271</v>
      </c>
      <c r="I135" s="147">
        <v>44271</v>
      </c>
      <c r="J135" s="147">
        <v>44277</v>
      </c>
      <c r="K135" s="135">
        <v>44308</v>
      </c>
      <c r="L135" s="135">
        <v>44299</v>
      </c>
      <c r="M135" s="135" t="s">
        <v>76</v>
      </c>
      <c r="N135" s="135">
        <v>44308</v>
      </c>
      <c r="O135" s="135">
        <v>44308</v>
      </c>
      <c r="P135" s="135">
        <v>44328</v>
      </c>
      <c r="Q135" s="135"/>
      <c r="R135" s="143"/>
      <c r="S135" s="143"/>
      <c r="T135" s="143"/>
      <c r="U135" s="143">
        <v>3</v>
      </c>
      <c r="V135" s="143">
        <f>19071+21873</f>
        <v>40944</v>
      </c>
      <c r="W135" s="143" t="str">
        <f ca="1">IF(H135="",IF(D135="","",IF(U135+V135&lt;15,"Données Nb pers ou RFR manquantes",IF(COUNTA(INDIRECT("TabRFR["&amp;YEAR(D135)&amp;"]"))&lt;&gt;COUNTA(TabRFR[Recherche RFR]),"Data RFR manquantes", IF(V135&lt;=INDEX(TabRFR[[2021]:[2025]],MATCH(BD!U135&amp;"-Très modestes",TabRFR[Recherche RFR],0),MATCH(TEXT(YEAR(BD!D135),"Standard"),TabRFR[[#Headers],[2021]:[2025]],0)),"Très Modeste",IF(V135&lt;=INDEX(TabRFR[[2021]:[2025]],MATCH(BD!U135&amp;"-modestes",TabRFR[Recherche RFR],0),MATCH(TEXT(YEAR(BD!D135),"Standard"),TabRFR[[#Headers],[2021]:[2025]],0)),"Modeste",IF(V135&lt;=INDEX(TabRFR[[2021]:[2025]],MATCH(BD!U135&amp;"-Intermédiaire",TabRFR[Recherche RFR],0),MATCH(TEXT(YEAR(BD!D135),"Standard"),TabRFR[[#Headers],[2021]:[2025]],0)),"Intermédiaire","Supérieur")))))),IF(D135="","",IF(U135+V135&lt;15,"Données Nb pers ou RFR manquantes",IF(COUNTA(INDIRECT("TabRFR["&amp;YEAR(H135)&amp;"]"))&lt;&gt;COUNTA(TabRFR[Recherche RFR]),"Data RFR manquantes", IF(V135&lt;=INDEX(TabRFR[[2021]:[2025]],MATCH(BD!U135&amp;"-Très modestes",TabRFR[Recherche RFR],0),MATCH(TEXT(YEAR(BD!H135),"Standard"),TabRFR[[#Headers],[2021]:[2025]],0)),"Très Modeste",IF(V135&lt;=INDEX(TabRFR[[2021]:[2025]],MATCH(BD!U135&amp;"-modestes",TabRFR[Recherche RFR],0),MATCH(TEXT(YEAR(BD!H135),"Standard"),TabRFR[[#Headers],[2021]:[2025]],0)),"Modeste",IF(V135&lt;=INDEX(TabRFR[[2021]:[2025]],MATCH(BD!U135&amp;"-Intermédiaire",TabRFR[Recherche RFR],0),MATCH(TEXT(YEAR(BD!H135),"Standard"),TabRFR[[#Headers],[2021]:[2025]],0)),"Intermédiaire","Supérieur")))))))</f>
        <v>Intermédiaire</v>
      </c>
      <c r="X135" s="143"/>
      <c r="Y135" s="143" t="s">
        <v>736</v>
      </c>
      <c r="Z135" s="143">
        <v>38140</v>
      </c>
      <c r="AA135" s="143" t="s">
        <v>159</v>
      </c>
      <c r="AB135" s="148"/>
      <c r="AC135" s="149"/>
      <c r="AD135" s="143" t="s">
        <v>91</v>
      </c>
      <c r="AE135" s="143" t="s">
        <v>76</v>
      </c>
      <c r="AF135" s="143" t="s">
        <v>76</v>
      </c>
      <c r="AG135" s="143" t="s">
        <v>76</v>
      </c>
      <c r="AH135" s="143" t="s">
        <v>76</v>
      </c>
      <c r="AI135" s="143" t="s">
        <v>169</v>
      </c>
      <c r="AJ135" s="143" t="s">
        <v>119</v>
      </c>
      <c r="AK135" s="143" t="s">
        <v>170</v>
      </c>
      <c r="AL135" s="149" t="s">
        <v>171</v>
      </c>
      <c r="AM135" s="148">
        <v>476355605</v>
      </c>
      <c r="AN135" s="143" t="s">
        <v>76</v>
      </c>
      <c r="AO135" s="150" t="s">
        <v>102</v>
      </c>
      <c r="AP135" s="147">
        <v>44495</v>
      </c>
      <c r="AQ135" s="135" t="s">
        <v>3496</v>
      </c>
      <c r="AR135" s="143">
        <v>1996</v>
      </c>
      <c r="AS135" s="135" t="s">
        <v>3496</v>
      </c>
      <c r="AT135" s="135" t="s">
        <v>3446</v>
      </c>
      <c r="AU135" s="143" t="s">
        <v>173</v>
      </c>
      <c r="AV135" s="143" t="s">
        <v>526</v>
      </c>
      <c r="AW135" s="143">
        <v>26</v>
      </c>
      <c r="AX135" s="143">
        <v>8</v>
      </c>
      <c r="AY135" s="143">
        <v>81</v>
      </c>
      <c r="AZ135" s="143">
        <v>7.0000000000000007E-2</v>
      </c>
      <c r="BA135" s="143" t="s">
        <v>101</v>
      </c>
      <c r="BB135" s="143"/>
      <c r="BC135" s="143">
        <f>395.6+365.75+1645+266.4+565+479</f>
        <v>3716.75</v>
      </c>
      <c r="BD135" s="143"/>
      <c r="BE135" s="143">
        <f>118.56+1050</f>
        <v>1168.56</v>
      </c>
      <c r="BF135" s="143">
        <f t="shared" si="6"/>
        <v>4885.3099999999995</v>
      </c>
      <c r="BG135" s="151">
        <f t="shared" si="7"/>
        <v>268.69204999999999</v>
      </c>
      <c r="BH135" s="151">
        <f t="shared" si="8"/>
        <v>5154.0020499999991</v>
      </c>
      <c r="BI135" s="151">
        <v>5154</v>
      </c>
      <c r="BJ135" s="143" t="s">
        <v>115</v>
      </c>
      <c r="BK135" s="143"/>
      <c r="BL135" s="143"/>
      <c r="BM135" s="144" t="s">
        <v>3592</v>
      </c>
      <c r="BN135" s="144" t="s">
        <v>103</v>
      </c>
      <c r="BO135" s="144" t="s">
        <v>143</v>
      </c>
      <c r="BP135" s="144">
        <v>2021</v>
      </c>
      <c r="BQ135" s="203" t="s">
        <v>3274</v>
      </c>
    </row>
    <row r="136" spans="1:69" ht="41.1" customHeight="1">
      <c r="A136" s="206" t="s">
        <v>86</v>
      </c>
      <c r="B136" s="206" t="s">
        <v>737</v>
      </c>
      <c r="C136" s="143">
        <v>600</v>
      </c>
      <c r="D136" s="135">
        <v>44267</v>
      </c>
      <c r="E136" s="135">
        <v>44278</v>
      </c>
      <c r="F136" s="147">
        <v>44271</v>
      </c>
      <c r="G136" s="135" t="s">
        <v>571</v>
      </c>
      <c r="H136" s="147">
        <v>44319</v>
      </c>
      <c r="I136" s="147">
        <v>44319</v>
      </c>
      <c r="J136" s="147">
        <v>44326</v>
      </c>
      <c r="K136" s="135">
        <v>44361</v>
      </c>
      <c r="L136" s="135">
        <v>44336</v>
      </c>
      <c r="M136" s="135" t="s">
        <v>76</v>
      </c>
      <c r="N136" s="135">
        <v>44362</v>
      </c>
      <c r="O136" s="135">
        <v>44362</v>
      </c>
      <c r="P136" s="135">
        <v>44378</v>
      </c>
      <c r="Q136" s="135"/>
      <c r="R136" s="143"/>
      <c r="S136" s="143"/>
      <c r="T136" s="143"/>
      <c r="U136" s="143">
        <v>2</v>
      </c>
      <c r="V136" s="143">
        <v>115275</v>
      </c>
      <c r="W136" s="143" t="str">
        <f ca="1">IF(H136="",IF(D136="","",IF(U136+V136&lt;15,"Données Nb pers ou RFR manquantes",IF(COUNTA(INDIRECT("TabRFR["&amp;YEAR(D136)&amp;"]"))&lt;&gt;COUNTA(TabRFR[Recherche RFR]),"Data RFR manquantes", IF(V136&lt;=INDEX(TabRFR[[2021]:[2025]],MATCH(BD!U136&amp;"-Très modestes",TabRFR[Recherche RFR],0),MATCH(TEXT(YEAR(BD!D136),"Standard"),TabRFR[[#Headers],[2021]:[2025]],0)),"Très Modeste",IF(V136&lt;=INDEX(TabRFR[[2021]:[2025]],MATCH(BD!U136&amp;"-modestes",TabRFR[Recherche RFR],0),MATCH(TEXT(YEAR(BD!D136),"Standard"),TabRFR[[#Headers],[2021]:[2025]],0)),"Modeste",IF(V136&lt;=INDEX(TabRFR[[2021]:[2025]],MATCH(BD!U136&amp;"-Intermédiaire",TabRFR[Recherche RFR],0),MATCH(TEXT(YEAR(BD!D136),"Standard"),TabRFR[[#Headers],[2021]:[2025]],0)),"Intermédiaire","Supérieur")))))),IF(D136="","",IF(U136+V136&lt;15,"Données Nb pers ou RFR manquantes",IF(COUNTA(INDIRECT("TabRFR["&amp;YEAR(H136)&amp;"]"))&lt;&gt;COUNTA(TabRFR[Recherche RFR]),"Data RFR manquantes", IF(V136&lt;=INDEX(TabRFR[[2021]:[2025]],MATCH(BD!U136&amp;"-Très modestes",TabRFR[Recherche RFR],0),MATCH(TEXT(YEAR(BD!H136),"Standard"),TabRFR[[#Headers],[2021]:[2025]],0)),"Très Modeste",IF(V136&lt;=INDEX(TabRFR[[2021]:[2025]],MATCH(BD!U136&amp;"-modestes",TabRFR[Recherche RFR],0),MATCH(TEXT(YEAR(BD!H136),"Standard"),TabRFR[[#Headers],[2021]:[2025]],0)),"Modeste",IF(V136&lt;=INDEX(TabRFR[[2021]:[2025]],MATCH(BD!U136&amp;"-Intermédiaire",TabRFR[Recherche RFR],0),MATCH(TEXT(YEAR(BD!H136),"Standard"),TabRFR[[#Headers],[2021]:[2025]],0)),"Intermédiaire","Supérieur")))))))</f>
        <v>Supérieur</v>
      </c>
      <c r="X136" s="143"/>
      <c r="Y136" s="143" t="s">
        <v>739</v>
      </c>
      <c r="Z136" s="143">
        <v>38340</v>
      </c>
      <c r="AA136" s="143" t="s">
        <v>413</v>
      </c>
      <c r="AB136" s="148"/>
      <c r="AC136" s="149"/>
      <c r="AD136" s="143" t="s">
        <v>91</v>
      </c>
      <c r="AE136" s="143" t="s">
        <v>76</v>
      </c>
      <c r="AF136" s="143" t="s">
        <v>76</v>
      </c>
      <c r="AG136" s="143" t="s">
        <v>76</v>
      </c>
      <c r="AH136" s="143" t="s">
        <v>76</v>
      </c>
      <c r="AI136" s="143" t="s">
        <v>740</v>
      </c>
      <c r="AJ136" s="143" t="s">
        <v>741</v>
      </c>
      <c r="AK136" s="143" t="s">
        <v>742</v>
      </c>
      <c r="AL136" s="150" t="s">
        <v>743</v>
      </c>
      <c r="AM136" s="148">
        <v>476441060</v>
      </c>
      <c r="AN136" s="143" t="s">
        <v>76</v>
      </c>
      <c r="AO136" s="150" t="s">
        <v>102</v>
      </c>
      <c r="AP136" s="147">
        <v>44398</v>
      </c>
      <c r="AQ136" s="135" t="s">
        <v>3496</v>
      </c>
      <c r="AR136" s="143">
        <v>1990</v>
      </c>
      <c r="AS136" s="143" t="s">
        <v>3413</v>
      </c>
      <c r="AT136" s="135" t="s">
        <v>3446</v>
      </c>
      <c r="AU136" s="143" t="s">
        <v>744</v>
      </c>
      <c r="AV136" s="143" t="s">
        <v>745</v>
      </c>
      <c r="AW136" s="143">
        <v>11</v>
      </c>
      <c r="AX136" s="143">
        <v>5.7</v>
      </c>
      <c r="AY136" s="143">
        <v>85</v>
      </c>
      <c r="AZ136" s="143">
        <v>7.0000000000000007E-2</v>
      </c>
      <c r="BA136" s="143" t="s">
        <v>101</v>
      </c>
      <c r="BB136" s="143"/>
      <c r="BC136" s="143">
        <f>550+6238.33+1870.81+295+145+145</f>
        <v>9244.14</v>
      </c>
      <c r="BD136" s="143"/>
      <c r="BE136" s="143">
        <f>1400+400+152+1100</f>
        <v>3052</v>
      </c>
      <c r="BF136" s="143">
        <f t="shared" si="6"/>
        <v>12296.14</v>
      </c>
      <c r="BG136" s="151">
        <f t="shared" si="7"/>
        <v>676.28769999999997</v>
      </c>
      <c r="BH136" s="151">
        <f t="shared" si="8"/>
        <v>12972.4277</v>
      </c>
      <c r="BI136" s="151">
        <v>12000</v>
      </c>
      <c r="BJ136" s="143" t="s">
        <v>102</v>
      </c>
      <c r="BK136" s="143"/>
      <c r="BL136" s="143"/>
      <c r="BM136" s="144" t="s">
        <v>3592</v>
      </c>
      <c r="BN136" s="144" t="s">
        <v>103</v>
      </c>
      <c r="BO136" s="144" t="s">
        <v>143</v>
      </c>
      <c r="BP136" s="144">
        <v>2021</v>
      </c>
      <c r="BQ136" s="203" t="s">
        <v>144</v>
      </c>
    </row>
    <row r="137" spans="1:69" ht="41.1" customHeight="1">
      <c r="A137" s="206" t="s">
        <v>86</v>
      </c>
      <c r="B137" s="206" t="s">
        <v>746</v>
      </c>
      <c r="C137" s="143">
        <v>600</v>
      </c>
      <c r="D137" s="135">
        <v>44267</v>
      </c>
      <c r="E137" s="135">
        <v>44278</v>
      </c>
      <c r="F137" s="147" t="s">
        <v>76</v>
      </c>
      <c r="G137" s="135" t="s">
        <v>76</v>
      </c>
      <c r="H137" s="147">
        <v>44271</v>
      </c>
      <c r="I137" s="147">
        <v>44271</v>
      </c>
      <c r="J137" s="147">
        <v>44277</v>
      </c>
      <c r="K137" s="135">
        <v>44379</v>
      </c>
      <c r="L137" s="135">
        <v>44338</v>
      </c>
      <c r="M137" s="135" t="s">
        <v>76</v>
      </c>
      <c r="N137" s="135">
        <v>44393</v>
      </c>
      <c r="O137" s="135">
        <v>44393</v>
      </c>
      <c r="P137" s="135">
        <v>44434</v>
      </c>
      <c r="Q137" s="135"/>
      <c r="R137" s="143"/>
      <c r="S137" s="143"/>
      <c r="T137" s="143"/>
      <c r="U137" s="143">
        <v>1</v>
      </c>
      <c r="V137" s="143">
        <v>24759</v>
      </c>
      <c r="W137" s="143" t="str">
        <f ca="1">IF(H137="",IF(D137="","",IF(U137+V137&lt;15,"Données Nb pers ou RFR manquantes",IF(COUNTA(INDIRECT("TabRFR["&amp;YEAR(D137)&amp;"]"))&lt;&gt;COUNTA(TabRFR[Recherche RFR]),"Data RFR manquantes", IF(V137&lt;=INDEX(TabRFR[[2021]:[2025]],MATCH(BD!U137&amp;"-Très modestes",TabRFR[Recherche RFR],0),MATCH(TEXT(YEAR(BD!D137),"Standard"),TabRFR[[#Headers],[2021]:[2025]],0)),"Très Modeste",IF(V137&lt;=INDEX(TabRFR[[2021]:[2025]],MATCH(BD!U137&amp;"-modestes",TabRFR[Recherche RFR],0),MATCH(TEXT(YEAR(BD!D137),"Standard"),TabRFR[[#Headers],[2021]:[2025]],0)),"Modeste",IF(V137&lt;=INDEX(TabRFR[[2021]:[2025]],MATCH(BD!U137&amp;"-Intermédiaire",TabRFR[Recherche RFR],0),MATCH(TEXT(YEAR(BD!D137),"Standard"),TabRFR[[#Headers],[2021]:[2025]],0)),"Intermédiaire","Supérieur")))))),IF(D137="","",IF(U137+V137&lt;15,"Données Nb pers ou RFR manquantes",IF(COUNTA(INDIRECT("TabRFR["&amp;YEAR(H137)&amp;"]"))&lt;&gt;COUNTA(TabRFR[Recherche RFR]),"Data RFR manquantes", IF(V137&lt;=INDEX(TabRFR[[2021]:[2025]],MATCH(BD!U137&amp;"-Très modestes",TabRFR[Recherche RFR],0),MATCH(TEXT(YEAR(BD!H137),"Standard"),TabRFR[[#Headers],[2021]:[2025]],0)),"Très Modeste",IF(V137&lt;=INDEX(TabRFR[[2021]:[2025]],MATCH(BD!U137&amp;"-modestes",TabRFR[Recherche RFR],0),MATCH(TEXT(YEAR(BD!H137),"Standard"),TabRFR[[#Headers],[2021]:[2025]],0)),"Modeste",IF(V137&lt;=INDEX(TabRFR[[2021]:[2025]],MATCH(BD!U137&amp;"-Intermédiaire",TabRFR[Recherche RFR],0),MATCH(TEXT(YEAR(BD!H137),"Standard"),TabRFR[[#Headers],[2021]:[2025]],0)),"Intermédiaire","Supérieur")))))))</f>
        <v>Intermédiaire</v>
      </c>
      <c r="X137" s="143"/>
      <c r="Y137" s="143" t="s">
        <v>429</v>
      </c>
      <c r="Z137" s="143">
        <v>38140</v>
      </c>
      <c r="AA137" s="143" t="s">
        <v>184</v>
      </c>
      <c r="AB137" s="148"/>
      <c r="AC137" s="149"/>
      <c r="AD137" s="143" t="s">
        <v>91</v>
      </c>
      <c r="AE137" s="143" t="s">
        <v>76</v>
      </c>
      <c r="AF137" s="143" t="s">
        <v>76</v>
      </c>
      <c r="AG137" s="143" t="s">
        <v>76</v>
      </c>
      <c r="AH137" s="143" t="s">
        <v>76</v>
      </c>
      <c r="AI137" s="143" t="s">
        <v>109</v>
      </c>
      <c r="AJ137" s="143" t="s">
        <v>108</v>
      </c>
      <c r="AK137" s="143" t="s">
        <v>110</v>
      </c>
      <c r="AL137" s="149" t="s">
        <v>111</v>
      </c>
      <c r="AM137" s="148" t="s">
        <v>112</v>
      </c>
      <c r="AN137" s="143" t="s">
        <v>76</v>
      </c>
      <c r="AO137" s="150" t="s">
        <v>102</v>
      </c>
      <c r="AP137" s="147">
        <v>44503</v>
      </c>
      <c r="AQ137" s="135" t="s">
        <v>3496</v>
      </c>
      <c r="AR137" s="143">
        <v>1980</v>
      </c>
      <c r="AS137" s="143" t="s">
        <v>3413</v>
      </c>
      <c r="AT137" s="135" t="s">
        <v>3446</v>
      </c>
      <c r="AU137" s="143" t="s">
        <v>173</v>
      </c>
      <c r="AV137" s="143" t="s">
        <v>747</v>
      </c>
      <c r="AW137" s="143">
        <v>18</v>
      </c>
      <c r="AX137" s="143">
        <v>7.6</v>
      </c>
      <c r="AY137" s="143">
        <v>76</v>
      </c>
      <c r="AZ137" s="143">
        <v>0.08</v>
      </c>
      <c r="BA137" s="143" t="s">
        <v>101</v>
      </c>
      <c r="BB137" s="143"/>
      <c r="BC137" s="143">
        <f>2985+262.5+85+101+89+120+90+45+47+15</f>
        <v>3839.5</v>
      </c>
      <c r="BD137" s="143"/>
      <c r="BE137" s="143">
        <f>400+30+450</f>
        <v>880</v>
      </c>
      <c r="BF137" s="143">
        <f t="shared" si="6"/>
        <v>4719.5</v>
      </c>
      <c r="BG137" s="151">
        <f t="shared" si="7"/>
        <v>259.57249999999999</v>
      </c>
      <c r="BH137" s="151">
        <f t="shared" si="8"/>
        <v>4979.0725000000002</v>
      </c>
      <c r="BI137" s="151">
        <v>4349.24</v>
      </c>
      <c r="BJ137" s="143" t="s">
        <v>102</v>
      </c>
      <c r="BK137" s="143"/>
      <c r="BL137" s="143"/>
      <c r="BM137" s="144" t="s">
        <v>3592</v>
      </c>
      <c r="BN137" s="144" t="s">
        <v>103</v>
      </c>
      <c r="BO137" s="144" t="s">
        <v>143</v>
      </c>
      <c r="BP137" s="143">
        <v>2021</v>
      </c>
      <c r="BQ137" s="203" t="s">
        <v>144</v>
      </c>
    </row>
    <row r="138" spans="1:69" ht="41.1" customHeight="1">
      <c r="A138" s="206" t="s">
        <v>86</v>
      </c>
      <c r="B138" s="206" t="s">
        <v>748</v>
      </c>
      <c r="C138" s="143">
        <v>600</v>
      </c>
      <c r="D138" s="135">
        <v>44267</v>
      </c>
      <c r="E138" s="135">
        <v>44278</v>
      </c>
      <c r="F138" s="147" t="s">
        <v>76</v>
      </c>
      <c r="G138" s="135" t="s">
        <v>76</v>
      </c>
      <c r="H138" s="147">
        <v>44271</v>
      </c>
      <c r="I138" s="147">
        <v>44271</v>
      </c>
      <c r="J138" s="147">
        <v>44277</v>
      </c>
      <c r="K138" s="135">
        <v>44384</v>
      </c>
      <c r="L138" s="135">
        <v>44353</v>
      </c>
      <c r="M138" s="135" t="s">
        <v>749</v>
      </c>
      <c r="N138" s="135">
        <v>44438</v>
      </c>
      <c r="O138" s="135">
        <v>44438</v>
      </c>
      <c r="P138" s="135">
        <v>44455</v>
      </c>
      <c r="Q138" s="135"/>
      <c r="R138" s="143"/>
      <c r="S138" s="143"/>
      <c r="T138" s="143"/>
      <c r="U138" s="143">
        <v>2</v>
      </c>
      <c r="V138" s="143">
        <v>36068</v>
      </c>
      <c r="W138" s="143" t="str">
        <f ca="1">IF(H138="",IF(D138="","",IF(U138+V138&lt;15,"Données Nb pers ou RFR manquantes",IF(COUNTA(INDIRECT("TabRFR["&amp;YEAR(D138)&amp;"]"))&lt;&gt;COUNTA(TabRFR[Recherche RFR]),"Data RFR manquantes", IF(V138&lt;=INDEX(TabRFR[[2021]:[2025]],MATCH(BD!U138&amp;"-Très modestes",TabRFR[Recherche RFR],0),MATCH(TEXT(YEAR(BD!D138),"Standard"),TabRFR[[#Headers],[2021]:[2025]],0)),"Très Modeste",IF(V138&lt;=INDEX(TabRFR[[2021]:[2025]],MATCH(BD!U138&amp;"-modestes",TabRFR[Recherche RFR],0),MATCH(TEXT(YEAR(BD!D138),"Standard"),TabRFR[[#Headers],[2021]:[2025]],0)),"Modeste",IF(V138&lt;=INDEX(TabRFR[[2021]:[2025]],MATCH(BD!U138&amp;"-Intermédiaire",TabRFR[Recherche RFR],0),MATCH(TEXT(YEAR(BD!D138),"Standard"),TabRFR[[#Headers],[2021]:[2025]],0)),"Intermédiaire","Supérieur")))))),IF(D138="","",IF(U138+V138&lt;15,"Données Nb pers ou RFR manquantes",IF(COUNTA(INDIRECT("TabRFR["&amp;YEAR(H138)&amp;"]"))&lt;&gt;COUNTA(TabRFR[Recherche RFR]),"Data RFR manquantes", IF(V138&lt;=INDEX(TabRFR[[2021]:[2025]],MATCH(BD!U138&amp;"-Très modestes",TabRFR[Recherche RFR],0),MATCH(TEXT(YEAR(BD!H138),"Standard"),TabRFR[[#Headers],[2021]:[2025]],0)),"Très Modeste",IF(V138&lt;=INDEX(TabRFR[[2021]:[2025]],MATCH(BD!U138&amp;"-modestes",TabRFR[Recherche RFR],0),MATCH(TEXT(YEAR(BD!H138),"Standard"),TabRFR[[#Headers],[2021]:[2025]],0)),"Modeste",IF(V138&lt;=INDEX(TabRFR[[2021]:[2025]],MATCH(BD!U138&amp;"-Intermédiaire",TabRFR[Recherche RFR],0),MATCH(TEXT(YEAR(BD!H138),"Standard"),TabRFR[[#Headers],[2021]:[2025]],0)),"Intermédiaire","Supérieur")))))))</f>
        <v>Intermédiaire</v>
      </c>
      <c r="X138" s="143"/>
      <c r="Y138" s="143" t="s">
        <v>750</v>
      </c>
      <c r="Z138" s="143">
        <v>38620</v>
      </c>
      <c r="AA138" s="143" t="s">
        <v>680</v>
      </c>
      <c r="AB138" s="148"/>
      <c r="AC138" s="149"/>
      <c r="AD138" s="143" t="s">
        <v>91</v>
      </c>
      <c r="AE138" s="143" t="s">
        <v>76</v>
      </c>
      <c r="AF138" s="143" t="s">
        <v>76</v>
      </c>
      <c r="AG138" s="143" t="s">
        <v>76</v>
      </c>
      <c r="AH138" s="143" t="s">
        <v>76</v>
      </c>
      <c r="AI138" s="143" t="s">
        <v>109</v>
      </c>
      <c r="AJ138" s="143" t="s">
        <v>108</v>
      </c>
      <c r="AK138" s="143" t="s">
        <v>110</v>
      </c>
      <c r="AL138" s="149" t="s">
        <v>111</v>
      </c>
      <c r="AM138" s="148" t="s">
        <v>112</v>
      </c>
      <c r="AN138" s="143" t="s">
        <v>76</v>
      </c>
      <c r="AO138" s="150" t="s">
        <v>102</v>
      </c>
      <c r="AP138" s="147">
        <v>44503</v>
      </c>
      <c r="AQ138" s="135" t="s">
        <v>3496</v>
      </c>
      <c r="AR138" s="143">
        <v>2001</v>
      </c>
      <c r="AS138" s="143" t="s">
        <v>3413</v>
      </c>
      <c r="AT138" s="135" t="s">
        <v>3446</v>
      </c>
      <c r="AU138" s="143" t="s">
        <v>173</v>
      </c>
      <c r="AV138" s="143" t="s">
        <v>473</v>
      </c>
      <c r="AW138" s="143">
        <v>22</v>
      </c>
      <c r="AX138" s="143">
        <v>7</v>
      </c>
      <c r="AY138" s="143">
        <v>80</v>
      </c>
      <c r="AZ138" s="143">
        <v>0.08</v>
      </c>
      <c r="BA138" s="143" t="s">
        <v>101</v>
      </c>
      <c r="BB138" s="143"/>
      <c r="BC138" s="143">
        <f>3317.21+300+85+101+120+90+45+47+89+22+68+15</f>
        <v>4299.21</v>
      </c>
      <c r="BD138" s="143"/>
      <c r="BE138" s="143">
        <f>30+350</f>
        <v>380</v>
      </c>
      <c r="BF138" s="143">
        <f t="shared" si="6"/>
        <v>4679.21</v>
      </c>
      <c r="BG138" s="151">
        <f t="shared" si="7"/>
        <v>257.35655000000003</v>
      </c>
      <c r="BH138" s="151">
        <f t="shared" si="8"/>
        <v>4936.5665500000005</v>
      </c>
      <c r="BI138" s="151">
        <v>4236.05</v>
      </c>
      <c r="BJ138" s="143" t="s">
        <v>102</v>
      </c>
      <c r="BK138" s="143"/>
      <c r="BL138" s="143"/>
      <c r="BM138" s="144" t="s">
        <v>3592</v>
      </c>
      <c r="BN138" s="144" t="s">
        <v>103</v>
      </c>
      <c r="BO138" s="144" t="s">
        <v>143</v>
      </c>
      <c r="BP138" s="143">
        <v>2021</v>
      </c>
      <c r="BQ138" s="203" t="s">
        <v>144</v>
      </c>
    </row>
    <row r="139" spans="1:69" ht="41.1" customHeight="1">
      <c r="A139" s="206" t="s">
        <v>86</v>
      </c>
      <c r="B139" s="206" t="s">
        <v>751</v>
      </c>
      <c r="C139" s="143">
        <v>1000</v>
      </c>
      <c r="D139" s="135">
        <v>44271</v>
      </c>
      <c r="E139" s="135">
        <v>44278</v>
      </c>
      <c r="F139" s="147">
        <v>44278</v>
      </c>
      <c r="G139" s="135" t="s">
        <v>732</v>
      </c>
      <c r="H139" s="147">
        <v>44281</v>
      </c>
      <c r="I139" s="147">
        <v>44281</v>
      </c>
      <c r="J139" s="147">
        <v>44286</v>
      </c>
      <c r="K139" s="135">
        <v>44398</v>
      </c>
      <c r="L139" s="135">
        <v>44378</v>
      </c>
      <c r="M139" s="135" t="s">
        <v>76</v>
      </c>
      <c r="N139" s="135">
        <v>44413</v>
      </c>
      <c r="O139" s="135">
        <v>44413</v>
      </c>
      <c r="P139" s="135">
        <v>44453</v>
      </c>
      <c r="Q139" s="135"/>
      <c r="R139" s="143"/>
      <c r="S139" s="143"/>
      <c r="T139" s="143"/>
      <c r="U139" s="143">
        <v>1</v>
      </c>
      <c r="V139" s="143">
        <v>11616</v>
      </c>
      <c r="W139" s="143" t="str">
        <f ca="1">IF(H139="",IF(D139="","",IF(U139+V139&lt;15,"Données Nb pers ou RFR manquantes",IF(COUNTA(INDIRECT("TabRFR["&amp;YEAR(D139)&amp;"]"))&lt;&gt;COUNTA(TabRFR[Recherche RFR]),"Data RFR manquantes", IF(V139&lt;=INDEX(TabRFR[[2021]:[2025]],MATCH(BD!U139&amp;"-Très modestes",TabRFR[Recherche RFR],0),MATCH(TEXT(YEAR(BD!D139),"Standard"),TabRFR[[#Headers],[2021]:[2025]],0)),"Très Modeste",IF(V139&lt;=INDEX(TabRFR[[2021]:[2025]],MATCH(BD!U139&amp;"-modestes",TabRFR[Recherche RFR],0),MATCH(TEXT(YEAR(BD!D139),"Standard"),TabRFR[[#Headers],[2021]:[2025]],0)),"Modeste",IF(V139&lt;=INDEX(TabRFR[[2021]:[2025]],MATCH(BD!U139&amp;"-Intermédiaire",TabRFR[Recherche RFR],0),MATCH(TEXT(YEAR(BD!D139),"Standard"),TabRFR[[#Headers],[2021]:[2025]],0)),"Intermédiaire","Supérieur")))))),IF(D139="","",IF(U139+V139&lt;15,"Données Nb pers ou RFR manquantes",IF(COUNTA(INDIRECT("TabRFR["&amp;YEAR(H139)&amp;"]"))&lt;&gt;COUNTA(TabRFR[Recherche RFR]),"Data RFR manquantes", IF(V139&lt;=INDEX(TabRFR[[2021]:[2025]],MATCH(BD!U139&amp;"-Très modestes",TabRFR[Recherche RFR],0),MATCH(TEXT(YEAR(BD!H139),"Standard"),TabRFR[[#Headers],[2021]:[2025]],0)),"Très Modeste",IF(V139&lt;=INDEX(TabRFR[[2021]:[2025]],MATCH(BD!U139&amp;"-modestes",TabRFR[Recherche RFR],0),MATCH(TEXT(YEAR(BD!H139),"Standard"),TabRFR[[#Headers],[2021]:[2025]],0)),"Modeste",IF(V139&lt;=INDEX(TabRFR[[2021]:[2025]],MATCH(BD!U139&amp;"-Intermédiaire",TabRFR[Recherche RFR],0),MATCH(TEXT(YEAR(BD!H139),"Standard"),TabRFR[[#Headers],[2021]:[2025]],0)),"Intermédiaire","Supérieur")))))))</f>
        <v>Très Modeste</v>
      </c>
      <c r="X139" s="143"/>
      <c r="Y139" s="143" t="s">
        <v>752</v>
      </c>
      <c r="Z139" s="143">
        <v>38850</v>
      </c>
      <c r="AA139" s="143" t="s">
        <v>168</v>
      </c>
      <c r="AB139" s="148"/>
      <c r="AC139" s="149"/>
      <c r="AD139" s="143" t="s">
        <v>91</v>
      </c>
      <c r="AE139" s="143" t="s">
        <v>76</v>
      </c>
      <c r="AF139" s="143" t="s">
        <v>76</v>
      </c>
      <c r="AG139" s="143" t="s">
        <v>76</v>
      </c>
      <c r="AH139" s="143" t="s">
        <v>76</v>
      </c>
      <c r="AI139" s="135" t="s">
        <v>2748</v>
      </c>
      <c r="AJ139" s="143" t="s">
        <v>108</v>
      </c>
      <c r="AK139" s="135" t="s">
        <v>2749</v>
      </c>
      <c r="AL139" s="150" t="s">
        <v>275</v>
      </c>
      <c r="AM139" s="148">
        <v>476059444</v>
      </c>
      <c r="AN139" s="143" t="s">
        <v>76</v>
      </c>
      <c r="AO139" s="150" t="s">
        <v>102</v>
      </c>
      <c r="AP139" s="147">
        <v>44424</v>
      </c>
      <c r="AQ139" s="135" t="s">
        <v>3496</v>
      </c>
      <c r="AR139" s="143">
        <v>1991</v>
      </c>
      <c r="AS139" s="143" t="s">
        <v>3413</v>
      </c>
      <c r="AT139" s="143" t="s">
        <v>98</v>
      </c>
      <c r="AU139" s="143" t="s">
        <v>276</v>
      </c>
      <c r="AV139" s="143" t="s">
        <v>753</v>
      </c>
      <c r="AW139" s="143">
        <v>17.5</v>
      </c>
      <c r="AX139" s="143">
        <v>10</v>
      </c>
      <c r="AY139" s="143">
        <v>92.7</v>
      </c>
      <c r="AZ139" s="143">
        <v>4.0000000000000001E-3</v>
      </c>
      <c r="BA139" s="143" t="s">
        <v>126</v>
      </c>
      <c r="BB139" s="143"/>
      <c r="BC139" s="143">
        <f>6050+175+220+911</f>
        <v>7356</v>
      </c>
      <c r="BD139" s="143"/>
      <c r="BE139" s="143">
        <f>880+770</f>
        <v>1650</v>
      </c>
      <c r="BF139" s="143">
        <f t="shared" si="6"/>
        <v>9006</v>
      </c>
      <c r="BG139" s="151">
        <f t="shared" si="7"/>
        <v>495.33</v>
      </c>
      <c r="BH139" s="151">
        <f t="shared" si="8"/>
        <v>9501.33</v>
      </c>
      <c r="BI139" s="151">
        <v>9501.33</v>
      </c>
      <c r="BJ139" s="143" t="s">
        <v>102</v>
      </c>
      <c r="BK139" s="143"/>
      <c r="BL139" s="143"/>
      <c r="BM139" s="144" t="s">
        <v>3592</v>
      </c>
      <c r="BN139" s="144" t="s">
        <v>103</v>
      </c>
      <c r="BO139" s="135" t="s">
        <v>155</v>
      </c>
      <c r="BP139" s="143" t="s">
        <v>3583</v>
      </c>
      <c r="BQ139" s="203" t="s">
        <v>144</v>
      </c>
    </row>
    <row r="140" spans="1:69" ht="41.1" customHeight="1">
      <c r="A140" s="206" t="s">
        <v>86</v>
      </c>
      <c r="B140" s="206" t="s">
        <v>754</v>
      </c>
      <c r="C140" s="143">
        <v>600</v>
      </c>
      <c r="D140" s="135">
        <v>44271</v>
      </c>
      <c r="E140" s="135">
        <v>44278</v>
      </c>
      <c r="F140" s="147" t="s">
        <v>76</v>
      </c>
      <c r="G140" s="135" t="s">
        <v>76</v>
      </c>
      <c r="H140" s="147">
        <v>44278</v>
      </c>
      <c r="I140" s="147">
        <v>44278</v>
      </c>
      <c r="J140" s="147">
        <v>44284</v>
      </c>
      <c r="K140" s="135">
        <v>44320</v>
      </c>
      <c r="L140" s="135">
        <v>44308</v>
      </c>
      <c r="M140" s="135" t="s">
        <v>76</v>
      </c>
      <c r="N140" s="135">
        <v>44322</v>
      </c>
      <c r="O140" s="135">
        <v>44322</v>
      </c>
      <c r="P140" s="135">
        <v>44333</v>
      </c>
      <c r="Q140" s="135"/>
      <c r="R140" s="143"/>
      <c r="S140" s="143"/>
      <c r="T140" s="143"/>
      <c r="U140" s="143">
        <v>2</v>
      </c>
      <c r="V140" s="143">
        <v>31727</v>
      </c>
      <c r="W140" s="143" t="str">
        <f ca="1">IF(H140="",IF(D140="","",IF(U140+V140&lt;15,"Données Nb pers ou RFR manquantes",IF(COUNTA(INDIRECT("TabRFR["&amp;YEAR(D140)&amp;"]"))&lt;&gt;COUNTA(TabRFR[Recherche RFR]),"Data RFR manquantes", IF(V140&lt;=INDEX(TabRFR[[2021]:[2025]],MATCH(BD!U140&amp;"-Très modestes",TabRFR[Recherche RFR],0),MATCH(TEXT(YEAR(BD!D140),"Standard"),TabRFR[[#Headers],[2021]:[2025]],0)),"Très Modeste",IF(V140&lt;=INDEX(TabRFR[[2021]:[2025]],MATCH(BD!U140&amp;"-modestes",TabRFR[Recherche RFR],0),MATCH(TEXT(YEAR(BD!D140),"Standard"),TabRFR[[#Headers],[2021]:[2025]],0)),"Modeste",IF(V140&lt;=INDEX(TabRFR[[2021]:[2025]],MATCH(BD!U140&amp;"-Intermédiaire",TabRFR[Recherche RFR],0),MATCH(TEXT(YEAR(BD!D140),"Standard"),TabRFR[[#Headers],[2021]:[2025]],0)),"Intermédiaire","Supérieur")))))),IF(D140="","",IF(U140+V140&lt;15,"Données Nb pers ou RFR manquantes",IF(COUNTA(INDIRECT("TabRFR["&amp;YEAR(H140)&amp;"]"))&lt;&gt;COUNTA(TabRFR[Recherche RFR]),"Data RFR manquantes", IF(V140&lt;=INDEX(TabRFR[[2021]:[2025]],MATCH(BD!U140&amp;"-Très modestes",TabRFR[Recherche RFR],0),MATCH(TEXT(YEAR(BD!H140),"Standard"),TabRFR[[#Headers],[2021]:[2025]],0)),"Très Modeste",IF(V140&lt;=INDEX(TabRFR[[2021]:[2025]],MATCH(BD!U140&amp;"-modestes",TabRFR[Recherche RFR],0),MATCH(TEXT(YEAR(BD!H140),"Standard"),TabRFR[[#Headers],[2021]:[2025]],0)),"Modeste",IF(V140&lt;=INDEX(TabRFR[[2021]:[2025]],MATCH(BD!U140&amp;"-Intermédiaire",TabRFR[Recherche RFR],0),MATCH(TEXT(YEAR(BD!H140),"Standard"),TabRFR[[#Headers],[2021]:[2025]],0)),"Intermédiaire","Supérieur")))))))</f>
        <v>Intermédiaire</v>
      </c>
      <c r="X140" s="143"/>
      <c r="Y140" s="143" t="s">
        <v>755</v>
      </c>
      <c r="Z140" s="143">
        <v>38210</v>
      </c>
      <c r="AA140" s="143" t="s">
        <v>202</v>
      </c>
      <c r="AB140" s="148"/>
      <c r="AC140" s="149"/>
      <c r="AD140" s="143" t="s">
        <v>91</v>
      </c>
      <c r="AE140" s="143" t="s">
        <v>76</v>
      </c>
      <c r="AF140" s="143" t="s">
        <v>76</v>
      </c>
      <c r="AG140" s="143" t="s">
        <v>76</v>
      </c>
      <c r="AH140" s="143" t="s">
        <v>76</v>
      </c>
      <c r="AI140" s="135" t="s">
        <v>2703</v>
      </c>
      <c r="AJ140" s="143" t="s">
        <v>266</v>
      </c>
      <c r="AK140" s="143" t="s">
        <v>317</v>
      </c>
      <c r="AL140" s="150" t="s">
        <v>318</v>
      </c>
      <c r="AM140" s="148">
        <v>476500550</v>
      </c>
      <c r="AN140" s="143" t="s">
        <v>76</v>
      </c>
      <c r="AO140" s="150" t="s">
        <v>102</v>
      </c>
      <c r="AP140" s="147">
        <v>44375</v>
      </c>
      <c r="AQ140" s="135" t="s">
        <v>3496</v>
      </c>
      <c r="AR140" s="143">
        <v>1993</v>
      </c>
      <c r="AS140" s="143" t="s">
        <v>3413</v>
      </c>
      <c r="AT140" s="135" t="s">
        <v>3446</v>
      </c>
      <c r="AU140" s="143" t="s">
        <v>334</v>
      </c>
      <c r="AV140" s="143" t="s">
        <v>756</v>
      </c>
      <c r="AW140" s="143">
        <v>30</v>
      </c>
      <c r="AX140" s="143">
        <v>8</v>
      </c>
      <c r="AY140" s="143">
        <v>75</v>
      </c>
      <c r="AZ140" s="143">
        <v>0.1</v>
      </c>
      <c r="BA140" s="143" t="s">
        <v>101</v>
      </c>
      <c r="BB140" s="143"/>
      <c r="BC140" s="143">
        <f>855.22+260.64+212.57+170.99+115.21+79.39+162.83+35.43+74.08+182.53+2638.39+76.67+42.5+82.72</f>
        <v>4989.170000000001</v>
      </c>
      <c r="BD140" s="143"/>
      <c r="BE140" s="143">
        <f>900+670</f>
        <v>1570</v>
      </c>
      <c r="BF140" s="143">
        <f t="shared" si="6"/>
        <v>6559.170000000001</v>
      </c>
      <c r="BG140" s="151">
        <f t="shared" si="7"/>
        <v>360.75435000000004</v>
      </c>
      <c r="BH140" s="151">
        <f t="shared" si="8"/>
        <v>6919.9243500000011</v>
      </c>
      <c r="BI140" s="151">
        <v>6619.92</v>
      </c>
      <c r="BJ140" s="143" t="s">
        <v>115</v>
      </c>
      <c r="BK140" s="143"/>
      <c r="BL140" s="143"/>
      <c r="BM140" s="144" t="s">
        <v>3592</v>
      </c>
      <c r="BN140" s="144" t="s">
        <v>103</v>
      </c>
      <c r="BO140" s="144" t="s">
        <v>143</v>
      </c>
      <c r="BP140" s="144">
        <v>2021</v>
      </c>
      <c r="BQ140" s="203" t="s">
        <v>3274</v>
      </c>
    </row>
    <row r="141" spans="1:69" ht="41.1" customHeight="1">
      <c r="A141" s="206" t="s">
        <v>86</v>
      </c>
      <c r="B141" s="206" t="s">
        <v>757</v>
      </c>
      <c r="C141" s="143">
        <v>600</v>
      </c>
      <c r="D141" s="135">
        <v>44271</v>
      </c>
      <c r="E141" s="135">
        <v>44278</v>
      </c>
      <c r="F141" s="147" t="s">
        <v>76</v>
      </c>
      <c r="G141" s="135" t="s">
        <v>76</v>
      </c>
      <c r="H141" s="147">
        <v>44278</v>
      </c>
      <c r="I141" s="147">
        <v>44278</v>
      </c>
      <c r="J141" s="147">
        <v>44284</v>
      </c>
      <c r="K141" s="135">
        <v>44343</v>
      </c>
      <c r="L141" s="135">
        <v>44338</v>
      </c>
      <c r="M141" s="135" t="s">
        <v>76</v>
      </c>
      <c r="N141" s="135">
        <v>44343</v>
      </c>
      <c r="O141" s="135">
        <v>44343</v>
      </c>
      <c r="P141" s="135">
        <v>44351</v>
      </c>
      <c r="Q141" s="135"/>
      <c r="R141" s="143"/>
      <c r="S141" s="143"/>
      <c r="T141" s="143"/>
      <c r="U141" s="143">
        <v>2</v>
      </c>
      <c r="V141" s="143">
        <v>33408</v>
      </c>
      <c r="W141" s="143" t="str">
        <f ca="1">IF(H141="",IF(D141="","",IF(U141+V141&lt;15,"Données Nb pers ou RFR manquantes",IF(COUNTA(INDIRECT("TabRFR["&amp;YEAR(D141)&amp;"]"))&lt;&gt;COUNTA(TabRFR[Recherche RFR]),"Data RFR manquantes", IF(V141&lt;=INDEX(TabRFR[[2021]:[2025]],MATCH(BD!U141&amp;"-Très modestes",TabRFR[Recherche RFR],0),MATCH(TEXT(YEAR(BD!D141),"Standard"),TabRFR[[#Headers],[2021]:[2025]],0)),"Très Modeste",IF(V141&lt;=INDEX(TabRFR[[2021]:[2025]],MATCH(BD!U141&amp;"-modestes",TabRFR[Recherche RFR],0),MATCH(TEXT(YEAR(BD!D141),"Standard"),TabRFR[[#Headers],[2021]:[2025]],0)),"Modeste",IF(V141&lt;=INDEX(TabRFR[[2021]:[2025]],MATCH(BD!U141&amp;"-Intermédiaire",TabRFR[Recherche RFR],0),MATCH(TEXT(YEAR(BD!D141),"Standard"),TabRFR[[#Headers],[2021]:[2025]],0)),"Intermédiaire","Supérieur")))))),IF(D141="","",IF(U141+V141&lt;15,"Données Nb pers ou RFR manquantes",IF(COUNTA(INDIRECT("TabRFR["&amp;YEAR(H141)&amp;"]"))&lt;&gt;COUNTA(TabRFR[Recherche RFR]),"Data RFR manquantes", IF(V141&lt;=INDEX(TabRFR[[2021]:[2025]],MATCH(BD!U141&amp;"-Très modestes",TabRFR[Recherche RFR],0),MATCH(TEXT(YEAR(BD!H141),"Standard"),TabRFR[[#Headers],[2021]:[2025]],0)),"Très Modeste",IF(V141&lt;=INDEX(TabRFR[[2021]:[2025]],MATCH(BD!U141&amp;"-modestes",TabRFR[Recherche RFR],0),MATCH(TEXT(YEAR(BD!H141),"Standard"),TabRFR[[#Headers],[2021]:[2025]],0)),"Modeste",IF(V141&lt;=INDEX(TabRFR[[2021]:[2025]],MATCH(BD!U141&amp;"-Intermédiaire",TabRFR[Recherche RFR],0),MATCH(TEXT(YEAR(BD!H141),"Standard"),TabRFR[[#Headers],[2021]:[2025]],0)),"Intermédiaire","Supérieur")))))))</f>
        <v>Intermédiaire</v>
      </c>
      <c r="X141" s="143"/>
      <c r="Y141" s="143" t="s">
        <v>758</v>
      </c>
      <c r="Z141" s="143">
        <v>38210</v>
      </c>
      <c r="AA141" s="143" t="s">
        <v>130</v>
      </c>
      <c r="AB141" s="148"/>
      <c r="AC141" s="149"/>
      <c r="AD141" s="143" t="s">
        <v>91</v>
      </c>
      <c r="AE141" s="143" t="s">
        <v>76</v>
      </c>
      <c r="AF141" s="143" t="s">
        <v>76</v>
      </c>
      <c r="AG141" s="143" t="s">
        <v>76</v>
      </c>
      <c r="AH141" s="143" t="s">
        <v>76</v>
      </c>
      <c r="AI141" s="143" t="s">
        <v>169</v>
      </c>
      <c r="AJ141" s="143" t="s">
        <v>119</v>
      </c>
      <c r="AK141" s="143" t="s">
        <v>170</v>
      </c>
      <c r="AL141" s="149" t="s">
        <v>171</v>
      </c>
      <c r="AM141" s="148">
        <v>476355605</v>
      </c>
      <c r="AN141" s="143" t="s">
        <v>76</v>
      </c>
      <c r="AO141" s="150" t="s">
        <v>102</v>
      </c>
      <c r="AP141" s="147">
        <v>44495</v>
      </c>
      <c r="AQ141" s="135" t="s">
        <v>3496</v>
      </c>
      <c r="AR141" s="143">
        <v>1978</v>
      </c>
      <c r="AS141" s="143" t="s">
        <v>3413</v>
      </c>
      <c r="AT141" s="135" t="s">
        <v>3446</v>
      </c>
      <c r="AU141" s="143" t="s">
        <v>173</v>
      </c>
      <c r="AV141" s="143" t="s">
        <v>704</v>
      </c>
      <c r="AW141" s="143">
        <v>22</v>
      </c>
      <c r="AX141" s="143">
        <v>7</v>
      </c>
      <c r="AY141" s="143">
        <v>80</v>
      </c>
      <c r="AZ141" s="143">
        <v>0.08</v>
      </c>
      <c r="BA141" s="143" t="s">
        <v>101</v>
      </c>
      <c r="BB141" s="143"/>
      <c r="BC141" s="143">
        <f>74.54+48.75+2338+218+89.6+33.54+75.56</f>
        <v>2877.99</v>
      </c>
      <c r="BD141" s="143"/>
      <c r="BE141" s="143">
        <v>625</v>
      </c>
      <c r="BF141" s="143">
        <f t="shared" si="6"/>
        <v>3502.99</v>
      </c>
      <c r="BG141" s="151">
        <f t="shared" si="7"/>
        <v>192.66444999999999</v>
      </c>
      <c r="BH141" s="151">
        <f t="shared" si="8"/>
        <v>3695.65445</v>
      </c>
      <c r="BI141" s="151">
        <v>3695.65</v>
      </c>
      <c r="BJ141" s="143" t="s">
        <v>102</v>
      </c>
      <c r="BK141" s="143"/>
      <c r="BL141" s="143"/>
      <c r="BM141" s="144" t="s">
        <v>3592</v>
      </c>
      <c r="BN141" s="144" t="s">
        <v>103</v>
      </c>
      <c r="BO141" s="144" t="s">
        <v>143</v>
      </c>
      <c r="BP141" s="144">
        <v>2021</v>
      </c>
      <c r="BQ141" s="203" t="s">
        <v>144</v>
      </c>
    </row>
    <row r="142" spans="1:69" ht="41.1" customHeight="1">
      <c r="A142" s="206" t="s">
        <v>86</v>
      </c>
      <c r="B142" s="206" t="s">
        <v>759</v>
      </c>
      <c r="C142" s="143">
        <v>1000</v>
      </c>
      <c r="D142" s="135">
        <v>44273</v>
      </c>
      <c r="E142" s="135">
        <v>44278</v>
      </c>
      <c r="F142" s="147">
        <v>44278</v>
      </c>
      <c r="G142" s="135" t="s">
        <v>760</v>
      </c>
      <c r="H142" s="147">
        <v>44281</v>
      </c>
      <c r="I142" s="147">
        <v>44281</v>
      </c>
      <c r="J142" s="147">
        <v>44286</v>
      </c>
      <c r="K142" s="135">
        <v>44375</v>
      </c>
      <c r="L142" s="135">
        <v>44355</v>
      </c>
      <c r="M142" s="135" t="s">
        <v>76</v>
      </c>
      <c r="N142" s="135">
        <v>44376</v>
      </c>
      <c r="O142" s="135">
        <v>44376</v>
      </c>
      <c r="P142" s="135">
        <v>44389</v>
      </c>
      <c r="Q142" s="135"/>
      <c r="R142" s="143"/>
      <c r="S142" s="143"/>
      <c r="T142" s="143"/>
      <c r="U142" s="143">
        <v>2</v>
      </c>
      <c r="V142" s="143">
        <v>18362</v>
      </c>
      <c r="W142" s="143" t="str">
        <f ca="1">IF(H142="",IF(D142="","",IF(U142+V142&lt;15,"Données Nb pers ou RFR manquantes",IF(COUNTA(INDIRECT("TabRFR["&amp;YEAR(D142)&amp;"]"))&lt;&gt;COUNTA(TabRFR[Recherche RFR]),"Data RFR manquantes", IF(V142&lt;=INDEX(TabRFR[[2021]:[2025]],MATCH(BD!U142&amp;"-Très modestes",TabRFR[Recherche RFR],0),MATCH(TEXT(YEAR(BD!D142),"Standard"),TabRFR[[#Headers],[2021]:[2025]],0)),"Très Modeste",IF(V142&lt;=INDEX(TabRFR[[2021]:[2025]],MATCH(BD!U142&amp;"-modestes",TabRFR[Recherche RFR],0),MATCH(TEXT(YEAR(BD!D142),"Standard"),TabRFR[[#Headers],[2021]:[2025]],0)),"Modeste",IF(V142&lt;=INDEX(TabRFR[[2021]:[2025]],MATCH(BD!U142&amp;"-Intermédiaire",TabRFR[Recherche RFR],0),MATCH(TEXT(YEAR(BD!D142),"Standard"),TabRFR[[#Headers],[2021]:[2025]],0)),"Intermédiaire","Supérieur")))))),IF(D142="","",IF(U142+V142&lt;15,"Données Nb pers ou RFR manquantes",IF(COUNTA(INDIRECT("TabRFR["&amp;YEAR(H142)&amp;"]"))&lt;&gt;COUNTA(TabRFR[Recherche RFR]),"Data RFR manquantes", IF(V142&lt;=INDEX(TabRFR[[2021]:[2025]],MATCH(BD!U142&amp;"-Très modestes",TabRFR[Recherche RFR],0),MATCH(TEXT(YEAR(BD!H142),"Standard"),TabRFR[[#Headers],[2021]:[2025]],0)),"Très Modeste",IF(V142&lt;=INDEX(TabRFR[[2021]:[2025]],MATCH(BD!U142&amp;"-modestes",TabRFR[Recherche RFR],0),MATCH(TEXT(YEAR(BD!H142),"Standard"),TabRFR[[#Headers],[2021]:[2025]],0)),"Modeste",IF(V142&lt;=INDEX(TabRFR[[2021]:[2025]],MATCH(BD!U142&amp;"-Intermédiaire",TabRFR[Recherche RFR],0),MATCH(TEXT(YEAR(BD!H142),"Standard"),TabRFR[[#Headers],[2021]:[2025]],0)),"Intermédiaire","Supérieur")))))))</f>
        <v>Très Modeste</v>
      </c>
      <c r="X142" s="143"/>
      <c r="Y142" s="143" t="s">
        <v>761</v>
      </c>
      <c r="Z142" s="143">
        <v>38430</v>
      </c>
      <c r="AA142" s="143" t="s">
        <v>119</v>
      </c>
      <c r="AB142" s="148"/>
      <c r="AC142" s="149"/>
      <c r="AD142" s="143" t="s">
        <v>91</v>
      </c>
      <c r="AE142" s="143" t="s">
        <v>76</v>
      </c>
      <c r="AF142" s="143" t="s">
        <v>76</v>
      </c>
      <c r="AG142" s="143" t="s">
        <v>76</v>
      </c>
      <c r="AH142" s="143" t="s">
        <v>76</v>
      </c>
      <c r="AI142" s="135" t="s">
        <v>285</v>
      </c>
      <c r="AJ142" s="143" t="s">
        <v>108</v>
      </c>
      <c r="AK142" s="143" t="s">
        <v>286</v>
      </c>
      <c r="AL142" s="150" t="s">
        <v>287</v>
      </c>
      <c r="AM142" s="148">
        <v>476069938</v>
      </c>
      <c r="AN142" s="143" t="s">
        <v>76</v>
      </c>
      <c r="AO142" s="150" t="s">
        <v>102</v>
      </c>
      <c r="AP142" s="147">
        <v>44457</v>
      </c>
      <c r="AQ142" s="135" t="s">
        <v>3496</v>
      </c>
      <c r="AR142" s="143">
        <v>1995</v>
      </c>
      <c r="AS142" s="143" t="s">
        <v>3413</v>
      </c>
      <c r="AT142" s="135" t="s">
        <v>3446</v>
      </c>
      <c r="AU142" s="143" t="s">
        <v>532</v>
      </c>
      <c r="AV142" s="143" t="s">
        <v>762</v>
      </c>
      <c r="AW142" s="143">
        <v>40</v>
      </c>
      <c r="AX142" s="143">
        <v>6</v>
      </c>
      <c r="AY142" s="143">
        <v>83</v>
      </c>
      <c r="AZ142" s="143">
        <v>7.0000000000000007E-2</v>
      </c>
      <c r="BA142" s="143" t="s">
        <v>101</v>
      </c>
      <c r="BB142" s="143"/>
      <c r="BC142" s="143">
        <f>550+450+250+2990+89+330</f>
        <v>4659</v>
      </c>
      <c r="BD142" s="143"/>
      <c r="BE142" s="143">
        <v>300</v>
      </c>
      <c r="BF142" s="143">
        <f t="shared" si="6"/>
        <v>4959</v>
      </c>
      <c r="BG142" s="143">
        <f t="shared" si="7"/>
        <v>272.745</v>
      </c>
      <c r="BH142" s="143">
        <f t="shared" si="8"/>
        <v>5231.7449999999999</v>
      </c>
      <c r="BI142" s="151">
        <v>5231.75</v>
      </c>
      <c r="BJ142" s="143" t="s">
        <v>102</v>
      </c>
      <c r="BK142" s="143"/>
      <c r="BL142" s="143"/>
      <c r="BM142" s="144" t="s">
        <v>3592</v>
      </c>
      <c r="BN142" s="144" t="s">
        <v>103</v>
      </c>
      <c r="BO142" s="135" t="s">
        <v>155</v>
      </c>
      <c r="BP142" s="144">
        <v>2021</v>
      </c>
      <c r="BQ142" s="203" t="s">
        <v>144</v>
      </c>
    </row>
    <row r="143" spans="1:69" ht="41.1" customHeight="1">
      <c r="A143" s="206" t="s">
        <v>86</v>
      </c>
      <c r="B143" s="206" t="s">
        <v>763</v>
      </c>
      <c r="C143" s="143">
        <v>600</v>
      </c>
      <c r="D143" s="135">
        <v>44278</v>
      </c>
      <c r="E143" s="135">
        <v>44280</v>
      </c>
      <c r="F143" s="147" t="s">
        <v>76</v>
      </c>
      <c r="G143" s="135" t="s">
        <v>76</v>
      </c>
      <c r="H143" s="147">
        <v>44281</v>
      </c>
      <c r="I143" s="147">
        <v>44281</v>
      </c>
      <c r="J143" s="147">
        <v>44286</v>
      </c>
      <c r="K143" s="135">
        <v>44383</v>
      </c>
      <c r="L143" s="135">
        <v>44345</v>
      </c>
      <c r="M143" s="135" t="s">
        <v>76</v>
      </c>
      <c r="N143" s="135">
        <v>44383</v>
      </c>
      <c r="O143" s="135">
        <v>44383</v>
      </c>
      <c r="P143" s="135">
        <v>44389</v>
      </c>
      <c r="Q143" s="135"/>
      <c r="R143" s="143"/>
      <c r="S143" s="143"/>
      <c r="T143" s="143"/>
      <c r="U143" s="143">
        <v>4</v>
      </c>
      <c r="V143" s="143">
        <v>60312</v>
      </c>
      <c r="W143" s="143" t="str">
        <f ca="1">IF(H143="",IF(D143="","",IF(U143+V143&lt;15,"Données Nb pers ou RFR manquantes",IF(COUNTA(INDIRECT("TabRFR["&amp;YEAR(D143)&amp;"]"))&lt;&gt;COUNTA(TabRFR[Recherche RFR]),"Data RFR manquantes", IF(V143&lt;=INDEX(TabRFR[[2021]:[2025]],MATCH(BD!U143&amp;"-Très modestes",TabRFR[Recherche RFR],0),MATCH(TEXT(YEAR(BD!D143),"Standard"),TabRFR[[#Headers],[2021]:[2025]],0)),"Très Modeste",IF(V143&lt;=INDEX(TabRFR[[2021]:[2025]],MATCH(BD!U143&amp;"-modestes",TabRFR[Recherche RFR],0),MATCH(TEXT(YEAR(BD!D143),"Standard"),TabRFR[[#Headers],[2021]:[2025]],0)),"Modeste",IF(V143&lt;=INDEX(TabRFR[[2021]:[2025]],MATCH(BD!U143&amp;"-Intermédiaire",TabRFR[Recherche RFR],0),MATCH(TEXT(YEAR(BD!D143),"Standard"),TabRFR[[#Headers],[2021]:[2025]],0)),"Intermédiaire","Supérieur")))))),IF(D143="","",IF(U143+V143&lt;15,"Données Nb pers ou RFR manquantes",IF(COUNTA(INDIRECT("TabRFR["&amp;YEAR(H143)&amp;"]"))&lt;&gt;COUNTA(TabRFR[Recherche RFR]),"Data RFR manquantes", IF(V143&lt;=INDEX(TabRFR[[2021]:[2025]],MATCH(BD!U143&amp;"-Très modestes",TabRFR[Recherche RFR],0),MATCH(TEXT(YEAR(BD!H143),"Standard"),TabRFR[[#Headers],[2021]:[2025]],0)),"Très Modeste",IF(V143&lt;=INDEX(TabRFR[[2021]:[2025]],MATCH(BD!U143&amp;"-modestes",TabRFR[Recherche RFR],0),MATCH(TEXT(YEAR(BD!H143),"Standard"),TabRFR[[#Headers],[2021]:[2025]],0)),"Modeste",IF(V143&lt;=INDEX(TabRFR[[2021]:[2025]],MATCH(BD!U143&amp;"-Intermédiaire",TabRFR[Recherche RFR],0),MATCH(TEXT(YEAR(BD!H143),"Standard"),TabRFR[[#Headers],[2021]:[2025]],0)),"Intermédiaire","Supérieur")))))))</f>
        <v>Intermédiaire</v>
      </c>
      <c r="X143" s="143"/>
      <c r="Y143" s="143" t="s">
        <v>764</v>
      </c>
      <c r="Z143" s="143">
        <v>38960</v>
      </c>
      <c r="AA143" s="143" t="s">
        <v>360</v>
      </c>
      <c r="AB143" s="148"/>
      <c r="AC143" s="149"/>
      <c r="AD143" s="143" t="s">
        <v>91</v>
      </c>
      <c r="AE143" s="143" t="s">
        <v>76</v>
      </c>
      <c r="AF143" s="143" t="s">
        <v>76</v>
      </c>
      <c r="AG143" s="143" t="s">
        <v>76</v>
      </c>
      <c r="AH143" s="143" t="s">
        <v>76</v>
      </c>
      <c r="AI143" s="143" t="s">
        <v>169</v>
      </c>
      <c r="AJ143" s="143" t="s">
        <v>119</v>
      </c>
      <c r="AK143" s="143" t="s">
        <v>170</v>
      </c>
      <c r="AL143" s="149" t="s">
        <v>171</v>
      </c>
      <c r="AM143" s="148">
        <v>476355605</v>
      </c>
      <c r="AN143" s="143" t="s">
        <v>76</v>
      </c>
      <c r="AO143" s="150" t="s">
        <v>102</v>
      </c>
      <c r="AP143" s="147">
        <v>44495</v>
      </c>
      <c r="AQ143" s="135" t="s">
        <v>3449</v>
      </c>
      <c r="AR143" s="143">
        <v>1976</v>
      </c>
      <c r="AS143" s="135" t="s">
        <v>3496</v>
      </c>
      <c r="AT143" s="135" t="s">
        <v>3446</v>
      </c>
      <c r="AU143" s="143" t="s">
        <v>173</v>
      </c>
      <c r="AV143" s="143" t="s">
        <v>463</v>
      </c>
      <c r="AW143" s="143">
        <v>23</v>
      </c>
      <c r="AX143" s="143">
        <v>10</v>
      </c>
      <c r="AY143" s="143">
        <v>78</v>
      </c>
      <c r="AZ143" s="143">
        <v>7.0000000000000007E-2</v>
      </c>
      <c r="BA143" s="143" t="s">
        <v>101</v>
      </c>
      <c r="BB143" s="143"/>
      <c r="BC143" s="143">
        <f>420+27.55+47.65+365.75+1745+390.56+290.55+88.8</f>
        <v>3375.86</v>
      </c>
      <c r="BD143" s="143"/>
      <c r="BE143" s="143">
        <f>99.09+118.12+950+282.94</f>
        <v>1450.15</v>
      </c>
      <c r="BF143" s="143">
        <f t="shared" si="6"/>
        <v>4826.01</v>
      </c>
      <c r="BG143" s="151">
        <f t="shared" si="7"/>
        <v>265.43055000000004</v>
      </c>
      <c r="BH143" s="151">
        <f t="shared" si="8"/>
        <v>5091.4405500000003</v>
      </c>
      <c r="BI143" s="151">
        <v>5091.4399999999996</v>
      </c>
      <c r="BJ143" s="143" t="s">
        <v>115</v>
      </c>
      <c r="BK143" s="143"/>
      <c r="BL143" s="143"/>
      <c r="BM143" s="144" t="s">
        <v>3592</v>
      </c>
      <c r="BN143" s="144" t="s">
        <v>103</v>
      </c>
      <c r="BO143" s="144" t="s">
        <v>143</v>
      </c>
      <c r="BP143" s="144">
        <v>2021</v>
      </c>
      <c r="BQ143" s="203" t="s">
        <v>3274</v>
      </c>
    </row>
    <row r="144" spans="1:69" ht="41.1" customHeight="1">
      <c r="A144" s="206" t="s">
        <v>86</v>
      </c>
      <c r="B144" s="206" t="s">
        <v>765</v>
      </c>
      <c r="C144" s="143">
        <v>600</v>
      </c>
      <c r="D144" s="135">
        <v>44280</v>
      </c>
      <c r="E144" s="135">
        <v>44280</v>
      </c>
      <c r="F144" s="147">
        <v>44281</v>
      </c>
      <c r="G144" s="135" t="s">
        <v>766</v>
      </c>
      <c r="H144" s="147">
        <v>44301</v>
      </c>
      <c r="I144" s="147">
        <v>44301</v>
      </c>
      <c r="J144" s="147">
        <v>44307</v>
      </c>
      <c r="K144" s="135">
        <v>44459</v>
      </c>
      <c r="L144" s="135">
        <v>44448</v>
      </c>
      <c r="M144" s="135" t="s">
        <v>76</v>
      </c>
      <c r="N144" s="135">
        <v>44462</v>
      </c>
      <c r="O144" s="135">
        <v>44462</v>
      </c>
      <c r="P144" s="135">
        <v>44469</v>
      </c>
      <c r="Q144" s="135"/>
      <c r="R144" s="143"/>
      <c r="S144" s="143"/>
      <c r="T144" s="143"/>
      <c r="U144" s="143">
        <v>2</v>
      </c>
      <c r="V144" s="143">
        <v>37669</v>
      </c>
      <c r="W144" s="143" t="str">
        <f ca="1">IF(H144="",IF(D144="","",IF(U144+V144&lt;15,"Données Nb pers ou RFR manquantes",IF(COUNTA(INDIRECT("TabRFR["&amp;YEAR(D144)&amp;"]"))&lt;&gt;COUNTA(TabRFR[Recherche RFR]),"Data RFR manquantes", IF(V144&lt;=INDEX(TabRFR[[2021]:[2025]],MATCH(BD!U144&amp;"-Très modestes",TabRFR[Recherche RFR],0),MATCH(TEXT(YEAR(BD!D144),"Standard"),TabRFR[[#Headers],[2021]:[2025]],0)),"Très Modeste",IF(V144&lt;=INDEX(TabRFR[[2021]:[2025]],MATCH(BD!U144&amp;"-modestes",TabRFR[Recherche RFR],0),MATCH(TEXT(YEAR(BD!D144),"Standard"),TabRFR[[#Headers],[2021]:[2025]],0)),"Modeste",IF(V144&lt;=INDEX(TabRFR[[2021]:[2025]],MATCH(BD!U144&amp;"-Intermédiaire",TabRFR[Recherche RFR],0),MATCH(TEXT(YEAR(BD!D144),"Standard"),TabRFR[[#Headers],[2021]:[2025]],0)),"Intermédiaire","Supérieur")))))),IF(D144="","",IF(U144+V144&lt;15,"Données Nb pers ou RFR manquantes",IF(COUNTA(INDIRECT("TabRFR["&amp;YEAR(H144)&amp;"]"))&lt;&gt;COUNTA(TabRFR[Recherche RFR]),"Data RFR manquantes", IF(V144&lt;=INDEX(TabRFR[[2021]:[2025]],MATCH(BD!U144&amp;"-Très modestes",TabRFR[Recherche RFR],0),MATCH(TEXT(YEAR(BD!H144),"Standard"),TabRFR[[#Headers],[2021]:[2025]],0)),"Très Modeste",IF(V144&lt;=INDEX(TabRFR[[2021]:[2025]],MATCH(BD!U144&amp;"-modestes",TabRFR[Recherche RFR],0),MATCH(TEXT(YEAR(BD!H144),"Standard"),TabRFR[[#Headers],[2021]:[2025]],0)),"Modeste",IF(V144&lt;=INDEX(TabRFR[[2021]:[2025]],MATCH(BD!U144&amp;"-Intermédiaire",TabRFR[Recherche RFR],0),MATCH(TEXT(YEAR(BD!H144),"Standard"),TabRFR[[#Headers],[2021]:[2025]],0)),"Intermédiaire","Supérieur")))))))</f>
        <v>Intermédiaire</v>
      </c>
      <c r="X144" s="143"/>
      <c r="Y144" s="143" t="s">
        <v>767</v>
      </c>
      <c r="Z144" s="143">
        <v>38960</v>
      </c>
      <c r="AA144" s="143" t="s">
        <v>360</v>
      </c>
      <c r="AB144" s="148"/>
      <c r="AC144" s="149"/>
      <c r="AD144" s="143" t="s">
        <v>91</v>
      </c>
      <c r="AE144" s="143" t="s">
        <v>76</v>
      </c>
      <c r="AF144" s="143" t="s">
        <v>76</v>
      </c>
      <c r="AG144" s="143" t="s">
        <v>76</v>
      </c>
      <c r="AH144" s="143" t="s">
        <v>76</v>
      </c>
      <c r="AI144" s="143" t="s">
        <v>185</v>
      </c>
      <c r="AJ144" s="143" t="s">
        <v>108</v>
      </c>
      <c r="AK144" s="143" t="s">
        <v>186</v>
      </c>
      <c r="AL144" s="150" t="s">
        <v>187</v>
      </c>
      <c r="AM144" s="148">
        <v>951096343</v>
      </c>
      <c r="AN144" s="143" t="s">
        <v>76</v>
      </c>
      <c r="AO144" s="150" t="s">
        <v>102</v>
      </c>
      <c r="AP144" s="147">
        <v>44798</v>
      </c>
      <c r="AQ144" s="135" t="s">
        <v>3496</v>
      </c>
      <c r="AR144" s="143">
        <v>1992</v>
      </c>
      <c r="AS144" s="143" t="s">
        <v>3413</v>
      </c>
      <c r="AT144" s="143" t="s">
        <v>98</v>
      </c>
      <c r="AU144" s="143" t="s">
        <v>188</v>
      </c>
      <c r="AV144" s="143" t="s">
        <v>366</v>
      </c>
      <c r="AW144" s="143">
        <v>20</v>
      </c>
      <c r="AX144" s="143">
        <v>7.9</v>
      </c>
      <c r="AY144" s="143">
        <v>89</v>
      </c>
      <c r="AZ144" s="143">
        <v>1.7999999999999999E-2</v>
      </c>
      <c r="BA144" s="143" t="s">
        <v>126</v>
      </c>
      <c r="BB144" s="143"/>
      <c r="BC144" s="143">
        <f>5885+298.15+271.35+324.5</f>
        <v>6779</v>
      </c>
      <c r="BD144" s="143"/>
      <c r="BE144" s="143">
        <v>630</v>
      </c>
      <c r="BF144" s="143">
        <f t="shared" si="6"/>
        <v>7409</v>
      </c>
      <c r="BG144" s="151">
        <f t="shared" si="7"/>
        <v>407.495</v>
      </c>
      <c r="BH144" s="151">
        <f t="shared" si="8"/>
        <v>7816.4949999999999</v>
      </c>
      <c r="BI144" s="151">
        <v>7500</v>
      </c>
      <c r="BJ144" s="143" t="s">
        <v>102</v>
      </c>
      <c r="BK144" s="143"/>
      <c r="BL144" s="143"/>
      <c r="BM144" s="144" t="s">
        <v>3592</v>
      </c>
      <c r="BN144" s="144" t="s">
        <v>103</v>
      </c>
      <c r="BO144" s="144" t="s">
        <v>143</v>
      </c>
      <c r="BP144" s="143" t="s">
        <v>3583</v>
      </c>
      <c r="BQ144" s="203" t="s">
        <v>144</v>
      </c>
    </row>
    <row r="145" spans="1:69" ht="41.1" customHeight="1">
      <c r="A145" s="206" t="s">
        <v>86</v>
      </c>
      <c r="B145" s="206" t="s">
        <v>768</v>
      </c>
      <c r="C145" s="143">
        <v>600</v>
      </c>
      <c r="D145" s="135">
        <v>44281</v>
      </c>
      <c r="E145" s="135">
        <v>44281</v>
      </c>
      <c r="F145" s="147">
        <v>44287</v>
      </c>
      <c r="G145" s="135" t="s">
        <v>769</v>
      </c>
      <c r="H145" s="147">
        <v>44293</v>
      </c>
      <c r="I145" s="147">
        <v>44293</v>
      </c>
      <c r="J145" s="147">
        <v>44295</v>
      </c>
      <c r="K145" s="135">
        <v>44389</v>
      </c>
      <c r="L145" s="135">
        <v>44385</v>
      </c>
      <c r="M145" s="135" t="s">
        <v>76</v>
      </c>
      <c r="N145" s="135">
        <v>44393</v>
      </c>
      <c r="O145" s="135">
        <v>44393</v>
      </c>
      <c r="P145" s="135">
        <v>44434</v>
      </c>
      <c r="Q145" s="135"/>
      <c r="R145" s="143"/>
      <c r="S145" s="143"/>
      <c r="T145" s="143"/>
      <c r="U145" s="143">
        <v>2</v>
      </c>
      <c r="V145" s="143">
        <v>45534</v>
      </c>
      <c r="W145" s="143" t="str">
        <f ca="1">IF(H145="",IF(D145="","",IF(U145+V145&lt;15,"Données Nb pers ou RFR manquantes",IF(COUNTA(INDIRECT("TabRFR["&amp;YEAR(D145)&amp;"]"))&lt;&gt;COUNTA(TabRFR[Recherche RFR]),"Data RFR manquantes", IF(V145&lt;=INDEX(TabRFR[[2021]:[2025]],MATCH(BD!U145&amp;"-Très modestes",TabRFR[Recherche RFR],0),MATCH(TEXT(YEAR(BD!D145),"Standard"),TabRFR[[#Headers],[2021]:[2025]],0)),"Très Modeste",IF(V145&lt;=INDEX(TabRFR[[2021]:[2025]],MATCH(BD!U145&amp;"-modestes",TabRFR[Recherche RFR],0),MATCH(TEXT(YEAR(BD!D145),"Standard"),TabRFR[[#Headers],[2021]:[2025]],0)),"Modeste",IF(V145&lt;=INDEX(TabRFR[[2021]:[2025]],MATCH(BD!U145&amp;"-Intermédiaire",TabRFR[Recherche RFR],0),MATCH(TEXT(YEAR(BD!D145),"Standard"),TabRFR[[#Headers],[2021]:[2025]],0)),"Intermédiaire","Supérieur")))))),IF(D145="","",IF(U145+V145&lt;15,"Données Nb pers ou RFR manquantes",IF(COUNTA(INDIRECT("TabRFR["&amp;YEAR(H145)&amp;"]"))&lt;&gt;COUNTA(TabRFR[Recherche RFR]),"Data RFR manquantes", IF(V145&lt;=INDEX(TabRFR[[2021]:[2025]],MATCH(BD!U145&amp;"-Très modestes",TabRFR[Recherche RFR],0),MATCH(TEXT(YEAR(BD!H145),"Standard"),TabRFR[[#Headers],[2021]:[2025]],0)),"Très Modeste",IF(V145&lt;=INDEX(TabRFR[[2021]:[2025]],MATCH(BD!U145&amp;"-modestes",TabRFR[Recherche RFR],0),MATCH(TEXT(YEAR(BD!H145),"Standard"),TabRFR[[#Headers],[2021]:[2025]],0)),"Modeste",IF(V145&lt;=INDEX(TabRFR[[2021]:[2025]],MATCH(BD!U145&amp;"-Intermédiaire",TabRFR[Recherche RFR],0),MATCH(TEXT(YEAR(BD!H145),"Standard"),TabRFR[[#Headers],[2021]:[2025]],0)),"Intermédiaire","Supérieur")))))))</f>
        <v>Supérieur</v>
      </c>
      <c r="X145" s="143"/>
      <c r="Y145" s="143" t="s">
        <v>770</v>
      </c>
      <c r="Z145" s="143">
        <v>38620</v>
      </c>
      <c r="AA145" s="143" t="s">
        <v>680</v>
      </c>
      <c r="AB145" s="148"/>
      <c r="AC145" s="149"/>
      <c r="AD145" s="143" t="s">
        <v>91</v>
      </c>
      <c r="AE145" s="143" t="s">
        <v>76</v>
      </c>
      <c r="AF145" s="143" t="s">
        <v>76</v>
      </c>
      <c r="AG145" s="143" t="s">
        <v>76</v>
      </c>
      <c r="AH145" s="143" t="s">
        <v>76</v>
      </c>
      <c r="AI145" s="143" t="s">
        <v>185</v>
      </c>
      <c r="AJ145" s="143" t="s">
        <v>108</v>
      </c>
      <c r="AK145" s="143" t="s">
        <v>186</v>
      </c>
      <c r="AL145" s="150" t="s">
        <v>187</v>
      </c>
      <c r="AM145" s="148">
        <v>951096343</v>
      </c>
      <c r="AN145" s="143" t="s">
        <v>76</v>
      </c>
      <c r="AO145" s="150" t="s">
        <v>102</v>
      </c>
      <c r="AP145" s="147">
        <v>44433</v>
      </c>
      <c r="AQ145" s="135" t="s">
        <v>3496</v>
      </c>
      <c r="AR145" s="143" t="s">
        <v>172</v>
      </c>
      <c r="AS145" s="143" t="s">
        <v>3413</v>
      </c>
      <c r="AT145" s="143" t="s">
        <v>98</v>
      </c>
      <c r="AU145" s="143" t="s">
        <v>188</v>
      </c>
      <c r="AV145" s="143" t="s">
        <v>280</v>
      </c>
      <c r="AW145" s="143">
        <v>15</v>
      </c>
      <c r="AX145" s="143">
        <v>9.3000000000000007</v>
      </c>
      <c r="AY145" s="143">
        <v>87</v>
      </c>
      <c r="AZ145" s="143">
        <v>1.7999999999999999E-2</v>
      </c>
      <c r="BA145" s="143" t="s">
        <v>126</v>
      </c>
      <c r="BB145" s="143"/>
      <c r="BC145" s="143">
        <f>5090.72+340.55+271.39+657.91</f>
        <v>6360.5700000000006</v>
      </c>
      <c r="BD145" s="143"/>
      <c r="BE145" s="143">
        <v>880.1</v>
      </c>
      <c r="BF145" s="143">
        <f t="shared" si="6"/>
        <v>7240.670000000001</v>
      </c>
      <c r="BG145" s="151">
        <f t="shared" si="7"/>
        <v>398.23685000000006</v>
      </c>
      <c r="BH145" s="151">
        <f t="shared" si="8"/>
        <v>7638.9068500000012</v>
      </c>
      <c r="BI145" s="151">
        <v>7349.98</v>
      </c>
      <c r="BJ145" s="143" t="s">
        <v>102</v>
      </c>
      <c r="BK145" s="143"/>
      <c r="BL145" s="143"/>
      <c r="BM145" s="144" t="s">
        <v>3592</v>
      </c>
      <c r="BN145" s="144" t="s">
        <v>103</v>
      </c>
      <c r="BO145" s="144" t="s">
        <v>143</v>
      </c>
      <c r="BP145" s="143" t="s">
        <v>3583</v>
      </c>
      <c r="BQ145" s="203" t="s">
        <v>144</v>
      </c>
    </row>
    <row r="146" spans="1:69" ht="41.1" customHeight="1">
      <c r="A146" s="206" t="s">
        <v>86</v>
      </c>
      <c r="B146" s="206" t="s">
        <v>771</v>
      </c>
      <c r="C146" s="143">
        <v>1000</v>
      </c>
      <c r="D146" s="135">
        <v>44281</v>
      </c>
      <c r="E146" s="135">
        <v>44281</v>
      </c>
      <c r="F146" s="147">
        <v>44287</v>
      </c>
      <c r="G146" s="135" t="s">
        <v>496</v>
      </c>
      <c r="H146" s="147">
        <v>44308</v>
      </c>
      <c r="I146" s="147">
        <v>44308</v>
      </c>
      <c r="J146" s="147">
        <v>44319</v>
      </c>
      <c r="K146" s="135">
        <v>44385</v>
      </c>
      <c r="L146" s="135">
        <v>44365</v>
      </c>
      <c r="M146" s="135" t="s">
        <v>772</v>
      </c>
      <c r="N146" s="135">
        <v>44413</v>
      </c>
      <c r="O146" s="135">
        <v>44413</v>
      </c>
      <c r="P146" s="135">
        <v>44453</v>
      </c>
      <c r="Q146" s="135"/>
      <c r="R146" s="143"/>
      <c r="S146" s="143"/>
      <c r="T146" s="143"/>
      <c r="U146" s="143">
        <v>1</v>
      </c>
      <c r="V146" s="143">
        <v>4169</v>
      </c>
      <c r="W146" s="143" t="str">
        <f ca="1">IF(H146="",IF(D146="","",IF(U146+V146&lt;15,"Données Nb pers ou RFR manquantes",IF(COUNTA(INDIRECT("TabRFR["&amp;YEAR(D146)&amp;"]"))&lt;&gt;COUNTA(TabRFR[Recherche RFR]),"Data RFR manquantes", IF(V146&lt;=INDEX(TabRFR[[2021]:[2025]],MATCH(BD!U146&amp;"-Très modestes",TabRFR[Recherche RFR],0),MATCH(TEXT(YEAR(BD!D146),"Standard"),TabRFR[[#Headers],[2021]:[2025]],0)),"Très Modeste",IF(V146&lt;=INDEX(TabRFR[[2021]:[2025]],MATCH(BD!U146&amp;"-modestes",TabRFR[Recherche RFR],0),MATCH(TEXT(YEAR(BD!D146),"Standard"),TabRFR[[#Headers],[2021]:[2025]],0)),"Modeste",IF(V146&lt;=INDEX(TabRFR[[2021]:[2025]],MATCH(BD!U146&amp;"-Intermédiaire",TabRFR[Recherche RFR],0),MATCH(TEXT(YEAR(BD!D146),"Standard"),TabRFR[[#Headers],[2021]:[2025]],0)),"Intermédiaire","Supérieur")))))),IF(D146="","",IF(U146+V146&lt;15,"Données Nb pers ou RFR manquantes",IF(COUNTA(INDIRECT("TabRFR["&amp;YEAR(H146)&amp;"]"))&lt;&gt;COUNTA(TabRFR[Recherche RFR]),"Data RFR manquantes", IF(V146&lt;=INDEX(TabRFR[[2021]:[2025]],MATCH(BD!U146&amp;"-Très modestes",TabRFR[Recherche RFR],0),MATCH(TEXT(YEAR(BD!H146),"Standard"),TabRFR[[#Headers],[2021]:[2025]],0)),"Très Modeste",IF(V146&lt;=INDEX(TabRFR[[2021]:[2025]],MATCH(BD!U146&amp;"-modestes",TabRFR[Recherche RFR],0),MATCH(TEXT(YEAR(BD!H146),"Standard"),TabRFR[[#Headers],[2021]:[2025]],0)),"Modeste",IF(V146&lt;=INDEX(TabRFR[[2021]:[2025]],MATCH(BD!U146&amp;"-Intermédiaire",TabRFR[Recherche RFR],0),MATCH(TEXT(YEAR(BD!H146),"Standard"),TabRFR[[#Headers],[2021]:[2025]],0)),"Intermédiaire","Supérieur")))))))</f>
        <v>Très Modeste</v>
      </c>
      <c r="X146" s="143"/>
      <c r="Y146" s="143" t="s">
        <v>773</v>
      </c>
      <c r="Z146" s="143">
        <v>38730</v>
      </c>
      <c r="AA146" s="143" t="s">
        <v>148</v>
      </c>
      <c r="AB146" s="148"/>
      <c r="AC146" s="149"/>
      <c r="AD146" s="143" t="s">
        <v>91</v>
      </c>
      <c r="AE146" s="143" t="s">
        <v>76</v>
      </c>
      <c r="AF146" s="143" t="s">
        <v>76</v>
      </c>
      <c r="AG146" s="143" t="s">
        <v>76</v>
      </c>
      <c r="AH146" s="143" t="s">
        <v>76</v>
      </c>
      <c r="AI146" s="143" t="s">
        <v>774</v>
      </c>
      <c r="AJ146" s="143" t="s">
        <v>775</v>
      </c>
      <c r="AK146" s="143" t="s">
        <v>776</v>
      </c>
      <c r="AL146" s="150" t="s">
        <v>777</v>
      </c>
      <c r="AM146" s="148">
        <v>474281667</v>
      </c>
      <c r="AN146" s="143" t="s">
        <v>76</v>
      </c>
      <c r="AO146" s="150" t="s">
        <v>102</v>
      </c>
      <c r="AP146" s="147">
        <v>44436</v>
      </c>
      <c r="AQ146" s="135" t="s">
        <v>3496</v>
      </c>
      <c r="AR146" s="143">
        <v>1980</v>
      </c>
      <c r="AS146" s="143" t="s">
        <v>3413</v>
      </c>
      <c r="AT146" s="135" t="s">
        <v>3446</v>
      </c>
      <c r="AU146" s="143" t="s">
        <v>113</v>
      </c>
      <c r="AV146" s="143" t="s">
        <v>778</v>
      </c>
      <c r="AW146" s="143">
        <v>11</v>
      </c>
      <c r="AX146" s="143">
        <v>7.8</v>
      </c>
      <c r="AY146" s="143">
        <v>75</v>
      </c>
      <c r="AZ146" s="143">
        <v>6.0000000000000001E-3</v>
      </c>
      <c r="BA146" s="143" t="s">
        <v>101</v>
      </c>
      <c r="BB146" s="143"/>
      <c r="BC146" s="143">
        <f>3420+108+550</f>
        <v>4078</v>
      </c>
      <c r="BD146" s="143"/>
      <c r="BE146" s="143">
        <v>650</v>
      </c>
      <c r="BF146" s="143">
        <f t="shared" si="6"/>
        <v>4728</v>
      </c>
      <c r="BG146" s="151">
        <f t="shared" si="7"/>
        <v>260.04000000000002</v>
      </c>
      <c r="BH146" s="151">
        <f t="shared" si="8"/>
        <v>4988.04</v>
      </c>
      <c r="BI146" s="151">
        <v>4988.04</v>
      </c>
      <c r="BJ146" s="143" t="s">
        <v>115</v>
      </c>
      <c r="BK146" s="143"/>
      <c r="BL146" s="143"/>
      <c r="BM146" s="144" t="s">
        <v>3592</v>
      </c>
      <c r="BN146" s="144" t="s">
        <v>103</v>
      </c>
      <c r="BO146" s="135" t="s">
        <v>155</v>
      </c>
      <c r="BP146" s="144">
        <v>2021</v>
      </c>
      <c r="BQ146" s="203" t="s">
        <v>3274</v>
      </c>
    </row>
    <row r="147" spans="1:69" ht="41.1" customHeight="1">
      <c r="A147" s="206" t="s">
        <v>86</v>
      </c>
      <c r="B147" s="206" t="s">
        <v>779</v>
      </c>
      <c r="C147" s="143">
        <v>1000</v>
      </c>
      <c r="D147" s="135">
        <v>44256</v>
      </c>
      <c r="E147" s="135">
        <v>44285</v>
      </c>
      <c r="F147" s="147" t="s">
        <v>76</v>
      </c>
      <c r="G147" s="135" t="s">
        <v>76</v>
      </c>
      <c r="H147" s="147">
        <v>44285</v>
      </c>
      <c r="I147" s="147">
        <v>44285</v>
      </c>
      <c r="J147" s="147">
        <v>44285</v>
      </c>
      <c r="K147" s="135">
        <v>44489</v>
      </c>
      <c r="L147" s="135">
        <v>44476</v>
      </c>
      <c r="M147" s="135" t="s">
        <v>76</v>
      </c>
      <c r="N147" s="135">
        <v>44491</v>
      </c>
      <c r="O147" s="135">
        <v>44491</v>
      </c>
      <c r="P147" s="135">
        <v>44496</v>
      </c>
      <c r="Q147" s="135"/>
      <c r="R147" s="143"/>
      <c r="S147" s="143"/>
      <c r="T147" s="143"/>
      <c r="U147" s="143">
        <v>3</v>
      </c>
      <c r="V147" s="143">
        <v>32246</v>
      </c>
      <c r="W147" s="143" t="str">
        <f ca="1">IF(H147="",IF(D147="","",IF(U147+V147&lt;15,"Données Nb pers ou RFR manquantes",IF(COUNTA(INDIRECT("TabRFR["&amp;YEAR(D147)&amp;"]"))&lt;&gt;COUNTA(TabRFR[Recherche RFR]),"Data RFR manquantes", IF(V147&lt;=INDEX(TabRFR[[2021]:[2025]],MATCH(BD!U147&amp;"-Très modestes",TabRFR[Recherche RFR],0),MATCH(TEXT(YEAR(BD!D147),"Standard"),TabRFR[[#Headers],[2021]:[2025]],0)),"Très Modeste",IF(V147&lt;=INDEX(TabRFR[[2021]:[2025]],MATCH(BD!U147&amp;"-modestes",TabRFR[Recherche RFR],0),MATCH(TEXT(YEAR(BD!D147),"Standard"),TabRFR[[#Headers],[2021]:[2025]],0)),"Modeste",IF(V147&lt;=INDEX(TabRFR[[2021]:[2025]],MATCH(BD!U147&amp;"-Intermédiaire",TabRFR[Recherche RFR],0),MATCH(TEXT(YEAR(BD!D147),"Standard"),TabRFR[[#Headers],[2021]:[2025]],0)),"Intermédiaire","Supérieur")))))),IF(D147="","",IF(U147+V147&lt;15,"Données Nb pers ou RFR manquantes",IF(COUNTA(INDIRECT("TabRFR["&amp;YEAR(H147)&amp;"]"))&lt;&gt;COUNTA(TabRFR[Recherche RFR]),"Data RFR manquantes", IF(V147&lt;=INDEX(TabRFR[[2021]:[2025]],MATCH(BD!U147&amp;"-Très modestes",TabRFR[Recherche RFR],0),MATCH(TEXT(YEAR(BD!H147),"Standard"),TabRFR[[#Headers],[2021]:[2025]],0)),"Très Modeste",IF(V147&lt;=INDEX(TabRFR[[2021]:[2025]],MATCH(BD!U147&amp;"-modestes",TabRFR[Recherche RFR],0),MATCH(TEXT(YEAR(BD!H147),"Standard"),TabRFR[[#Headers],[2021]:[2025]],0)),"Modeste",IF(V147&lt;=INDEX(TabRFR[[2021]:[2025]],MATCH(BD!U147&amp;"-Intermédiaire",TabRFR[Recherche RFR],0),MATCH(TEXT(YEAR(BD!H147),"Standard"),TabRFR[[#Headers],[2021]:[2025]],0)),"Intermédiaire","Supérieur")))))))</f>
        <v>Modeste</v>
      </c>
      <c r="X147" s="143"/>
      <c r="Y147" s="143" t="s">
        <v>780</v>
      </c>
      <c r="Z147" s="143">
        <v>38620</v>
      </c>
      <c r="AA147" s="143" t="s">
        <v>90</v>
      </c>
      <c r="AB147" s="148"/>
      <c r="AC147" s="149"/>
      <c r="AD147" s="143" t="s">
        <v>91</v>
      </c>
      <c r="AE147" s="143" t="s">
        <v>76</v>
      </c>
      <c r="AF147" s="143" t="s">
        <v>76</v>
      </c>
      <c r="AG147" s="143" t="s">
        <v>76</v>
      </c>
      <c r="AH147" s="143" t="s">
        <v>76</v>
      </c>
      <c r="AI147" s="143" t="s">
        <v>109</v>
      </c>
      <c r="AJ147" s="143" t="s">
        <v>108</v>
      </c>
      <c r="AK147" s="143" t="s">
        <v>110</v>
      </c>
      <c r="AL147" s="149" t="s">
        <v>111</v>
      </c>
      <c r="AM147" s="148" t="s">
        <v>112</v>
      </c>
      <c r="AN147" s="143" t="s">
        <v>76</v>
      </c>
      <c r="AO147" s="150" t="s">
        <v>102</v>
      </c>
      <c r="AP147" s="147">
        <v>44503</v>
      </c>
      <c r="AQ147" s="135" t="s">
        <v>3496</v>
      </c>
      <c r="AR147" s="143">
        <v>1980</v>
      </c>
      <c r="AS147" s="143" t="s">
        <v>3413</v>
      </c>
      <c r="AT147" s="135" t="s">
        <v>3446</v>
      </c>
      <c r="AU147" s="143" t="s">
        <v>258</v>
      </c>
      <c r="AV147" s="143" t="s">
        <v>781</v>
      </c>
      <c r="AW147" s="143">
        <v>18</v>
      </c>
      <c r="AX147" s="143">
        <v>10.6</v>
      </c>
      <c r="AY147" s="143">
        <v>88</v>
      </c>
      <c r="AZ147" s="143">
        <v>7.0000000000000007E-2</v>
      </c>
      <c r="BA147" s="143" t="s">
        <v>101</v>
      </c>
      <c r="BB147" s="143"/>
      <c r="BC147" s="143">
        <f>2864.04+525+138+220+101+60+45+90+47+22+28+140+138+15</f>
        <v>4433.04</v>
      </c>
      <c r="BD147" s="143"/>
      <c r="BE147" s="143">
        <f>30+450</f>
        <v>480</v>
      </c>
      <c r="BF147" s="143">
        <f t="shared" si="6"/>
        <v>4913.04</v>
      </c>
      <c r="BG147" s="151">
        <f t="shared" si="7"/>
        <v>270.21719999999999</v>
      </c>
      <c r="BH147" s="151">
        <f t="shared" si="8"/>
        <v>5183.2572</v>
      </c>
      <c r="BI147" s="151">
        <v>5183.25</v>
      </c>
      <c r="BJ147" s="143" t="s">
        <v>102</v>
      </c>
      <c r="BK147" s="143"/>
      <c r="BL147" s="143"/>
      <c r="BM147" s="144" t="s">
        <v>3592</v>
      </c>
      <c r="BN147" s="144" t="s">
        <v>103</v>
      </c>
      <c r="BO147" s="135" t="s">
        <v>155</v>
      </c>
      <c r="BP147" s="143">
        <v>2021</v>
      </c>
      <c r="BQ147" s="203" t="s">
        <v>144</v>
      </c>
    </row>
    <row r="148" spans="1:69" ht="41.1" customHeight="1">
      <c r="A148" s="206" t="s">
        <v>86</v>
      </c>
      <c r="B148" s="206" t="s">
        <v>782</v>
      </c>
      <c r="C148" s="143">
        <v>600</v>
      </c>
      <c r="D148" s="135">
        <v>44265</v>
      </c>
      <c r="E148" s="135">
        <v>44287</v>
      </c>
      <c r="F148" s="147">
        <v>44287</v>
      </c>
      <c r="G148" s="135" t="s">
        <v>783</v>
      </c>
      <c r="H148" s="147">
        <v>44293</v>
      </c>
      <c r="I148" s="147">
        <v>44293</v>
      </c>
      <c r="J148" s="147">
        <v>44295</v>
      </c>
      <c r="K148" s="135">
        <v>44524</v>
      </c>
      <c r="L148" s="135"/>
      <c r="M148" s="135" t="s">
        <v>76</v>
      </c>
      <c r="N148" s="135">
        <v>44525</v>
      </c>
      <c r="O148" s="135">
        <v>44525</v>
      </c>
      <c r="P148" s="135">
        <v>44539</v>
      </c>
      <c r="Q148" s="135"/>
      <c r="R148" s="143"/>
      <c r="S148" s="143"/>
      <c r="T148" s="143"/>
      <c r="U148" s="143">
        <v>2</v>
      </c>
      <c r="V148" s="143">
        <v>34985</v>
      </c>
      <c r="W148" s="143" t="str">
        <f ca="1">IF(H148="",IF(D148="","",IF(U148+V148&lt;15,"Données Nb pers ou RFR manquantes",IF(COUNTA(INDIRECT("TabRFR["&amp;YEAR(D148)&amp;"]"))&lt;&gt;COUNTA(TabRFR[Recherche RFR]),"Data RFR manquantes", IF(V148&lt;=INDEX(TabRFR[[2021]:[2025]],MATCH(BD!U148&amp;"-Très modestes",TabRFR[Recherche RFR],0),MATCH(TEXT(YEAR(BD!D148),"Standard"),TabRFR[[#Headers],[2021]:[2025]],0)),"Très Modeste",IF(V148&lt;=INDEX(TabRFR[[2021]:[2025]],MATCH(BD!U148&amp;"-modestes",TabRFR[Recherche RFR],0),MATCH(TEXT(YEAR(BD!D148),"Standard"),TabRFR[[#Headers],[2021]:[2025]],0)),"Modeste",IF(V148&lt;=INDEX(TabRFR[[2021]:[2025]],MATCH(BD!U148&amp;"-Intermédiaire",TabRFR[Recherche RFR],0),MATCH(TEXT(YEAR(BD!D148),"Standard"),TabRFR[[#Headers],[2021]:[2025]],0)),"Intermédiaire","Supérieur")))))),IF(D148="","",IF(U148+V148&lt;15,"Données Nb pers ou RFR manquantes",IF(COUNTA(INDIRECT("TabRFR["&amp;YEAR(H148)&amp;"]"))&lt;&gt;COUNTA(TabRFR[Recherche RFR]),"Data RFR manquantes", IF(V148&lt;=INDEX(TabRFR[[2021]:[2025]],MATCH(BD!U148&amp;"-Très modestes",TabRFR[Recherche RFR],0),MATCH(TEXT(YEAR(BD!H148),"Standard"),TabRFR[[#Headers],[2021]:[2025]],0)),"Très Modeste",IF(V148&lt;=INDEX(TabRFR[[2021]:[2025]],MATCH(BD!U148&amp;"-modestes",TabRFR[Recherche RFR],0),MATCH(TEXT(YEAR(BD!H148),"Standard"),TabRFR[[#Headers],[2021]:[2025]],0)),"Modeste",IF(V148&lt;=INDEX(TabRFR[[2021]:[2025]],MATCH(BD!U148&amp;"-Intermédiaire",TabRFR[Recherche RFR],0),MATCH(TEXT(YEAR(BD!H148),"Standard"),TabRFR[[#Headers],[2021]:[2025]],0)),"Intermédiaire","Supérieur")))))))</f>
        <v>Intermédiaire</v>
      </c>
      <c r="X148" s="143"/>
      <c r="Y148" s="143" t="s">
        <v>784</v>
      </c>
      <c r="Z148" s="143">
        <v>38140</v>
      </c>
      <c r="AA148" s="143" t="s">
        <v>184</v>
      </c>
      <c r="AB148" s="148"/>
      <c r="AC148" s="149"/>
      <c r="AD148" s="143" t="s">
        <v>91</v>
      </c>
      <c r="AE148" s="143" t="s">
        <v>76</v>
      </c>
      <c r="AF148" s="143" t="s">
        <v>76</v>
      </c>
      <c r="AG148" s="143" t="s">
        <v>76</v>
      </c>
      <c r="AH148" s="143" t="s">
        <v>76</v>
      </c>
      <c r="AI148" s="135" t="s">
        <v>285</v>
      </c>
      <c r="AJ148" s="143" t="s">
        <v>108</v>
      </c>
      <c r="AK148" s="143" t="s">
        <v>286</v>
      </c>
      <c r="AL148" s="150" t="s">
        <v>287</v>
      </c>
      <c r="AM148" s="148">
        <v>476069938</v>
      </c>
      <c r="AN148" s="143" t="s">
        <v>76</v>
      </c>
      <c r="AO148" s="150" t="s">
        <v>102</v>
      </c>
      <c r="AP148" s="147">
        <v>44457</v>
      </c>
      <c r="AQ148" s="135" t="s">
        <v>3496</v>
      </c>
      <c r="AR148" s="143">
        <v>1980</v>
      </c>
      <c r="AS148" s="143" t="s">
        <v>3413</v>
      </c>
      <c r="AT148" s="135" t="s">
        <v>3446</v>
      </c>
      <c r="AU148" s="143" t="s">
        <v>532</v>
      </c>
      <c r="AV148" s="143" t="s">
        <v>785</v>
      </c>
      <c r="AW148" s="143">
        <v>35</v>
      </c>
      <c r="AX148" s="143">
        <v>5.9</v>
      </c>
      <c r="AY148" s="143">
        <v>80.2</v>
      </c>
      <c r="AZ148" s="143">
        <v>0.09</v>
      </c>
      <c r="BA148" s="143" t="s">
        <v>101</v>
      </c>
      <c r="BB148" s="143"/>
      <c r="BC148" s="143">
        <f>460+250+96.84+89+2590</f>
        <v>3485.84</v>
      </c>
      <c r="BD148" s="143"/>
      <c r="BE148" s="143">
        <f>540+300</f>
        <v>840</v>
      </c>
      <c r="BF148" s="143">
        <f t="shared" si="6"/>
        <v>4325.84</v>
      </c>
      <c r="BG148" s="143">
        <f t="shared" si="7"/>
        <v>237.9212</v>
      </c>
      <c r="BH148" s="143">
        <f t="shared" si="8"/>
        <v>4563.7611999999999</v>
      </c>
      <c r="BI148" s="151">
        <v>4468.8100000000004</v>
      </c>
      <c r="BJ148" s="143" t="s">
        <v>102</v>
      </c>
      <c r="BK148" s="143"/>
      <c r="BL148" s="143"/>
      <c r="BM148" s="144" t="s">
        <v>3592</v>
      </c>
      <c r="BN148" s="144" t="s">
        <v>103</v>
      </c>
      <c r="BO148" s="144" t="s">
        <v>143</v>
      </c>
      <c r="BP148" s="144">
        <v>2021</v>
      </c>
      <c r="BQ148" s="203" t="s">
        <v>144</v>
      </c>
    </row>
    <row r="149" spans="1:69" ht="41.1" customHeight="1">
      <c r="A149" s="206" t="s">
        <v>86</v>
      </c>
      <c r="B149" s="206" t="s">
        <v>786</v>
      </c>
      <c r="C149" s="143">
        <v>600</v>
      </c>
      <c r="D149" s="135">
        <v>44270</v>
      </c>
      <c r="E149" s="135">
        <v>44287</v>
      </c>
      <c r="F149" s="147" t="s">
        <v>76</v>
      </c>
      <c r="G149" s="135" t="s">
        <v>76</v>
      </c>
      <c r="H149" s="147">
        <v>44287</v>
      </c>
      <c r="I149" s="147">
        <v>44287</v>
      </c>
      <c r="J149" s="147">
        <v>44292</v>
      </c>
      <c r="K149" s="135">
        <v>44349</v>
      </c>
      <c r="L149" s="135">
        <v>44336</v>
      </c>
      <c r="M149" s="135" t="s">
        <v>76</v>
      </c>
      <c r="N149" s="135">
        <v>44351</v>
      </c>
      <c r="O149" s="135">
        <v>44351</v>
      </c>
      <c r="P149" s="135">
        <v>44378</v>
      </c>
      <c r="Q149" s="135"/>
      <c r="R149" s="143"/>
      <c r="S149" s="143"/>
      <c r="T149" s="143"/>
      <c r="U149" s="143">
        <v>2</v>
      </c>
      <c r="V149" s="143">
        <v>169573</v>
      </c>
      <c r="W149" s="143" t="str">
        <f ca="1">IF(H149="",IF(D149="","",IF(U149+V149&lt;15,"Données Nb pers ou RFR manquantes",IF(COUNTA(INDIRECT("TabRFR["&amp;YEAR(D149)&amp;"]"))&lt;&gt;COUNTA(TabRFR[Recherche RFR]),"Data RFR manquantes", IF(V149&lt;=INDEX(TabRFR[[2021]:[2025]],MATCH(BD!U149&amp;"-Très modestes",TabRFR[Recherche RFR],0),MATCH(TEXT(YEAR(BD!D149),"Standard"),TabRFR[[#Headers],[2021]:[2025]],0)),"Très Modeste",IF(V149&lt;=INDEX(TabRFR[[2021]:[2025]],MATCH(BD!U149&amp;"-modestes",TabRFR[Recherche RFR],0),MATCH(TEXT(YEAR(BD!D149),"Standard"),TabRFR[[#Headers],[2021]:[2025]],0)),"Modeste",IF(V149&lt;=INDEX(TabRFR[[2021]:[2025]],MATCH(BD!U149&amp;"-Intermédiaire",TabRFR[Recherche RFR],0),MATCH(TEXT(YEAR(BD!D149),"Standard"),TabRFR[[#Headers],[2021]:[2025]],0)),"Intermédiaire","Supérieur")))))),IF(D149="","",IF(U149+V149&lt;15,"Données Nb pers ou RFR manquantes",IF(COUNTA(INDIRECT("TabRFR["&amp;YEAR(H149)&amp;"]"))&lt;&gt;COUNTA(TabRFR[Recherche RFR]),"Data RFR manquantes", IF(V149&lt;=INDEX(TabRFR[[2021]:[2025]],MATCH(BD!U149&amp;"-Très modestes",TabRFR[Recherche RFR],0),MATCH(TEXT(YEAR(BD!H149),"Standard"),TabRFR[[#Headers],[2021]:[2025]],0)),"Très Modeste",IF(V149&lt;=INDEX(TabRFR[[2021]:[2025]],MATCH(BD!U149&amp;"-modestes",TabRFR[Recherche RFR],0),MATCH(TEXT(YEAR(BD!H149),"Standard"),TabRFR[[#Headers],[2021]:[2025]],0)),"Modeste",IF(V149&lt;=INDEX(TabRFR[[2021]:[2025]],MATCH(BD!U149&amp;"-Intermédiaire",TabRFR[Recherche RFR],0),MATCH(TEXT(YEAR(BD!H149),"Standard"),TabRFR[[#Headers],[2021]:[2025]],0)),"Intermédiaire","Supérieur")))))))</f>
        <v>Supérieur</v>
      </c>
      <c r="X149" s="143"/>
      <c r="Y149" s="143" t="s">
        <v>787</v>
      </c>
      <c r="Z149" s="143">
        <v>38430</v>
      </c>
      <c r="AA149" s="143" t="s">
        <v>119</v>
      </c>
      <c r="AB149" s="148"/>
      <c r="AC149" s="149"/>
      <c r="AD149" s="143" t="s">
        <v>91</v>
      </c>
      <c r="AE149" s="143" t="s">
        <v>76</v>
      </c>
      <c r="AF149" s="143" t="s">
        <v>76</v>
      </c>
      <c r="AG149" s="143" t="s">
        <v>76</v>
      </c>
      <c r="AH149" s="143" t="s">
        <v>76</v>
      </c>
      <c r="AI149" s="143" t="s">
        <v>788</v>
      </c>
      <c r="AJ149" s="143" t="s">
        <v>789</v>
      </c>
      <c r="AK149" s="143" t="s">
        <v>790</v>
      </c>
      <c r="AL149" s="150" t="s">
        <v>791</v>
      </c>
      <c r="AM149" s="148">
        <v>476911347</v>
      </c>
      <c r="AN149" s="143" t="s">
        <v>76</v>
      </c>
      <c r="AO149" s="150" t="s">
        <v>102</v>
      </c>
      <c r="AP149" s="147">
        <v>44340</v>
      </c>
      <c r="AQ149" s="135" t="s">
        <v>3496</v>
      </c>
      <c r="AR149" s="143">
        <v>1985</v>
      </c>
      <c r="AS149" s="143" t="s">
        <v>3413</v>
      </c>
      <c r="AT149" s="135" t="s">
        <v>3446</v>
      </c>
      <c r="AU149" s="143" t="s">
        <v>792</v>
      </c>
      <c r="AV149" s="143" t="s">
        <v>793</v>
      </c>
      <c r="AW149" s="143">
        <v>25</v>
      </c>
      <c r="AX149" s="143">
        <v>7</v>
      </c>
      <c r="AY149" s="143">
        <v>80</v>
      </c>
      <c r="AZ149" s="143">
        <v>7.0000000000000007E-2</v>
      </c>
      <c r="BA149" s="143" t="s">
        <v>126</v>
      </c>
      <c r="BB149" s="143"/>
      <c r="BC149" s="143">
        <f>2351+55+310+80+580</f>
        <v>3376</v>
      </c>
      <c r="BD149" s="143"/>
      <c r="BE149" s="143">
        <f>650+370+240</f>
        <v>1260</v>
      </c>
      <c r="BF149" s="143">
        <f t="shared" si="6"/>
        <v>4636</v>
      </c>
      <c r="BG149" s="151">
        <f t="shared" si="7"/>
        <v>254.98</v>
      </c>
      <c r="BH149" s="151">
        <f t="shared" si="8"/>
        <v>4890.9799999999996</v>
      </c>
      <c r="BI149" s="151">
        <v>5080.88</v>
      </c>
      <c r="BJ149" s="143" t="s">
        <v>102</v>
      </c>
      <c r="BK149" s="143"/>
      <c r="BL149" s="143"/>
      <c r="BM149" s="144" t="s">
        <v>3592</v>
      </c>
      <c r="BN149" s="144" t="s">
        <v>103</v>
      </c>
      <c r="BO149" s="144" t="s">
        <v>143</v>
      </c>
      <c r="BP149" s="144">
        <v>2021</v>
      </c>
      <c r="BQ149" s="203" t="s">
        <v>144</v>
      </c>
    </row>
    <row r="150" spans="1:69" ht="41.1" customHeight="1">
      <c r="A150" s="206" t="s">
        <v>86</v>
      </c>
      <c r="B150" s="206" t="s">
        <v>794</v>
      </c>
      <c r="C150" s="143">
        <v>600</v>
      </c>
      <c r="D150" s="135">
        <v>44271</v>
      </c>
      <c r="E150" s="135">
        <v>44287</v>
      </c>
      <c r="F150" s="147" t="s">
        <v>76</v>
      </c>
      <c r="G150" s="135" t="s">
        <v>76</v>
      </c>
      <c r="H150" s="147">
        <v>44287</v>
      </c>
      <c r="I150" s="147">
        <v>44287</v>
      </c>
      <c r="J150" s="147">
        <v>44292</v>
      </c>
      <c r="K150" s="135">
        <v>44538</v>
      </c>
      <c r="L150" s="135">
        <v>44497</v>
      </c>
      <c r="M150" s="135" t="s">
        <v>76</v>
      </c>
      <c r="N150" s="135">
        <v>44539</v>
      </c>
      <c r="O150" s="135">
        <v>44539</v>
      </c>
      <c r="P150" s="135">
        <v>44540</v>
      </c>
      <c r="Q150" s="135"/>
      <c r="R150" s="143"/>
      <c r="S150" s="143"/>
      <c r="T150" s="143"/>
      <c r="U150" s="143">
        <v>4</v>
      </c>
      <c r="V150" s="143">
        <v>52078</v>
      </c>
      <c r="W150" s="143" t="str">
        <f ca="1">IF(H150="",IF(D150="","",IF(U150+V150&lt;15,"Données Nb pers ou RFR manquantes",IF(COUNTA(INDIRECT("TabRFR["&amp;YEAR(D150)&amp;"]"))&lt;&gt;COUNTA(TabRFR[Recherche RFR]),"Data RFR manquantes", IF(V150&lt;=INDEX(TabRFR[[2021]:[2025]],MATCH(BD!U150&amp;"-Très modestes",TabRFR[Recherche RFR],0),MATCH(TEXT(YEAR(BD!D150),"Standard"),TabRFR[[#Headers],[2021]:[2025]],0)),"Très Modeste",IF(V150&lt;=INDEX(TabRFR[[2021]:[2025]],MATCH(BD!U150&amp;"-modestes",TabRFR[Recherche RFR],0),MATCH(TEXT(YEAR(BD!D150),"Standard"),TabRFR[[#Headers],[2021]:[2025]],0)),"Modeste",IF(V150&lt;=INDEX(TabRFR[[2021]:[2025]],MATCH(BD!U150&amp;"-Intermédiaire",TabRFR[Recherche RFR],0),MATCH(TEXT(YEAR(BD!D150),"Standard"),TabRFR[[#Headers],[2021]:[2025]],0)),"Intermédiaire","Supérieur")))))),IF(D150="","",IF(U150+V150&lt;15,"Données Nb pers ou RFR manquantes",IF(COUNTA(INDIRECT("TabRFR["&amp;YEAR(H150)&amp;"]"))&lt;&gt;COUNTA(TabRFR[Recherche RFR]),"Data RFR manquantes", IF(V150&lt;=INDEX(TabRFR[[2021]:[2025]],MATCH(BD!U150&amp;"-Très modestes",TabRFR[Recherche RFR],0),MATCH(TEXT(YEAR(BD!H150),"Standard"),TabRFR[[#Headers],[2021]:[2025]],0)),"Très Modeste",IF(V150&lt;=INDEX(TabRFR[[2021]:[2025]],MATCH(BD!U150&amp;"-modestes",TabRFR[Recherche RFR],0),MATCH(TEXT(YEAR(BD!H150),"Standard"),TabRFR[[#Headers],[2021]:[2025]],0)),"Modeste",IF(V150&lt;=INDEX(TabRFR[[2021]:[2025]],MATCH(BD!U150&amp;"-Intermédiaire",TabRFR[Recherche RFR],0),MATCH(TEXT(YEAR(BD!H150),"Standard"),TabRFR[[#Headers],[2021]:[2025]],0)),"Intermédiaire","Supérieur")))))))</f>
        <v>Intermédiaire</v>
      </c>
      <c r="X150" s="143"/>
      <c r="Y150" s="143" t="s">
        <v>795</v>
      </c>
      <c r="Z150" s="143">
        <v>38500</v>
      </c>
      <c r="AA150" s="143" t="s">
        <v>284</v>
      </c>
      <c r="AB150" s="148"/>
      <c r="AC150" s="149"/>
      <c r="AD150" s="143" t="s">
        <v>91</v>
      </c>
      <c r="AE150" s="143" t="s">
        <v>76</v>
      </c>
      <c r="AF150" s="143" t="s">
        <v>76</v>
      </c>
      <c r="AG150" s="143" t="s">
        <v>76</v>
      </c>
      <c r="AH150" s="143" t="s">
        <v>76</v>
      </c>
      <c r="AI150" s="143" t="s">
        <v>393</v>
      </c>
      <c r="AJ150" s="143" t="s">
        <v>3497</v>
      </c>
      <c r="AK150" s="143" t="s">
        <v>394</v>
      </c>
      <c r="AL150" s="150" t="s">
        <v>395</v>
      </c>
      <c r="AM150" s="148">
        <v>437039915</v>
      </c>
      <c r="AN150" s="143" t="s">
        <v>76</v>
      </c>
      <c r="AO150" s="150" t="s">
        <v>102</v>
      </c>
      <c r="AP150" s="147">
        <v>44432</v>
      </c>
      <c r="AQ150" s="143" t="s">
        <v>3413</v>
      </c>
      <c r="AR150" s="143" t="s">
        <v>172</v>
      </c>
      <c r="AS150" s="143" t="s">
        <v>1955</v>
      </c>
      <c r="AT150" s="143" t="s">
        <v>98</v>
      </c>
      <c r="AU150" s="143" t="s">
        <v>796</v>
      </c>
      <c r="AV150" s="152" t="s">
        <v>797</v>
      </c>
      <c r="AW150" s="152">
        <v>11</v>
      </c>
      <c r="AX150" s="152">
        <v>15.4</v>
      </c>
      <c r="AY150" s="152">
        <v>93.8</v>
      </c>
      <c r="AZ150" s="152">
        <v>8.8000000000000003E-4</v>
      </c>
      <c r="BA150" s="143" t="s">
        <v>101</v>
      </c>
      <c r="BB150" s="143"/>
      <c r="BC150" s="151">
        <f>10230.11+1073.06+150+345+991.47+50+851+389.62+46.58+337.18+13+37.99+25.3+155.25</f>
        <v>14695.56</v>
      </c>
      <c r="BD150" s="143"/>
      <c r="BE150" s="151">
        <f>2053.45+527.85+633.42+211.14</f>
        <v>3425.8599999999997</v>
      </c>
      <c r="BF150" s="151">
        <f t="shared" si="6"/>
        <v>18121.419999999998</v>
      </c>
      <c r="BG150" s="151">
        <f t="shared" si="7"/>
        <v>996.67809999999986</v>
      </c>
      <c r="BH150" s="151">
        <f t="shared" si="8"/>
        <v>19118.098099999999</v>
      </c>
      <c r="BI150" s="151">
        <v>17957.599999999999</v>
      </c>
      <c r="BJ150" s="143" t="s">
        <v>102</v>
      </c>
      <c r="BK150" s="143"/>
      <c r="BL150" s="143"/>
      <c r="BM150" s="144" t="s">
        <v>3592</v>
      </c>
      <c r="BN150" s="144" t="s">
        <v>103</v>
      </c>
      <c r="BO150" s="144" t="s">
        <v>143</v>
      </c>
      <c r="BP150" s="143" t="s">
        <v>3583</v>
      </c>
      <c r="BQ150" s="203" t="s">
        <v>144</v>
      </c>
    </row>
    <row r="151" spans="1:69" ht="41.1" customHeight="1">
      <c r="A151" s="206" t="s">
        <v>86</v>
      </c>
      <c r="B151" s="206" t="s">
        <v>798</v>
      </c>
      <c r="C151" s="143">
        <v>600</v>
      </c>
      <c r="D151" s="135">
        <v>44271</v>
      </c>
      <c r="E151" s="135">
        <v>44287</v>
      </c>
      <c r="F151" s="147" t="s">
        <v>76</v>
      </c>
      <c r="G151" s="135" t="s">
        <v>76</v>
      </c>
      <c r="H151" s="147">
        <v>44287</v>
      </c>
      <c r="I151" s="147">
        <v>44287</v>
      </c>
      <c r="J151" s="147">
        <v>44292</v>
      </c>
      <c r="K151" s="135">
        <v>44368</v>
      </c>
      <c r="L151" s="135">
        <v>44336</v>
      </c>
      <c r="M151" s="135" t="s">
        <v>76</v>
      </c>
      <c r="N151" s="135">
        <v>44372</v>
      </c>
      <c r="O151" s="135">
        <v>44372</v>
      </c>
      <c r="P151" s="135">
        <v>44389</v>
      </c>
      <c r="Q151" s="135"/>
      <c r="R151" s="143"/>
      <c r="S151" s="143"/>
      <c r="T151" s="143"/>
      <c r="U151" s="143">
        <v>4</v>
      </c>
      <c r="V151" s="143">
        <v>78228</v>
      </c>
      <c r="W151" s="143" t="str">
        <f ca="1">IF(H151="",IF(D151="","",IF(U151+V151&lt;15,"Données Nb pers ou RFR manquantes",IF(COUNTA(INDIRECT("TabRFR["&amp;YEAR(D151)&amp;"]"))&lt;&gt;COUNTA(TabRFR[Recherche RFR]),"Data RFR manquantes", IF(V151&lt;=INDEX(TabRFR[[2021]:[2025]],MATCH(BD!U151&amp;"-Très modestes",TabRFR[Recherche RFR],0),MATCH(TEXT(YEAR(BD!D151),"Standard"),TabRFR[[#Headers],[2021]:[2025]],0)),"Très Modeste",IF(V151&lt;=INDEX(TabRFR[[2021]:[2025]],MATCH(BD!U151&amp;"-modestes",TabRFR[Recherche RFR],0),MATCH(TEXT(YEAR(BD!D151),"Standard"),TabRFR[[#Headers],[2021]:[2025]],0)),"Modeste",IF(V151&lt;=INDEX(TabRFR[[2021]:[2025]],MATCH(BD!U151&amp;"-Intermédiaire",TabRFR[Recherche RFR],0),MATCH(TEXT(YEAR(BD!D151),"Standard"),TabRFR[[#Headers],[2021]:[2025]],0)),"Intermédiaire","Supérieur")))))),IF(D151="","",IF(U151+V151&lt;15,"Données Nb pers ou RFR manquantes",IF(COUNTA(INDIRECT("TabRFR["&amp;YEAR(H151)&amp;"]"))&lt;&gt;COUNTA(TabRFR[Recherche RFR]),"Data RFR manquantes", IF(V151&lt;=INDEX(TabRFR[[2021]:[2025]],MATCH(BD!U151&amp;"-Très modestes",TabRFR[Recherche RFR],0),MATCH(TEXT(YEAR(BD!H151),"Standard"),TabRFR[[#Headers],[2021]:[2025]],0)),"Très Modeste",IF(V151&lt;=INDEX(TabRFR[[2021]:[2025]],MATCH(BD!U151&amp;"-modestes",TabRFR[Recherche RFR],0),MATCH(TEXT(YEAR(BD!H151),"Standard"),TabRFR[[#Headers],[2021]:[2025]],0)),"Modeste",IF(V151&lt;=INDEX(TabRFR[[2021]:[2025]],MATCH(BD!U151&amp;"-Intermédiaire",TabRFR[Recherche RFR],0),MATCH(TEXT(YEAR(BD!H151),"Standard"),TabRFR[[#Headers],[2021]:[2025]],0)),"Intermédiaire","Supérieur")))))))</f>
        <v>Supérieur</v>
      </c>
      <c r="X151" s="143"/>
      <c r="Y151" s="143" t="s">
        <v>799</v>
      </c>
      <c r="Z151" s="143">
        <v>38850</v>
      </c>
      <c r="AA151" s="143" t="s">
        <v>193</v>
      </c>
      <c r="AB151" s="148"/>
      <c r="AC151" s="149"/>
      <c r="AD151" s="143" t="s">
        <v>91</v>
      </c>
      <c r="AE151" s="143" t="s">
        <v>76</v>
      </c>
      <c r="AF151" s="143" t="s">
        <v>76</v>
      </c>
      <c r="AG151" s="143" t="s">
        <v>76</v>
      </c>
      <c r="AH151" s="143" t="s">
        <v>76</v>
      </c>
      <c r="AI151" s="143" t="s">
        <v>109</v>
      </c>
      <c r="AJ151" s="143" t="s">
        <v>108</v>
      </c>
      <c r="AK151" s="143" t="s">
        <v>110</v>
      </c>
      <c r="AL151" s="149" t="s">
        <v>111</v>
      </c>
      <c r="AM151" s="148" t="s">
        <v>112</v>
      </c>
      <c r="AN151" s="143" t="s">
        <v>76</v>
      </c>
      <c r="AO151" s="150" t="s">
        <v>102</v>
      </c>
      <c r="AP151" s="147">
        <v>44503</v>
      </c>
      <c r="AQ151" s="135" t="s">
        <v>3496</v>
      </c>
      <c r="AR151" s="143">
        <v>2001</v>
      </c>
      <c r="AS151" s="143" t="s">
        <v>3413</v>
      </c>
      <c r="AT151" s="135" t="s">
        <v>3446</v>
      </c>
      <c r="AU151" s="143" t="s">
        <v>173</v>
      </c>
      <c r="AV151" s="143" t="s">
        <v>473</v>
      </c>
      <c r="AW151" s="143">
        <v>22</v>
      </c>
      <c r="AX151" s="143">
        <v>7</v>
      </c>
      <c r="AY151" s="143">
        <v>80</v>
      </c>
      <c r="AZ151" s="143">
        <v>0.08</v>
      </c>
      <c r="BA151" s="143" t="s">
        <v>101</v>
      </c>
      <c r="BB151" s="143"/>
      <c r="BC151" s="143">
        <f>2905.14+291+98+85+88+60+45+90+47+22+68+10</f>
        <v>3809.14</v>
      </c>
      <c r="BD151" s="143"/>
      <c r="BE151" s="143">
        <f>50+420</f>
        <v>470</v>
      </c>
      <c r="BF151" s="143">
        <f t="shared" si="6"/>
        <v>4279.1399999999994</v>
      </c>
      <c r="BG151" s="151">
        <f t="shared" si="7"/>
        <v>235.35269999999997</v>
      </c>
      <c r="BH151" s="151">
        <f t="shared" si="8"/>
        <v>4514.4926999999998</v>
      </c>
      <c r="BI151" s="151">
        <v>3902.59</v>
      </c>
      <c r="BJ151" s="143" t="s">
        <v>102</v>
      </c>
      <c r="BK151" s="143"/>
      <c r="BL151" s="143"/>
      <c r="BM151" s="144" t="s">
        <v>3592</v>
      </c>
      <c r="BN151" s="144" t="s">
        <v>103</v>
      </c>
      <c r="BO151" s="144" t="s">
        <v>143</v>
      </c>
      <c r="BP151" s="143">
        <v>2021</v>
      </c>
      <c r="BQ151" s="203" t="s">
        <v>144</v>
      </c>
    </row>
    <row r="152" spans="1:69" ht="41.1" customHeight="1">
      <c r="A152" s="206" t="s">
        <v>86</v>
      </c>
      <c r="B152" s="206" t="s">
        <v>800</v>
      </c>
      <c r="C152" s="143">
        <v>1000</v>
      </c>
      <c r="D152" s="135">
        <v>44278</v>
      </c>
      <c r="E152" s="135">
        <v>44287</v>
      </c>
      <c r="F152" s="147">
        <v>44287</v>
      </c>
      <c r="G152" s="135" t="s">
        <v>801</v>
      </c>
      <c r="H152" s="147">
        <v>44293</v>
      </c>
      <c r="I152" s="147">
        <v>44293</v>
      </c>
      <c r="J152" s="147">
        <v>44295</v>
      </c>
      <c r="K152" s="135">
        <v>44425</v>
      </c>
      <c r="L152" s="135">
        <v>44408</v>
      </c>
      <c r="M152" s="135" t="s">
        <v>76</v>
      </c>
      <c r="N152" s="135">
        <v>44426</v>
      </c>
      <c r="O152" s="135">
        <v>44426</v>
      </c>
      <c r="P152" s="135">
        <v>44462</v>
      </c>
      <c r="Q152" s="135"/>
      <c r="R152" s="143"/>
      <c r="S152" s="143"/>
      <c r="T152" s="143"/>
      <c r="U152" s="143">
        <v>2</v>
      </c>
      <c r="V152" s="143">
        <v>25956</v>
      </c>
      <c r="W152" s="143" t="str">
        <f ca="1">IF(H152="",IF(D152="","",IF(U152+V152&lt;15,"Données Nb pers ou RFR manquantes",IF(COUNTA(INDIRECT("TabRFR["&amp;YEAR(D152)&amp;"]"))&lt;&gt;COUNTA(TabRFR[Recherche RFR]),"Data RFR manquantes", IF(V152&lt;=INDEX(TabRFR[[2021]:[2025]],MATCH(BD!U152&amp;"-Très modestes",TabRFR[Recherche RFR],0),MATCH(TEXT(YEAR(BD!D152),"Standard"),TabRFR[[#Headers],[2021]:[2025]],0)),"Très Modeste",IF(V152&lt;=INDEX(TabRFR[[2021]:[2025]],MATCH(BD!U152&amp;"-modestes",TabRFR[Recherche RFR],0),MATCH(TEXT(YEAR(BD!D152),"Standard"),TabRFR[[#Headers],[2021]:[2025]],0)),"Modeste",IF(V152&lt;=INDEX(TabRFR[[2021]:[2025]],MATCH(BD!U152&amp;"-Intermédiaire",TabRFR[Recherche RFR],0),MATCH(TEXT(YEAR(BD!D152),"Standard"),TabRFR[[#Headers],[2021]:[2025]],0)),"Intermédiaire","Supérieur")))))),IF(D152="","",IF(U152+V152&lt;15,"Données Nb pers ou RFR manquantes",IF(COUNTA(INDIRECT("TabRFR["&amp;YEAR(H152)&amp;"]"))&lt;&gt;COUNTA(TabRFR[Recherche RFR]),"Data RFR manquantes", IF(V152&lt;=INDEX(TabRFR[[2021]:[2025]],MATCH(BD!U152&amp;"-Très modestes",TabRFR[Recherche RFR],0),MATCH(TEXT(YEAR(BD!H152),"Standard"),TabRFR[[#Headers],[2021]:[2025]],0)),"Très Modeste",IF(V152&lt;=INDEX(TabRFR[[2021]:[2025]],MATCH(BD!U152&amp;"-modestes",TabRFR[Recherche RFR],0),MATCH(TEXT(YEAR(BD!H152),"Standard"),TabRFR[[#Headers],[2021]:[2025]],0)),"Modeste",IF(V152&lt;=INDEX(TabRFR[[2021]:[2025]],MATCH(BD!U152&amp;"-Intermédiaire",TabRFR[Recherche RFR],0),MATCH(TEXT(YEAR(BD!H152),"Standard"),TabRFR[[#Headers],[2021]:[2025]],0)),"Intermédiaire","Supérieur")))))))</f>
        <v>Modeste</v>
      </c>
      <c r="X152" s="143"/>
      <c r="Y152" s="143" t="s">
        <v>802</v>
      </c>
      <c r="Z152" s="143">
        <v>38730</v>
      </c>
      <c r="AA152" s="143" t="s">
        <v>148</v>
      </c>
      <c r="AB152" s="148"/>
      <c r="AC152" s="149"/>
      <c r="AD152" s="143" t="s">
        <v>91</v>
      </c>
      <c r="AE152" s="143" t="s">
        <v>76</v>
      </c>
      <c r="AF152" s="143" t="s">
        <v>76</v>
      </c>
      <c r="AG152" s="143" t="s">
        <v>76</v>
      </c>
      <c r="AH152" s="143" t="s">
        <v>76</v>
      </c>
      <c r="AI152" s="135" t="s">
        <v>220</v>
      </c>
      <c r="AJ152" s="143" t="s">
        <v>108</v>
      </c>
      <c r="AK152" s="143" t="s">
        <v>221</v>
      </c>
      <c r="AL152" s="150" t="s">
        <v>222</v>
      </c>
      <c r="AM152" s="148">
        <v>476323235</v>
      </c>
      <c r="AN152" s="143" t="s">
        <v>76</v>
      </c>
      <c r="AO152" s="150" t="s">
        <v>102</v>
      </c>
      <c r="AP152" s="147">
        <v>44429</v>
      </c>
      <c r="AQ152" s="135" t="s">
        <v>3496</v>
      </c>
      <c r="AR152" s="143">
        <v>1990</v>
      </c>
      <c r="AS152" s="143" t="s">
        <v>3413</v>
      </c>
      <c r="AT152" s="135" t="s">
        <v>3446</v>
      </c>
      <c r="AU152" s="143" t="s">
        <v>223</v>
      </c>
      <c r="AV152" s="143" t="s">
        <v>803</v>
      </c>
      <c r="AW152" s="143">
        <v>12</v>
      </c>
      <c r="AX152" s="143">
        <v>9.1999999999999993</v>
      </c>
      <c r="AY152" s="143">
        <v>77</v>
      </c>
      <c r="AZ152" s="143">
        <v>0.04</v>
      </c>
      <c r="BA152" s="143" t="s">
        <v>101</v>
      </c>
      <c r="BB152" s="143"/>
      <c r="BC152" s="143">
        <f>720+265+2350+80+90+41+43+58+30+110+60</f>
        <v>3847</v>
      </c>
      <c r="BD152" s="143"/>
      <c r="BE152" s="143">
        <f>48+430+40+75+360</f>
        <v>953</v>
      </c>
      <c r="BF152" s="143">
        <f t="shared" si="6"/>
        <v>4800</v>
      </c>
      <c r="BG152" s="151">
        <f t="shared" si="7"/>
        <v>264</v>
      </c>
      <c r="BH152" s="151">
        <f t="shared" si="8"/>
        <v>5064</v>
      </c>
      <c r="BI152" s="151">
        <v>4732.8500000000004</v>
      </c>
      <c r="BJ152" s="143" t="s">
        <v>115</v>
      </c>
      <c r="BK152" s="143"/>
      <c r="BL152" s="143"/>
      <c r="BM152" s="144" t="s">
        <v>3592</v>
      </c>
      <c r="BN152" s="144" t="s">
        <v>103</v>
      </c>
      <c r="BO152" s="135" t="s">
        <v>155</v>
      </c>
      <c r="BP152" s="144">
        <v>2021</v>
      </c>
      <c r="BQ152" s="203" t="s">
        <v>3274</v>
      </c>
    </row>
    <row r="153" spans="1:69" ht="41.1" customHeight="1">
      <c r="A153" s="206" t="s">
        <v>86</v>
      </c>
      <c r="B153" s="206" t="s">
        <v>804</v>
      </c>
      <c r="C153" s="143">
        <v>600</v>
      </c>
      <c r="D153" s="135">
        <v>44286</v>
      </c>
      <c r="E153" s="135">
        <v>44287</v>
      </c>
      <c r="F153" s="147">
        <v>44287</v>
      </c>
      <c r="G153" s="135" t="s">
        <v>805</v>
      </c>
      <c r="H153" s="147">
        <v>44287</v>
      </c>
      <c r="I153" s="147">
        <v>44287</v>
      </c>
      <c r="J153" s="147">
        <v>44292</v>
      </c>
      <c r="K153" s="135">
        <v>44627</v>
      </c>
      <c r="L153" s="135">
        <v>44326</v>
      </c>
      <c r="M153" s="135" t="s">
        <v>806</v>
      </c>
      <c r="N153" s="135">
        <v>44662</v>
      </c>
      <c r="O153" s="135">
        <v>44662</v>
      </c>
      <c r="P153" s="135">
        <v>44663</v>
      </c>
      <c r="Q153" s="135"/>
      <c r="R153" s="143"/>
      <c r="S153" s="143"/>
      <c r="T153" s="143"/>
      <c r="U153" s="143">
        <v>4</v>
      </c>
      <c r="V153" s="143">
        <v>42427</v>
      </c>
      <c r="W153" s="143" t="str">
        <f ca="1">IF(H153="",IF(D153="","",IF(U153+V153&lt;15,"Données Nb pers ou RFR manquantes",IF(COUNTA(INDIRECT("TabRFR["&amp;YEAR(D153)&amp;"]"))&lt;&gt;COUNTA(TabRFR[Recherche RFR]),"Data RFR manquantes", IF(V153&lt;=INDEX(TabRFR[[2021]:[2025]],MATCH(BD!U153&amp;"-Très modestes",TabRFR[Recherche RFR],0),MATCH(TEXT(YEAR(BD!D153),"Standard"),TabRFR[[#Headers],[2021]:[2025]],0)),"Très Modeste",IF(V153&lt;=INDEX(TabRFR[[2021]:[2025]],MATCH(BD!U153&amp;"-modestes",TabRFR[Recherche RFR],0),MATCH(TEXT(YEAR(BD!D153),"Standard"),TabRFR[[#Headers],[2021]:[2025]],0)),"Modeste",IF(V153&lt;=INDEX(TabRFR[[2021]:[2025]],MATCH(BD!U153&amp;"-Intermédiaire",TabRFR[Recherche RFR],0),MATCH(TEXT(YEAR(BD!D153),"Standard"),TabRFR[[#Headers],[2021]:[2025]],0)),"Intermédiaire","Supérieur")))))),IF(D153="","",IF(U153+V153&lt;15,"Données Nb pers ou RFR manquantes",IF(COUNTA(INDIRECT("TabRFR["&amp;YEAR(H153)&amp;"]"))&lt;&gt;COUNTA(TabRFR[Recherche RFR]),"Data RFR manquantes", IF(V153&lt;=INDEX(TabRFR[[2021]:[2025]],MATCH(BD!U153&amp;"-Très modestes",TabRFR[Recherche RFR],0),MATCH(TEXT(YEAR(BD!H153),"Standard"),TabRFR[[#Headers],[2021]:[2025]],0)),"Très Modeste",IF(V153&lt;=INDEX(TabRFR[[2021]:[2025]],MATCH(BD!U153&amp;"-modestes",TabRFR[Recherche RFR],0),MATCH(TEXT(YEAR(BD!H153),"Standard"),TabRFR[[#Headers],[2021]:[2025]],0)),"Modeste",IF(V153&lt;=INDEX(TabRFR[[2021]:[2025]],MATCH(BD!U153&amp;"-Intermédiaire",TabRFR[Recherche RFR],0),MATCH(TEXT(YEAR(BD!H153),"Standard"),TabRFR[[#Headers],[2021]:[2025]],0)),"Intermédiaire","Supérieur")))))))</f>
        <v>Intermédiaire</v>
      </c>
      <c r="X153" s="143"/>
      <c r="Y153" s="143" t="s">
        <v>807</v>
      </c>
      <c r="Z153" s="143">
        <v>38500</v>
      </c>
      <c r="AA153" s="143" t="s">
        <v>134</v>
      </c>
      <c r="AB153" s="148"/>
      <c r="AC153" s="149"/>
      <c r="AD153" s="143" t="s">
        <v>91</v>
      </c>
      <c r="AE153" s="143" t="s">
        <v>76</v>
      </c>
      <c r="AF153" s="143" t="s">
        <v>76</v>
      </c>
      <c r="AG153" s="143" t="s">
        <v>76</v>
      </c>
      <c r="AH153" s="143" t="s">
        <v>76</v>
      </c>
      <c r="AI153" s="143" t="s">
        <v>808</v>
      </c>
      <c r="AJ153" s="143" t="s">
        <v>809</v>
      </c>
      <c r="AK153" s="143" t="s">
        <v>810</v>
      </c>
      <c r="AL153" s="150" t="s">
        <v>811</v>
      </c>
      <c r="AM153" s="148">
        <v>476554922</v>
      </c>
      <c r="AN153" s="143" t="s">
        <v>76</v>
      </c>
      <c r="AO153" s="150" t="s">
        <v>115</v>
      </c>
      <c r="AP153" s="147">
        <v>44362</v>
      </c>
      <c r="AQ153" s="135" t="s">
        <v>3496</v>
      </c>
      <c r="AR153" s="143" t="s">
        <v>172</v>
      </c>
      <c r="AS153" s="143" t="s">
        <v>3413</v>
      </c>
      <c r="AT153" s="135" t="s">
        <v>3446</v>
      </c>
      <c r="AU153" s="143" t="s">
        <v>812</v>
      </c>
      <c r="AV153" s="143" t="s">
        <v>813</v>
      </c>
      <c r="AW153" s="143">
        <v>14</v>
      </c>
      <c r="AX153" s="143">
        <v>7</v>
      </c>
      <c r="AY153" s="143">
        <v>85.4</v>
      </c>
      <c r="AZ153" s="143">
        <v>5.6000000000000001E-2</v>
      </c>
      <c r="BA153" s="143" t="s">
        <v>126</v>
      </c>
      <c r="BB153" s="143"/>
      <c r="BC153" s="143">
        <f>0.553+840+119.5+108.7+133.8+152.2+63.4+86.3+242.9+45.7+58.1+41.3+75.5+43.5+132.4+48+25+115+75+85+550+55.4+27.7+124.2+42.5+2762.6</f>
        <v>6054.2529999999997</v>
      </c>
      <c r="BD153" s="143"/>
      <c r="BE153" s="143">
        <v>3600</v>
      </c>
      <c r="BF153" s="143">
        <f t="shared" si="6"/>
        <v>9654.2530000000006</v>
      </c>
      <c r="BG153" s="151">
        <f t="shared" si="7"/>
        <v>530.98391500000002</v>
      </c>
      <c r="BH153" s="151">
        <f t="shared" si="8"/>
        <v>10185.236915000001</v>
      </c>
      <c r="BI153" s="151">
        <v>9626.24</v>
      </c>
      <c r="BJ153" s="143" t="s">
        <v>102</v>
      </c>
      <c r="BK153" s="143"/>
      <c r="BL153" s="143"/>
      <c r="BM153" s="144" t="s">
        <v>3592</v>
      </c>
      <c r="BN153" s="144" t="s">
        <v>103</v>
      </c>
      <c r="BO153" s="144" t="s">
        <v>143</v>
      </c>
      <c r="BP153" s="144">
        <v>2021</v>
      </c>
      <c r="BQ153" s="203" t="s">
        <v>144</v>
      </c>
    </row>
    <row r="154" spans="1:69" ht="41.1" customHeight="1">
      <c r="A154" s="206" t="s">
        <v>86</v>
      </c>
      <c r="B154" s="206" t="s">
        <v>814</v>
      </c>
      <c r="C154" s="143">
        <v>600</v>
      </c>
      <c r="D154" s="135">
        <v>44286</v>
      </c>
      <c r="E154" s="135">
        <v>44287</v>
      </c>
      <c r="F154" s="147" t="s">
        <v>76</v>
      </c>
      <c r="G154" s="135" t="s">
        <v>76</v>
      </c>
      <c r="H154" s="147">
        <v>44287</v>
      </c>
      <c r="I154" s="147">
        <v>44287</v>
      </c>
      <c r="J154" s="147">
        <v>44292</v>
      </c>
      <c r="K154" s="135">
        <v>44455</v>
      </c>
      <c r="L154" s="135">
        <v>44286</v>
      </c>
      <c r="M154" s="135" t="s">
        <v>76</v>
      </c>
      <c r="N154" s="135">
        <v>44462</v>
      </c>
      <c r="O154" s="135">
        <v>44462</v>
      </c>
      <c r="P154" s="135">
        <v>44469</v>
      </c>
      <c r="Q154" s="135"/>
      <c r="R154" s="143"/>
      <c r="S154" s="143"/>
      <c r="T154" s="143"/>
      <c r="U154" s="143">
        <v>4</v>
      </c>
      <c r="V154" s="143">
        <v>56872</v>
      </c>
      <c r="W154" s="143" t="str">
        <f ca="1">IF(H154="",IF(D154="","",IF(U154+V154&lt;15,"Données Nb pers ou RFR manquantes",IF(COUNTA(INDIRECT("TabRFR["&amp;YEAR(D154)&amp;"]"))&lt;&gt;COUNTA(TabRFR[Recherche RFR]),"Data RFR manquantes", IF(V154&lt;=INDEX(TabRFR[[2021]:[2025]],MATCH(BD!U154&amp;"-Très modestes",TabRFR[Recherche RFR],0),MATCH(TEXT(YEAR(BD!D154),"Standard"),TabRFR[[#Headers],[2021]:[2025]],0)),"Très Modeste",IF(V154&lt;=INDEX(TabRFR[[2021]:[2025]],MATCH(BD!U154&amp;"-modestes",TabRFR[Recherche RFR],0),MATCH(TEXT(YEAR(BD!D154),"Standard"),TabRFR[[#Headers],[2021]:[2025]],0)),"Modeste",IF(V154&lt;=INDEX(TabRFR[[2021]:[2025]],MATCH(BD!U154&amp;"-Intermédiaire",TabRFR[Recherche RFR],0),MATCH(TEXT(YEAR(BD!D154),"Standard"),TabRFR[[#Headers],[2021]:[2025]],0)),"Intermédiaire","Supérieur")))))),IF(D154="","",IF(U154+V154&lt;15,"Données Nb pers ou RFR manquantes",IF(COUNTA(INDIRECT("TabRFR["&amp;YEAR(H154)&amp;"]"))&lt;&gt;COUNTA(TabRFR[Recherche RFR]),"Data RFR manquantes", IF(V154&lt;=INDEX(TabRFR[[2021]:[2025]],MATCH(BD!U154&amp;"-Très modestes",TabRFR[Recherche RFR],0),MATCH(TEXT(YEAR(BD!H154),"Standard"),TabRFR[[#Headers],[2021]:[2025]],0)),"Très Modeste",IF(V154&lt;=INDEX(TabRFR[[2021]:[2025]],MATCH(BD!U154&amp;"-modestes",TabRFR[Recherche RFR],0),MATCH(TEXT(YEAR(BD!H154),"Standard"),TabRFR[[#Headers],[2021]:[2025]],0)),"Modeste",IF(V154&lt;=INDEX(TabRFR[[2021]:[2025]],MATCH(BD!U154&amp;"-Intermédiaire",TabRFR[Recherche RFR],0),MATCH(TEXT(YEAR(BD!H154),"Standard"),TabRFR[[#Headers],[2021]:[2025]],0)),"Intermédiaire","Supérieur")))))))</f>
        <v>Intermédiaire</v>
      </c>
      <c r="X154" s="143"/>
      <c r="Y154" s="143" t="s">
        <v>815</v>
      </c>
      <c r="Z154" s="143">
        <v>38500</v>
      </c>
      <c r="AA154" s="143" t="s">
        <v>134</v>
      </c>
      <c r="AB154" s="148"/>
      <c r="AC154" s="149"/>
      <c r="AD154" s="143" t="s">
        <v>91</v>
      </c>
      <c r="AE154" s="143" t="s">
        <v>76</v>
      </c>
      <c r="AF154" s="143" t="s">
        <v>76</v>
      </c>
      <c r="AG154" s="143" t="s">
        <v>76</v>
      </c>
      <c r="AH154" s="143" t="s">
        <v>76</v>
      </c>
      <c r="AI154" s="143" t="s">
        <v>185</v>
      </c>
      <c r="AJ154" s="143" t="s">
        <v>108</v>
      </c>
      <c r="AK154" s="143" t="s">
        <v>186</v>
      </c>
      <c r="AL154" s="150" t="s">
        <v>187</v>
      </c>
      <c r="AM154" s="148">
        <v>951096343</v>
      </c>
      <c r="AN154" s="143" t="s">
        <v>76</v>
      </c>
      <c r="AO154" s="150" t="s">
        <v>102</v>
      </c>
      <c r="AP154" s="147">
        <v>44433</v>
      </c>
      <c r="AQ154" s="135" t="s">
        <v>3449</v>
      </c>
      <c r="AR154" s="143" t="s">
        <v>172</v>
      </c>
      <c r="AS154" s="143" t="s">
        <v>3413</v>
      </c>
      <c r="AT154" s="143" t="s">
        <v>98</v>
      </c>
      <c r="AU154" s="143" t="s">
        <v>188</v>
      </c>
      <c r="AV154" s="143" t="s">
        <v>189</v>
      </c>
      <c r="AW154" s="143">
        <v>20</v>
      </c>
      <c r="AX154" s="143">
        <v>8.3000000000000007</v>
      </c>
      <c r="AY154" s="143">
        <v>87</v>
      </c>
      <c r="AZ154" s="143">
        <v>1.7999999999999999E-2</v>
      </c>
      <c r="BA154" s="143" t="s">
        <v>126</v>
      </c>
      <c r="BB154" s="143"/>
      <c r="BC154" s="143">
        <f>4990+250.44+271.35+324.5+269.9</f>
        <v>6106.19</v>
      </c>
      <c r="BD154" s="143"/>
      <c r="BE154" s="143">
        <v>360</v>
      </c>
      <c r="BF154" s="143">
        <f t="shared" si="6"/>
        <v>6466.19</v>
      </c>
      <c r="BG154" s="151">
        <f t="shared" si="7"/>
        <v>355.64044999999999</v>
      </c>
      <c r="BH154" s="151">
        <f t="shared" si="8"/>
        <v>6821.8304499999995</v>
      </c>
      <c r="BI154" s="151">
        <v>6800</v>
      </c>
      <c r="BJ154" s="143" t="s">
        <v>115</v>
      </c>
      <c r="BK154" s="143"/>
      <c r="BL154" s="143"/>
      <c r="BM154" s="144" t="s">
        <v>3592</v>
      </c>
      <c r="BN154" s="144" t="s">
        <v>103</v>
      </c>
      <c r="BO154" s="144" t="s">
        <v>143</v>
      </c>
      <c r="BP154" s="143" t="s">
        <v>3583</v>
      </c>
      <c r="BQ154" s="203" t="s">
        <v>3274</v>
      </c>
    </row>
    <row r="155" spans="1:69" ht="41.1" customHeight="1">
      <c r="A155" s="206" t="s">
        <v>86</v>
      </c>
      <c r="B155" s="206" t="s">
        <v>816</v>
      </c>
      <c r="C155" s="143">
        <v>1000</v>
      </c>
      <c r="D155" s="135">
        <v>44284</v>
      </c>
      <c r="E155" s="135">
        <v>44287</v>
      </c>
      <c r="F155" s="147">
        <v>44287</v>
      </c>
      <c r="G155" s="135" t="s">
        <v>817</v>
      </c>
      <c r="H155" s="147">
        <v>44298</v>
      </c>
      <c r="I155" s="147">
        <v>44298</v>
      </c>
      <c r="J155" s="147">
        <v>44305</v>
      </c>
      <c r="K155" s="135">
        <v>44421</v>
      </c>
      <c r="L155" s="135">
        <v>44420</v>
      </c>
      <c r="M155" s="135" t="s">
        <v>76</v>
      </c>
      <c r="N155" s="135">
        <v>44424</v>
      </c>
      <c r="O155" s="135">
        <v>44424</v>
      </c>
      <c r="P155" s="135">
        <v>44461</v>
      </c>
      <c r="Q155" s="135"/>
      <c r="R155" s="143"/>
      <c r="S155" s="143"/>
      <c r="T155" s="143"/>
      <c r="U155" s="143">
        <v>2</v>
      </c>
      <c r="V155" s="143">
        <v>17732</v>
      </c>
      <c r="W155" s="143" t="str">
        <f ca="1">IF(H155="",IF(D155="","",IF(U155+V155&lt;15,"Données Nb pers ou RFR manquantes",IF(COUNTA(INDIRECT("TabRFR["&amp;YEAR(D155)&amp;"]"))&lt;&gt;COUNTA(TabRFR[Recherche RFR]),"Data RFR manquantes", IF(V155&lt;=INDEX(TabRFR[[2021]:[2025]],MATCH(BD!U155&amp;"-Très modestes",TabRFR[Recherche RFR],0),MATCH(TEXT(YEAR(BD!D155),"Standard"),TabRFR[[#Headers],[2021]:[2025]],0)),"Très Modeste",IF(V155&lt;=INDEX(TabRFR[[2021]:[2025]],MATCH(BD!U155&amp;"-modestes",TabRFR[Recherche RFR],0),MATCH(TEXT(YEAR(BD!D155),"Standard"),TabRFR[[#Headers],[2021]:[2025]],0)),"Modeste",IF(V155&lt;=INDEX(TabRFR[[2021]:[2025]],MATCH(BD!U155&amp;"-Intermédiaire",TabRFR[Recherche RFR],0),MATCH(TEXT(YEAR(BD!D155),"Standard"),TabRFR[[#Headers],[2021]:[2025]],0)),"Intermédiaire","Supérieur")))))),IF(D155="","",IF(U155+V155&lt;15,"Données Nb pers ou RFR manquantes",IF(COUNTA(INDIRECT("TabRFR["&amp;YEAR(H155)&amp;"]"))&lt;&gt;COUNTA(TabRFR[Recherche RFR]),"Data RFR manquantes", IF(V155&lt;=INDEX(TabRFR[[2021]:[2025]],MATCH(BD!U155&amp;"-Très modestes",TabRFR[Recherche RFR],0),MATCH(TEXT(YEAR(BD!H155),"Standard"),TabRFR[[#Headers],[2021]:[2025]],0)),"Très Modeste",IF(V155&lt;=INDEX(TabRFR[[2021]:[2025]],MATCH(BD!U155&amp;"-modestes",TabRFR[Recherche RFR],0),MATCH(TEXT(YEAR(BD!H155),"Standard"),TabRFR[[#Headers],[2021]:[2025]],0)),"Modeste",IF(V155&lt;=INDEX(TabRFR[[2021]:[2025]],MATCH(BD!U155&amp;"-Intermédiaire",TabRFR[Recherche RFR],0),MATCH(TEXT(YEAR(BD!H155),"Standard"),TabRFR[[#Headers],[2021]:[2025]],0)),"Intermédiaire","Supérieur")))))))</f>
        <v>Très Modeste</v>
      </c>
      <c r="X155" s="143"/>
      <c r="Y155" s="143" t="s">
        <v>818</v>
      </c>
      <c r="Z155" s="143">
        <v>38500</v>
      </c>
      <c r="AA155" s="143" t="s">
        <v>108</v>
      </c>
      <c r="AB155" s="148"/>
      <c r="AC155" s="149"/>
      <c r="AD155" s="143" t="s">
        <v>91</v>
      </c>
      <c r="AE155" s="143" t="s">
        <v>76</v>
      </c>
      <c r="AF155" s="143" t="s">
        <v>76</v>
      </c>
      <c r="AG155" s="143" t="s">
        <v>76</v>
      </c>
      <c r="AH155" s="143" t="s">
        <v>76</v>
      </c>
      <c r="AI155" s="143" t="s">
        <v>169</v>
      </c>
      <c r="AJ155" s="143" t="s">
        <v>119</v>
      </c>
      <c r="AK155" s="143" t="s">
        <v>170</v>
      </c>
      <c r="AL155" s="149" t="s">
        <v>171</v>
      </c>
      <c r="AM155" s="148">
        <v>476355605</v>
      </c>
      <c r="AN155" s="143" t="s">
        <v>76</v>
      </c>
      <c r="AO155" s="150" t="s">
        <v>102</v>
      </c>
      <c r="AP155" s="147">
        <v>44495</v>
      </c>
      <c r="AQ155" s="135" t="s">
        <v>3496</v>
      </c>
      <c r="AR155" s="143">
        <v>1990</v>
      </c>
      <c r="AS155" s="143" t="s">
        <v>3413</v>
      </c>
      <c r="AT155" s="135" t="s">
        <v>3446</v>
      </c>
      <c r="AU155" s="143" t="s">
        <v>258</v>
      </c>
      <c r="AV155" s="143" t="s">
        <v>819</v>
      </c>
      <c r="AW155" s="143">
        <v>8</v>
      </c>
      <c r="AX155" s="143">
        <v>5.0999999999999996</v>
      </c>
      <c r="AY155" s="143">
        <v>82</v>
      </c>
      <c r="AZ155" s="143">
        <v>0.09</v>
      </c>
      <c r="BA155" s="143" t="s">
        <v>101</v>
      </c>
      <c r="BB155" s="143"/>
      <c r="BC155" s="143">
        <f>87.59+316.9+985.68+110.12+229.02+108.65+72.36+135.14+113.48+91.96+1874+198.25+44.8+108.83+33.54+218</f>
        <v>4728.32</v>
      </c>
      <c r="BD155" s="143"/>
      <c r="BE155" s="143">
        <f>609.8+525</f>
        <v>1134.8</v>
      </c>
      <c r="BF155" s="143">
        <f t="shared" si="6"/>
        <v>5863.12</v>
      </c>
      <c r="BG155" s="151">
        <f t="shared" si="7"/>
        <v>322.47160000000002</v>
      </c>
      <c r="BH155" s="151">
        <f t="shared" si="8"/>
        <v>6185.5915999999997</v>
      </c>
      <c r="BI155" s="151">
        <v>6185.59</v>
      </c>
      <c r="BJ155" s="143" t="s">
        <v>115</v>
      </c>
      <c r="BK155" s="143"/>
      <c r="BL155" s="143"/>
      <c r="BM155" s="144" t="s">
        <v>3592</v>
      </c>
      <c r="BN155" s="144" t="s">
        <v>103</v>
      </c>
      <c r="BO155" s="135" t="s">
        <v>155</v>
      </c>
      <c r="BP155" s="144">
        <v>2021</v>
      </c>
      <c r="BQ155" s="203" t="s">
        <v>3274</v>
      </c>
    </row>
    <row r="156" spans="1:69" ht="41.1" customHeight="1">
      <c r="A156" s="206" t="s">
        <v>86</v>
      </c>
      <c r="B156" s="206" t="s">
        <v>820</v>
      </c>
      <c r="C156" s="143">
        <v>600</v>
      </c>
      <c r="D156" s="135">
        <v>44288</v>
      </c>
      <c r="E156" s="135">
        <v>44292</v>
      </c>
      <c r="F156" s="147" t="s">
        <v>76</v>
      </c>
      <c r="G156" s="135" t="s">
        <v>76</v>
      </c>
      <c r="H156" s="147">
        <v>44293</v>
      </c>
      <c r="I156" s="147">
        <v>44293</v>
      </c>
      <c r="J156" s="147">
        <v>44295</v>
      </c>
      <c r="K156" s="135">
        <v>44453</v>
      </c>
      <c r="L156" s="135">
        <v>44446</v>
      </c>
      <c r="M156" s="135" t="s">
        <v>76</v>
      </c>
      <c r="N156" s="135">
        <v>44455</v>
      </c>
      <c r="O156" s="135">
        <v>44455</v>
      </c>
      <c r="P156" s="135">
        <v>44469</v>
      </c>
      <c r="Q156" s="135"/>
      <c r="R156" s="143"/>
      <c r="S156" s="143"/>
      <c r="T156" s="143"/>
      <c r="U156" s="143">
        <v>3</v>
      </c>
      <c r="V156" s="143">
        <v>44200</v>
      </c>
      <c r="W156" s="143" t="str">
        <f ca="1">IF(H156="",IF(D156="","",IF(U156+V156&lt;15,"Données Nb pers ou RFR manquantes",IF(COUNTA(INDIRECT("TabRFR["&amp;YEAR(D156)&amp;"]"))&lt;&gt;COUNTA(TabRFR[Recherche RFR]),"Data RFR manquantes", IF(V156&lt;=INDEX(TabRFR[[2021]:[2025]],MATCH(BD!U156&amp;"-Très modestes",TabRFR[Recherche RFR],0),MATCH(TEXT(YEAR(BD!D156),"Standard"),TabRFR[[#Headers],[2021]:[2025]],0)),"Très Modeste",IF(V156&lt;=INDEX(TabRFR[[2021]:[2025]],MATCH(BD!U156&amp;"-modestes",TabRFR[Recherche RFR],0),MATCH(TEXT(YEAR(BD!D156),"Standard"),TabRFR[[#Headers],[2021]:[2025]],0)),"Modeste",IF(V156&lt;=INDEX(TabRFR[[2021]:[2025]],MATCH(BD!U156&amp;"-Intermédiaire",TabRFR[Recherche RFR],0),MATCH(TEXT(YEAR(BD!D156),"Standard"),TabRFR[[#Headers],[2021]:[2025]],0)),"Intermédiaire","Supérieur")))))),IF(D156="","",IF(U156+V156&lt;15,"Données Nb pers ou RFR manquantes",IF(COUNTA(INDIRECT("TabRFR["&amp;YEAR(H156)&amp;"]"))&lt;&gt;COUNTA(TabRFR[Recherche RFR]),"Data RFR manquantes", IF(V156&lt;=INDEX(TabRFR[[2021]:[2025]],MATCH(BD!U156&amp;"-Très modestes",TabRFR[Recherche RFR],0),MATCH(TEXT(YEAR(BD!H156),"Standard"),TabRFR[[#Headers],[2021]:[2025]],0)),"Très Modeste",IF(V156&lt;=INDEX(TabRFR[[2021]:[2025]],MATCH(BD!U156&amp;"-modestes",TabRFR[Recherche RFR],0),MATCH(TEXT(YEAR(BD!H156),"Standard"),TabRFR[[#Headers],[2021]:[2025]],0)),"Modeste",IF(V156&lt;=INDEX(TabRFR[[2021]:[2025]],MATCH(BD!U156&amp;"-Intermédiaire",TabRFR[Recherche RFR],0),MATCH(TEXT(YEAR(BD!H156),"Standard"),TabRFR[[#Headers],[2021]:[2025]],0)),"Intermédiaire","Supérieur")))))))</f>
        <v>Intermédiaire</v>
      </c>
      <c r="X156" s="143"/>
      <c r="Y156" s="143" t="s">
        <v>821</v>
      </c>
      <c r="Z156" s="143">
        <v>38140</v>
      </c>
      <c r="AA156" s="143" t="s">
        <v>159</v>
      </c>
      <c r="AB156" s="148"/>
      <c r="AC156" s="149"/>
      <c r="AD156" s="143" t="s">
        <v>91</v>
      </c>
      <c r="AE156" s="143" t="s">
        <v>76</v>
      </c>
      <c r="AF156" s="143" t="s">
        <v>76</v>
      </c>
      <c r="AG156" s="143" t="s">
        <v>76</v>
      </c>
      <c r="AH156" s="143" t="s">
        <v>76</v>
      </c>
      <c r="AI156" s="143" t="s">
        <v>250</v>
      </c>
      <c r="AJ156" s="143" t="s">
        <v>121</v>
      </c>
      <c r="AK156" s="143" t="s">
        <v>251</v>
      </c>
      <c r="AL156" s="150" t="s">
        <v>252</v>
      </c>
      <c r="AM156" s="148">
        <v>476452433</v>
      </c>
      <c r="AN156" s="143" t="s">
        <v>76</v>
      </c>
      <c r="AO156" s="150" t="s">
        <v>102</v>
      </c>
      <c r="AP156" s="147">
        <v>44589</v>
      </c>
      <c r="AQ156" s="135" t="s">
        <v>3496</v>
      </c>
      <c r="AR156" s="143">
        <v>1998</v>
      </c>
      <c r="AS156" s="143" t="s">
        <v>3413</v>
      </c>
      <c r="AT156" s="135" t="s">
        <v>3446</v>
      </c>
      <c r="AU156" s="143" t="s">
        <v>253</v>
      </c>
      <c r="AV156" s="143" t="s">
        <v>822</v>
      </c>
      <c r="AW156" s="143">
        <v>15</v>
      </c>
      <c r="AX156" s="143">
        <v>7.9</v>
      </c>
      <c r="AY156" s="143">
        <v>81</v>
      </c>
      <c r="AZ156" s="143">
        <v>0.08</v>
      </c>
      <c r="BA156" s="143" t="s">
        <v>101</v>
      </c>
      <c r="BB156" s="143"/>
      <c r="BC156" s="143">
        <f>7213.27+654.03+74.65+90.45+255+175.33+447.56</f>
        <v>8910.2899999999991</v>
      </c>
      <c r="BD156" s="143"/>
      <c r="BE156" s="143">
        <f>585+400</f>
        <v>985</v>
      </c>
      <c r="BF156" s="143">
        <f t="shared" si="6"/>
        <v>9895.2899999999991</v>
      </c>
      <c r="BG156" s="151">
        <f t="shared" si="7"/>
        <v>544.24095</v>
      </c>
      <c r="BH156" s="151">
        <f t="shared" si="8"/>
        <v>10439.530949999998</v>
      </c>
      <c r="BI156" s="151">
        <v>10018.59</v>
      </c>
      <c r="BJ156" s="143" t="s">
        <v>102</v>
      </c>
      <c r="BK156" s="143"/>
      <c r="BL156" s="143"/>
      <c r="BM156" s="144" t="s">
        <v>3592</v>
      </c>
      <c r="BN156" s="144" t="s">
        <v>103</v>
      </c>
      <c r="BO156" s="144" t="s">
        <v>143</v>
      </c>
      <c r="BP156" s="144">
        <v>2021</v>
      </c>
      <c r="BQ156" s="203" t="s">
        <v>144</v>
      </c>
    </row>
    <row r="157" spans="1:69" ht="41.1" customHeight="1">
      <c r="A157" s="206" t="s">
        <v>86</v>
      </c>
      <c r="B157" s="206" t="s">
        <v>823</v>
      </c>
      <c r="C157" s="143">
        <v>1000</v>
      </c>
      <c r="D157" s="135">
        <v>44288</v>
      </c>
      <c r="E157" s="135">
        <v>44292</v>
      </c>
      <c r="F157" s="147">
        <v>44293</v>
      </c>
      <c r="G157" s="135" t="s">
        <v>824</v>
      </c>
      <c r="H157" s="147">
        <v>44298</v>
      </c>
      <c r="I157" s="147">
        <v>44298</v>
      </c>
      <c r="J157" s="147">
        <v>44305</v>
      </c>
      <c r="K157" s="135">
        <v>44349</v>
      </c>
      <c r="L157" s="135">
        <v>44341</v>
      </c>
      <c r="M157" s="135" t="s">
        <v>379</v>
      </c>
      <c r="N157" s="135">
        <v>44355</v>
      </c>
      <c r="O157" s="135">
        <v>44355</v>
      </c>
      <c r="P157" s="135">
        <v>44378</v>
      </c>
      <c r="Q157" s="135"/>
      <c r="R157" s="143"/>
      <c r="S157" s="143"/>
      <c r="T157" s="143"/>
      <c r="U157" s="143">
        <v>3</v>
      </c>
      <c r="V157" s="143">
        <v>14789</v>
      </c>
      <c r="W157" s="143" t="str">
        <f ca="1">IF(H157="",IF(D157="","",IF(U157+V157&lt;15,"Données Nb pers ou RFR manquantes",IF(COUNTA(INDIRECT("TabRFR["&amp;YEAR(D157)&amp;"]"))&lt;&gt;COUNTA(TabRFR[Recherche RFR]),"Data RFR manquantes", IF(V157&lt;=INDEX(TabRFR[[2021]:[2025]],MATCH(BD!U157&amp;"-Très modestes",TabRFR[Recherche RFR],0),MATCH(TEXT(YEAR(BD!D157),"Standard"),TabRFR[[#Headers],[2021]:[2025]],0)),"Très Modeste",IF(V157&lt;=INDEX(TabRFR[[2021]:[2025]],MATCH(BD!U157&amp;"-modestes",TabRFR[Recherche RFR],0),MATCH(TEXT(YEAR(BD!D157),"Standard"),TabRFR[[#Headers],[2021]:[2025]],0)),"Modeste",IF(V157&lt;=INDEX(TabRFR[[2021]:[2025]],MATCH(BD!U157&amp;"-Intermédiaire",TabRFR[Recherche RFR],0),MATCH(TEXT(YEAR(BD!D157),"Standard"),TabRFR[[#Headers],[2021]:[2025]],0)),"Intermédiaire","Supérieur")))))),IF(D157="","",IF(U157+V157&lt;15,"Données Nb pers ou RFR manquantes",IF(COUNTA(INDIRECT("TabRFR["&amp;YEAR(H157)&amp;"]"))&lt;&gt;COUNTA(TabRFR[Recherche RFR]),"Data RFR manquantes", IF(V157&lt;=INDEX(TabRFR[[2021]:[2025]],MATCH(BD!U157&amp;"-Très modestes",TabRFR[Recherche RFR],0),MATCH(TEXT(YEAR(BD!H157),"Standard"),TabRFR[[#Headers],[2021]:[2025]],0)),"Très Modeste",IF(V157&lt;=INDEX(TabRFR[[2021]:[2025]],MATCH(BD!U157&amp;"-modestes",TabRFR[Recherche RFR],0),MATCH(TEXT(YEAR(BD!H157),"Standard"),TabRFR[[#Headers],[2021]:[2025]],0)),"Modeste",IF(V157&lt;=INDEX(TabRFR[[2021]:[2025]],MATCH(BD!U157&amp;"-Intermédiaire",TabRFR[Recherche RFR],0),MATCH(TEXT(YEAR(BD!H157),"Standard"),TabRFR[[#Headers],[2021]:[2025]],0)),"Intermédiaire","Supérieur")))))))</f>
        <v>Très Modeste</v>
      </c>
      <c r="X157" s="143"/>
      <c r="Y157" s="143" t="s">
        <v>825</v>
      </c>
      <c r="Z157" s="143">
        <v>38850</v>
      </c>
      <c r="AA157" s="143" t="s">
        <v>435</v>
      </c>
      <c r="AB157" s="148"/>
      <c r="AC157" s="149"/>
      <c r="AD157" s="143" t="s">
        <v>91</v>
      </c>
      <c r="AE157" s="143" t="s">
        <v>76</v>
      </c>
      <c r="AF157" s="143" t="s">
        <v>76</v>
      </c>
      <c r="AG157" s="143" t="s">
        <v>76</v>
      </c>
      <c r="AH157" s="143" t="s">
        <v>76</v>
      </c>
      <c r="AI157" s="143" t="s">
        <v>826</v>
      </c>
      <c r="AJ157" s="143" t="s">
        <v>827</v>
      </c>
      <c r="AK157" s="143" t="s">
        <v>828</v>
      </c>
      <c r="AL157" s="150" t="s">
        <v>829</v>
      </c>
      <c r="AM157" s="148">
        <v>618630529</v>
      </c>
      <c r="AN157" s="143" t="s">
        <v>76</v>
      </c>
      <c r="AO157" s="150" t="s">
        <v>102</v>
      </c>
      <c r="AP157" s="147">
        <v>44514</v>
      </c>
      <c r="AQ157" s="143" t="s">
        <v>3413</v>
      </c>
      <c r="AR157" s="143">
        <v>1998</v>
      </c>
      <c r="AS157" s="143" t="s">
        <v>3413</v>
      </c>
      <c r="AT157" s="143" t="s">
        <v>98</v>
      </c>
      <c r="AU157" s="143" t="s">
        <v>188</v>
      </c>
      <c r="AV157" s="143" t="s">
        <v>189</v>
      </c>
      <c r="AW157" s="143">
        <v>20</v>
      </c>
      <c r="AX157" s="143">
        <v>8.3000000000000007</v>
      </c>
      <c r="AY157" s="143">
        <v>87</v>
      </c>
      <c r="AZ157" s="143">
        <v>1.7999999999999999E-2</v>
      </c>
      <c r="BA157" s="143" t="s">
        <v>126</v>
      </c>
      <c r="BB157" s="143"/>
      <c r="BC157" s="143">
        <f>4390+15+70+200+75+65+250+30</f>
        <v>5095</v>
      </c>
      <c r="BD157" s="143"/>
      <c r="BE157" s="143">
        <v>570</v>
      </c>
      <c r="BF157" s="143">
        <f t="shared" si="6"/>
        <v>5665</v>
      </c>
      <c r="BG157" s="151">
        <f t="shared" si="7"/>
        <v>311.57499999999999</v>
      </c>
      <c r="BH157" s="151">
        <f t="shared" si="8"/>
        <v>5976.5749999999998</v>
      </c>
      <c r="BI157" s="151">
        <v>5276.06</v>
      </c>
      <c r="BJ157" s="143" t="s">
        <v>115</v>
      </c>
      <c r="BK157" s="143"/>
      <c r="BL157" s="143"/>
      <c r="BM157" s="144" t="s">
        <v>3592</v>
      </c>
      <c r="BN157" s="144" t="s">
        <v>103</v>
      </c>
      <c r="BO157" s="135" t="s">
        <v>155</v>
      </c>
      <c r="BP157" s="143" t="s">
        <v>3583</v>
      </c>
      <c r="BQ157" s="203" t="s">
        <v>3274</v>
      </c>
    </row>
    <row r="158" spans="1:69" ht="41.1" customHeight="1">
      <c r="A158" s="206" t="s">
        <v>86</v>
      </c>
      <c r="B158" s="206" t="s">
        <v>830</v>
      </c>
      <c r="C158" s="143">
        <v>600</v>
      </c>
      <c r="D158" s="135">
        <v>44294</v>
      </c>
      <c r="E158" s="135">
        <v>44298</v>
      </c>
      <c r="F158" s="147" t="s">
        <v>76</v>
      </c>
      <c r="G158" s="135" t="s">
        <v>76</v>
      </c>
      <c r="H158" s="147">
        <v>44298</v>
      </c>
      <c r="I158" s="147">
        <v>44298</v>
      </c>
      <c r="J158" s="147">
        <v>44305</v>
      </c>
      <c r="K158" s="135">
        <v>44519</v>
      </c>
      <c r="L158" s="135">
        <v>44468</v>
      </c>
      <c r="M158" s="135" t="s">
        <v>76</v>
      </c>
      <c r="N158" s="135">
        <v>44525</v>
      </c>
      <c r="O158" s="135">
        <v>44525</v>
      </c>
      <c r="P158" s="135">
        <v>44539</v>
      </c>
      <c r="Q158" s="135"/>
      <c r="R158" s="143"/>
      <c r="S158" s="143"/>
      <c r="T158" s="143"/>
      <c r="U158" s="143">
        <v>4</v>
      </c>
      <c r="V158" s="143">
        <v>46984</v>
      </c>
      <c r="W158" s="143" t="str">
        <f ca="1">IF(H158="",IF(D158="","",IF(U158+V158&lt;15,"Données Nb pers ou RFR manquantes",IF(COUNTA(INDIRECT("TabRFR["&amp;YEAR(D158)&amp;"]"))&lt;&gt;COUNTA(TabRFR[Recherche RFR]),"Data RFR manquantes", IF(V158&lt;=INDEX(TabRFR[[2021]:[2025]],MATCH(BD!U158&amp;"-Très modestes",TabRFR[Recherche RFR],0),MATCH(TEXT(YEAR(BD!D158),"Standard"),TabRFR[[#Headers],[2021]:[2025]],0)),"Très Modeste",IF(V158&lt;=INDEX(TabRFR[[2021]:[2025]],MATCH(BD!U158&amp;"-modestes",TabRFR[Recherche RFR],0),MATCH(TEXT(YEAR(BD!D158),"Standard"),TabRFR[[#Headers],[2021]:[2025]],0)),"Modeste",IF(V158&lt;=INDEX(TabRFR[[2021]:[2025]],MATCH(BD!U158&amp;"-Intermédiaire",TabRFR[Recherche RFR],0),MATCH(TEXT(YEAR(BD!D158),"Standard"),TabRFR[[#Headers],[2021]:[2025]],0)),"Intermédiaire","Supérieur")))))),IF(D158="","",IF(U158+V158&lt;15,"Données Nb pers ou RFR manquantes",IF(COUNTA(INDIRECT("TabRFR["&amp;YEAR(H158)&amp;"]"))&lt;&gt;COUNTA(TabRFR[Recherche RFR]),"Data RFR manquantes", IF(V158&lt;=INDEX(TabRFR[[2021]:[2025]],MATCH(BD!U158&amp;"-Très modestes",TabRFR[Recherche RFR],0),MATCH(TEXT(YEAR(BD!H158),"Standard"),TabRFR[[#Headers],[2021]:[2025]],0)),"Très Modeste",IF(V158&lt;=INDEX(TabRFR[[2021]:[2025]],MATCH(BD!U158&amp;"-modestes",TabRFR[Recherche RFR],0),MATCH(TEXT(YEAR(BD!H158),"Standard"),TabRFR[[#Headers],[2021]:[2025]],0)),"Modeste",IF(V158&lt;=INDEX(TabRFR[[2021]:[2025]],MATCH(BD!U158&amp;"-Intermédiaire",TabRFR[Recherche RFR],0),MATCH(TEXT(YEAR(BD!H158),"Standard"),TabRFR[[#Headers],[2021]:[2025]],0)),"Intermédiaire","Supérieur")))))))</f>
        <v>Intermédiaire</v>
      </c>
      <c r="X158" s="143"/>
      <c r="Y158" s="143" t="s">
        <v>831</v>
      </c>
      <c r="Z158" s="143">
        <v>38500</v>
      </c>
      <c r="AA158" s="143" t="s">
        <v>134</v>
      </c>
      <c r="AB158" s="148"/>
      <c r="AC158" s="149"/>
      <c r="AD158" s="143" t="s">
        <v>91</v>
      </c>
      <c r="AE158" s="143" t="s">
        <v>76</v>
      </c>
      <c r="AF158" s="143" t="s">
        <v>76</v>
      </c>
      <c r="AG158" s="143" t="s">
        <v>76</v>
      </c>
      <c r="AH158" s="143" t="s">
        <v>76</v>
      </c>
      <c r="AI158" s="143" t="s">
        <v>185</v>
      </c>
      <c r="AJ158" s="143" t="s">
        <v>108</v>
      </c>
      <c r="AK158" s="143" t="s">
        <v>186</v>
      </c>
      <c r="AL158" s="150" t="s">
        <v>187</v>
      </c>
      <c r="AM158" s="148">
        <v>951096343</v>
      </c>
      <c r="AN158" s="143" t="s">
        <v>76</v>
      </c>
      <c r="AO158" s="150" t="s">
        <v>102</v>
      </c>
      <c r="AP158" s="147">
        <v>44433</v>
      </c>
      <c r="AQ158" s="135" t="s">
        <v>3496</v>
      </c>
      <c r="AR158" s="143">
        <v>2000</v>
      </c>
      <c r="AS158" s="143" t="s">
        <v>3413</v>
      </c>
      <c r="AT158" s="143" t="s">
        <v>98</v>
      </c>
      <c r="AU158" s="143" t="s">
        <v>188</v>
      </c>
      <c r="AV158" s="143" t="s">
        <v>189</v>
      </c>
      <c r="AW158" s="143">
        <v>20</v>
      </c>
      <c r="AX158" s="143">
        <v>8.3000000000000007</v>
      </c>
      <c r="AY158" s="143">
        <v>87</v>
      </c>
      <c r="AZ158" s="143">
        <v>1.7999999999999999E-2</v>
      </c>
      <c r="BA158" s="143" t="s">
        <v>126</v>
      </c>
      <c r="BB158" s="143"/>
      <c r="BC158" s="143">
        <f>4890+300.47+271.09+324.17+66.35+269.19</f>
        <v>6121.27</v>
      </c>
      <c r="BD158" s="143"/>
      <c r="BE158" s="143">
        <v>628.44000000000005</v>
      </c>
      <c r="BF158" s="143">
        <f t="shared" si="6"/>
        <v>6749.7100000000009</v>
      </c>
      <c r="BG158" s="151">
        <f t="shared" si="7"/>
        <v>371.23405000000008</v>
      </c>
      <c r="BH158" s="151">
        <f t="shared" si="8"/>
        <v>7120.944050000001</v>
      </c>
      <c r="BI158" s="151">
        <v>7000</v>
      </c>
      <c r="BJ158" s="143" t="s">
        <v>115</v>
      </c>
      <c r="BK158" s="143"/>
      <c r="BL158" s="143"/>
      <c r="BM158" s="144" t="s">
        <v>3592</v>
      </c>
      <c r="BN158" s="144" t="s">
        <v>103</v>
      </c>
      <c r="BO158" s="144" t="s">
        <v>143</v>
      </c>
      <c r="BP158" s="143" t="s">
        <v>3583</v>
      </c>
      <c r="BQ158" s="203" t="s">
        <v>3274</v>
      </c>
    </row>
    <row r="159" spans="1:69" ht="41.1" customHeight="1">
      <c r="A159" s="206" t="s">
        <v>86</v>
      </c>
      <c r="B159" s="206" t="s">
        <v>832</v>
      </c>
      <c r="C159" s="143">
        <v>600</v>
      </c>
      <c r="D159" s="135">
        <v>44295</v>
      </c>
      <c r="E159" s="135">
        <v>44298</v>
      </c>
      <c r="F159" s="147" t="s">
        <v>76</v>
      </c>
      <c r="G159" s="135" t="s">
        <v>76</v>
      </c>
      <c r="H159" s="147">
        <v>44298</v>
      </c>
      <c r="I159" s="147">
        <v>44298</v>
      </c>
      <c r="J159" s="147">
        <v>44305</v>
      </c>
      <c r="K159" s="135">
        <v>44441</v>
      </c>
      <c r="L159" s="135">
        <v>44405</v>
      </c>
      <c r="M159" s="135" t="s">
        <v>76</v>
      </c>
      <c r="N159" s="135">
        <v>44442</v>
      </c>
      <c r="O159" s="135">
        <v>44442</v>
      </c>
      <c r="P159" s="135">
        <v>44469</v>
      </c>
      <c r="Q159" s="135"/>
      <c r="R159" s="143"/>
      <c r="S159" s="143"/>
      <c r="T159" s="143"/>
      <c r="U159" s="143">
        <v>2</v>
      </c>
      <c r="V159" s="143">
        <v>64816</v>
      </c>
      <c r="W159" s="143" t="str">
        <f ca="1">IF(H159="",IF(D159="","",IF(U159+V159&lt;15,"Données Nb pers ou RFR manquantes",IF(COUNTA(INDIRECT("TabRFR["&amp;YEAR(D159)&amp;"]"))&lt;&gt;COUNTA(TabRFR[Recherche RFR]),"Data RFR manquantes", IF(V159&lt;=INDEX(TabRFR[[2021]:[2025]],MATCH(BD!U159&amp;"-Très modestes",TabRFR[Recherche RFR],0),MATCH(TEXT(YEAR(BD!D159),"Standard"),TabRFR[[#Headers],[2021]:[2025]],0)),"Très Modeste",IF(V159&lt;=INDEX(TabRFR[[2021]:[2025]],MATCH(BD!U159&amp;"-modestes",TabRFR[Recherche RFR],0),MATCH(TEXT(YEAR(BD!D159),"Standard"),TabRFR[[#Headers],[2021]:[2025]],0)),"Modeste",IF(V159&lt;=INDEX(TabRFR[[2021]:[2025]],MATCH(BD!U159&amp;"-Intermédiaire",TabRFR[Recherche RFR],0),MATCH(TEXT(YEAR(BD!D159),"Standard"),TabRFR[[#Headers],[2021]:[2025]],0)),"Intermédiaire","Supérieur")))))),IF(D159="","",IF(U159+V159&lt;15,"Données Nb pers ou RFR manquantes",IF(COUNTA(INDIRECT("TabRFR["&amp;YEAR(H159)&amp;"]"))&lt;&gt;COUNTA(TabRFR[Recherche RFR]),"Data RFR manquantes", IF(V159&lt;=INDEX(TabRFR[[2021]:[2025]],MATCH(BD!U159&amp;"-Très modestes",TabRFR[Recherche RFR],0),MATCH(TEXT(YEAR(BD!H159),"Standard"),TabRFR[[#Headers],[2021]:[2025]],0)),"Très Modeste",IF(V159&lt;=INDEX(TabRFR[[2021]:[2025]],MATCH(BD!U159&amp;"-modestes",TabRFR[Recherche RFR],0),MATCH(TEXT(YEAR(BD!H159),"Standard"),TabRFR[[#Headers],[2021]:[2025]],0)),"Modeste",IF(V159&lt;=INDEX(TabRFR[[2021]:[2025]],MATCH(BD!U159&amp;"-Intermédiaire",TabRFR[Recherche RFR],0),MATCH(TEXT(YEAR(BD!H159),"Standard"),TabRFR[[#Headers],[2021]:[2025]],0)),"Intermédiaire","Supérieur")))))))</f>
        <v>Supérieur</v>
      </c>
      <c r="X159" s="143"/>
      <c r="Y159" s="143" t="s">
        <v>833</v>
      </c>
      <c r="Z159" s="143">
        <v>38500</v>
      </c>
      <c r="AA159" s="143" t="s">
        <v>591</v>
      </c>
      <c r="AB159" s="148"/>
      <c r="AC159" s="149"/>
      <c r="AD159" s="143" t="s">
        <v>91</v>
      </c>
      <c r="AE159" s="143" t="s">
        <v>76</v>
      </c>
      <c r="AF159" s="143" t="s">
        <v>76</v>
      </c>
      <c r="AG159" s="143" t="s">
        <v>76</v>
      </c>
      <c r="AH159" s="143" t="s">
        <v>76</v>
      </c>
      <c r="AI159" s="143" t="s">
        <v>740</v>
      </c>
      <c r="AJ159" s="143" t="s">
        <v>741</v>
      </c>
      <c r="AK159" s="143" t="s">
        <v>742</v>
      </c>
      <c r="AL159" s="150" t="s">
        <v>834</v>
      </c>
      <c r="AM159" s="148">
        <v>476441060</v>
      </c>
      <c r="AN159" s="143" t="s">
        <v>76</v>
      </c>
      <c r="AO159" s="150" t="s">
        <v>102</v>
      </c>
      <c r="AP159" s="147">
        <v>44398</v>
      </c>
      <c r="AQ159" s="135" t="s">
        <v>3496</v>
      </c>
      <c r="AR159" s="143">
        <v>1993</v>
      </c>
      <c r="AS159" s="143" t="s">
        <v>3413</v>
      </c>
      <c r="AT159" s="135" t="s">
        <v>3446</v>
      </c>
      <c r="AU159" s="143" t="s">
        <v>369</v>
      </c>
      <c r="AV159" s="143" t="s">
        <v>835</v>
      </c>
      <c r="AW159" s="143">
        <v>4</v>
      </c>
      <c r="AX159" s="143">
        <v>6.8</v>
      </c>
      <c r="AY159" s="143">
        <v>78</v>
      </c>
      <c r="AZ159" s="143">
        <v>0.06</v>
      </c>
      <c r="BA159" s="143" t="s">
        <v>101</v>
      </c>
      <c r="BB159" s="143"/>
      <c r="BC159" s="143">
        <f>500.5+23+67+84+2772+295</f>
        <v>3741.5</v>
      </c>
      <c r="BD159" s="143"/>
      <c r="BE159" s="143">
        <v>680</v>
      </c>
      <c r="BF159" s="143">
        <f t="shared" si="6"/>
        <v>4421.5</v>
      </c>
      <c r="BG159" s="151">
        <f t="shared" si="7"/>
        <v>243.1825</v>
      </c>
      <c r="BH159" s="151">
        <f t="shared" si="8"/>
        <v>4664.6824999999999</v>
      </c>
      <c r="BI159" s="151">
        <v>4000.03</v>
      </c>
      <c r="BJ159" s="143" t="s">
        <v>115</v>
      </c>
      <c r="BK159" s="143"/>
      <c r="BL159" s="143"/>
      <c r="BM159" s="144" t="s">
        <v>3592</v>
      </c>
      <c r="BN159" s="144" t="s">
        <v>103</v>
      </c>
      <c r="BO159" s="144" t="s">
        <v>143</v>
      </c>
      <c r="BP159" s="144">
        <v>2021</v>
      </c>
      <c r="BQ159" s="203" t="s">
        <v>3274</v>
      </c>
    </row>
    <row r="160" spans="1:69" ht="41.1" customHeight="1">
      <c r="A160" s="206" t="s">
        <v>86</v>
      </c>
      <c r="B160" s="206" t="s">
        <v>836</v>
      </c>
      <c r="C160" s="143">
        <v>1000</v>
      </c>
      <c r="D160" s="135">
        <v>44299</v>
      </c>
      <c r="E160" s="135">
        <v>44301</v>
      </c>
      <c r="F160" s="147" t="s">
        <v>76</v>
      </c>
      <c r="G160" s="135" t="s">
        <v>76</v>
      </c>
      <c r="H160" s="147">
        <v>44301</v>
      </c>
      <c r="I160" s="147">
        <v>44301</v>
      </c>
      <c r="J160" s="147">
        <v>44307</v>
      </c>
      <c r="K160" s="135">
        <v>44390</v>
      </c>
      <c r="L160" s="135">
        <v>44389</v>
      </c>
      <c r="M160" s="135" t="s">
        <v>76</v>
      </c>
      <c r="N160" s="135">
        <v>44393</v>
      </c>
      <c r="O160" s="135">
        <v>44393</v>
      </c>
      <c r="P160" s="135">
        <v>44434</v>
      </c>
      <c r="Q160" s="135"/>
      <c r="R160" s="143"/>
      <c r="S160" s="143"/>
      <c r="T160" s="143"/>
      <c r="U160" s="143">
        <v>1</v>
      </c>
      <c r="V160" s="143">
        <v>14428</v>
      </c>
      <c r="W160" s="143" t="str">
        <f ca="1">IF(H160="",IF(D160="","",IF(U160+V160&lt;15,"Données Nb pers ou RFR manquantes",IF(COUNTA(INDIRECT("TabRFR["&amp;YEAR(D160)&amp;"]"))&lt;&gt;COUNTA(TabRFR[Recherche RFR]),"Data RFR manquantes", IF(V160&lt;=INDEX(TabRFR[[2021]:[2025]],MATCH(BD!U160&amp;"-Très modestes",TabRFR[Recherche RFR],0),MATCH(TEXT(YEAR(BD!D160),"Standard"),TabRFR[[#Headers],[2021]:[2025]],0)),"Très Modeste",IF(V160&lt;=INDEX(TabRFR[[2021]:[2025]],MATCH(BD!U160&amp;"-modestes",TabRFR[Recherche RFR],0),MATCH(TEXT(YEAR(BD!D160),"Standard"),TabRFR[[#Headers],[2021]:[2025]],0)),"Modeste",IF(V160&lt;=INDEX(TabRFR[[2021]:[2025]],MATCH(BD!U160&amp;"-Intermédiaire",TabRFR[Recherche RFR],0),MATCH(TEXT(YEAR(BD!D160),"Standard"),TabRFR[[#Headers],[2021]:[2025]],0)),"Intermédiaire","Supérieur")))))),IF(D160="","",IF(U160+V160&lt;15,"Données Nb pers ou RFR manquantes",IF(COUNTA(INDIRECT("TabRFR["&amp;YEAR(H160)&amp;"]"))&lt;&gt;COUNTA(TabRFR[Recherche RFR]),"Data RFR manquantes", IF(V160&lt;=INDEX(TabRFR[[2021]:[2025]],MATCH(BD!U160&amp;"-Très modestes",TabRFR[Recherche RFR],0),MATCH(TEXT(YEAR(BD!H160),"Standard"),TabRFR[[#Headers],[2021]:[2025]],0)),"Très Modeste",IF(V160&lt;=INDEX(TabRFR[[2021]:[2025]],MATCH(BD!U160&amp;"-modestes",TabRFR[Recherche RFR],0),MATCH(TEXT(YEAR(BD!H160),"Standard"),TabRFR[[#Headers],[2021]:[2025]],0)),"Modeste",IF(V160&lt;=INDEX(TabRFR[[2021]:[2025]],MATCH(BD!U160&amp;"-Intermédiaire",TabRFR[Recherche RFR],0),MATCH(TEXT(YEAR(BD!H160),"Standard"),TabRFR[[#Headers],[2021]:[2025]],0)),"Intermédiaire","Supérieur")))))))</f>
        <v>Très Modeste</v>
      </c>
      <c r="X160" s="143"/>
      <c r="Y160" s="143" t="s">
        <v>837</v>
      </c>
      <c r="Z160" s="143">
        <v>38430</v>
      </c>
      <c r="AA160" s="143" t="s">
        <v>119</v>
      </c>
      <c r="AB160" s="148"/>
      <c r="AC160" s="149"/>
      <c r="AD160" s="143" t="s">
        <v>91</v>
      </c>
      <c r="AE160" s="143" t="s">
        <v>76</v>
      </c>
      <c r="AF160" s="143" t="s">
        <v>76</v>
      </c>
      <c r="AG160" s="143" t="s">
        <v>76</v>
      </c>
      <c r="AH160" s="143" t="s">
        <v>76</v>
      </c>
      <c r="AI160" s="143" t="s">
        <v>169</v>
      </c>
      <c r="AJ160" s="143" t="s">
        <v>119</v>
      </c>
      <c r="AK160" s="143" t="s">
        <v>170</v>
      </c>
      <c r="AL160" s="149" t="s">
        <v>171</v>
      </c>
      <c r="AM160" s="148">
        <v>476355605</v>
      </c>
      <c r="AN160" s="143" t="s">
        <v>76</v>
      </c>
      <c r="AO160" s="150" t="s">
        <v>102</v>
      </c>
      <c r="AP160" s="147">
        <v>44495</v>
      </c>
      <c r="AQ160" s="135" t="s">
        <v>3496</v>
      </c>
      <c r="AR160" s="143">
        <v>1990</v>
      </c>
      <c r="AS160" s="135" t="s">
        <v>3496</v>
      </c>
      <c r="AT160" s="135" t="s">
        <v>3446</v>
      </c>
      <c r="AU160" s="143" t="s">
        <v>173</v>
      </c>
      <c r="AV160" s="143" t="s">
        <v>526</v>
      </c>
      <c r="AW160" s="143">
        <v>26</v>
      </c>
      <c r="AX160" s="143">
        <v>8</v>
      </c>
      <c r="AY160" s="143">
        <v>81</v>
      </c>
      <c r="AZ160" s="143">
        <v>7.0000000000000007E-2</v>
      </c>
      <c r="BA160" s="143" t="s">
        <v>101</v>
      </c>
      <c r="BB160" s="143"/>
      <c r="BC160" s="143">
        <f>360+24.5+41.4+94+365.75+1345+590.56+222+65.35+68.69</f>
        <v>3177.25</v>
      </c>
      <c r="BD160" s="143"/>
      <c r="BE160" s="143">
        <f>282.94+99.09+99.09+950</f>
        <v>1431.12</v>
      </c>
      <c r="BF160" s="143">
        <f t="shared" si="6"/>
        <v>4608.37</v>
      </c>
      <c r="BG160" s="151">
        <f t="shared" si="7"/>
        <v>253.46035000000001</v>
      </c>
      <c r="BH160" s="151">
        <f t="shared" si="8"/>
        <v>4861.8303500000002</v>
      </c>
      <c r="BI160" s="151">
        <v>4861.83</v>
      </c>
      <c r="BJ160" s="143" t="s">
        <v>102</v>
      </c>
      <c r="BK160" s="143"/>
      <c r="BL160" s="143"/>
      <c r="BM160" s="144" t="s">
        <v>3592</v>
      </c>
      <c r="BN160" s="144" t="s">
        <v>103</v>
      </c>
      <c r="BO160" s="135" t="s">
        <v>155</v>
      </c>
      <c r="BP160" s="144">
        <v>2021</v>
      </c>
      <c r="BQ160" s="203" t="s">
        <v>144</v>
      </c>
    </row>
    <row r="161" spans="1:69" ht="41.1" customHeight="1">
      <c r="A161" s="206" t="s">
        <v>86</v>
      </c>
      <c r="B161" s="206" t="s">
        <v>838</v>
      </c>
      <c r="C161" s="143">
        <v>600</v>
      </c>
      <c r="D161" s="135">
        <v>44299</v>
      </c>
      <c r="E161" s="135">
        <v>44301</v>
      </c>
      <c r="F161" s="147">
        <v>44301</v>
      </c>
      <c r="G161" s="135" t="s">
        <v>839</v>
      </c>
      <c r="H161" s="147">
        <v>44305</v>
      </c>
      <c r="I161" s="147">
        <v>44305</v>
      </c>
      <c r="J161" s="147">
        <v>44312</v>
      </c>
      <c r="K161" s="135">
        <v>44495</v>
      </c>
      <c r="L161" s="135">
        <v>44349</v>
      </c>
      <c r="M161" s="135" t="s">
        <v>76</v>
      </c>
      <c r="N161" s="135">
        <v>44497</v>
      </c>
      <c r="O161" s="135">
        <v>44497</v>
      </c>
      <c r="P161" s="135">
        <v>44498</v>
      </c>
      <c r="Q161" s="135"/>
      <c r="R161" s="143"/>
      <c r="S161" s="143"/>
      <c r="T161" s="143"/>
      <c r="U161" s="143">
        <v>3</v>
      </c>
      <c r="V161" s="143">
        <v>45309</v>
      </c>
      <c r="W161" s="143" t="str">
        <f ca="1">IF(H161="",IF(D161="","",IF(U161+V161&lt;15,"Données Nb pers ou RFR manquantes",IF(COUNTA(INDIRECT("TabRFR["&amp;YEAR(D161)&amp;"]"))&lt;&gt;COUNTA(TabRFR[Recherche RFR]),"Data RFR manquantes", IF(V161&lt;=INDEX(TabRFR[[2021]:[2025]],MATCH(BD!U161&amp;"-Très modestes",TabRFR[Recherche RFR],0),MATCH(TEXT(YEAR(BD!D161),"Standard"),TabRFR[[#Headers],[2021]:[2025]],0)),"Très Modeste",IF(V161&lt;=INDEX(TabRFR[[2021]:[2025]],MATCH(BD!U161&amp;"-modestes",TabRFR[Recherche RFR],0),MATCH(TEXT(YEAR(BD!D161),"Standard"),TabRFR[[#Headers],[2021]:[2025]],0)),"Modeste",IF(V161&lt;=INDEX(TabRFR[[2021]:[2025]],MATCH(BD!U161&amp;"-Intermédiaire",TabRFR[Recherche RFR],0),MATCH(TEXT(YEAR(BD!D161),"Standard"),TabRFR[[#Headers],[2021]:[2025]],0)),"Intermédiaire","Supérieur")))))),IF(D161="","",IF(U161+V161&lt;15,"Données Nb pers ou RFR manquantes",IF(COUNTA(INDIRECT("TabRFR["&amp;YEAR(H161)&amp;"]"))&lt;&gt;COUNTA(TabRFR[Recherche RFR]),"Data RFR manquantes", IF(V161&lt;=INDEX(TabRFR[[2021]:[2025]],MATCH(BD!U161&amp;"-Très modestes",TabRFR[Recherche RFR],0),MATCH(TEXT(YEAR(BD!H161),"Standard"),TabRFR[[#Headers],[2021]:[2025]],0)),"Très Modeste",IF(V161&lt;=INDEX(TabRFR[[2021]:[2025]],MATCH(BD!U161&amp;"-modestes",TabRFR[Recherche RFR],0),MATCH(TEXT(YEAR(BD!H161),"Standard"),TabRFR[[#Headers],[2021]:[2025]],0)),"Modeste",IF(V161&lt;=INDEX(TabRFR[[2021]:[2025]],MATCH(BD!U161&amp;"-Intermédiaire",TabRFR[Recherche RFR],0),MATCH(TEXT(YEAR(BD!H161),"Standard"),TabRFR[[#Headers],[2021]:[2025]],0)),"Intermédiaire","Supérieur")))))))</f>
        <v>Intermédiaire</v>
      </c>
      <c r="X161" s="143"/>
      <c r="Y161" s="143" t="s">
        <v>840</v>
      </c>
      <c r="Z161" s="143">
        <v>38500</v>
      </c>
      <c r="AA161" s="143" t="s">
        <v>134</v>
      </c>
      <c r="AB161" s="148"/>
      <c r="AC161" s="149"/>
      <c r="AD161" s="143" t="s">
        <v>91</v>
      </c>
      <c r="AE161" s="143" t="s">
        <v>76</v>
      </c>
      <c r="AF161" s="143" t="s">
        <v>76</v>
      </c>
      <c r="AG161" s="143" t="s">
        <v>76</v>
      </c>
      <c r="AH161" s="143" t="s">
        <v>76</v>
      </c>
      <c r="AI161" s="143" t="s">
        <v>267</v>
      </c>
      <c r="AJ161" s="143" t="s">
        <v>268</v>
      </c>
      <c r="AK161" s="143" t="s">
        <v>269</v>
      </c>
      <c r="AL161" s="150" t="s">
        <v>270</v>
      </c>
      <c r="AM161" s="148">
        <v>437064566</v>
      </c>
      <c r="AN161" s="143" t="s">
        <v>76</v>
      </c>
      <c r="AO161" s="150" t="s">
        <v>102</v>
      </c>
      <c r="AP161" s="147">
        <v>44633</v>
      </c>
      <c r="AQ161" s="135" t="s">
        <v>3449</v>
      </c>
      <c r="AR161" s="143">
        <v>1987</v>
      </c>
      <c r="AS161" s="143" t="s">
        <v>3413</v>
      </c>
      <c r="AT161" s="143" t="s">
        <v>98</v>
      </c>
      <c r="AU161" s="143" t="s">
        <v>841</v>
      </c>
      <c r="AV161" s="143" t="s">
        <v>842</v>
      </c>
      <c r="AW161" s="143">
        <v>12</v>
      </c>
      <c r="AX161" s="143">
        <v>10.5</v>
      </c>
      <c r="AY161" s="143">
        <v>87</v>
      </c>
      <c r="AZ161" s="143">
        <v>0.01</v>
      </c>
      <c r="BA161" s="143" t="s">
        <v>101</v>
      </c>
      <c r="BB161" s="143"/>
      <c r="BC161" s="143">
        <f>146.44+85.75+110.28+144.54+79.12+60.66+145.92+48.44+80.33+6.59+27.73+58.92+31.64+131.88+38.57+70.34+21.1+22.86+2066.04</f>
        <v>3377.1499999999996</v>
      </c>
      <c r="BD161" s="143"/>
      <c r="BE161" s="143">
        <f>2.9+0.01+1568.19</f>
        <v>1571.1000000000001</v>
      </c>
      <c r="BF161" s="143">
        <f t="shared" si="6"/>
        <v>4948.25</v>
      </c>
      <c r="BG161" s="151">
        <f t="shared" si="7"/>
        <v>272.15375</v>
      </c>
      <c r="BH161" s="151">
        <f t="shared" si="8"/>
        <v>5220.4037500000004</v>
      </c>
      <c r="BI161" s="151">
        <v>4761.08</v>
      </c>
      <c r="BJ161" s="143" t="s">
        <v>115</v>
      </c>
      <c r="BK161" s="143"/>
      <c r="BL161" s="143"/>
      <c r="BM161" s="144" t="s">
        <v>3592</v>
      </c>
      <c r="BN161" s="144" t="s">
        <v>103</v>
      </c>
      <c r="BO161" s="144" t="s">
        <v>143</v>
      </c>
      <c r="BP161" s="143" t="s">
        <v>3583</v>
      </c>
      <c r="BQ161" s="203" t="s">
        <v>3274</v>
      </c>
    </row>
    <row r="162" spans="1:69" ht="41.1" customHeight="1">
      <c r="A162" s="206" t="s">
        <v>86</v>
      </c>
      <c r="B162" s="206" t="s">
        <v>843</v>
      </c>
      <c r="C162" s="143">
        <v>600</v>
      </c>
      <c r="D162" s="135">
        <v>44302</v>
      </c>
      <c r="E162" s="135">
        <v>44305</v>
      </c>
      <c r="F162" s="147" t="s">
        <v>76</v>
      </c>
      <c r="G162" s="135" t="s">
        <v>76</v>
      </c>
      <c r="H162" s="147">
        <v>44305</v>
      </c>
      <c r="I162" s="147">
        <v>44305</v>
      </c>
      <c r="J162" s="147">
        <v>44312</v>
      </c>
      <c r="K162" s="135">
        <v>44454</v>
      </c>
      <c r="L162" s="135">
        <v>44401</v>
      </c>
      <c r="M162" s="135" t="s">
        <v>76</v>
      </c>
      <c r="N162" s="135">
        <v>44455</v>
      </c>
      <c r="O162" s="135">
        <v>44455</v>
      </c>
      <c r="P162" s="135">
        <v>44469</v>
      </c>
      <c r="Q162" s="135"/>
      <c r="R162" s="143"/>
      <c r="S162" s="143"/>
      <c r="T162" s="143"/>
      <c r="U162" s="143">
        <v>3</v>
      </c>
      <c r="V162" s="143">
        <v>84071</v>
      </c>
      <c r="W162" s="143" t="str">
        <f ca="1">IF(H162="",IF(D162="","",IF(U162+V162&lt;15,"Données Nb pers ou RFR manquantes",IF(COUNTA(INDIRECT("TabRFR["&amp;YEAR(D162)&amp;"]"))&lt;&gt;COUNTA(TabRFR[Recherche RFR]),"Data RFR manquantes", IF(V162&lt;=INDEX(TabRFR[[2021]:[2025]],MATCH(BD!U162&amp;"-Très modestes",TabRFR[Recherche RFR],0),MATCH(TEXT(YEAR(BD!D162),"Standard"),TabRFR[[#Headers],[2021]:[2025]],0)),"Très Modeste",IF(V162&lt;=INDEX(TabRFR[[2021]:[2025]],MATCH(BD!U162&amp;"-modestes",TabRFR[Recherche RFR],0),MATCH(TEXT(YEAR(BD!D162),"Standard"),TabRFR[[#Headers],[2021]:[2025]],0)),"Modeste",IF(V162&lt;=INDEX(TabRFR[[2021]:[2025]],MATCH(BD!U162&amp;"-Intermédiaire",TabRFR[Recherche RFR],0),MATCH(TEXT(YEAR(BD!D162),"Standard"),TabRFR[[#Headers],[2021]:[2025]],0)),"Intermédiaire","Supérieur")))))),IF(D162="","",IF(U162+V162&lt;15,"Données Nb pers ou RFR manquantes",IF(COUNTA(INDIRECT("TabRFR["&amp;YEAR(H162)&amp;"]"))&lt;&gt;COUNTA(TabRFR[Recherche RFR]),"Data RFR manquantes", IF(V162&lt;=INDEX(TabRFR[[2021]:[2025]],MATCH(BD!U162&amp;"-Très modestes",TabRFR[Recherche RFR],0),MATCH(TEXT(YEAR(BD!H162),"Standard"),TabRFR[[#Headers],[2021]:[2025]],0)),"Très Modeste",IF(V162&lt;=INDEX(TabRFR[[2021]:[2025]],MATCH(BD!U162&amp;"-modestes",TabRFR[Recherche RFR],0),MATCH(TEXT(YEAR(BD!H162),"Standard"),TabRFR[[#Headers],[2021]:[2025]],0)),"Modeste",IF(V162&lt;=INDEX(TabRFR[[2021]:[2025]],MATCH(BD!U162&amp;"-Intermédiaire",TabRFR[Recherche RFR],0),MATCH(TEXT(YEAR(BD!H162),"Standard"),TabRFR[[#Headers],[2021]:[2025]],0)),"Intermédiaire","Supérieur")))))))</f>
        <v>Supérieur</v>
      </c>
      <c r="X162" s="143"/>
      <c r="Y162" s="143" t="s">
        <v>844</v>
      </c>
      <c r="Z162" s="143">
        <v>38500</v>
      </c>
      <c r="AA162" s="143" t="s">
        <v>284</v>
      </c>
      <c r="AB162" s="148"/>
      <c r="AC162" s="149"/>
      <c r="AD162" s="143" t="s">
        <v>91</v>
      </c>
      <c r="AE162" s="143" t="s">
        <v>76</v>
      </c>
      <c r="AF162" s="143" t="s">
        <v>76</v>
      </c>
      <c r="AG162" s="143" t="s">
        <v>76</v>
      </c>
      <c r="AH162" s="143" t="s">
        <v>76</v>
      </c>
      <c r="AI162" s="143" t="s">
        <v>185</v>
      </c>
      <c r="AJ162" s="143" t="s">
        <v>108</v>
      </c>
      <c r="AK162" s="143" t="s">
        <v>186</v>
      </c>
      <c r="AL162" s="150" t="s">
        <v>187</v>
      </c>
      <c r="AM162" s="148">
        <v>951096343</v>
      </c>
      <c r="AN162" s="143" t="s">
        <v>76</v>
      </c>
      <c r="AO162" s="150" t="s">
        <v>102</v>
      </c>
      <c r="AP162" s="147">
        <v>44433</v>
      </c>
      <c r="AQ162" s="135" t="s">
        <v>3496</v>
      </c>
      <c r="AR162" s="143">
        <v>1988</v>
      </c>
      <c r="AS162" s="143" t="s">
        <v>3413</v>
      </c>
      <c r="AT162" s="143" t="s">
        <v>98</v>
      </c>
      <c r="AU162" s="143" t="s">
        <v>356</v>
      </c>
      <c r="AV162" s="143" t="s">
        <v>845</v>
      </c>
      <c r="AW162" s="143">
        <v>10</v>
      </c>
      <c r="AX162" s="143">
        <v>11.3</v>
      </c>
      <c r="AY162" s="143">
        <v>90</v>
      </c>
      <c r="AZ162" s="143">
        <v>0.01</v>
      </c>
      <c r="BA162" s="143" t="s">
        <v>101</v>
      </c>
      <c r="BB162" s="143"/>
      <c r="BC162" s="143">
        <f>5362.5+300.4+271.35+295</f>
        <v>6229.25</v>
      </c>
      <c r="BD162" s="143"/>
      <c r="BE162" s="143">
        <v>630</v>
      </c>
      <c r="BF162" s="143">
        <f t="shared" si="6"/>
        <v>6859.25</v>
      </c>
      <c r="BG162" s="151">
        <f t="shared" si="7"/>
        <v>377.25875000000002</v>
      </c>
      <c r="BH162" s="151">
        <f t="shared" si="8"/>
        <v>7236.50875</v>
      </c>
      <c r="BI162" s="151">
        <v>6387.9</v>
      </c>
      <c r="BJ162" s="143" t="s">
        <v>102</v>
      </c>
      <c r="BK162" s="143"/>
      <c r="BL162" s="143"/>
      <c r="BM162" s="144" t="s">
        <v>3592</v>
      </c>
      <c r="BN162" s="144" t="s">
        <v>103</v>
      </c>
      <c r="BO162" s="144" t="s">
        <v>143</v>
      </c>
      <c r="BP162" s="143" t="s">
        <v>3583</v>
      </c>
      <c r="BQ162" s="203" t="s">
        <v>144</v>
      </c>
    </row>
    <row r="163" spans="1:69" ht="41.1" customHeight="1">
      <c r="A163" s="206" t="s">
        <v>86</v>
      </c>
      <c r="B163" s="206" t="s">
        <v>846</v>
      </c>
      <c r="C163" s="143">
        <v>600</v>
      </c>
      <c r="D163" s="135">
        <v>44304</v>
      </c>
      <c r="E163" s="135">
        <v>44305</v>
      </c>
      <c r="F163" s="147">
        <v>44305</v>
      </c>
      <c r="G163" s="135" t="s">
        <v>847</v>
      </c>
      <c r="H163" s="147">
        <v>44306</v>
      </c>
      <c r="I163" s="147">
        <v>44306</v>
      </c>
      <c r="J163" s="147">
        <v>44313</v>
      </c>
      <c r="K163" s="135">
        <v>44446</v>
      </c>
      <c r="L163" s="135">
        <v>44377</v>
      </c>
      <c r="M163" s="135" t="s">
        <v>76</v>
      </c>
      <c r="N163" s="135">
        <v>44455</v>
      </c>
      <c r="O163" s="135">
        <v>44455</v>
      </c>
      <c r="P163" s="135">
        <v>44469</v>
      </c>
      <c r="Q163" s="135"/>
      <c r="R163" s="143"/>
      <c r="S163" s="143"/>
      <c r="T163" s="143"/>
      <c r="U163" s="143">
        <v>2</v>
      </c>
      <c r="V163" s="143">
        <v>115583</v>
      </c>
      <c r="W163" s="143" t="str">
        <f ca="1">IF(H163="",IF(D163="","",IF(U163+V163&lt;15,"Données Nb pers ou RFR manquantes",IF(COUNTA(INDIRECT("TabRFR["&amp;YEAR(D163)&amp;"]"))&lt;&gt;COUNTA(TabRFR[Recherche RFR]),"Data RFR manquantes", IF(V163&lt;=INDEX(TabRFR[[2021]:[2025]],MATCH(BD!U163&amp;"-Très modestes",TabRFR[Recherche RFR],0),MATCH(TEXT(YEAR(BD!D163),"Standard"),TabRFR[[#Headers],[2021]:[2025]],0)),"Très Modeste",IF(V163&lt;=INDEX(TabRFR[[2021]:[2025]],MATCH(BD!U163&amp;"-modestes",TabRFR[Recherche RFR],0),MATCH(TEXT(YEAR(BD!D163),"Standard"),TabRFR[[#Headers],[2021]:[2025]],0)),"Modeste",IF(V163&lt;=INDEX(TabRFR[[2021]:[2025]],MATCH(BD!U163&amp;"-Intermédiaire",TabRFR[Recherche RFR],0),MATCH(TEXT(YEAR(BD!D163),"Standard"),TabRFR[[#Headers],[2021]:[2025]],0)),"Intermédiaire","Supérieur")))))),IF(D163="","",IF(U163+V163&lt;15,"Données Nb pers ou RFR manquantes",IF(COUNTA(INDIRECT("TabRFR["&amp;YEAR(H163)&amp;"]"))&lt;&gt;COUNTA(TabRFR[Recherche RFR]),"Data RFR manquantes", IF(V163&lt;=INDEX(TabRFR[[2021]:[2025]],MATCH(BD!U163&amp;"-Très modestes",TabRFR[Recherche RFR],0),MATCH(TEXT(YEAR(BD!H163),"Standard"),TabRFR[[#Headers],[2021]:[2025]],0)),"Très Modeste",IF(V163&lt;=INDEX(TabRFR[[2021]:[2025]],MATCH(BD!U163&amp;"-modestes",TabRFR[Recherche RFR],0),MATCH(TEXT(YEAR(BD!H163),"Standard"),TabRFR[[#Headers],[2021]:[2025]],0)),"Modeste",IF(V163&lt;=INDEX(TabRFR[[2021]:[2025]],MATCH(BD!U163&amp;"-Intermédiaire",TabRFR[Recherche RFR],0),MATCH(TEXT(YEAR(BD!H163),"Standard"),TabRFR[[#Headers],[2021]:[2025]],0)),"Intermédiaire","Supérieur")))))))</f>
        <v>Supérieur</v>
      </c>
      <c r="X163" s="143"/>
      <c r="Y163" s="143" t="s">
        <v>848</v>
      </c>
      <c r="Z163" s="143">
        <v>38500</v>
      </c>
      <c r="AA163" s="143" t="s">
        <v>108</v>
      </c>
      <c r="AB163" s="148"/>
      <c r="AC163" s="149"/>
      <c r="AD163" s="143" t="s">
        <v>91</v>
      </c>
      <c r="AE163" s="143" t="s">
        <v>76</v>
      </c>
      <c r="AF163" s="143" t="s">
        <v>76</v>
      </c>
      <c r="AG163" s="143" t="s">
        <v>76</v>
      </c>
      <c r="AH163" s="143" t="s">
        <v>76</v>
      </c>
      <c r="AI163" s="135" t="s">
        <v>220</v>
      </c>
      <c r="AJ163" s="143" t="s">
        <v>108</v>
      </c>
      <c r="AK163" s="143" t="s">
        <v>221</v>
      </c>
      <c r="AL163" s="150" t="s">
        <v>222</v>
      </c>
      <c r="AM163" s="148">
        <v>476323235</v>
      </c>
      <c r="AN163" s="143" t="s">
        <v>76</v>
      </c>
      <c r="AO163" s="150" t="s">
        <v>102</v>
      </c>
      <c r="AP163" s="147">
        <v>44429</v>
      </c>
      <c r="AQ163" s="135" t="s">
        <v>3449</v>
      </c>
      <c r="AR163" s="143">
        <v>1990</v>
      </c>
      <c r="AS163" s="143" t="s">
        <v>3413</v>
      </c>
      <c r="AT163" s="135" t="s">
        <v>3446</v>
      </c>
      <c r="AU163" s="143" t="s">
        <v>369</v>
      </c>
      <c r="AV163" s="143" t="s">
        <v>835</v>
      </c>
      <c r="AW163" s="143">
        <v>4</v>
      </c>
      <c r="AX163" s="143">
        <v>6.8</v>
      </c>
      <c r="AY163" s="143">
        <v>78</v>
      </c>
      <c r="AZ163" s="143">
        <v>0.06</v>
      </c>
      <c r="BA163" s="143" t="s">
        <v>101</v>
      </c>
      <c r="BB163" s="143"/>
      <c r="BC163" s="143">
        <f>570+160+2640+69+82+29+30+110</f>
        <v>3690</v>
      </c>
      <c r="BD163" s="143"/>
      <c r="BE163" s="143">
        <f>35+310+40+330+20</f>
        <v>735</v>
      </c>
      <c r="BF163" s="143">
        <f t="shared" si="6"/>
        <v>4425</v>
      </c>
      <c r="BG163" s="151">
        <f t="shared" si="7"/>
        <v>243.375</v>
      </c>
      <c r="BH163" s="151">
        <f t="shared" si="8"/>
        <v>4668.375</v>
      </c>
      <c r="BI163" s="151">
        <v>4298.97</v>
      </c>
      <c r="BJ163" s="143" t="s">
        <v>102</v>
      </c>
      <c r="BK163" s="143"/>
      <c r="BL163" s="143"/>
      <c r="BM163" s="144" t="s">
        <v>3592</v>
      </c>
      <c r="BN163" s="144" t="s">
        <v>103</v>
      </c>
      <c r="BO163" s="144" t="s">
        <v>143</v>
      </c>
      <c r="BP163" s="144">
        <v>2021</v>
      </c>
      <c r="BQ163" s="203" t="s">
        <v>144</v>
      </c>
    </row>
    <row r="164" spans="1:69" ht="41.1" customHeight="1">
      <c r="A164" s="206" t="s">
        <v>86</v>
      </c>
      <c r="B164" s="206" t="s">
        <v>849</v>
      </c>
      <c r="C164" s="143">
        <v>600</v>
      </c>
      <c r="D164" s="135">
        <v>44305</v>
      </c>
      <c r="E164" s="135">
        <v>44305</v>
      </c>
      <c r="F164" s="147">
        <v>44305</v>
      </c>
      <c r="G164" s="135" t="s">
        <v>850</v>
      </c>
      <c r="H164" s="147">
        <v>44306</v>
      </c>
      <c r="I164" s="147">
        <v>44306</v>
      </c>
      <c r="J164" s="147">
        <v>44313</v>
      </c>
      <c r="K164" s="135">
        <v>44377</v>
      </c>
      <c r="L164" s="135">
        <v>44356</v>
      </c>
      <c r="M164" s="135" t="s">
        <v>76</v>
      </c>
      <c r="N164" s="135">
        <v>44383</v>
      </c>
      <c r="O164" s="135">
        <v>44383</v>
      </c>
      <c r="P164" s="135">
        <v>44389</v>
      </c>
      <c r="Q164" s="135"/>
      <c r="R164" s="143"/>
      <c r="S164" s="143"/>
      <c r="T164" s="143"/>
      <c r="U164" s="143">
        <v>2</v>
      </c>
      <c r="V164" s="143">
        <v>133121</v>
      </c>
      <c r="W164" s="143" t="str">
        <f ca="1">IF(H164="",IF(D164="","",IF(U164+V164&lt;15,"Données Nb pers ou RFR manquantes",IF(COUNTA(INDIRECT("TabRFR["&amp;YEAR(D164)&amp;"]"))&lt;&gt;COUNTA(TabRFR[Recherche RFR]),"Data RFR manquantes", IF(V164&lt;=INDEX(TabRFR[[2021]:[2025]],MATCH(BD!U164&amp;"-Très modestes",TabRFR[Recherche RFR],0),MATCH(TEXT(YEAR(BD!D164),"Standard"),TabRFR[[#Headers],[2021]:[2025]],0)),"Très Modeste",IF(V164&lt;=INDEX(TabRFR[[2021]:[2025]],MATCH(BD!U164&amp;"-modestes",TabRFR[Recherche RFR],0),MATCH(TEXT(YEAR(BD!D164),"Standard"),TabRFR[[#Headers],[2021]:[2025]],0)),"Modeste",IF(V164&lt;=INDEX(TabRFR[[2021]:[2025]],MATCH(BD!U164&amp;"-Intermédiaire",TabRFR[Recherche RFR],0),MATCH(TEXT(YEAR(BD!D164),"Standard"),TabRFR[[#Headers],[2021]:[2025]],0)),"Intermédiaire","Supérieur")))))),IF(D164="","",IF(U164+V164&lt;15,"Données Nb pers ou RFR manquantes",IF(COUNTA(INDIRECT("TabRFR["&amp;YEAR(H164)&amp;"]"))&lt;&gt;COUNTA(TabRFR[Recherche RFR]),"Data RFR manquantes", IF(V164&lt;=INDEX(TabRFR[[2021]:[2025]],MATCH(BD!U164&amp;"-Très modestes",TabRFR[Recherche RFR],0),MATCH(TEXT(YEAR(BD!H164),"Standard"),TabRFR[[#Headers],[2021]:[2025]],0)),"Très Modeste",IF(V164&lt;=INDEX(TabRFR[[2021]:[2025]],MATCH(BD!U164&amp;"-modestes",TabRFR[Recherche RFR],0),MATCH(TEXT(YEAR(BD!H164),"Standard"),TabRFR[[#Headers],[2021]:[2025]],0)),"Modeste",IF(V164&lt;=INDEX(TabRFR[[2021]:[2025]],MATCH(BD!U164&amp;"-Intermédiaire",TabRFR[Recherche RFR],0),MATCH(TEXT(YEAR(BD!H164),"Standard"),TabRFR[[#Headers],[2021]:[2025]],0)),"Intermédiaire","Supérieur")))))))</f>
        <v>Supérieur</v>
      </c>
      <c r="X164" s="143"/>
      <c r="Y164" s="143" t="s">
        <v>851</v>
      </c>
      <c r="Z164" s="143">
        <v>38500</v>
      </c>
      <c r="AA164" s="143" t="s">
        <v>134</v>
      </c>
      <c r="AB164" s="148"/>
      <c r="AC164" s="149"/>
      <c r="AD164" s="143" t="s">
        <v>91</v>
      </c>
      <c r="AE164" s="143" t="s">
        <v>76</v>
      </c>
      <c r="AF164" s="143" t="s">
        <v>76</v>
      </c>
      <c r="AG164" s="143" t="s">
        <v>76</v>
      </c>
      <c r="AH164" s="143" t="s">
        <v>76</v>
      </c>
      <c r="AI164" s="135" t="s">
        <v>2703</v>
      </c>
      <c r="AJ164" s="143" t="s">
        <v>266</v>
      </c>
      <c r="AK164" s="143" t="s">
        <v>317</v>
      </c>
      <c r="AL164" s="150" t="s">
        <v>318</v>
      </c>
      <c r="AM164" s="148">
        <v>476500550</v>
      </c>
      <c r="AN164" s="143" t="s">
        <v>76</v>
      </c>
      <c r="AO164" s="150" t="s">
        <v>102</v>
      </c>
      <c r="AP164" s="147">
        <v>44375</v>
      </c>
      <c r="AQ164" s="135" t="s">
        <v>3449</v>
      </c>
      <c r="AR164" s="143">
        <v>1990</v>
      </c>
      <c r="AS164" s="143" t="s">
        <v>3413</v>
      </c>
      <c r="AT164" s="135" t="s">
        <v>3446</v>
      </c>
      <c r="AU164" s="143" t="s">
        <v>852</v>
      </c>
      <c r="AV164" s="143">
        <v>760</v>
      </c>
      <c r="AW164" s="143">
        <v>40</v>
      </c>
      <c r="AX164" s="143">
        <v>12</v>
      </c>
      <c r="AY164" s="143">
        <v>80</v>
      </c>
      <c r="AZ164" s="143">
        <v>0.06</v>
      </c>
      <c r="BA164" s="143" t="s">
        <v>101</v>
      </c>
      <c r="BB164" s="143"/>
      <c r="BC164" s="143">
        <f>845.79+1995+182.53+44.15+88.73</f>
        <v>3156.2000000000003</v>
      </c>
      <c r="BD164" s="143"/>
      <c r="BE164" s="143">
        <v>1346.17</v>
      </c>
      <c r="BF164" s="143">
        <f t="shared" si="6"/>
        <v>4502.3700000000008</v>
      </c>
      <c r="BG164" s="151">
        <f t="shared" si="7"/>
        <v>247.63035000000005</v>
      </c>
      <c r="BH164" s="151">
        <f t="shared" si="8"/>
        <v>4750.0003500000012</v>
      </c>
      <c r="BI164" s="151">
        <v>4750</v>
      </c>
      <c r="BJ164" s="143" t="s">
        <v>102</v>
      </c>
      <c r="BK164" s="143"/>
      <c r="BL164" s="143"/>
      <c r="BM164" s="144" t="s">
        <v>3592</v>
      </c>
      <c r="BN164" s="144" t="s">
        <v>103</v>
      </c>
      <c r="BO164" s="144" t="s">
        <v>143</v>
      </c>
      <c r="BP164" s="144">
        <v>2021</v>
      </c>
      <c r="BQ164" s="203" t="s">
        <v>144</v>
      </c>
    </row>
    <row r="165" spans="1:69" ht="41.1" customHeight="1">
      <c r="A165" s="206" t="s">
        <v>86</v>
      </c>
      <c r="B165" s="206" t="s">
        <v>853</v>
      </c>
      <c r="C165" s="143">
        <v>600</v>
      </c>
      <c r="D165" s="135">
        <v>44306</v>
      </c>
      <c r="E165" s="135">
        <v>44308</v>
      </c>
      <c r="F165" s="147">
        <v>44308</v>
      </c>
      <c r="G165" s="135" t="s">
        <v>854</v>
      </c>
      <c r="H165" s="147">
        <v>44317</v>
      </c>
      <c r="I165" s="147">
        <v>44317</v>
      </c>
      <c r="J165" s="147">
        <v>44319</v>
      </c>
      <c r="K165" s="135">
        <v>44379</v>
      </c>
      <c r="L165" s="135">
        <v>44373</v>
      </c>
      <c r="M165" s="135" t="s">
        <v>855</v>
      </c>
      <c r="N165" s="135">
        <v>44426</v>
      </c>
      <c r="O165" s="135">
        <v>44426</v>
      </c>
      <c r="P165" s="135">
        <v>44461</v>
      </c>
      <c r="Q165" s="135"/>
      <c r="R165" s="143" t="s">
        <v>856</v>
      </c>
      <c r="S165" s="143"/>
      <c r="T165" s="143"/>
      <c r="U165" s="143">
        <v>3</v>
      </c>
      <c r="V165" s="143">
        <v>48851</v>
      </c>
      <c r="W165" s="143" t="str">
        <f ca="1">IF(H165="",IF(D165="","",IF(U165+V165&lt;15,"Données Nb pers ou RFR manquantes",IF(COUNTA(INDIRECT("TabRFR["&amp;YEAR(D165)&amp;"]"))&lt;&gt;COUNTA(TabRFR[Recherche RFR]),"Data RFR manquantes", IF(V165&lt;=INDEX(TabRFR[[2021]:[2025]],MATCH(BD!U165&amp;"-Très modestes",TabRFR[Recherche RFR],0),MATCH(TEXT(YEAR(BD!D165),"Standard"),TabRFR[[#Headers],[2021]:[2025]],0)),"Très Modeste",IF(V165&lt;=INDEX(TabRFR[[2021]:[2025]],MATCH(BD!U165&amp;"-modestes",TabRFR[Recherche RFR],0),MATCH(TEXT(YEAR(BD!D165),"Standard"),TabRFR[[#Headers],[2021]:[2025]],0)),"Modeste",IF(V165&lt;=INDEX(TabRFR[[2021]:[2025]],MATCH(BD!U165&amp;"-Intermédiaire",TabRFR[Recherche RFR],0),MATCH(TEXT(YEAR(BD!D165),"Standard"),TabRFR[[#Headers],[2021]:[2025]],0)),"Intermédiaire","Supérieur")))))),IF(D165="","",IF(U165+V165&lt;15,"Données Nb pers ou RFR manquantes",IF(COUNTA(INDIRECT("TabRFR["&amp;YEAR(H165)&amp;"]"))&lt;&gt;COUNTA(TabRFR[Recherche RFR]),"Data RFR manquantes", IF(V165&lt;=INDEX(TabRFR[[2021]:[2025]],MATCH(BD!U165&amp;"-Très modestes",TabRFR[Recherche RFR],0),MATCH(TEXT(YEAR(BD!H165),"Standard"),TabRFR[[#Headers],[2021]:[2025]],0)),"Très Modeste",IF(V165&lt;=INDEX(TabRFR[[2021]:[2025]],MATCH(BD!U165&amp;"-modestes",TabRFR[Recherche RFR],0),MATCH(TEXT(YEAR(BD!H165),"Standard"),TabRFR[[#Headers],[2021]:[2025]],0)),"Modeste",IF(V165&lt;=INDEX(TabRFR[[2021]:[2025]],MATCH(BD!U165&amp;"-Intermédiaire",TabRFR[Recherche RFR],0),MATCH(TEXT(YEAR(BD!H165),"Standard"),TabRFR[[#Headers],[2021]:[2025]],0)),"Intermédiaire","Supérieur")))))))</f>
        <v>Intermédiaire</v>
      </c>
      <c r="X165" s="143"/>
      <c r="Y165" s="143" t="s">
        <v>857</v>
      </c>
      <c r="Z165" s="143">
        <v>38140</v>
      </c>
      <c r="AA165" s="143" t="s">
        <v>184</v>
      </c>
      <c r="AB165" s="148"/>
      <c r="AC165" s="149"/>
      <c r="AD165" s="143" t="s">
        <v>91</v>
      </c>
      <c r="AE165" s="143" t="s">
        <v>76</v>
      </c>
      <c r="AF165" s="143" t="s">
        <v>76</v>
      </c>
      <c r="AG165" s="143" t="s">
        <v>76</v>
      </c>
      <c r="AH165" s="143" t="s">
        <v>76</v>
      </c>
      <c r="AI165" s="143" t="s">
        <v>160</v>
      </c>
      <c r="AJ165" s="143" t="s">
        <v>161</v>
      </c>
      <c r="AK165" s="143" t="s">
        <v>227</v>
      </c>
      <c r="AL165" s="150" t="s">
        <v>228</v>
      </c>
      <c r="AM165" s="148">
        <v>438021901</v>
      </c>
      <c r="AN165" s="143" t="s">
        <v>76</v>
      </c>
      <c r="AO165" s="150" t="s">
        <v>102</v>
      </c>
      <c r="AP165" s="147">
        <v>44641</v>
      </c>
      <c r="AQ165" s="135" t="s">
        <v>3496</v>
      </c>
      <c r="AR165" s="143">
        <v>1994</v>
      </c>
      <c r="AS165" s="135" t="s">
        <v>3496</v>
      </c>
      <c r="AT165" s="135" t="s">
        <v>3446</v>
      </c>
      <c r="AU165" s="143" t="s">
        <v>858</v>
      </c>
      <c r="AV165" s="143" t="s">
        <v>859</v>
      </c>
      <c r="AW165" s="143">
        <v>30</v>
      </c>
      <c r="AX165" s="143">
        <v>14.1</v>
      </c>
      <c r="AY165" s="143">
        <v>80.2</v>
      </c>
      <c r="AZ165" s="143">
        <v>0.09</v>
      </c>
      <c r="BA165" s="143" t="s">
        <v>101</v>
      </c>
      <c r="BB165" s="143"/>
      <c r="BC165" s="143">
        <f>3113+344+1434</f>
        <v>4891</v>
      </c>
      <c r="BD165" s="143"/>
      <c r="BE165" s="143">
        <v>891</v>
      </c>
      <c r="BF165" s="143">
        <f t="shared" si="6"/>
        <v>5782</v>
      </c>
      <c r="BG165" s="151">
        <f t="shared" si="7"/>
        <v>318.01</v>
      </c>
      <c r="BH165" s="151">
        <f t="shared" si="8"/>
        <v>6100.01</v>
      </c>
      <c r="BI165" s="151">
        <v>6100</v>
      </c>
      <c r="BJ165" s="143" t="s">
        <v>102</v>
      </c>
      <c r="BK165" s="143"/>
      <c r="BL165" s="143"/>
      <c r="BM165" s="144" t="s">
        <v>3592</v>
      </c>
      <c r="BN165" s="144" t="s">
        <v>103</v>
      </c>
      <c r="BO165" s="144" t="s">
        <v>143</v>
      </c>
      <c r="BP165" s="144">
        <v>2023</v>
      </c>
      <c r="BQ165" s="203" t="s">
        <v>144</v>
      </c>
    </row>
    <row r="166" spans="1:69" ht="41.1" customHeight="1">
      <c r="A166" s="206" t="s">
        <v>86</v>
      </c>
      <c r="B166" s="206" t="s">
        <v>860</v>
      </c>
      <c r="C166" s="143">
        <v>1000</v>
      </c>
      <c r="D166" s="135">
        <v>44307</v>
      </c>
      <c r="E166" s="135">
        <v>44308</v>
      </c>
      <c r="F166" s="147">
        <v>44308</v>
      </c>
      <c r="G166" s="135" t="s">
        <v>861</v>
      </c>
      <c r="H166" s="147">
        <v>44313</v>
      </c>
      <c r="I166" s="147">
        <v>44313</v>
      </c>
      <c r="J166" s="147">
        <v>44319</v>
      </c>
      <c r="K166" s="135">
        <v>44467</v>
      </c>
      <c r="L166" s="135">
        <v>44455</v>
      </c>
      <c r="M166" s="135" t="s">
        <v>76</v>
      </c>
      <c r="N166" s="135">
        <v>44469</v>
      </c>
      <c r="O166" s="135">
        <v>44469</v>
      </c>
      <c r="P166" s="135">
        <v>44469</v>
      </c>
      <c r="Q166" s="135"/>
      <c r="R166" s="143"/>
      <c r="S166" s="143"/>
      <c r="T166" s="143"/>
      <c r="U166" s="143">
        <v>2</v>
      </c>
      <c r="V166" s="143">
        <f>16891+7173</f>
        <v>24064</v>
      </c>
      <c r="W166" s="143" t="str">
        <f ca="1">IF(H166="",IF(D166="","",IF(U166+V166&lt;15,"Données Nb pers ou RFR manquantes",IF(COUNTA(INDIRECT("TabRFR["&amp;YEAR(D166)&amp;"]"))&lt;&gt;COUNTA(TabRFR[Recherche RFR]),"Data RFR manquantes", IF(V166&lt;=INDEX(TabRFR[[2021]:[2025]],MATCH(BD!U166&amp;"-Très modestes",TabRFR[Recherche RFR],0),MATCH(TEXT(YEAR(BD!D166),"Standard"),TabRFR[[#Headers],[2021]:[2025]],0)),"Très Modeste",IF(V166&lt;=INDEX(TabRFR[[2021]:[2025]],MATCH(BD!U166&amp;"-modestes",TabRFR[Recherche RFR],0),MATCH(TEXT(YEAR(BD!D166),"Standard"),TabRFR[[#Headers],[2021]:[2025]],0)),"Modeste",IF(V166&lt;=INDEX(TabRFR[[2021]:[2025]],MATCH(BD!U166&amp;"-Intermédiaire",TabRFR[Recherche RFR],0),MATCH(TEXT(YEAR(BD!D166),"Standard"),TabRFR[[#Headers],[2021]:[2025]],0)),"Intermédiaire","Supérieur")))))),IF(D166="","",IF(U166+V166&lt;15,"Données Nb pers ou RFR manquantes",IF(COUNTA(INDIRECT("TabRFR["&amp;YEAR(H166)&amp;"]"))&lt;&gt;COUNTA(TabRFR[Recherche RFR]),"Data RFR manquantes", IF(V166&lt;=INDEX(TabRFR[[2021]:[2025]],MATCH(BD!U166&amp;"-Très modestes",TabRFR[Recherche RFR],0),MATCH(TEXT(YEAR(BD!H166),"Standard"),TabRFR[[#Headers],[2021]:[2025]],0)),"Très Modeste",IF(V166&lt;=INDEX(TabRFR[[2021]:[2025]],MATCH(BD!U166&amp;"-modestes",TabRFR[Recherche RFR],0),MATCH(TEXT(YEAR(BD!H166),"Standard"),TabRFR[[#Headers],[2021]:[2025]],0)),"Modeste",IF(V166&lt;=INDEX(TabRFR[[2021]:[2025]],MATCH(BD!U166&amp;"-Intermédiaire",TabRFR[Recherche RFR],0),MATCH(TEXT(YEAR(BD!H166),"Standard"),TabRFR[[#Headers],[2021]:[2025]],0)),"Intermédiaire","Supérieur")))))))</f>
        <v>Modeste</v>
      </c>
      <c r="X166" s="143"/>
      <c r="Y166" s="143" t="s">
        <v>862</v>
      </c>
      <c r="Z166" s="143">
        <v>38620</v>
      </c>
      <c r="AA166" s="143" t="s">
        <v>863</v>
      </c>
      <c r="AB166" s="148"/>
      <c r="AC166" s="149"/>
      <c r="AD166" s="143" t="s">
        <v>91</v>
      </c>
      <c r="AE166" s="143" t="s">
        <v>76</v>
      </c>
      <c r="AF166" s="143" t="s">
        <v>76</v>
      </c>
      <c r="AG166" s="143" t="s">
        <v>76</v>
      </c>
      <c r="AH166" s="143" t="s">
        <v>76</v>
      </c>
      <c r="AI166" s="143" t="s">
        <v>864</v>
      </c>
      <c r="AJ166" s="143" t="s">
        <v>865</v>
      </c>
      <c r="AK166" s="143" t="s">
        <v>866</v>
      </c>
      <c r="AL166" s="150" t="s">
        <v>867</v>
      </c>
      <c r="AM166" s="148">
        <v>476221190</v>
      </c>
      <c r="AN166" s="143" t="s">
        <v>76</v>
      </c>
      <c r="AO166" s="150" t="s">
        <v>102</v>
      </c>
      <c r="AP166" s="147">
        <v>44349</v>
      </c>
      <c r="AQ166" s="143" t="s">
        <v>3413</v>
      </c>
      <c r="AR166" s="143" t="s">
        <v>172</v>
      </c>
      <c r="AS166" s="143" t="s">
        <v>3413</v>
      </c>
      <c r="AT166" s="135" t="s">
        <v>3446</v>
      </c>
      <c r="AU166" s="143" t="s">
        <v>868</v>
      </c>
      <c r="AV166" s="143" t="s">
        <v>869</v>
      </c>
      <c r="AW166" s="143">
        <v>27</v>
      </c>
      <c r="AX166" s="143">
        <v>13</v>
      </c>
      <c r="AY166" s="143">
        <v>81.599999999999994</v>
      </c>
      <c r="AZ166" s="143">
        <v>0.12</v>
      </c>
      <c r="BA166" s="143" t="s">
        <v>101</v>
      </c>
      <c r="BB166" s="143"/>
      <c r="BC166" s="143">
        <f>1879.02+400</f>
        <v>2279.02</v>
      </c>
      <c r="BD166" s="143"/>
      <c r="BE166" s="143">
        <f>55+400.5</f>
        <v>455.5</v>
      </c>
      <c r="BF166" s="143">
        <f t="shared" si="6"/>
        <v>2734.52</v>
      </c>
      <c r="BG166" s="151">
        <f t="shared" si="7"/>
        <v>150.39859999999999</v>
      </c>
      <c r="BH166" s="151">
        <f t="shared" si="8"/>
        <v>2884.9186</v>
      </c>
      <c r="BI166" s="151">
        <v>2884.92</v>
      </c>
      <c r="BJ166" s="143" t="s">
        <v>102</v>
      </c>
      <c r="BK166" s="143"/>
      <c r="BL166" s="143"/>
      <c r="BM166" s="144" t="s">
        <v>3592</v>
      </c>
      <c r="BN166" s="144" t="s">
        <v>103</v>
      </c>
      <c r="BO166" s="135" t="s">
        <v>155</v>
      </c>
      <c r="BP166" s="144">
        <v>2021</v>
      </c>
      <c r="BQ166" s="203" t="s">
        <v>144</v>
      </c>
    </row>
    <row r="167" spans="1:69" ht="41.1" customHeight="1">
      <c r="A167" s="207" t="s">
        <v>86</v>
      </c>
      <c r="B167" s="207" t="s">
        <v>870</v>
      </c>
      <c r="C167" s="146" t="s">
        <v>76</v>
      </c>
      <c r="D167" s="135">
        <v>44307</v>
      </c>
      <c r="E167" s="135">
        <v>44308</v>
      </c>
      <c r="F167" s="147" t="s">
        <v>76</v>
      </c>
      <c r="G167" s="135" t="s">
        <v>76</v>
      </c>
      <c r="H167" s="147" t="s">
        <v>76</v>
      </c>
      <c r="I167" s="147" t="s">
        <v>76</v>
      </c>
      <c r="J167" s="147" t="s">
        <v>76</v>
      </c>
      <c r="K167" s="135" t="s">
        <v>76</v>
      </c>
      <c r="L167" s="135" t="s">
        <v>76</v>
      </c>
      <c r="M167" s="135" t="s">
        <v>76</v>
      </c>
      <c r="N167" s="135" t="s">
        <v>76</v>
      </c>
      <c r="O167" s="135" t="s">
        <v>76</v>
      </c>
      <c r="P167" s="135" t="s">
        <v>76</v>
      </c>
      <c r="Q167" s="135">
        <v>44308</v>
      </c>
      <c r="R167" s="143" t="s">
        <v>697</v>
      </c>
      <c r="S167" s="143"/>
      <c r="T167" s="143"/>
      <c r="U167" s="143">
        <v>2</v>
      </c>
      <c r="V167" s="143">
        <v>29717</v>
      </c>
      <c r="W167" s="143" t="str">
        <f ca="1">IF(H167="",IF(D167="","",IF(U167+V167&lt;15,"Données Nb pers ou RFR manquantes",IF(COUNTA(INDIRECT("TabRFR["&amp;YEAR(D167)&amp;"]"))&lt;&gt;COUNTA(TabRFR[Recherche RFR]),"Data RFR manquantes", IF(V167&lt;=INDEX(TabRFR[[2021]:[2025]],MATCH(BD!U167&amp;"-Très modestes",TabRFR[Recherche RFR],0),MATCH(TEXT(YEAR(BD!D167),"Standard"),TabRFR[[#Headers],[2021]:[2025]],0)),"Très Modeste",IF(V167&lt;=INDEX(TabRFR[[2021]:[2025]],MATCH(BD!U167&amp;"-modestes",TabRFR[Recherche RFR],0),MATCH(TEXT(YEAR(BD!D167),"Standard"),TabRFR[[#Headers],[2021]:[2025]],0)),"Modeste",IF(V167&lt;=INDEX(TabRFR[[2021]:[2025]],MATCH(BD!U167&amp;"-Intermédiaire",TabRFR[Recherche RFR],0),MATCH(TEXT(YEAR(BD!D167),"Standard"),TabRFR[[#Headers],[2021]:[2025]],0)),"Intermédiaire","Supérieur")))))),IF(D167="","",IF(U167+V167&lt;15,"Données Nb pers ou RFR manquantes",IF(COUNTA(INDIRECT("TabRFR["&amp;YEAR(H167)&amp;"]"))&lt;&gt;COUNTA(TabRFR[Recherche RFR]),"Data RFR manquantes", IF(V167&lt;=INDEX(TabRFR[[2021]:[2025]],MATCH(BD!U167&amp;"-Très modestes",TabRFR[Recherche RFR],0),MATCH(TEXT(YEAR(BD!H167),"Standard"),TabRFR[[#Headers],[2021]:[2025]],0)),"Très Modeste",IF(V167&lt;=INDEX(TabRFR[[2021]:[2025]],MATCH(BD!U167&amp;"-modestes",TabRFR[Recherche RFR],0),MATCH(TEXT(YEAR(BD!H167),"Standard"),TabRFR[[#Headers],[2021]:[2025]],0)),"Modeste",IF(V167&lt;=INDEX(TabRFR[[2021]:[2025]],MATCH(BD!U167&amp;"-Intermédiaire",TabRFR[Recherche RFR],0),MATCH(TEXT(YEAR(BD!H167),"Standard"),TabRFR[[#Headers],[2021]:[2025]],0)),"Intermédiaire","Supérieur")))))))</f>
        <v>Data RFR manquantes</v>
      </c>
      <c r="X167" s="143"/>
      <c r="Y167" s="143" t="s">
        <v>871</v>
      </c>
      <c r="Z167" s="143">
        <v>38210</v>
      </c>
      <c r="AA167" s="143" t="s">
        <v>202</v>
      </c>
      <c r="AB167" s="148"/>
      <c r="AC167" s="149"/>
      <c r="AD167" s="143" t="s">
        <v>91</v>
      </c>
      <c r="AE167" s="143" t="s">
        <v>76</v>
      </c>
      <c r="AF167" s="143" t="s">
        <v>76</v>
      </c>
      <c r="AG167" s="143" t="s">
        <v>76</v>
      </c>
      <c r="AH167" s="143" t="s">
        <v>76</v>
      </c>
      <c r="AI167" s="135" t="s">
        <v>872</v>
      </c>
      <c r="AJ167" s="143" t="s">
        <v>873</v>
      </c>
      <c r="AK167" s="143" t="s">
        <v>874</v>
      </c>
      <c r="AL167" s="150" t="s">
        <v>875</v>
      </c>
      <c r="AM167" s="148">
        <v>676354364</v>
      </c>
      <c r="AN167" s="143" t="s">
        <v>76</v>
      </c>
      <c r="AO167" s="150" t="s">
        <v>115</v>
      </c>
      <c r="AP167" s="147">
        <v>44495</v>
      </c>
      <c r="AQ167" s="135" t="s">
        <v>3496</v>
      </c>
      <c r="AR167" s="143">
        <v>2006</v>
      </c>
      <c r="AS167" s="143" t="s">
        <v>3413</v>
      </c>
      <c r="AT167" s="138" t="s">
        <v>98</v>
      </c>
      <c r="AU167" s="143" t="s">
        <v>876</v>
      </c>
      <c r="AV167" s="143" t="s">
        <v>877</v>
      </c>
      <c r="AW167" s="143" t="s">
        <v>76</v>
      </c>
      <c r="AX167" s="143" t="s">
        <v>76</v>
      </c>
      <c r="AY167" s="143" t="s">
        <v>76</v>
      </c>
      <c r="AZ167" s="143" t="s">
        <v>76</v>
      </c>
      <c r="BA167" s="143" t="s">
        <v>115</v>
      </c>
      <c r="BB167" s="143"/>
      <c r="BC167" s="143">
        <f>2090+189.27+218.22+227.8</f>
        <v>2725.29</v>
      </c>
      <c r="BD167" s="143"/>
      <c r="BE167" s="143">
        <v>500</v>
      </c>
      <c r="BF167" s="143">
        <f t="shared" si="6"/>
        <v>3225.29</v>
      </c>
      <c r="BG167" s="151">
        <f t="shared" si="7"/>
        <v>177.39095</v>
      </c>
      <c r="BH167" s="151">
        <f t="shared" si="8"/>
        <v>3402.6809499999999</v>
      </c>
      <c r="BI167" s="151"/>
      <c r="BJ167" s="143"/>
      <c r="BK167" s="143"/>
      <c r="BL167" s="143"/>
      <c r="BM167" s="144">
        <v>0</v>
      </c>
      <c r="BN167" s="144" t="s">
        <v>103</v>
      </c>
      <c r="BO167" s="144" t="s">
        <v>103</v>
      </c>
      <c r="BP167" s="203" t="s">
        <v>3582</v>
      </c>
      <c r="BQ167" s="203" t="s">
        <v>3273</v>
      </c>
    </row>
    <row r="168" spans="1:69" ht="41.1" customHeight="1">
      <c r="A168" s="206" t="s">
        <v>86</v>
      </c>
      <c r="B168" s="206" t="s">
        <v>878</v>
      </c>
      <c r="C168" s="143">
        <v>600</v>
      </c>
      <c r="D168" s="135">
        <v>44315</v>
      </c>
      <c r="E168" s="135">
        <v>44320</v>
      </c>
      <c r="F168" s="147" t="s">
        <v>76</v>
      </c>
      <c r="G168" s="135" t="s">
        <v>76</v>
      </c>
      <c r="H168" s="147">
        <v>44322</v>
      </c>
      <c r="I168" s="147">
        <v>44322</v>
      </c>
      <c r="J168" s="147">
        <v>44333</v>
      </c>
      <c r="K168" s="135">
        <v>44582</v>
      </c>
      <c r="L168" s="135">
        <v>44400</v>
      </c>
      <c r="M168" s="135"/>
      <c r="N168" s="135">
        <v>44594</v>
      </c>
      <c r="O168" s="135">
        <v>44595</v>
      </c>
      <c r="P168" s="135">
        <v>44600</v>
      </c>
      <c r="Q168" s="135"/>
      <c r="R168" s="143"/>
      <c r="S168" s="143"/>
      <c r="T168" s="143"/>
      <c r="U168" s="143">
        <v>2</v>
      </c>
      <c r="V168" s="143">
        <v>33751</v>
      </c>
      <c r="W168" s="143" t="str">
        <f ca="1">IF(H168="",IF(D168="","",IF(U168+V168&lt;15,"Données Nb pers ou RFR manquantes",IF(COUNTA(INDIRECT("TabRFR["&amp;YEAR(D168)&amp;"]"))&lt;&gt;COUNTA(TabRFR[Recherche RFR]),"Data RFR manquantes", IF(V168&lt;=INDEX(TabRFR[[2021]:[2025]],MATCH(BD!U168&amp;"-Très modestes",TabRFR[Recherche RFR],0),MATCH(TEXT(YEAR(BD!D168),"Standard"),TabRFR[[#Headers],[2021]:[2025]],0)),"Très Modeste",IF(V168&lt;=INDEX(TabRFR[[2021]:[2025]],MATCH(BD!U168&amp;"-modestes",TabRFR[Recherche RFR],0),MATCH(TEXT(YEAR(BD!D168),"Standard"),TabRFR[[#Headers],[2021]:[2025]],0)),"Modeste",IF(V168&lt;=INDEX(TabRFR[[2021]:[2025]],MATCH(BD!U168&amp;"-Intermédiaire",TabRFR[Recherche RFR],0),MATCH(TEXT(YEAR(BD!D168),"Standard"),TabRFR[[#Headers],[2021]:[2025]],0)),"Intermédiaire","Supérieur")))))),IF(D168="","",IF(U168+V168&lt;15,"Données Nb pers ou RFR manquantes",IF(COUNTA(INDIRECT("TabRFR["&amp;YEAR(H168)&amp;"]"))&lt;&gt;COUNTA(TabRFR[Recherche RFR]),"Data RFR manquantes", IF(V168&lt;=INDEX(TabRFR[[2021]:[2025]],MATCH(BD!U168&amp;"-Très modestes",TabRFR[Recherche RFR],0),MATCH(TEXT(YEAR(BD!H168),"Standard"),TabRFR[[#Headers],[2021]:[2025]],0)),"Très Modeste",IF(V168&lt;=INDEX(TabRFR[[2021]:[2025]],MATCH(BD!U168&amp;"-modestes",TabRFR[Recherche RFR],0),MATCH(TEXT(YEAR(BD!H168),"Standard"),TabRFR[[#Headers],[2021]:[2025]],0)),"Modeste",IF(V168&lt;=INDEX(TabRFR[[2021]:[2025]],MATCH(BD!U168&amp;"-Intermédiaire",TabRFR[Recherche RFR],0),MATCH(TEXT(YEAR(BD!H168),"Standard"),TabRFR[[#Headers],[2021]:[2025]],0)),"Intermédiaire","Supérieur")))))))</f>
        <v>Intermédiaire</v>
      </c>
      <c r="X168" s="143"/>
      <c r="Y168" s="143" t="s">
        <v>235</v>
      </c>
      <c r="Z168" s="143">
        <v>38500</v>
      </c>
      <c r="AA168" s="143" t="s">
        <v>219</v>
      </c>
      <c r="AB168" s="148"/>
      <c r="AC168" s="149"/>
      <c r="AD168" s="143" t="s">
        <v>91</v>
      </c>
      <c r="AE168" s="143" t="s">
        <v>76</v>
      </c>
      <c r="AF168" s="143" t="s">
        <v>76</v>
      </c>
      <c r="AG168" s="143" t="s">
        <v>76</v>
      </c>
      <c r="AH168" s="143" t="s">
        <v>76</v>
      </c>
      <c r="AI168" s="143" t="s">
        <v>267</v>
      </c>
      <c r="AJ168" s="143" t="s">
        <v>268</v>
      </c>
      <c r="AK168" s="143" t="s">
        <v>269</v>
      </c>
      <c r="AL168" s="150" t="s">
        <v>270</v>
      </c>
      <c r="AM168" s="148">
        <v>437064566</v>
      </c>
      <c r="AN168" s="143" t="s">
        <v>76</v>
      </c>
      <c r="AO168" s="150" t="s">
        <v>102</v>
      </c>
      <c r="AP168" s="147">
        <v>44633</v>
      </c>
      <c r="AQ168" s="135" t="s">
        <v>3496</v>
      </c>
      <c r="AR168" s="143">
        <v>1992</v>
      </c>
      <c r="AS168" s="143" t="s">
        <v>3413</v>
      </c>
      <c r="AT168" s="135" t="s">
        <v>3446</v>
      </c>
      <c r="AU168" s="143" t="s">
        <v>488</v>
      </c>
      <c r="AV168" s="143" t="s">
        <v>879</v>
      </c>
      <c r="AW168" s="143">
        <v>20</v>
      </c>
      <c r="AX168" s="143">
        <v>9</v>
      </c>
      <c r="AY168" s="143">
        <v>77</v>
      </c>
      <c r="AZ168" s="143">
        <v>0.1</v>
      </c>
      <c r="BA168" s="143" t="s">
        <v>101</v>
      </c>
      <c r="BB168" s="143"/>
      <c r="BC168" s="143">
        <f>23.58+74.87+60.1+19.01+23.27+184.61+58.64+35.74+229.08+422.37+62.77+87.96+58.72+44+2+213.85+175.98+125.95+151.15+9.5+95+1490+375</f>
        <v>4023.15</v>
      </c>
      <c r="BD168" s="143"/>
      <c r="BE168" s="143">
        <f>880+450</f>
        <v>1330</v>
      </c>
      <c r="BF168" s="143">
        <f t="shared" si="6"/>
        <v>5353.15</v>
      </c>
      <c r="BG168" s="151">
        <f t="shared" si="7"/>
        <v>294.42325</v>
      </c>
      <c r="BH168" s="151">
        <f t="shared" si="8"/>
        <v>5647.5732499999995</v>
      </c>
      <c r="BI168" s="151">
        <v>5080.93</v>
      </c>
      <c r="BJ168" s="143" t="s">
        <v>102</v>
      </c>
      <c r="BK168" s="143"/>
      <c r="BL168" s="143"/>
      <c r="BM168" s="144" t="s">
        <v>3592</v>
      </c>
      <c r="BN168" s="144" t="s">
        <v>103</v>
      </c>
      <c r="BO168" s="144" t="s">
        <v>143</v>
      </c>
      <c r="BP168" s="144">
        <v>2021</v>
      </c>
      <c r="BQ168" s="203" t="s">
        <v>144</v>
      </c>
    </row>
    <row r="169" spans="1:69" ht="41.1" customHeight="1">
      <c r="A169" s="206" t="s">
        <v>86</v>
      </c>
      <c r="B169" s="206" t="s">
        <v>880</v>
      </c>
      <c r="C169" s="143">
        <v>600</v>
      </c>
      <c r="D169" s="135">
        <v>44317</v>
      </c>
      <c r="E169" s="135">
        <v>44320</v>
      </c>
      <c r="F169" s="147" t="s">
        <v>76</v>
      </c>
      <c r="G169" s="135" t="s">
        <v>76</v>
      </c>
      <c r="H169" s="147">
        <v>44322</v>
      </c>
      <c r="I169" s="147">
        <v>44322</v>
      </c>
      <c r="J169" s="147">
        <v>44333</v>
      </c>
      <c r="K169" s="135">
        <v>44410</v>
      </c>
      <c r="L169" s="135">
        <v>44383</v>
      </c>
      <c r="M169" s="135" t="s">
        <v>76</v>
      </c>
      <c r="N169" s="135">
        <v>44413</v>
      </c>
      <c r="O169" s="135">
        <v>44413</v>
      </c>
      <c r="P169" s="135">
        <v>44453</v>
      </c>
      <c r="Q169" s="135"/>
      <c r="R169" s="143"/>
      <c r="S169" s="143"/>
      <c r="T169" s="143"/>
      <c r="U169" s="143">
        <v>2</v>
      </c>
      <c r="V169" s="143">
        <f>23758+24547</f>
        <v>48305</v>
      </c>
      <c r="W169" s="143" t="str">
        <f ca="1">IF(H169="",IF(D169="","",IF(U169+V169&lt;15,"Données Nb pers ou RFR manquantes",IF(COUNTA(INDIRECT("TabRFR["&amp;YEAR(D169)&amp;"]"))&lt;&gt;COUNTA(TabRFR[Recherche RFR]),"Data RFR manquantes", IF(V169&lt;=INDEX(TabRFR[[2021]:[2025]],MATCH(BD!U169&amp;"-Très modestes",TabRFR[Recherche RFR],0),MATCH(TEXT(YEAR(BD!D169),"Standard"),TabRFR[[#Headers],[2021]:[2025]],0)),"Très Modeste",IF(V169&lt;=INDEX(TabRFR[[2021]:[2025]],MATCH(BD!U169&amp;"-modestes",TabRFR[Recherche RFR],0),MATCH(TEXT(YEAR(BD!D169),"Standard"),TabRFR[[#Headers],[2021]:[2025]],0)),"Modeste",IF(V169&lt;=INDEX(TabRFR[[2021]:[2025]],MATCH(BD!U169&amp;"-Intermédiaire",TabRFR[Recherche RFR],0),MATCH(TEXT(YEAR(BD!D169),"Standard"),TabRFR[[#Headers],[2021]:[2025]],0)),"Intermédiaire","Supérieur")))))),IF(D169="","",IF(U169+V169&lt;15,"Données Nb pers ou RFR manquantes",IF(COUNTA(INDIRECT("TabRFR["&amp;YEAR(H169)&amp;"]"))&lt;&gt;COUNTA(TabRFR[Recherche RFR]),"Data RFR manquantes", IF(V169&lt;=INDEX(TabRFR[[2021]:[2025]],MATCH(BD!U169&amp;"-Très modestes",TabRFR[Recherche RFR],0),MATCH(TEXT(YEAR(BD!H169),"Standard"),TabRFR[[#Headers],[2021]:[2025]],0)),"Très Modeste",IF(V169&lt;=INDEX(TabRFR[[2021]:[2025]],MATCH(BD!U169&amp;"-modestes",TabRFR[Recherche RFR],0),MATCH(TEXT(YEAR(BD!H169),"Standard"),TabRFR[[#Headers],[2021]:[2025]],0)),"Modeste",IF(V169&lt;=INDEX(TabRFR[[2021]:[2025]],MATCH(BD!U169&amp;"-Intermédiaire",TabRFR[Recherche RFR],0),MATCH(TEXT(YEAR(BD!H169),"Standard"),TabRFR[[#Headers],[2021]:[2025]],0)),"Intermédiaire","Supérieur")))))))</f>
        <v>Supérieur</v>
      </c>
      <c r="X169" s="143"/>
      <c r="Y169" s="143" t="s">
        <v>881</v>
      </c>
      <c r="Z169" s="143">
        <v>38210</v>
      </c>
      <c r="AA169" s="143" t="s">
        <v>202</v>
      </c>
      <c r="AB169" s="148"/>
      <c r="AC169" s="149"/>
      <c r="AD169" s="143" t="s">
        <v>91</v>
      </c>
      <c r="AE169" s="143" t="s">
        <v>76</v>
      </c>
      <c r="AF169" s="143" t="s">
        <v>76</v>
      </c>
      <c r="AG169" s="143" t="s">
        <v>76</v>
      </c>
      <c r="AH169" s="143" t="s">
        <v>76</v>
      </c>
      <c r="AI169" s="143" t="s">
        <v>169</v>
      </c>
      <c r="AJ169" s="143" t="s">
        <v>119</v>
      </c>
      <c r="AK169" s="143" t="s">
        <v>170</v>
      </c>
      <c r="AL169" s="149" t="s">
        <v>171</v>
      </c>
      <c r="AM169" s="148">
        <v>476355605</v>
      </c>
      <c r="AN169" s="143" t="s">
        <v>76</v>
      </c>
      <c r="AO169" s="150" t="s">
        <v>102</v>
      </c>
      <c r="AP169" s="147">
        <v>44495</v>
      </c>
      <c r="AQ169" s="135" t="s">
        <v>3496</v>
      </c>
      <c r="AR169" s="143">
        <v>1996</v>
      </c>
      <c r="AS169" s="143" t="s">
        <v>3413</v>
      </c>
      <c r="AT169" s="135" t="s">
        <v>3446</v>
      </c>
      <c r="AU169" s="143" t="s">
        <v>173</v>
      </c>
      <c r="AV169" s="143" t="s">
        <v>882</v>
      </c>
      <c r="AW169" s="143">
        <v>14</v>
      </c>
      <c r="AX169" s="143">
        <v>5</v>
      </c>
      <c r="AY169" s="143">
        <v>81</v>
      </c>
      <c r="AZ169" s="143">
        <v>0.06</v>
      </c>
      <c r="BA169" s="143" t="s">
        <v>101</v>
      </c>
      <c r="BB169" s="143"/>
      <c r="BC169" s="143">
        <f>81.06+75.64+41.4+2060+178+89.6+95.6+33.54</f>
        <v>2654.8399999999997</v>
      </c>
      <c r="BD169" s="143"/>
      <c r="BE169" s="143">
        <v>525</v>
      </c>
      <c r="BF169" s="143">
        <f t="shared" si="6"/>
        <v>3179.8399999999997</v>
      </c>
      <c r="BG169" s="151">
        <f t="shared" si="7"/>
        <v>174.8912</v>
      </c>
      <c r="BH169" s="151">
        <f t="shared" si="8"/>
        <v>3354.7311999999997</v>
      </c>
      <c r="BI169" s="151">
        <v>3354.73</v>
      </c>
      <c r="BJ169" s="143" t="s">
        <v>102</v>
      </c>
      <c r="BK169" s="143"/>
      <c r="BL169" s="143"/>
      <c r="BM169" s="144" t="s">
        <v>3592</v>
      </c>
      <c r="BN169" s="144" t="s">
        <v>103</v>
      </c>
      <c r="BO169" s="144" t="s">
        <v>143</v>
      </c>
      <c r="BP169" s="144">
        <v>2021</v>
      </c>
      <c r="BQ169" s="203" t="s">
        <v>144</v>
      </c>
    </row>
    <row r="170" spans="1:69" ht="41.1" customHeight="1">
      <c r="A170" s="207" t="s">
        <v>86</v>
      </c>
      <c r="B170" s="207" t="s">
        <v>883</v>
      </c>
      <c r="C170" s="146" t="s">
        <v>76</v>
      </c>
      <c r="D170" s="135">
        <v>44320</v>
      </c>
      <c r="E170" s="135">
        <v>44320</v>
      </c>
      <c r="F170" s="147" t="s">
        <v>76</v>
      </c>
      <c r="G170" s="135" t="s">
        <v>76</v>
      </c>
      <c r="H170" s="147" t="s">
        <v>76</v>
      </c>
      <c r="I170" s="147" t="s">
        <v>76</v>
      </c>
      <c r="J170" s="147" t="s">
        <v>76</v>
      </c>
      <c r="K170" s="135" t="s">
        <v>76</v>
      </c>
      <c r="L170" s="135" t="s">
        <v>76</v>
      </c>
      <c r="M170" s="135" t="s">
        <v>76</v>
      </c>
      <c r="N170" s="135" t="s">
        <v>76</v>
      </c>
      <c r="O170" s="135" t="s">
        <v>76</v>
      </c>
      <c r="P170" s="135" t="s">
        <v>76</v>
      </c>
      <c r="Q170" s="135">
        <v>44322</v>
      </c>
      <c r="R170" s="143" t="s">
        <v>884</v>
      </c>
      <c r="S170" s="143"/>
      <c r="T170" s="143"/>
      <c r="U170" s="143">
        <v>2</v>
      </c>
      <c r="V170" s="143">
        <v>24670</v>
      </c>
      <c r="W170" s="143" t="str">
        <f ca="1">IF(H170="",IF(D170="","",IF(U170+V170&lt;15,"Données Nb pers ou RFR manquantes",IF(COUNTA(INDIRECT("TabRFR["&amp;YEAR(D170)&amp;"]"))&lt;&gt;COUNTA(TabRFR[Recherche RFR]),"Data RFR manquantes", IF(V170&lt;=INDEX(TabRFR[[2021]:[2025]],MATCH(BD!U170&amp;"-Très modestes",TabRFR[Recherche RFR],0),MATCH(TEXT(YEAR(BD!D170),"Standard"),TabRFR[[#Headers],[2021]:[2025]],0)),"Très Modeste",IF(V170&lt;=INDEX(TabRFR[[2021]:[2025]],MATCH(BD!U170&amp;"-modestes",TabRFR[Recherche RFR],0),MATCH(TEXT(YEAR(BD!D170),"Standard"),TabRFR[[#Headers],[2021]:[2025]],0)),"Modeste",IF(V170&lt;=INDEX(TabRFR[[2021]:[2025]],MATCH(BD!U170&amp;"-Intermédiaire",TabRFR[Recherche RFR],0),MATCH(TEXT(YEAR(BD!D170),"Standard"),TabRFR[[#Headers],[2021]:[2025]],0)),"Intermédiaire","Supérieur")))))),IF(D170="","",IF(U170+V170&lt;15,"Données Nb pers ou RFR manquantes",IF(COUNTA(INDIRECT("TabRFR["&amp;YEAR(H170)&amp;"]"))&lt;&gt;COUNTA(TabRFR[Recherche RFR]),"Data RFR manquantes", IF(V170&lt;=INDEX(TabRFR[[2021]:[2025]],MATCH(BD!U170&amp;"-Très modestes",TabRFR[Recherche RFR],0),MATCH(TEXT(YEAR(BD!H170),"Standard"),TabRFR[[#Headers],[2021]:[2025]],0)),"Très Modeste",IF(V170&lt;=INDEX(TabRFR[[2021]:[2025]],MATCH(BD!U170&amp;"-modestes",TabRFR[Recherche RFR],0),MATCH(TEXT(YEAR(BD!H170),"Standard"),TabRFR[[#Headers],[2021]:[2025]],0)),"Modeste",IF(V170&lt;=INDEX(TabRFR[[2021]:[2025]],MATCH(BD!U170&amp;"-Intermédiaire",TabRFR[Recherche RFR],0),MATCH(TEXT(YEAR(BD!H170),"Standard"),TabRFR[[#Headers],[2021]:[2025]],0)),"Intermédiaire","Supérieur")))))))</f>
        <v>Data RFR manquantes</v>
      </c>
      <c r="X170" s="143"/>
      <c r="Y170" s="143" t="s">
        <v>885</v>
      </c>
      <c r="Z170" s="143">
        <v>38850</v>
      </c>
      <c r="AA170" s="143" t="s">
        <v>168</v>
      </c>
      <c r="AB170" s="148"/>
      <c r="AC170" s="149"/>
      <c r="AD170" s="143" t="s">
        <v>91</v>
      </c>
      <c r="AE170" s="143" t="s">
        <v>76</v>
      </c>
      <c r="AF170" s="143" t="s">
        <v>76</v>
      </c>
      <c r="AG170" s="143" t="s">
        <v>76</v>
      </c>
      <c r="AH170" s="143" t="s">
        <v>76</v>
      </c>
      <c r="AI170" s="143" t="s">
        <v>886</v>
      </c>
      <c r="AJ170" s="143" t="s">
        <v>887</v>
      </c>
      <c r="AK170" s="143" t="s">
        <v>888</v>
      </c>
      <c r="AL170" s="150" t="s">
        <v>889</v>
      </c>
      <c r="AM170" s="148">
        <v>476042368</v>
      </c>
      <c r="AN170" s="143" t="s">
        <v>76</v>
      </c>
      <c r="AO170" s="150" t="s">
        <v>102</v>
      </c>
      <c r="AP170" s="147">
        <v>44524</v>
      </c>
      <c r="AQ170" s="143"/>
      <c r="AR170" s="143"/>
      <c r="AS170" s="143" t="s">
        <v>3413</v>
      </c>
      <c r="AT170" s="135" t="s">
        <v>3446</v>
      </c>
      <c r="AU170" s="143" t="s">
        <v>890</v>
      </c>
      <c r="AV170" s="143" t="s">
        <v>891</v>
      </c>
      <c r="AW170" s="143">
        <v>30</v>
      </c>
      <c r="AX170" s="143">
        <v>8</v>
      </c>
      <c r="AY170" s="143">
        <v>78</v>
      </c>
      <c r="AZ170" s="143">
        <v>0.1</v>
      </c>
      <c r="BA170" s="143" t="s">
        <v>101</v>
      </c>
      <c r="BB170" s="143"/>
      <c r="BC170" s="143">
        <f>57.9+20.95+29.9+41.9+72.9+56+50.9+199.5+19.3+45.9+1290+72+19.95+51.7+100</f>
        <v>2128.8000000000002</v>
      </c>
      <c r="BD170" s="143"/>
      <c r="BE170" s="143">
        <f>940+144</f>
        <v>1084</v>
      </c>
      <c r="BF170" s="143">
        <f t="shared" si="6"/>
        <v>3212.8</v>
      </c>
      <c r="BG170" s="151">
        <f t="shared" si="7"/>
        <v>176.70400000000001</v>
      </c>
      <c r="BH170" s="151">
        <f t="shared" si="8"/>
        <v>3389.5040000000004</v>
      </c>
      <c r="BI170" s="151">
        <v>3212.8</v>
      </c>
      <c r="BJ170" s="143" t="s">
        <v>115</v>
      </c>
      <c r="BK170" s="143"/>
      <c r="BL170" s="143"/>
      <c r="BM170" s="144">
        <v>0</v>
      </c>
      <c r="BN170" s="144" t="s">
        <v>103</v>
      </c>
      <c r="BO170" s="144" t="s">
        <v>103</v>
      </c>
      <c r="BP170" s="203" t="s">
        <v>3582</v>
      </c>
      <c r="BQ170" s="203" t="s">
        <v>3273</v>
      </c>
    </row>
    <row r="171" spans="1:69" ht="41.1" customHeight="1">
      <c r="A171" s="206" t="s">
        <v>86</v>
      </c>
      <c r="B171" s="206" t="s">
        <v>892</v>
      </c>
      <c r="C171" s="143">
        <v>1000</v>
      </c>
      <c r="D171" s="135">
        <v>44320</v>
      </c>
      <c r="E171" s="135">
        <v>44320</v>
      </c>
      <c r="F171" s="147" t="s">
        <v>76</v>
      </c>
      <c r="G171" s="135" t="s">
        <v>76</v>
      </c>
      <c r="H171" s="147">
        <v>44322</v>
      </c>
      <c r="I171" s="147">
        <v>44322</v>
      </c>
      <c r="J171" s="147">
        <v>44333</v>
      </c>
      <c r="K171" s="135">
        <v>44424</v>
      </c>
      <c r="L171" s="135">
        <v>44418</v>
      </c>
      <c r="M171" s="135" t="s">
        <v>76</v>
      </c>
      <c r="N171" s="135">
        <v>44788</v>
      </c>
      <c r="O171" s="135">
        <v>44788</v>
      </c>
      <c r="P171" s="135">
        <v>44861</v>
      </c>
      <c r="Q171" s="135"/>
      <c r="R171" s="143"/>
      <c r="S171" s="143"/>
      <c r="T171" s="143"/>
      <c r="U171" s="143">
        <v>3</v>
      </c>
      <c r="V171" s="143">
        <v>28976</v>
      </c>
      <c r="W171" s="143" t="str">
        <f ca="1">IF(H171="",IF(D171="","",IF(U171+V171&lt;15,"Données Nb pers ou RFR manquantes",IF(COUNTA(INDIRECT("TabRFR["&amp;YEAR(D171)&amp;"]"))&lt;&gt;COUNTA(TabRFR[Recherche RFR]),"Data RFR manquantes", IF(V171&lt;=INDEX(TabRFR[[2021]:[2025]],MATCH(BD!U171&amp;"-Très modestes",TabRFR[Recherche RFR],0),MATCH(TEXT(YEAR(BD!D171),"Standard"),TabRFR[[#Headers],[2021]:[2025]],0)),"Très Modeste",IF(V171&lt;=INDEX(TabRFR[[2021]:[2025]],MATCH(BD!U171&amp;"-modestes",TabRFR[Recherche RFR],0),MATCH(TEXT(YEAR(BD!D171),"Standard"),TabRFR[[#Headers],[2021]:[2025]],0)),"Modeste",IF(V171&lt;=INDEX(TabRFR[[2021]:[2025]],MATCH(BD!U171&amp;"-Intermédiaire",TabRFR[Recherche RFR],0),MATCH(TEXT(YEAR(BD!D171),"Standard"),TabRFR[[#Headers],[2021]:[2025]],0)),"Intermédiaire","Supérieur")))))),IF(D171="","",IF(U171+V171&lt;15,"Données Nb pers ou RFR manquantes",IF(COUNTA(INDIRECT("TabRFR["&amp;YEAR(H171)&amp;"]"))&lt;&gt;COUNTA(TabRFR[Recherche RFR]),"Data RFR manquantes", IF(V171&lt;=INDEX(TabRFR[[2021]:[2025]],MATCH(BD!U171&amp;"-Très modestes",TabRFR[Recherche RFR],0),MATCH(TEXT(YEAR(BD!H171),"Standard"),TabRFR[[#Headers],[2021]:[2025]],0)),"Très Modeste",IF(V171&lt;=INDEX(TabRFR[[2021]:[2025]],MATCH(BD!U171&amp;"-modestes",TabRFR[Recherche RFR],0),MATCH(TEXT(YEAR(BD!H171),"Standard"),TabRFR[[#Headers],[2021]:[2025]],0)),"Modeste",IF(V171&lt;=INDEX(TabRFR[[2021]:[2025]],MATCH(BD!U171&amp;"-Intermédiaire",TabRFR[Recherche RFR],0),MATCH(TEXT(YEAR(BD!H171),"Standard"),TabRFR[[#Headers],[2021]:[2025]],0)),"Intermédiaire","Supérieur")))))))</f>
        <v>Modeste</v>
      </c>
      <c r="X171" s="143"/>
      <c r="Y171" s="143" t="s">
        <v>893</v>
      </c>
      <c r="Z171" s="143">
        <v>38850</v>
      </c>
      <c r="AA171" s="143" t="s">
        <v>168</v>
      </c>
      <c r="AB171" s="148"/>
      <c r="AC171" s="149"/>
      <c r="AD171" s="143" t="s">
        <v>91</v>
      </c>
      <c r="AE171" s="143" t="s">
        <v>76</v>
      </c>
      <c r="AF171" s="143" t="s">
        <v>76</v>
      </c>
      <c r="AG171" s="143" t="s">
        <v>76</v>
      </c>
      <c r="AH171" s="143" t="s">
        <v>76</v>
      </c>
      <c r="AI171" s="135" t="s">
        <v>285</v>
      </c>
      <c r="AJ171" s="143" t="s">
        <v>108</v>
      </c>
      <c r="AK171" s="143" t="s">
        <v>286</v>
      </c>
      <c r="AL171" s="150" t="s">
        <v>287</v>
      </c>
      <c r="AM171" s="148">
        <v>476069938</v>
      </c>
      <c r="AN171" s="143" t="s">
        <v>76</v>
      </c>
      <c r="AO171" s="150" t="s">
        <v>102</v>
      </c>
      <c r="AP171" s="147">
        <v>44457</v>
      </c>
      <c r="AQ171" s="135" t="s">
        <v>3496</v>
      </c>
      <c r="AR171" s="143">
        <v>2000</v>
      </c>
      <c r="AS171" s="143" t="s">
        <v>3413</v>
      </c>
      <c r="AT171" s="135" t="s">
        <v>3446</v>
      </c>
      <c r="AU171" s="143" t="s">
        <v>532</v>
      </c>
      <c r="AV171" s="143" t="s">
        <v>894</v>
      </c>
      <c r="AW171" s="143">
        <v>26</v>
      </c>
      <c r="AX171" s="143">
        <v>9</v>
      </c>
      <c r="AY171" s="143">
        <v>79.5</v>
      </c>
      <c r="AZ171" s="143">
        <v>0.12</v>
      </c>
      <c r="BA171" s="143" t="s">
        <v>101</v>
      </c>
      <c r="BB171" s="143"/>
      <c r="BC171" s="143">
        <f>2620+510+4483+1690</f>
        <v>9303</v>
      </c>
      <c r="BD171" s="143"/>
      <c r="BE171" s="143">
        <f>490+350+450+390+590</f>
        <v>2270</v>
      </c>
      <c r="BF171" s="143">
        <f t="shared" si="6"/>
        <v>11573</v>
      </c>
      <c r="BG171" s="143">
        <f t="shared" si="7"/>
        <v>636.51499999999999</v>
      </c>
      <c r="BH171" s="143">
        <f t="shared" si="8"/>
        <v>12209.514999999999</v>
      </c>
      <c r="BI171" s="151">
        <v>12209.52</v>
      </c>
      <c r="BJ171" s="143" t="s">
        <v>102</v>
      </c>
      <c r="BK171" s="143"/>
      <c r="BL171" s="143"/>
      <c r="BM171" s="144" t="s">
        <v>3592</v>
      </c>
      <c r="BN171" s="144" t="s">
        <v>103</v>
      </c>
      <c r="BO171" s="135" t="s">
        <v>155</v>
      </c>
      <c r="BP171" s="144">
        <v>2021</v>
      </c>
      <c r="BQ171" s="203" t="s">
        <v>144</v>
      </c>
    </row>
    <row r="172" spans="1:69" ht="41.1" customHeight="1">
      <c r="A172" s="206" t="s">
        <v>86</v>
      </c>
      <c r="B172" s="206" t="s">
        <v>895</v>
      </c>
      <c r="C172" s="143">
        <v>600</v>
      </c>
      <c r="D172" s="135">
        <v>44320</v>
      </c>
      <c r="E172" s="135">
        <v>44320</v>
      </c>
      <c r="F172" s="147">
        <v>44322</v>
      </c>
      <c r="G172" s="135" t="s">
        <v>896</v>
      </c>
      <c r="H172" s="147">
        <v>44323</v>
      </c>
      <c r="I172" s="147">
        <v>44323</v>
      </c>
      <c r="J172" s="147">
        <v>44328</v>
      </c>
      <c r="K172" s="135">
        <v>44473</v>
      </c>
      <c r="L172" s="135">
        <v>44454</v>
      </c>
      <c r="M172" s="135" t="s">
        <v>76</v>
      </c>
      <c r="N172" s="135">
        <v>44476</v>
      </c>
      <c r="O172" s="135">
        <v>44476</v>
      </c>
      <c r="P172" s="135">
        <v>44481</v>
      </c>
      <c r="Q172" s="135"/>
      <c r="R172" s="143"/>
      <c r="S172" s="143"/>
      <c r="T172" s="143"/>
      <c r="U172" s="143">
        <v>4</v>
      </c>
      <c r="V172" s="143">
        <v>54189</v>
      </c>
      <c r="W172" s="143" t="str">
        <f ca="1">IF(H172="",IF(D172="","",IF(U172+V172&lt;15,"Données Nb pers ou RFR manquantes",IF(COUNTA(INDIRECT("TabRFR["&amp;YEAR(D172)&amp;"]"))&lt;&gt;COUNTA(TabRFR[Recherche RFR]),"Data RFR manquantes", IF(V172&lt;=INDEX(TabRFR[[2021]:[2025]],MATCH(BD!U172&amp;"-Très modestes",TabRFR[Recherche RFR],0),MATCH(TEXT(YEAR(BD!D172),"Standard"),TabRFR[[#Headers],[2021]:[2025]],0)),"Très Modeste",IF(V172&lt;=INDEX(TabRFR[[2021]:[2025]],MATCH(BD!U172&amp;"-modestes",TabRFR[Recherche RFR],0),MATCH(TEXT(YEAR(BD!D172),"Standard"),TabRFR[[#Headers],[2021]:[2025]],0)),"Modeste",IF(V172&lt;=INDEX(TabRFR[[2021]:[2025]],MATCH(BD!U172&amp;"-Intermédiaire",TabRFR[Recherche RFR],0),MATCH(TEXT(YEAR(BD!D172),"Standard"),TabRFR[[#Headers],[2021]:[2025]],0)),"Intermédiaire","Supérieur")))))),IF(D172="","",IF(U172+V172&lt;15,"Données Nb pers ou RFR manquantes",IF(COUNTA(INDIRECT("TabRFR["&amp;YEAR(H172)&amp;"]"))&lt;&gt;COUNTA(TabRFR[Recherche RFR]),"Data RFR manquantes", IF(V172&lt;=INDEX(TabRFR[[2021]:[2025]],MATCH(BD!U172&amp;"-Très modestes",TabRFR[Recherche RFR],0),MATCH(TEXT(YEAR(BD!H172),"Standard"),TabRFR[[#Headers],[2021]:[2025]],0)),"Très Modeste",IF(V172&lt;=INDEX(TabRFR[[2021]:[2025]],MATCH(BD!U172&amp;"-modestes",TabRFR[Recherche RFR],0),MATCH(TEXT(YEAR(BD!H172),"Standard"),TabRFR[[#Headers],[2021]:[2025]],0)),"Modeste",IF(V172&lt;=INDEX(TabRFR[[2021]:[2025]],MATCH(BD!U172&amp;"-Intermédiaire",TabRFR[Recherche RFR],0),MATCH(TEXT(YEAR(BD!H172),"Standard"),TabRFR[[#Headers],[2021]:[2025]],0)),"Intermédiaire","Supérieur")))))))</f>
        <v>Intermédiaire</v>
      </c>
      <c r="X172" s="143"/>
      <c r="Y172" s="143" t="s">
        <v>897</v>
      </c>
      <c r="Z172" s="143">
        <v>38140</v>
      </c>
      <c r="AA172" s="143" t="s">
        <v>200</v>
      </c>
      <c r="AB172" s="148"/>
      <c r="AC172" s="149"/>
      <c r="AD172" s="143" t="s">
        <v>91</v>
      </c>
      <c r="AE172" s="143" t="s">
        <v>76</v>
      </c>
      <c r="AF172" s="143" t="s">
        <v>76</v>
      </c>
      <c r="AG172" s="143" t="s">
        <v>76</v>
      </c>
      <c r="AH172" s="143" t="s">
        <v>76</v>
      </c>
      <c r="AI172" s="135" t="s">
        <v>872</v>
      </c>
      <c r="AJ172" s="143" t="s">
        <v>873</v>
      </c>
      <c r="AK172" s="143" t="s">
        <v>874</v>
      </c>
      <c r="AL172" s="150" t="s">
        <v>875</v>
      </c>
      <c r="AM172" s="148">
        <v>676354364</v>
      </c>
      <c r="AN172" s="143" t="s">
        <v>76</v>
      </c>
      <c r="AO172" s="150" t="s">
        <v>898</v>
      </c>
      <c r="AP172" s="147">
        <v>44495</v>
      </c>
      <c r="AQ172" s="135" t="s">
        <v>3496</v>
      </c>
      <c r="AR172" s="153">
        <v>1990</v>
      </c>
      <c r="AS172" s="143" t="s">
        <v>3413</v>
      </c>
      <c r="AT172" s="135" t="s">
        <v>3446</v>
      </c>
      <c r="AU172" s="143" t="s">
        <v>899</v>
      </c>
      <c r="AV172" s="143" t="s">
        <v>900</v>
      </c>
      <c r="AW172" s="143">
        <v>28</v>
      </c>
      <c r="AX172" s="143">
        <v>10</v>
      </c>
      <c r="AY172" s="143">
        <v>81</v>
      </c>
      <c r="AZ172" s="143">
        <v>0.05</v>
      </c>
      <c r="BA172" s="143" t="s">
        <v>126</v>
      </c>
      <c r="BB172" s="143"/>
      <c r="BC172" s="143">
        <f>4240+139+206+1340.54+206.07+249.9+45+258.16</f>
        <v>6684.6699999999992</v>
      </c>
      <c r="BD172" s="143"/>
      <c r="BE172" s="143">
        <v>635</v>
      </c>
      <c r="BF172" s="143">
        <f t="shared" si="6"/>
        <v>7319.6699999999992</v>
      </c>
      <c r="BG172" s="151">
        <f t="shared" si="7"/>
        <v>402.58184999999997</v>
      </c>
      <c r="BH172" s="151">
        <f t="shared" si="8"/>
        <v>7722.2518499999987</v>
      </c>
      <c r="BI172" s="151">
        <v>7722.26</v>
      </c>
      <c r="BJ172" s="143" t="s">
        <v>102</v>
      </c>
      <c r="BK172" s="143"/>
      <c r="BL172" s="143"/>
      <c r="BM172" s="144" t="s">
        <v>3592</v>
      </c>
      <c r="BN172" s="144" t="s">
        <v>103</v>
      </c>
      <c r="BO172" s="144" t="s">
        <v>143</v>
      </c>
      <c r="BP172" s="144">
        <v>2021</v>
      </c>
      <c r="BQ172" s="203" t="s">
        <v>144</v>
      </c>
    </row>
    <row r="173" spans="1:69" ht="41.1" customHeight="1">
      <c r="A173" s="206" t="s">
        <v>86</v>
      </c>
      <c r="B173" s="206" t="s">
        <v>901</v>
      </c>
      <c r="C173" s="143">
        <v>600</v>
      </c>
      <c r="D173" s="135">
        <v>44321</v>
      </c>
      <c r="E173" s="135">
        <v>44322</v>
      </c>
      <c r="F173" s="147" t="s">
        <v>76</v>
      </c>
      <c r="G173" s="135" t="s">
        <v>76</v>
      </c>
      <c r="H173" s="147">
        <v>44322</v>
      </c>
      <c r="I173" s="147">
        <v>44322</v>
      </c>
      <c r="J173" s="147">
        <v>44333</v>
      </c>
      <c r="K173" s="135">
        <v>44398</v>
      </c>
      <c r="L173" s="135">
        <v>44383</v>
      </c>
      <c r="M173" s="135" t="s">
        <v>76</v>
      </c>
      <c r="N173" s="135">
        <v>44413</v>
      </c>
      <c r="O173" s="135">
        <v>44413</v>
      </c>
      <c r="P173" s="135">
        <v>44453</v>
      </c>
      <c r="Q173" s="135"/>
      <c r="R173" s="143"/>
      <c r="S173" s="143"/>
      <c r="T173" s="143"/>
      <c r="U173" s="143">
        <v>2</v>
      </c>
      <c r="V173" s="143">
        <v>34349</v>
      </c>
      <c r="W173" s="143" t="str">
        <f ca="1">IF(H173="",IF(D173="","",IF(U173+V173&lt;15,"Données Nb pers ou RFR manquantes",IF(COUNTA(INDIRECT("TabRFR["&amp;YEAR(D173)&amp;"]"))&lt;&gt;COUNTA(TabRFR[Recherche RFR]),"Data RFR manquantes", IF(V173&lt;=INDEX(TabRFR[[2021]:[2025]],MATCH(BD!U173&amp;"-Très modestes",TabRFR[Recherche RFR],0),MATCH(TEXT(YEAR(BD!D173),"Standard"),TabRFR[[#Headers],[2021]:[2025]],0)),"Très Modeste",IF(V173&lt;=INDEX(TabRFR[[2021]:[2025]],MATCH(BD!U173&amp;"-modestes",TabRFR[Recherche RFR],0),MATCH(TEXT(YEAR(BD!D173),"Standard"),TabRFR[[#Headers],[2021]:[2025]],0)),"Modeste",IF(V173&lt;=INDEX(TabRFR[[2021]:[2025]],MATCH(BD!U173&amp;"-Intermédiaire",TabRFR[Recherche RFR],0),MATCH(TEXT(YEAR(BD!D173),"Standard"),TabRFR[[#Headers],[2021]:[2025]],0)),"Intermédiaire","Supérieur")))))),IF(D173="","",IF(U173+V173&lt;15,"Données Nb pers ou RFR manquantes",IF(COUNTA(INDIRECT("TabRFR["&amp;YEAR(H173)&amp;"]"))&lt;&gt;COUNTA(TabRFR[Recherche RFR]),"Data RFR manquantes", IF(V173&lt;=INDEX(TabRFR[[2021]:[2025]],MATCH(BD!U173&amp;"-Très modestes",TabRFR[Recherche RFR],0),MATCH(TEXT(YEAR(BD!H173),"Standard"),TabRFR[[#Headers],[2021]:[2025]],0)),"Très Modeste",IF(V173&lt;=INDEX(TabRFR[[2021]:[2025]],MATCH(BD!U173&amp;"-modestes",TabRFR[Recherche RFR],0),MATCH(TEXT(YEAR(BD!H173),"Standard"),TabRFR[[#Headers],[2021]:[2025]],0)),"Modeste",IF(V173&lt;=INDEX(TabRFR[[2021]:[2025]],MATCH(BD!U173&amp;"-Intermédiaire",TabRFR[Recherche RFR],0),MATCH(TEXT(YEAR(BD!H173),"Standard"),TabRFR[[#Headers],[2021]:[2025]],0)),"Intermédiaire","Supérieur")))))))</f>
        <v>Intermédiaire</v>
      </c>
      <c r="X173" s="143"/>
      <c r="Y173" s="143" t="s">
        <v>902</v>
      </c>
      <c r="Z173" s="143">
        <v>38850</v>
      </c>
      <c r="AA173" s="143" t="s">
        <v>193</v>
      </c>
      <c r="AB173" s="148"/>
      <c r="AC173" s="149"/>
      <c r="AD173" s="143" t="s">
        <v>91</v>
      </c>
      <c r="AE173" s="143" t="s">
        <v>76</v>
      </c>
      <c r="AF173" s="143" t="s">
        <v>76</v>
      </c>
      <c r="AG173" s="143" t="s">
        <v>76</v>
      </c>
      <c r="AH173" s="143" t="s">
        <v>76</v>
      </c>
      <c r="AI173" s="135" t="s">
        <v>2703</v>
      </c>
      <c r="AJ173" s="143" t="s">
        <v>266</v>
      </c>
      <c r="AK173" s="143" t="s">
        <v>317</v>
      </c>
      <c r="AL173" s="150" t="s">
        <v>318</v>
      </c>
      <c r="AM173" s="148">
        <v>476500550</v>
      </c>
      <c r="AN173" s="143" t="s">
        <v>76</v>
      </c>
      <c r="AO173" s="150" t="s">
        <v>102</v>
      </c>
      <c r="AP173" s="147">
        <v>44375</v>
      </c>
      <c r="AQ173" s="135" t="s">
        <v>3496</v>
      </c>
      <c r="AR173" s="143">
        <v>1990</v>
      </c>
      <c r="AS173" s="143" t="s">
        <v>3413</v>
      </c>
      <c r="AT173" s="135" t="s">
        <v>3446</v>
      </c>
      <c r="AU173" s="143" t="s">
        <v>319</v>
      </c>
      <c r="AV173" s="143" t="s">
        <v>446</v>
      </c>
      <c r="AW173" s="143">
        <v>10</v>
      </c>
      <c r="AX173" s="143">
        <v>5</v>
      </c>
      <c r="AY173" s="143">
        <v>80</v>
      </c>
      <c r="AZ173" s="143">
        <v>0.08</v>
      </c>
      <c r="BA173" s="143" t="s">
        <v>101</v>
      </c>
      <c r="BB173" s="143"/>
      <c r="BC173" s="143">
        <f>313.28+41.09+197.82+2500+108.44+88.24+536.26</f>
        <v>3785.13</v>
      </c>
      <c r="BD173" s="143"/>
      <c r="BE173" s="143">
        <v>900</v>
      </c>
      <c r="BF173" s="143">
        <f t="shared" si="6"/>
        <v>4685.13</v>
      </c>
      <c r="BG173" s="151">
        <f t="shared" si="7"/>
        <v>257.68215000000004</v>
      </c>
      <c r="BH173" s="151">
        <f t="shared" si="8"/>
        <v>4942.8121499999997</v>
      </c>
      <c r="BI173" s="151">
        <v>4942.8100000000004</v>
      </c>
      <c r="BJ173" s="143" t="s">
        <v>115</v>
      </c>
      <c r="BK173" s="143"/>
      <c r="BL173" s="143"/>
      <c r="BM173" s="144" t="s">
        <v>3592</v>
      </c>
      <c r="BN173" s="144" t="s">
        <v>103</v>
      </c>
      <c r="BO173" s="144" t="s">
        <v>143</v>
      </c>
      <c r="BP173" s="144">
        <v>2021</v>
      </c>
      <c r="BQ173" s="203" t="s">
        <v>3274</v>
      </c>
    </row>
    <row r="174" spans="1:69" ht="41.1" customHeight="1">
      <c r="A174" s="206" t="s">
        <v>86</v>
      </c>
      <c r="B174" s="206" t="s">
        <v>903</v>
      </c>
      <c r="C174" s="143">
        <v>1000</v>
      </c>
      <c r="D174" s="135">
        <v>44322</v>
      </c>
      <c r="E174" s="135">
        <v>44323</v>
      </c>
      <c r="F174" s="147" t="s">
        <v>76</v>
      </c>
      <c r="G174" s="135" t="s">
        <v>76</v>
      </c>
      <c r="H174" s="147">
        <v>44323</v>
      </c>
      <c r="I174" s="147">
        <v>44323</v>
      </c>
      <c r="J174" s="147">
        <v>44328</v>
      </c>
      <c r="K174" s="135">
        <v>44438</v>
      </c>
      <c r="L174" s="135">
        <v>44400</v>
      </c>
      <c r="M174" s="135" t="s">
        <v>76</v>
      </c>
      <c r="N174" s="135">
        <v>44439</v>
      </c>
      <c r="O174" s="135">
        <v>44439</v>
      </c>
      <c r="P174" s="135">
        <v>44455</v>
      </c>
      <c r="Q174" s="135"/>
      <c r="R174" s="143"/>
      <c r="S174" s="143"/>
      <c r="T174" s="143"/>
      <c r="U174" s="143">
        <v>4</v>
      </c>
      <c r="V174" s="143">
        <f>25586+1007</f>
        <v>26593</v>
      </c>
      <c r="W174" s="143" t="str">
        <f ca="1">IF(H174="",IF(D174="","",IF(U174+V174&lt;15,"Données Nb pers ou RFR manquantes",IF(COUNTA(INDIRECT("TabRFR["&amp;YEAR(D174)&amp;"]"))&lt;&gt;COUNTA(TabRFR[Recherche RFR]),"Data RFR manquantes", IF(V174&lt;=INDEX(TabRFR[[2021]:[2025]],MATCH(BD!U174&amp;"-Très modestes",TabRFR[Recherche RFR],0),MATCH(TEXT(YEAR(BD!D174),"Standard"),TabRFR[[#Headers],[2021]:[2025]],0)),"Très Modeste",IF(V174&lt;=INDEX(TabRFR[[2021]:[2025]],MATCH(BD!U174&amp;"-modestes",TabRFR[Recherche RFR],0),MATCH(TEXT(YEAR(BD!D174),"Standard"),TabRFR[[#Headers],[2021]:[2025]],0)),"Modeste",IF(V174&lt;=INDEX(TabRFR[[2021]:[2025]],MATCH(BD!U174&amp;"-Intermédiaire",TabRFR[Recherche RFR],0),MATCH(TEXT(YEAR(BD!D174),"Standard"),TabRFR[[#Headers],[2021]:[2025]],0)),"Intermédiaire","Supérieur")))))),IF(D174="","",IF(U174+V174&lt;15,"Données Nb pers ou RFR manquantes",IF(COUNTA(INDIRECT("TabRFR["&amp;YEAR(H174)&amp;"]"))&lt;&gt;COUNTA(TabRFR[Recherche RFR]),"Data RFR manquantes", IF(V174&lt;=INDEX(TabRFR[[2021]:[2025]],MATCH(BD!U174&amp;"-Très modestes",TabRFR[Recherche RFR],0),MATCH(TEXT(YEAR(BD!H174),"Standard"),TabRFR[[#Headers],[2021]:[2025]],0)),"Très Modeste",IF(V174&lt;=INDEX(TabRFR[[2021]:[2025]],MATCH(BD!U174&amp;"-modestes",TabRFR[Recherche RFR],0),MATCH(TEXT(YEAR(BD!H174),"Standard"),TabRFR[[#Headers],[2021]:[2025]],0)),"Modeste",IF(V174&lt;=INDEX(TabRFR[[2021]:[2025]],MATCH(BD!U174&amp;"-Intermédiaire",TabRFR[Recherche RFR],0),MATCH(TEXT(YEAR(BD!H174),"Standard"),TabRFR[[#Headers],[2021]:[2025]],0)),"Intermédiaire","Supérieur")))))))</f>
        <v>Très Modeste</v>
      </c>
      <c r="X174" s="143"/>
      <c r="Y174" s="143" t="s">
        <v>904</v>
      </c>
      <c r="Z174" s="143">
        <v>38210</v>
      </c>
      <c r="AA174" s="143" t="s">
        <v>130</v>
      </c>
      <c r="AB174" s="148"/>
      <c r="AC174" s="149"/>
      <c r="AD174" s="143" t="s">
        <v>91</v>
      </c>
      <c r="AE174" s="143" t="s">
        <v>76</v>
      </c>
      <c r="AF174" s="143" t="s">
        <v>76</v>
      </c>
      <c r="AG174" s="143" t="s">
        <v>76</v>
      </c>
      <c r="AH174" s="143" t="s">
        <v>76</v>
      </c>
      <c r="AI174" s="143" t="s">
        <v>905</v>
      </c>
      <c r="AJ174" s="143" t="s">
        <v>136</v>
      </c>
      <c r="AK174" s="143" t="s">
        <v>906</v>
      </c>
      <c r="AL174" s="150" t="s">
        <v>907</v>
      </c>
      <c r="AM174" s="148">
        <v>438920220</v>
      </c>
      <c r="AN174" s="143" t="s">
        <v>76</v>
      </c>
      <c r="AO174" s="150" t="s">
        <v>102</v>
      </c>
      <c r="AP174" s="147">
        <v>44668</v>
      </c>
      <c r="AQ174" s="135" t="s">
        <v>3496</v>
      </c>
      <c r="AR174" s="143">
        <v>1999</v>
      </c>
      <c r="AS174" s="143" t="s">
        <v>3413</v>
      </c>
      <c r="AT174" s="135" t="s">
        <v>3446</v>
      </c>
      <c r="AU174" s="143" t="s">
        <v>369</v>
      </c>
      <c r="AV174" s="143" t="s">
        <v>835</v>
      </c>
      <c r="AW174" s="143">
        <v>4</v>
      </c>
      <c r="AX174" s="143">
        <v>6.8</v>
      </c>
      <c r="AY174" s="143">
        <v>78</v>
      </c>
      <c r="AZ174" s="143">
        <v>0.06</v>
      </c>
      <c r="BA174" s="143" t="s">
        <v>101</v>
      </c>
      <c r="BB174" s="143"/>
      <c r="BC174" s="143">
        <f>2856+308+248+128+267</f>
        <v>3807</v>
      </c>
      <c r="BD174" s="143"/>
      <c r="BE174" s="143">
        <f>699+128+48</f>
        <v>875</v>
      </c>
      <c r="BF174" s="143">
        <f t="shared" si="6"/>
        <v>4682</v>
      </c>
      <c r="BG174" s="151">
        <f t="shared" si="7"/>
        <v>257.51</v>
      </c>
      <c r="BH174" s="151">
        <f t="shared" si="8"/>
        <v>4939.51</v>
      </c>
      <c r="BI174" s="151">
        <v>4782.43</v>
      </c>
      <c r="BJ174" s="143" t="s">
        <v>102</v>
      </c>
      <c r="BK174" s="143"/>
      <c r="BL174" s="143"/>
      <c r="BM174" s="144" t="s">
        <v>3592</v>
      </c>
      <c r="BN174" s="144" t="s">
        <v>103</v>
      </c>
      <c r="BO174" s="135" t="s">
        <v>155</v>
      </c>
      <c r="BP174" s="144">
        <v>2021</v>
      </c>
      <c r="BQ174" s="203" t="s">
        <v>144</v>
      </c>
    </row>
    <row r="175" spans="1:69" ht="41.1" customHeight="1">
      <c r="A175" s="206" t="s">
        <v>86</v>
      </c>
      <c r="B175" s="206" t="s">
        <v>908</v>
      </c>
      <c r="C175" s="143">
        <v>600</v>
      </c>
      <c r="D175" s="135">
        <v>44323</v>
      </c>
      <c r="E175" s="135">
        <v>44323</v>
      </c>
      <c r="F175" s="147" t="s">
        <v>76</v>
      </c>
      <c r="G175" s="135" t="s">
        <v>76</v>
      </c>
      <c r="H175" s="147">
        <v>44326</v>
      </c>
      <c r="I175" s="147">
        <v>44326</v>
      </c>
      <c r="J175" s="147">
        <v>44333</v>
      </c>
      <c r="K175" s="135">
        <v>44524</v>
      </c>
      <c r="L175" s="135">
        <v>44408</v>
      </c>
      <c r="M175" s="135" t="s">
        <v>76</v>
      </c>
      <c r="N175" s="135">
        <v>44525</v>
      </c>
      <c r="O175" s="135">
        <v>44525</v>
      </c>
      <c r="P175" s="135">
        <v>44539</v>
      </c>
      <c r="Q175" s="135"/>
      <c r="R175" s="143"/>
      <c r="S175" s="143"/>
      <c r="T175" s="143"/>
      <c r="U175" s="143">
        <v>1</v>
      </c>
      <c r="V175" s="143">
        <v>19840</v>
      </c>
      <c r="W175" s="143" t="str">
        <f ca="1">IF(H175="",IF(D175="","",IF(U175+V175&lt;15,"Données Nb pers ou RFR manquantes",IF(COUNTA(INDIRECT("TabRFR["&amp;YEAR(D175)&amp;"]"))&lt;&gt;COUNTA(TabRFR[Recherche RFR]),"Data RFR manquantes", IF(V175&lt;=INDEX(TabRFR[[2021]:[2025]],MATCH(BD!U175&amp;"-Très modestes",TabRFR[Recherche RFR],0),MATCH(TEXT(YEAR(BD!D175),"Standard"),TabRFR[[#Headers],[2021]:[2025]],0)),"Très Modeste",IF(V175&lt;=INDEX(TabRFR[[2021]:[2025]],MATCH(BD!U175&amp;"-modestes",TabRFR[Recherche RFR],0),MATCH(TEXT(YEAR(BD!D175),"Standard"),TabRFR[[#Headers],[2021]:[2025]],0)),"Modeste",IF(V175&lt;=INDEX(TabRFR[[2021]:[2025]],MATCH(BD!U175&amp;"-Intermédiaire",TabRFR[Recherche RFR],0),MATCH(TEXT(YEAR(BD!D175),"Standard"),TabRFR[[#Headers],[2021]:[2025]],0)),"Intermédiaire","Supérieur")))))),IF(D175="","",IF(U175+V175&lt;15,"Données Nb pers ou RFR manquantes",IF(COUNTA(INDIRECT("TabRFR["&amp;YEAR(H175)&amp;"]"))&lt;&gt;COUNTA(TabRFR[Recherche RFR]),"Data RFR manquantes", IF(V175&lt;=INDEX(TabRFR[[2021]:[2025]],MATCH(BD!U175&amp;"-Très modestes",TabRFR[Recherche RFR],0),MATCH(TEXT(YEAR(BD!H175),"Standard"),TabRFR[[#Headers],[2021]:[2025]],0)),"Très Modeste",IF(V175&lt;=INDEX(TabRFR[[2021]:[2025]],MATCH(BD!U175&amp;"-modestes",TabRFR[Recherche RFR],0),MATCH(TEXT(YEAR(BD!H175),"Standard"),TabRFR[[#Headers],[2021]:[2025]],0)),"Modeste",IF(V175&lt;=INDEX(TabRFR[[2021]:[2025]],MATCH(BD!U175&amp;"-Intermédiaire",TabRFR[Recherche RFR],0),MATCH(TEXT(YEAR(BD!H175),"Standard"),TabRFR[[#Headers],[2021]:[2025]],0)),"Intermédiaire","Supérieur")))))))</f>
        <v>Intermédiaire</v>
      </c>
      <c r="X175" s="143"/>
      <c r="Y175" s="143" t="s">
        <v>909</v>
      </c>
      <c r="Z175" s="143">
        <v>38140</v>
      </c>
      <c r="AA175" s="143" t="s">
        <v>184</v>
      </c>
      <c r="AB175" s="148"/>
      <c r="AC175" s="149"/>
      <c r="AD175" s="143" t="s">
        <v>91</v>
      </c>
      <c r="AE175" s="143" t="s">
        <v>76</v>
      </c>
      <c r="AF175" s="143" t="s">
        <v>76</v>
      </c>
      <c r="AG175" s="143" t="s">
        <v>76</v>
      </c>
      <c r="AH175" s="143" t="s">
        <v>76</v>
      </c>
      <c r="AI175" s="135" t="s">
        <v>220</v>
      </c>
      <c r="AJ175" s="143" t="s">
        <v>108</v>
      </c>
      <c r="AK175" s="143" t="s">
        <v>221</v>
      </c>
      <c r="AL175" s="150" t="s">
        <v>222</v>
      </c>
      <c r="AM175" s="148">
        <v>476323235</v>
      </c>
      <c r="AN175" s="143" t="s">
        <v>76</v>
      </c>
      <c r="AO175" s="150" t="s">
        <v>102</v>
      </c>
      <c r="AP175" s="147">
        <v>44429</v>
      </c>
      <c r="AQ175" s="135" t="s">
        <v>3496</v>
      </c>
      <c r="AR175" s="143">
        <v>1994</v>
      </c>
      <c r="AS175" s="143" t="s">
        <v>3413</v>
      </c>
      <c r="AT175" s="135" t="s">
        <v>3446</v>
      </c>
      <c r="AU175" s="143" t="s">
        <v>223</v>
      </c>
      <c r="AV175" s="143" t="s">
        <v>803</v>
      </c>
      <c r="AW175" s="143">
        <v>12</v>
      </c>
      <c r="AX175" s="143">
        <v>9.1999999999999993</v>
      </c>
      <c r="AY175" s="143">
        <v>77</v>
      </c>
      <c r="AZ175" s="143">
        <v>0.04</v>
      </c>
      <c r="BA175" s="143" t="s">
        <v>101</v>
      </c>
      <c r="BB175" s="143"/>
      <c r="BC175" s="143">
        <f>1436+30+2350+80+90+82+69+29+26+109</f>
        <v>4301</v>
      </c>
      <c r="BD175" s="143"/>
      <c r="BE175" s="143">
        <f>35+375+60+280+25</f>
        <v>775</v>
      </c>
      <c r="BF175" s="143">
        <f t="shared" si="6"/>
        <v>5076</v>
      </c>
      <c r="BG175" s="151">
        <f t="shared" si="7"/>
        <v>279.18</v>
      </c>
      <c r="BH175" s="151">
        <f t="shared" si="8"/>
        <v>5355.18</v>
      </c>
      <c r="BI175" s="151">
        <v>5060.8599999999997</v>
      </c>
      <c r="BJ175" s="143" t="s">
        <v>115</v>
      </c>
      <c r="BK175" s="143"/>
      <c r="BL175" s="143"/>
      <c r="BM175" s="144" t="s">
        <v>3592</v>
      </c>
      <c r="BN175" s="144" t="s">
        <v>103</v>
      </c>
      <c r="BO175" s="144" t="s">
        <v>143</v>
      </c>
      <c r="BP175" s="144">
        <v>2021</v>
      </c>
      <c r="BQ175" s="203" t="s">
        <v>3274</v>
      </c>
    </row>
    <row r="176" spans="1:69" ht="41.1" customHeight="1">
      <c r="A176" s="206" t="s">
        <v>86</v>
      </c>
      <c r="B176" s="206" t="s">
        <v>910</v>
      </c>
      <c r="C176" s="143">
        <v>600</v>
      </c>
      <c r="D176" s="135">
        <v>44323</v>
      </c>
      <c r="E176" s="135">
        <v>44326</v>
      </c>
      <c r="F176" s="147" t="s">
        <v>76</v>
      </c>
      <c r="G176" s="135" t="s">
        <v>76</v>
      </c>
      <c r="H176" s="147">
        <v>44326</v>
      </c>
      <c r="I176" s="147">
        <v>44326</v>
      </c>
      <c r="J176" s="147">
        <v>44333</v>
      </c>
      <c r="K176" s="135">
        <v>44503</v>
      </c>
      <c r="L176" s="135">
        <v>44491</v>
      </c>
      <c r="M176" s="135" t="s">
        <v>76</v>
      </c>
      <c r="N176" s="135">
        <v>44512</v>
      </c>
      <c r="O176" s="135">
        <v>44512</v>
      </c>
      <c r="P176" s="135">
        <v>44518</v>
      </c>
      <c r="Q176" s="135"/>
      <c r="R176" s="143"/>
      <c r="S176" s="143"/>
      <c r="T176" s="143"/>
      <c r="U176" s="143">
        <v>4</v>
      </c>
      <c r="V176" s="143">
        <v>42237</v>
      </c>
      <c r="W176" s="143" t="str">
        <f ca="1">IF(H176="",IF(D176="","",IF(U176+V176&lt;15,"Données Nb pers ou RFR manquantes",IF(COUNTA(INDIRECT("TabRFR["&amp;YEAR(D176)&amp;"]"))&lt;&gt;COUNTA(TabRFR[Recherche RFR]),"Data RFR manquantes", IF(V176&lt;=INDEX(TabRFR[[2021]:[2025]],MATCH(BD!U176&amp;"-Très modestes",TabRFR[Recherche RFR],0),MATCH(TEXT(YEAR(BD!D176),"Standard"),TabRFR[[#Headers],[2021]:[2025]],0)),"Très Modeste",IF(V176&lt;=INDEX(TabRFR[[2021]:[2025]],MATCH(BD!U176&amp;"-modestes",TabRFR[Recherche RFR],0),MATCH(TEXT(YEAR(BD!D176),"Standard"),TabRFR[[#Headers],[2021]:[2025]],0)),"Modeste",IF(V176&lt;=INDEX(TabRFR[[2021]:[2025]],MATCH(BD!U176&amp;"-Intermédiaire",TabRFR[Recherche RFR],0),MATCH(TEXT(YEAR(BD!D176),"Standard"),TabRFR[[#Headers],[2021]:[2025]],0)),"Intermédiaire","Supérieur")))))),IF(D176="","",IF(U176+V176&lt;15,"Données Nb pers ou RFR manquantes",IF(COUNTA(INDIRECT("TabRFR["&amp;YEAR(H176)&amp;"]"))&lt;&gt;COUNTA(TabRFR[Recherche RFR]),"Data RFR manquantes", IF(V176&lt;=INDEX(TabRFR[[2021]:[2025]],MATCH(BD!U176&amp;"-Très modestes",TabRFR[Recherche RFR],0),MATCH(TEXT(YEAR(BD!H176),"Standard"),TabRFR[[#Headers],[2021]:[2025]],0)),"Très Modeste",IF(V176&lt;=INDEX(TabRFR[[2021]:[2025]],MATCH(BD!U176&amp;"-modestes",TabRFR[Recherche RFR],0),MATCH(TEXT(YEAR(BD!H176),"Standard"),TabRFR[[#Headers],[2021]:[2025]],0)),"Modeste",IF(V176&lt;=INDEX(TabRFR[[2021]:[2025]],MATCH(BD!U176&amp;"-Intermédiaire",TabRFR[Recherche RFR],0),MATCH(TEXT(YEAR(BD!H176),"Standard"),TabRFR[[#Headers],[2021]:[2025]],0)),"Intermédiaire","Supérieur")))))))</f>
        <v>Intermédiaire</v>
      </c>
      <c r="X176" s="143"/>
      <c r="Y176" s="143" t="s">
        <v>911</v>
      </c>
      <c r="Z176" s="143">
        <v>38500</v>
      </c>
      <c r="AA176" s="143" t="s">
        <v>108</v>
      </c>
      <c r="AB176" s="148"/>
      <c r="AC176" s="149"/>
      <c r="AD176" s="143" t="s">
        <v>91</v>
      </c>
      <c r="AE176" s="143" t="s">
        <v>76</v>
      </c>
      <c r="AF176" s="143" t="s">
        <v>76</v>
      </c>
      <c r="AG176" s="143" t="s">
        <v>76</v>
      </c>
      <c r="AH176" s="143" t="s">
        <v>76</v>
      </c>
      <c r="AI176" s="135" t="s">
        <v>285</v>
      </c>
      <c r="AJ176" s="143" t="s">
        <v>108</v>
      </c>
      <c r="AK176" s="143" t="s">
        <v>286</v>
      </c>
      <c r="AL176" s="150" t="s">
        <v>287</v>
      </c>
      <c r="AM176" s="148">
        <v>476069938</v>
      </c>
      <c r="AN176" s="143" t="s">
        <v>76</v>
      </c>
      <c r="AO176" s="150" t="s">
        <v>102</v>
      </c>
      <c r="AP176" s="147">
        <v>44457</v>
      </c>
      <c r="AQ176" s="135" t="s">
        <v>3449</v>
      </c>
      <c r="AR176" s="143">
        <v>1993</v>
      </c>
      <c r="AS176" s="143" t="s">
        <v>3413</v>
      </c>
      <c r="AT176" s="135" t="s">
        <v>3446</v>
      </c>
      <c r="AU176" s="143" t="s">
        <v>381</v>
      </c>
      <c r="AV176" s="143" t="s">
        <v>912</v>
      </c>
      <c r="AW176" s="143">
        <v>18</v>
      </c>
      <c r="AX176" s="143">
        <v>9.4</v>
      </c>
      <c r="AY176" s="143">
        <v>90</v>
      </c>
      <c r="AZ176" s="143">
        <v>8.0000000000000002E-3</v>
      </c>
      <c r="BA176" s="143" t="s">
        <v>101</v>
      </c>
      <c r="BB176" s="143"/>
      <c r="BC176" s="143">
        <f>3930+390+250+89+319+6410+375</f>
        <v>11763</v>
      </c>
      <c r="BD176" s="143"/>
      <c r="BE176" s="143">
        <f>590+450</f>
        <v>1040</v>
      </c>
      <c r="BF176" s="143">
        <f t="shared" si="6"/>
        <v>12803</v>
      </c>
      <c r="BG176" s="143">
        <f t="shared" si="7"/>
        <v>704.16499999999996</v>
      </c>
      <c r="BH176" s="143">
        <f t="shared" si="8"/>
        <v>13507.165000000001</v>
      </c>
      <c r="BI176" s="151">
        <v>13507.17</v>
      </c>
      <c r="BJ176" s="143" t="s">
        <v>102</v>
      </c>
      <c r="BK176" s="143"/>
      <c r="BL176" s="143"/>
      <c r="BM176" s="144" t="s">
        <v>3592</v>
      </c>
      <c r="BN176" s="144" t="s">
        <v>103</v>
      </c>
      <c r="BO176" s="144" t="s">
        <v>143</v>
      </c>
      <c r="BP176" s="144">
        <v>2021</v>
      </c>
      <c r="BQ176" s="203" t="s">
        <v>144</v>
      </c>
    </row>
    <row r="177" spans="1:69" ht="41.1" customHeight="1">
      <c r="A177" s="206" t="s">
        <v>86</v>
      </c>
      <c r="B177" s="206" t="s">
        <v>913</v>
      </c>
      <c r="C177" s="143">
        <v>600</v>
      </c>
      <c r="D177" s="135">
        <v>44327</v>
      </c>
      <c r="E177" s="135">
        <v>44333</v>
      </c>
      <c r="F177" s="147">
        <v>44341</v>
      </c>
      <c r="G177" s="135" t="s">
        <v>379</v>
      </c>
      <c r="H177" s="147">
        <v>44341</v>
      </c>
      <c r="I177" s="147">
        <v>44341</v>
      </c>
      <c r="J177" s="147">
        <v>44347</v>
      </c>
      <c r="K177" s="135">
        <v>44362</v>
      </c>
      <c r="L177" s="135">
        <v>44362</v>
      </c>
      <c r="M177" s="135" t="s">
        <v>76</v>
      </c>
      <c r="N177" s="135">
        <v>44368</v>
      </c>
      <c r="O177" s="135">
        <v>44368</v>
      </c>
      <c r="P177" s="135">
        <v>44378</v>
      </c>
      <c r="Q177" s="135"/>
      <c r="R177" s="143"/>
      <c r="S177" s="143"/>
      <c r="T177" s="143"/>
      <c r="U177" s="143">
        <v>2</v>
      </c>
      <c r="V177" s="143">
        <v>73004</v>
      </c>
      <c r="W177" s="143" t="str">
        <f ca="1">IF(H177="",IF(D177="","",IF(U177+V177&lt;15,"Données Nb pers ou RFR manquantes",IF(COUNTA(INDIRECT("TabRFR["&amp;YEAR(D177)&amp;"]"))&lt;&gt;COUNTA(TabRFR[Recherche RFR]),"Data RFR manquantes", IF(V177&lt;=INDEX(TabRFR[[2021]:[2025]],MATCH(BD!U177&amp;"-Très modestes",TabRFR[Recherche RFR],0),MATCH(TEXT(YEAR(BD!D177),"Standard"),TabRFR[[#Headers],[2021]:[2025]],0)),"Très Modeste",IF(V177&lt;=INDEX(TabRFR[[2021]:[2025]],MATCH(BD!U177&amp;"-modestes",TabRFR[Recherche RFR],0),MATCH(TEXT(YEAR(BD!D177),"Standard"),TabRFR[[#Headers],[2021]:[2025]],0)),"Modeste",IF(V177&lt;=INDEX(TabRFR[[2021]:[2025]],MATCH(BD!U177&amp;"-Intermédiaire",TabRFR[Recherche RFR],0),MATCH(TEXT(YEAR(BD!D177),"Standard"),TabRFR[[#Headers],[2021]:[2025]],0)),"Intermédiaire","Supérieur")))))),IF(D177="","",IF(U177+V177&lt;15,"Données Nb pers ou RFR manquantes",IF(COUNTA(INDIRECT("TabRFR["&amp;YEAR(H177)&amp;"]"))&lt;&gt;COUNTA(TabRFR[Recherche RFR]),"Data RFR manquantes", IF(V177&lt;=INDEX(TabRFR[[2021]:[2025]],MATCH(BD!U177&amp;"-Très modestes",TabRFR[Recherche RFR],0),MATCH(TEXT(YEAR(BD!H177),"Standard"),TabRFR[[#Headers],[2021]:[2025]],0)),"Très Modeste",IF(V177&lt;=INDEX(TabRFR[[2021]:[2025]],MATCH(BD!U177&amp;"-modestes",TabRFR[Recherche RFR],0),MATCH(TEXT(YEAR(BD!H177),"Standard"),TabRFR[[#Headers],[2021]:[2025]],0)),"Modeste",IF(V177&lt;=INDEX(TabRFR[[2021]:[2025]],MATCH(BD!U177&amp;"-Intermédiaire",TabRFR[Recherche RFR],0),MATCH(TEXT(YEAR(BD!H177),"Standard"),TabRFR[[#Headers],[2021]:[2025]],0)),"Intermédiaire","Supérieur")))))))</f>
        <v>Supérieur</v>
      </c>
      <c r="X177" s="143"/>
      <c r="Y177" s="143" t="s">
        <v>492</v>
      </c>
      <c r="Z177" s="143">
        <v>38140</v>
      </c>
      <c r="AA177" s="143" t="s">
        <v>219</v>
      </c>
      <c r="AB177" s="148"/>
      <c r="AC177" s="149"/>
      <c r="AD177" s="143" t="s">
        <v>91</v>
      </c>
      <c r="AE177" s="143" t="s">
        <v>76</v>
      </c>
      <c r="AF177" s="143" t="s">
        <v>76</v>
      </c>
      <c r="AG177" s="143" t="s">
        <v>76</v>
      </c>
      <c r="AH177" s="143" t="s">
        <v>76</v>
      </c>
      <c r="AI177" s="135" t="s">
        <v>285</v>
      </c>
      <c r="AJ177" s="143" t="s">
        <v>108</v>
      </c>
      <c r="AK177" s="143" t="s">
        <v>286</v>
      </c>
      <c r="AL177" s="150" t="s">
        <v>287</v>
      </c>
      <c r="AM177" s="148">
        <v>476069938</v>
      </c>
      <c r="AN177" s="143" t="s">
        <v>76</v>
      </c>
      <c r="AO177" s="150" t="s">
        <v>102</v>
      </c>
      <c r="AP177" s="147">
        <v>44457</v>
      </c>
      <c r="AQ177" s="135" t="s">
        <v>3496</v>
      </c>
      <c r="AR177" s="143">
        <v>1987</v>
      </c>
      <c r="AS177" s="135" t="s">
        <v>3496</v>
      </c>
      <c r="AT177" s="135" t="s">
        <v>3446</v>
      </c>
      <c r="AU177" s="143" t="s">
        <v>381</v>
      </c>
      <c r="AV177" s="143" t="s">
        <v>914</v>
      </c>
      <c r="AW177" s="143">
        <v>23</v>
      </c>
      <c r="AX177" s="143">
        <v>6.6</v>
      </c>
      <c r="AY177" s="143">
        <v>80.2</v>
      </c>
      <c r="AZ177" s="143">
        <v>0.1</v>
      </c>
      <c r="BA177" s="143" t="s">
        <v>101</v>
      </c>
      <c r="BB177" s="143"/>
      <c r="BC177" s="143">
        <f>460+2218.5+890</f>
        <v>3568.5</v>
      </c>
      <c r="BD177" s="143"/>
      <c r="BE177" s="143">
        <f>390+430+450+560</f>
        <v>1830</v>
      </c>
      <c r="BF177" s="143">
        <f t="shared" si="6"/>
        <v>5398.5</v>
      </c>
      <c r="BG177" s="143">
        <f t="shared" si="7"/>
        <v>296.91750000000002</v>
      </c>
      <c r="BH177" s="143">
        <f t="shared" si="8"/>
        <v>5695.4174999999996</v>
      </c>
      <c r="BI177" s="151">
        <v>5695.42</v>
      </c>
      <c r="BJ177" s="143" t="s">
        <v>102</v>
      </c>
      <c r="BK177" s="143"/>
      <c r="BL177" s="143"/>
      <c r="BM177" s="144" t="s">
        <v>3592</v>
      </c>
      <c r="BN177" s="144" t="s">
        <v>103</v>
      </c>
      <c r="BO177" s="144" t="s">
        <v>143</v>
      </c>
      <c r="BP177" s="144">
        <v>2021</v>
      </c>
      <c r="BQ177" s="203" t="s">
        <v>144</v>
      </c>
    </row>
    <row r="178" spans="1:69" ht="41.1" customHeight="1">
      <c r="A178" s="206" t="s">
        <v>86</v>
      </c>
      <c r="B178" s="206" t="s">
        <v>915</v>
      </c>
      <c r="C178" s="143">
        <v>600</v>
      </c>
      <c r="D178" s="135">
        <v>44328</v>
      </c>
      <c r="E178" s="135">
        <v>44333</v>
      </c>
      <c r="F178" s="147" t="s">
        <v>76</v>
      </c>
      <c r="G178" s="135" t="s">
        <v>76</v>
      </c>
      <c r="H178" s="147">
        <v>44341</v>
      </c>
      <c r="I178" s="147">
        <v>44341</v>
      </c>
      <c r="J178" s="147">
        <v>44347</v>
      </c>
      <c r="K178" s="135">
        <v>44495</v>
      </c>
      <c r="L178" s="135">
        <v>44468</v>
      </c>
      <c r="M178" s="135" t="s">
        <v>76</v>
      </c>
      <c r="N178" s="135">
        <v>44497</v>
      </c>
      <c r="O178" s="135">
        <v>44497</v>
      </c>
      <c r="P178" s="135">
        <v>44498</v>
      </c>
      <c r="Q178" s="135"/>
      <c r="R178" s="143"/>
      <c r="S178" s="143"/>
      <c r="T178" s="143"/>
      <c r="U178" s="143">
        <v>2</v>
      </c>
      <c r="V178" s="143">
        <v>37596</v>
      </c>
      <c r="W178" s="143" t="str">
        <f ca="1">IF(H178="",IF(D178="","",IF(U178+V178&lt;15,"Données Nb pers ou RFR manquantes",IF(COUNTA(INDIRECT("TabRFR["&amp;YEAR(D178)&amp;"]"))&lt;&gt;COUNTA(TabRFR[Recherche RFR]),"Data RFR manquantes", IF(V178&lt;=INDEX(TabRFR[[2021]:[2025]],MATCH(BD!U178&amp;"-Très modestes",TabRFR[Recherche RFR],0),MATCH(TEXT(YEAR(BD!D178),"Standard"),TabRFR[[#Headers],[2021]:[2025]],0)),"Très Modeste",IF(V178&lt;=INDEX(TabRFR[[2021]:[2025]],MATCH(BD!U178&amp;"-modestes",TabRFR[Recherche RFR],0),MATCH(TEXT(YEAR(BD!D178),"Standard"),TabRFR[[#Headers],[2021]:[2025]],0)),"Modeste",IF(V178&lt;=INDEX(TabRFR[[2021]:[2025]],MATCH(BD!U178&amp;"-Intermédiaire",TabRFR[Recherche RFR],0),MATCH(TEXT(YEAR(BD!D178),"Standard"),TabRFR[[#Headers],[2021]:[2025]],0)),"Intermédiaire","Supérieur")))))),IF(D178="","",IF(U178+V178&lt;15,"Données Nb pers ou RFR manquantes",IF(COUNTA(INDIRECT("TabRFR["&amp;YEAR(H178)&amp;"]"))&lt;&gt;COUNTA(TabRFR[Recherche RFR]),"Data RFR manquantes", IF(V178&lt;=INDEX(TabRFR[[2021]:[2025]],MATCH(BD!U178&amp;"-Très modestes",TabRFR[Recherche RFR],0),MATCH(TEXT(YEAR(BD!H178),"Standard"),TabRFR[[#Headers],[2021]:[2025]],0)),"Très Modeste",IF(V178&lt;=INDEX(TabRFR[[2021]:[2025]],MATCH(BD!U178&amp;"-modestes",TabRFR[Recherche RFR],0),MATCH(TEXT(YEAR(BD!H178),"Standard"),TabRFR[[#Headers],[2021]:[2025]],0)),"Modeste",IF(V178&lt;=INDEX(TabRFR[[2021]:[2025]],MATCH(BD!U178&amp;"-Intermédiaire",TabRFR[Recherche RFR],0),MATCH(TEXT(YEAR(BD!H178),"Standard"),TabRFR[[#Headers],[2021]:[2025]],0)),"Intermédiaire","Supérieur")))))))</f>
        <v>Intermédiaire</v>
      </c>
      <c r="X178" s="143"/>
      <c r="Y178" s="143" t="s">
        <v>916</v>
      </c>
      <c r="Z178" s="143">
        <v>38730</v>
      </c>
      <c r="AA178" s="143" t="s">
        <v>148</v>
      </c>
      <c r="AB178" s="148"/>
      <c r="AC178" s="149"/>
      <c r="AD178" s="143" t="s">
        <v>91</v>
      </c>
      <c r="AE178" s="143" t="s">
        <v>76</v>
      </c>
      <c r="AF178" s="143" t="s">
        <v>76</v>
      </c>
      <c r="AG178" s="143" t="s">
        <v>76</v>
      </c>
      <c r="AH178" s="143" t="s">
        <v>76</v>
      </c>
      <c r="AI178" s="143" t="s">
        <v>92</v>
      </c>
      <c r="AJ178" s="143" t="s">
        <v>93</v>
      </c>
      <c r="AK178" s="143" t="s">
        <v>94</v>
      </c>
      <c r="AL178" s="149" t="s">
        <v>95</v>
      </c>
      <c r="AM178" s="148" t="s">
        <v>96</v>
      </c>
      <c r="AN178" s="143" t="s">
        <v>76</v>
      </c>
      <c r="AO178" s="150" t="s">
        <v>97</v>
      </c>
      <c r="AP178" s="147">
        <v>44517</v>
      </c>
      <c r="AQ178" s="135" t="s">
        <v>3449</v>
      </c>
      <c r="AR178" s="143">
        <v>1970</v>
      </c>
      <c r="AS178" s="143" t="s">
        <v>3413</v>
      </c>
      <c r="AT178" s="143" t="s">
        <v>98</v>
      </c>
      <c r="AU178" s="143" t="s">
        <v>99</v>
      </c>
      <c r="AV178" s="143" t="s">
        <v>708</v>
      </c>
      <c r="AW178" s="143">
        <v>16</v>
      </c>
      <c r="AX178" s="143">
        <v>9.1</v>
      </c>
      <c r="AY178" s="143">
        <v>91.8</v>
      </c>
      <c r="AZ178" s="143">
        <v>3.7000000000000002E-3</v>
      </c>
      <c r="BA178" s="143" t="s">
        <v>101</v>
      </c>
      <c r="BB178" s="143"/>
      <c r="BC178" s="143">
        <f>4040+996+165+193</f>
        <v>5394</v>
      </c>
      <c r="BD178" s="143"/>
      <c r="BE178" s="143">
        <f>690</f>
        <v>690</v>
      </c>
      <c r="BF178" s="143">
        <f t="shared" si="6"/>
        <v>6084</v>
      </c>
      <c r="BG178" s="151">
        <f t="shared" si="7"/>
        <v>334.62</v>
      </c>
      <c r="BH178" s="151">
        <f t="shared" si="8"/>
        <v>6418.62</v>
      </c>
      <c r="BI178" s="151">
        <v>6418.62</v>
      </c>
      <c r="BJ178" s="143" t="s">
        <v>102</v>
      </c>
      <c r="BK178" s="143"/>
      <c r="BL178" s="143"/>
      <c r="BM178" s="144" t="s">
        <v>3592</v>
      </c>
      <c r="BN178" s="144" t="s">
        <v>103</v>
      </c>
      <c r="BO178" s="144" t="s">
        <v>143</v>
      </c>
      <c r="BP178" s="143" t="s">
        <v>3583</v>
      </c>
      <c r="BQ178" s="203" t="s">
        <v>144</v>
      </c>
    </row>
    <row r="179" spans="1:69" ht="41.1" customHeight="1">
      <c r="A179" s="206" t="s">
        <v>86</v>
      </c>
      <c r="B179" s="206" t="s">
        <v>917</v>
      </c>
      <c r="C179" s="143">
        <v>600</v>
      </c>
      <c r="D179" s="135">
        <v>44328</v>
      </c>
      <c r="E179" s="135">
        <v>44333</v>
      </c>
      <c r="F179" s="147" t="s">
        <v>76</v>
      </c>
      <c r="G179" s="135" t="s">
        <v>76</v>
      </c>
      <c r="H179" s="147">
        <v>44341</v>
      </c>
      <c r="I179" s="147">
        <v>44341</v>
      </c>
      <c r="J179" s="147">
        <v>44347</v>
      </c>
      <c r="K179" s="135">
        <v>44412</v>
      </c>
      <c r="L179" s="135">
        <v>44400</v>
      </c>
      <c r="M179" s="135" t="s">
        <v>76</v>
      </c>
      <c r="N179" s="135">
        <v>44413</v>
      </c>
      <c r="O179" s="135">
        <v>44413</v>
      </c>
      <c r="P179" s="135">
        <v>44453</v>
      </c>
      <c r="Q179" s="135"/>
      <c r="R179" s="143"/>
      <c r="S179" s="143"/>
      <c r="T179" s="143"/>
      <c r="U179" s="143">
        <v>3</v>
      </c>
      <c r="V179" s="143">
        <v>43812</v>
      </c>
      <c r="W179" s="143" t="str">
        <f ca="1">IF(H179="",IF(D179="","",IF(U179+V179&lt;15,"Données Nb pers ou RFR manquantes",IF(COUNTA(INDIRECT("TabRFR["&amp;YEAR(D179)&amp;"]"))&lt;&gt;COUNTA(TabRFR[Recherche RFR]),"Data RFR manquantes", IF(V179&lt;=INDEX(TabRFR[[2021]:[2025]],MATCH(BD!U179&amp;"-Très modestes",TabRFR[Recherche RFR],0),MATCH(TEXT(YEAR(BD!D179),"Standard"),TabRFR[[#Headers],[2021]:[2025]],0)),"Très Modeste",IF(V179&lt;=INDEX(TabRFR[[2021]:[2025]],MATCH(BD!U179&amp;"-modestes",TabRFR[Recherche RFR],0),MATCH(TEXT(YEAR(BD!D179),"Standard"),TabRFR[[#Headers],[2021]:[2025]],0)),"Modeste",IF(V179&lt;=INDEX(TabRFR[[2021]:[2025]],MATCH(BD!U179&amp;"-Intermédiaire",TabRFR[Recherche RFR],0),MATCH(TEXT(YEAR(BD!D179),"Standard"),TabRFR[[#Headers],[2021]:[2025]],0)),"Intermédiaire","Supérieur")))))),IF(D179="","",IF(U179+V179&lt;15,"Données Nb pers ou RFR manquantes",IF(COUNTA(INDIRECT("TabRFR["&amp;YEAR(H179)&amp;"]"))&lt;&gt;COUNTA(TabRFR[Recherche RFR]),"Data RFR manquantes", IF(V179&lt;=INDEX(TabRFR[[2021]:[2025]],MATCH(BD!U179&amp;"-Très modestes",TabRFR[Recherche RFR],0),MATCH(TEXT(YEAR(BD!H179),"Standard"),TabRFR[[#Headers],[2021]:[2025]],0)),"Très Modeste",IF(V179&lt;=INDEX(TabRFR[[2021]:[2025]],MATCH(BD!U179&amp;"-modestes",TabRFR[Recherche RFR],0),MATCH(TEXT(YEAR(BD!H179),"Standard"),TabRFR[[#Headers],[2021]:[2025]],0)),"Modeste",IF(V179&lt;=INDEX(TabRFR[[2021]:[2025]],MATCH(BD!U179&amp;"-Intermédiaire",TabRFR[Recherche RFR],0),MATCH(TEXT(YEAR(BD!H179),"Standard"),TabRFR[[#Headers],[2021]:[2025]],0)),"Intermédiaire","Supérieur")))))))</f>
        <v>Intermédiaire</v>
      </c>
      <c r="X179" s="143"/>
      <c r="Y179" s="143" t="s">
        <v>918</v>
      </c>
      <c r="Z179" s="143">
        <v>38210</v>
      </c>
      <c r="AA179" s="143" t="s">
        <v>202</v>
      </c>
      <c r="AB179" s="148"/>
      <c r="AC179" s="149"/>
      <c r="AD179" s="143" t="s">
        <v>91</v>
      </c>
      <c r="AE179" s="143" t="s">
        <v>76</v>
      </c>
      <c r="AF179" s="143" t="s">
        <v>76</v>
      </c>
      <c r="AG179" s="143" t="s">
        <v>76</v>
      </c>
      <c r="AH179" s="143" t="s">
        <v>76</v>
      </c>
      <c r="AI179" s="135" t="s">
        <v>285</v>
      </c>
      <c r="AJ179" s="143" t="s">
        <v>108</v>
      </c>
      <c r="AK179" s="143" t="s">
        <v>286</v>
      </c>
      <c r="AL179" s="150" t="s">
        <v>287</v>
      </c>
      <c r="AM179" s="148">
        <v>476069938</v>
      </c>
      <c r="AN179" s="143" t="s">
        <v>76</v>
      </c>
      <c r="AO179" s="150" t="s">
        <v>102</v>
      </c>
      <c r="AP179" s="147">
        <v>44457</v>
      </c>
      <c r="AQ179" s="135" t="s">
        <v>3496</v>
      </c>
      <c r="AR179" s="143">
        <v>1997</v>
      </c>
      <c r="AS179" s="143" t="s">
        <v>3413</v>
      </c>
      <c r="AT179" s="135" t="s">
        <v>3446</v>
      </c>
      <c r="AU179" s="143" t="s">
        <v>381</v>
      </c>
      <c r="AV179" s="143" t="s">
        <v>919</v>
      </c>
      <c r="AW179" s="143">
        <v>29</v>
      </c>
      <c r="AX179" s="143">
        <v>8</v>
      </c>
      <c r="AY179" s="143">
        <v>81.3</v>
      </c>
      <c r="AZ179" s="143">
        <v>0.1</v>
      </c>
      <c r="BA179" s="143" t="s">
        <v>101</v>
      </c>
      <c r="BB179" s="143"/>
      <c r="BC179" s="143">
        <f>1890+250+170+3700</f>
        <v>6010</v>
      </c>
      <c r="BD179" s="143"/>
      <c r="BE179" s="143">
        <f>590+300</f>
        <v>890</v>
      </c>
      <c r="BF179" s="143">
        <f t="shared" si="6"/>
        <v>6900</v>
      </c>
      <c r="BG179" s="143">
        <f t="shared" si="7"/>
        <v>379.5</v>
      </c>
      <c r="BH179" s="143">
        <f t="shared" si="8"/>
        <v>7279.5</v>
      </c>
      <c r="BI179" s="151">
        <v>7279.5</v>
      </c>
      <c r="BJ179" s="143" t="s">
        <v>102</v>
      </c>
      <c r="BK179" s="143"/>
      <c r="BL179" s="143"/>
      <c r="BM179" s="144" t="s">
        <v>3592</v>
      </c>
      <c r="BN179" s="144" t="s">
        <v>103</v>
      </c>
      <c r="BO179" s="144" t="s">
        <v>143</v>
      </c>
      <c r="BP179" s="144">
        <v>2021</v>
      </c>
      <c r="BQ179" s="203" t="s">
        <v>144</v>
      </c>
    </row>
    <row r="180" spans="1:69" ht="41.1" customHeight="1">
      <c r="A180" s="206" t="s">
        <v>86</v>
      </c>
      <c r="B180" s="206" t="s">
        <v>920</v>
      </c>
      <c r="C180" s="143">
        <v>1000</v>
      </c>
      <c r="D180" s="135">
        <v>44328</v>
      </c>
      <c r="E180" s="135">
        <v>44333</v>
      </c>
      <c r="F180" s="147">
        <v>44341</v>
      </c>
      <c r="G180" s="135" t="s">
        <v>921</v>
      </c>
      <c r="H180" s="147">
        <v>44343</v>
      </c>
      <c r="I180" s="147">
        <v>44343</v>
      </c>
      <c r="J180" s="147">
        <v>44351</v>
      </c>
      <c r="K180" s="135">
        <v>44504</v>
      </c>
      <c r="L180" s="135">
        <v>44489</v>
      </c>
      <c r="M180" s="135" t="s">
        <v>76</v>
      </c>
      <c r="N180" s="135">
        <v>44512</v>
      </c>
      <c r="O180" s="135">
        <v>44512</v>
      </c>
      <c r="P180" s="135">
        <v>44518</v>
      </c>
      <c r="Q180" s="135"/>
      <c r="R180" s="143"/>
      <c r="S180" s="143"/>
      <c r="T180" s="143"/>
      <c r="U180" s="143">
        <v>3</v>
      </c>
      <c r="V180" s="143">
        <v>11934</v>
      </c>
      <c r="W180" s="143" t="str">
        <f ca="1">IF(H180="",IF(D180="","",IF(U180+V180&lt;15,"Données Nb pers ou RFR manquantes",IF(COUNTA(INDIRECT("TabRFR["&amp;YEAR(D180)&amp;"]"))&lt;&gt;COUNTA(TabRFR[Recherche RFR]),"Data RFR manquantes", IF(V180&lt;=INDEX(TabRFR[[2021]:[2025]],MATCH(BD!U180&amp;"-Très modestes",TabRFR[Recherche RFR],0),MATCH(TEXT(YEAR(BD!D180),"Standard"),TabRFR[[#Headers],[2021]:[2025]],0)),"Très Modeste",IF(V180&lt;=INDEX(TabRFR[[2021]:[2025]],MATCH(BD!U180&amp;"-modestes",TabRFR[Recherche RFR],0),MATCH(TEXT(YEAR(BD!D180),"Standard"),TabRFR[[#Headers],[2021]:[2025]],0)),"Modeste",IF(V180&lt;=INDEX(TabRFR[[2021]:[2025]],MATCH(BD!U180&amp;"-Intermédiaire",TabRFR[Recherche RFR],0),MATCH(TEXT(YEAR(BD!D180),"Standard"),TabRFR[[#Headers],[2021]:[2025]],0)),"Intermédiaire","Supérieur")))))),IF(D180="","",IF(U180+V180&lt;15,"Données Nb pers ou RFR manquantes",IF(COUNTA(INDIRECT("TabRFR["&amp;YEAR(H180)&amp;"]"))&lt;&gt;COUNTA(TabRFR[Recherche RFR]),"Data RFR manquantes", IF(V180&lt;=INDEX(TabRFR[[2021]:[2025]],MATCH(BD!U180&amp;"-Très modestes",TabRFR[Recherche RFR],0),MATCH(TEXT(YEAR(BD!H180),"Standard"),TabRFR[[#Headers],[2021]:[2025]],0)),"Très Modeste",IF(V180&lt;=INDEX(TabRFR[[2021]:[2025]],MATCH(BD!U180&amp;"-modestes",TabRFR[Recherche RFR],0),MATCH(TEXT(YEAR(BD!H180),"Standard"),TabRFR[[#Headers],[2021]:[2025]],0)),"Modeste",IF(V180&lt;=INDEX(TabRFR[[2021]:[2025]],MATCH(BD!U180&amp;"-Intermédiaire",TabRFR[Recherche RFR],0),MATCH(TEXT(YEAR(BD!H180),"Standard"),TabRFR[[#Headers],[2021]:[2025]],0)),"Intermédiaire","Supérieur")))))))</f>
        <v>Très Modeste</v>
      </c>
      <c r="X180" s="143"/>
      <c r="Y180" s="143" t="s">
        <v>922</v>
      </c>
      <c r="Z180" s="143">
        <v>38620</v>
      </c>
      <c r="AA180" s="143" t="s">
        <v>680</v>
      </c>
      <c r="AB180" s="148"/>
      <c r="AC180" s="149"/>
      <c r="AD180" s="143" t="s">
        <v>91</v>
      </c>
      <c r="AE180" s="143" t="s">
        <v>76</v>
      </c>
      <c r="AF180" s="143" t="s">
        <v>76</v>
      </c>
      <c r="AG180" s="143" t="s">
        <v>76</v>
      </c>
      <c r="AH180" s="143" t="s">
        <v>76</v>
      </c>
      <c r="AI180" s="143" t="s">
        <v>120</v>
      </c>
      <c r="AJ180" s="143" t="s">
        <v>121</v>
      </c>
      <c r="AK180" s="143" t="s">
        <v>122</v>
      </c>
      <c r="AL180" s="150" t="s">
        <v>123</v>
      </c>
      <c r="AM180" s="148">
        <v>608287337</v>
      </c>
      <c r="AN180" s="143" t="s">
        <v>76</v>
      </c>
      <c r="AO180" s="150" t="s">
        <v>102</v>
      </c>
      <c r="AP180" s="147">
        <v>44417</v>
      </c>
      <c r="AQ180" s="143" t="s">
        <v>3413</v>
      </c>
      <c r="AR180" s="143">
        <v>2001</v>
      </c>
      <c r="AS180" s="143" t="s">
        <v>3413</v>
      </c>
      <c r="AT180" s="143" t="s">
        <v>98</v>
      </c>
      <c r="AU180" s="143" t="s">
        <v>124</v>
      </c>
      <c r="AV180" s="143" t="s">
        <v>499</v>
      </c>
      <c r="AW180" s="143">
        <v>26</v>
      </c>
      <c r="AX180" s="143">
        <v>8</v>
      </c>
      <c r="AY180" s="143">
        <v>91.9</v>
      </c>
      <c r="AZ180" s="143">
        <v>7.0000000000000001E-3</v>
      </c>
      <c r="BA180" s="143" t="s">
        <v>126</v>
      </c>
      <c r="BB180" s="143"/>
      <c r="BC180" s="143">
        <f>3119+1300</f>
        <v>4419</v>
      </c>
      <c r="BD180" s="143"/>
      <c r="BE180" s="143">
        <v>900</v>
      </c>
      <c r="BF180" s="143">
        <f t="shared" si="6"/>
        <v>5319</v>
      </c>
      <c r="BG180" s="151">
        <f t="shared" si="7"/>
        <v>292.54500000000002</v>
      </c>
      <c r="BH180" s="151">
        <f t="shared" si="8"/>
        <v>5611.5450000000001</v>
      </c>
      <c r="BI180" s="151">
        <v>5023.6899999999996</v>
      </c>
      <c r="BJ180" s="143" t="s">
        <v>115</v>
      </c>
      <c r="BK180" s="143"/>
      <c r="BL180" s="143"/>
      <c r="BM180" s="144" t="s">
        <v>3592</v>
      </c>
      <c r="BN180" s="144" t="s">
        <v>103</v>
      </c>
      <c r="BO180" s="135" t="s">
        <v>155</v>
      </c>
      <c r="BP180" s="143" t="s">
        <v>3583</v>
      </c>
      <c r="BQ180" s="203" t="s">
        <v>3274</v>
      </c>
    </row>
    <row r="181" spans="1:69" ht="41.1" customHeight="1">
      <c r="A181" s="206" t="s">
        <v>86</v>
      </c>
      <c r="B181" s="206" t="s">
        <v>923</v>
      </c>
      <c r="C181" s="143">
        <v>1000</v>
      </c>
      <c r="D181" s="135">
        <v>44335</v>
      </c>
      <c r="E181" s="135">
        <v>44337</v>
      </c>
      <c r="F181" s="147">
        <v>44341</v>
      </c>
      <c r="G181" s="135" t="s">
        <v>571</v>
      </c>
      <c r="H181" s="147">
        <v>44341</v>
      </c>
      <c r="I181" s="147">
        <v>44341</v>
      </c>
      <c r="J181" s="147">
        <v>44347</v>
      </c>
      <c r="K181" s="135">
        <v>44469</v>
      </c>
      <c r="L181" s="135">
        <v>44459</v>
      </c>
      <c r="M181" s="135" t="s">
        <v>76</v>
      </c>
      <c r="N181" s="135">
        <v>44476</v>
      </c>
      <c r="O181" s="135">
        <v>44476</v>
      </c>
      <c r="P181" s="135">
        <v>44481</v>
      </c>
      <c r="Q181" s="135"/>
      <c r="R181" s="143"/>
      <c r="S181" s="143"/>
      <c r="T181" s="143"/>
      <c r="U181" s="143">
        <v>2</v>
      </c>
      <c r="V181" s="143">
        <v>27424</v>
      </c>
      <c r="W181" s="143" t="str">
        <f ca="1">IF(H181="",IF(D181="","",IF(U181+V181&lt;15,"Données Nb pers ou RFR manquantes",IF(COUNTA(INDIRECT("TabRFR["&amp;YEAR(D181)&amp;"]"))&lt;&gt;COUNTA(TabRFR[Recherche RFR]),"Data RFR manquantes", IF(V181&lt;=INDEX(TabRFR[[2021]:[2025]],MATCH(BD!U181&amp;"-Très modestes",TabRFR[Recherche RFR],0),MATCH(TEXT(YEAR(BD!D181),"Standard"),TabRFR[[#Headers],[2021]:[2025]],0)),"Très Modeste",IF(V181&lt;=INDEX(TabRFR[[2021]:[2025]],MATCH(BD!U181&amp;"-modestes",TabRFR[Recherche RFR],0),MATCH(TEXT(YEAR(BD!D181),"Standard"),TabRFR[[#Headers],[2021]:[2025]],0)),"Modeste",IF(V181&lt;=INDEX(TabRFR[[2021]:[2025]],MATCH(BD!U181&amp;"-Intermédiaire",TabRFR[Recherche RFR],0),MATCH(TEXT(YEAR(BD!D181),"Standard"),TabRFR[[#Headers],[2021]:[2025]],0)),"Intermédiaire","Supérieur")))))),IF(D181="","",IF(U181+V181&lt;15,"Données Nb pers ou RFR manquantes",IF(COUNTA(INDIRECT("TabRFR["&amp;YEAR(H181)&amp;"]"))&lt;&gt;COUNTA(TabRFR[Recherche RFR]),"Data RFR manquantes", IF(V181&lt;=INDEX(TabRFR[[2021]:[2025]],MATCH(BD!U181&amp;"-Très modestes",TabRFR[Recherche RFR],0),MATCH(TEXT(YEAR(BD!H181),"Standard"),TabRFR[[#Headers],[2021]:[2025]],0)),"Très Modeste",IF(V181&lt;=INDEX(TabRFR[[2021]:[2025]],MATCH(BD!U181&amp;"-modestes",TabRFR[Recherche RFR],0),MATCH(TEXT(YEAR(BD!H181),"Standard"),TabRFR[[#Headers],[2021]:[2025]],0)),"Modeste",IF(V181&lt;=INDEX(TabRFR[[2021]:[2025]],MATCH(BD!U181&amp;"-Intermédiaire",TabRFR[Recherche RFR],0),MATCH(TEXT(YEAR(BD!H181),"Standard"),TabRFR[[#Headers],[2021]:[2025]],0)),"Intermédiaire","Supérieur")))))))</f>
        <v>Modeste</v>
      </c>
      <c r="X181" s="143"/>
      <c r="Y181" s="143" t="s">
        <v>924</v>
      </c>
      <c r="Z181" s="143">
        <v>38140</v>
      </c>
      <c r="AA181" s="143" t="s">
        <v>159</v>
      </c>
      <c r="AB181" s="148"/>
      <c r="AC181" s="149"/>
      <c r="AD181" s="143" t="s">
        <v>91</v>
      </c>
      <c r="AE181" s="143" t="s">
        <v>76</v>
      </c>
      <c r="AF181" s="143" t="s">
        <v>76</v>
      </c>
      <c r="AG181" s="143" t="s">
        <v>76</v>
      </c>
      <c r="AH181" s="143" t="s">
        <v>76</v>
      </c>
      <c r="AI181" s="135" t="s">
        <v>285</v>
      </c>
      <c r="AJ181" s="143" t="s">
        <v>108</v>
      </c>
      <c r="AK181" s="143" t="s">
        <v>286</v>
      </c>
      <c r="AL181" s="150" t="s">
        <v>287</v>
      </c>
      <c r="AM181" s="148">
        <v>476069938</v>
      </c>
      <c r="AN181" s="143" t="s">
        <v>76</v>
      </c>
      <c r="AO181" s="150" t="s">
        <v>102</v>
      </c>
      <c r="AP181" s="147">
        <v>44822</v>
      </c>
      <c r="AQ181" s="135" t="s">
        <v>3496</v>
      </c>
      <c r="AR181" s="143">
        <v>1990</v>
      </c>
      <c r="AS181" s="143" t="s">
        <v>3413</v>
      </c>
      <c r="AT181" s="135" t="s">
        <v>3446</v>
      </c>
      <c r="AU181" s="143" t="s">
        <v>532</v>
      </c>
      <c r="AV181" s="143" t="s">
        <v>714</v>
      </c>
      <c r="AW181" s="143">
        <v>17</v>
      </c>
      <c r="AX181" s="143">
        <v>9</v>
      </c>
      <c r="AY181" s="143">
        <v>79.5</v>
      </c>
      <c r="AZ181" s="143">
        <v>0.12</v>
      </c>
      <c r="BA181" s="143" t="s">
        <v>101</v>
      </c>
      <c r="BB181" s="143"/>
      <c r="BC181" s="143">
        <f>550+250+290+89+2750</f>
        <v>3929</v>
      </c>
      <c r="BD181" s="143"/>
      <c r="BE181" s="143">
        <f>450+300</f>
        <v>750</v>
      </c>
      <c r="BF181" s="143">
        <f t="shared" si="6"/>
        <v>4679</v>
      </c>
      <c r="BG181" s="143">
        <f t="shared" si="7"/>
        <v>257.34500000000003</v>
      </c>
      <c r="BH181" s="143">
        <f t="shared" si="8"/>
        <v>4936.3450000000003</v>
      </c>
      <c r="BI181" s="151">
        <v>4936.3500000000004</v>
      </c>
      <c r="BJ181" s="143" t="s">
        <v>102</v>
      </c>
      <c r="BK181" s="143"/>
      <c r="BL181" s="143"/>
      <c r="BM181" s="144" t="s">
        <v>3592</v>
      </c>
      <c r="BN181" s="144" t="s">
        <v>103</v>
      </c>
      <c r="BO181" s="135" t="s">
        <v>155</v>
      </c>
      <c r="BP181" s="144">
        <v>2021</v>
      </c>
      <c r="BQ181" s="203" t="s">
        <v>144</v>
      </c>
    </row>
    <row r="182" spans="1:69" ht="41.1" customHeight="1">
      <c r="A182" s="207" t="s">
        <v>86</v>
      </c>
      <c r="B182" s="207" t="s">
        <v>925</v>
      </c>
      <c r="C182" s="143" t="s">
        <v>76</v>
      </c>
      <c r="D182" s="135">
        <v>44336</v>
      </c>
      <c r="E182" s="135">
        <v>44337</v>
      </c>
      <c r="F182" s="147">
        <v>44341</v>
      </c>
      <c r="G182" s="135" t="s">
        <v>926</v>
      </c>
      <c r="H182" s="147"/>
      <c r="I182" s="147"/>
      <c r="J182" s="147"/>
      <c r="K182" s="135"/>
      <c r="L182" s="135"/>
      <c r="M182" s="135"/>
      <c r="N182" s="135"/>
      <c r="O182" s="135"/>
      <c r="P182" s="135"/>
      <c r="Q182" s="135">
        <v>44991</v>
      </c>
      <c r="R182" s="143" t="s">
        <v>927</v>
      </c>
      <c r="S182" s="143"/>
      <c r="T182" s="143"/>
      <c r="U182" s="143">
        <v>2</v>
      </c>
      <c r="V182" s="143">
        <v>46144</v>
      </c>
      <c r="W182" s="143" t="str">
        <f ca="1">IF(H182="",IF(D182="","",IF(U182+V182&lt;15,"Données Nb pers ou RFR manquantes",IF(COUNTA(INDIRECT("TabRFR["&amp;YEAR(D182)&amp;"]"))&lt;&gt;COUNTA(TabRFR[Recherche RFR]),"Data RFR manquantes", IF(V182&lt;=INDEX(TabRFR[[2021]:[2025]],MATCH(BD!U182&amp;"-Très modestes",TabRFR[Recherche RFR],0),MATCH(TEXT(YEAR(BD!D182),"Standard"),TabRFR[[#Headers],[2021]:[2025]],0)),"Très Modeste",IF(V182&lt;=INDEX(TabRFR[[2021]:[2025]],MATCH(BD!U182&amp;"-modestes",TabRFR[Recherche RFR],0),MATCH(TEXT(YEAR(BD!D182),"Standard"),TabRFR[[#Headers],[2021]:[2025]],0)),"Modeste",IF(V182&lt;=INDEX(TabRFR[[2021]:[2025]],MATCH(BD!U182&amp;"-Intermédiaire",TabRFR[Recherche RFR],0),MATCH(TEXT(YEAR(BD!D182),"Standard"),TabRFR[[#Headers],[2021]:[2025]],0)),"Intermédiaire","Supérieur")))))),IF(D182="","",IF(U182+V182&lt;15,"Données Nb pers ou RFR manquantes",IF(COUNTA(INDIRECT("TabRFR["&amp;YEAR(H182)&amp;"]"))&lt;&gt;COUNTA(TabRFR[Recherche RFR]),"Data RFR manquantes", IF(V182&lt;=INDEX(TabRFR[[2021]:[2025]],MATCH(BD!U182&amp;"-Très modestes",TabRFR[Recherche RFR],0),MATCH(TEXT(YEAR(BD!H182),"Standard"),TabRFR[[#Headers],[2021]:[2025]],0)),"Très Modeste",IF(V182&lt;=INDEX(TabRFR[[2021]:[2025]],MATCH(BD!U182&amp;"-modestes",TabRFR[Recherche RFR],0),MATCH(TEXT(YEAR(BD!H182),"Standard"),TabRFR[[#Headers],[2021]:[2025]],0)),"Modeste",IF(V182&lt;=INDEX(TabRFR[[2021]:[2025]],MATCH(BD!U182&amp;"-Intermédiaire",TabRFR[Recherche RFR],0),MATCH(TEXT(YEAR(BD!H182),"Standard"),TabRFR[[#Headers],[2021]:[2025]],0)),"Intermédiaire","Supérieur")))))))</f>
        <v>Supérieur</v>
      </c>
      <c r="X182" s="143"/>
      <c r="Y182" s="143" t="s">
        <v>928</v>
      </c>
      <c r="Z182" s="143">
        <v>38620</v>
      </c>
      <c r="AA182" s="143" t="s">
        <v>537</v>
      </c>
      <c r="AB182" s="148"/>
      <c r="AC182" s="149"/>
      <c r="AD182" s="143" t="s">
        <v>91</v>
      </c>
      <c r="AE182" s="143" t="s">
        <v>76</v>
      </c>
      <c r="AF182" s="143" t="s">
        <v>76</v>
      </c>
      <c r="AG182" s="143" t="s">
        <v>76</v>
      </c>
      <c r="AH182" s="143" t="s">
        <v>76</v>
      </c>
      <c r="AI182" s="143" t="s">
        <v>929</v>
      </c>
      <c r="AJ182" s="143" t="s">
        <v>930</v>
      </c>
      <c r="AK182" s="143" t="s">
        <v>931</v>
      </c>
      <c r="AL182" s="150" t="s">
        <v>932</v>
      </c>
      <c r="AM182" s="148">
        <v>623564343</v>
      </c>
      <c r="AN182" s="143" t="s">
        <v>76</v>
      </c>
      <c r="AO182" s="150" t="s">
        <v>115</v>
      </c>
      <c r="AP182" s="147">
        <v>44414</v>
      </c>
      <c r="AQ182" s="135" t="s">
        <v>3496</v>
      </c>
      <c r="AR182" s="143">
        <v>1990</v>
      </c>
      <c r="AS182" s="143" t="s">
        <v>1955</v>
      </c>
      <c r="AT182" s="143" t="s">
        <v>98</v>
      </c>
      <c r="AU182" s="143" t="s">
        <v>933</v>
      </c>
      <c r="AV182" s="143" t="s">
        <v>934</v>
      </c>
      <c r="AW182" s="143">
        <v>18</v>
      </c>
      <c r="AX182" s="143">
        <v>15</v>
      </c>
      <c r="AY182" s="143">
        <v>95.2</v>
      </c>
      <c r="AZ182" s="143">
        <v>3.0000000000000001E-3</v>
      </c>
      <c r="BA182" s="143" t="s">
        <v>101</v>
      </c>
      <c r="BB182" s="143"/>
      <c r="BC182" s="143">
        <f>950+14021+1185+190+120+480+1331+140+350</f>
        <v>18767</v>
      </c>
      <c r="BD182" s="143"/>
      <c r="BE182" s="143">
        <f>300+1100+3480</f>
        <v>4880</v>
      </c>
      <c r="BF182" s="143">
        <f t="shared" si="6"/>
        <v>23647</v>
      </c>
      <c r="BG182" s="151">
        <f t="shared" si="7"/>
        <v>1300.585</v>
      </c>
      <c r="BH182" s="151">
        <f t="shared" si="8"/>
        <v>24947.584999999999</v>
      </c>
      <c r="BI182" s="151">
        <v>28090.43</v>
      </c>
      <c r="BJ182" s="143" t="s">
        <v>102</v>
      </c>
      <c r="BK182" s="143"/>
      <c r="BL182" s="143"/>
      <c r="BM182" s="144">
        <v>0</v>
      </c>
      <c r="BN182" s="144" t="s">
        <v>103</v>
      </c>
      <c r="BO182" s="144" t="s">
        <v>103</v>
      </c>
      <c r="BP182" s="203" t="s">
        <v>3582</v>
      </c>
      <c r="BQ182" s="203" t="s">
        <v>3273</v>
      </c>
    </row>
    <row r="183" spans="1:69" ht="41.1" customHeight="1">
      <c r="A183" s="206" t="s">
        <v>86</v>
      </c>
      <c r="B183" s="206" t="s">
        <v>935</v>
      </c>
      <c r="C183" s="143">
        <v>1000</v>
      </c>
      <c r="D183" s="135">
        <v>44337</v>
      </c>
      <c r="E183" s="135">
        <v>44337</v>
      </c>
      <c r="F183" s="147" t="s">
        <v>76</v>
      </c>
      <c r="G183" s="135" t="s">
        <v>76</v>
      </c>
      <c r="H183" s="147">
        <v>44341</v>
      </c>
      <c r="I183" s="147">
        <v>44341</v>
      </c>
      <c r="J183" s="147">
        <v>44347</v>
      </c>
      <c r="K183" s="135">
        <v>44489</v>
      </c>
      <c r="L183" s="135">
        <v>44480</v>
      </c>
      <c r="M183" s="135" t="s">
        <v>76</v>
      </c>
      <c r="N183" s="135">
        <v>44491</v>
      </c>
      <c r="O183" s="135">
        <v>44491</v>
      </c>
      <c r="P183" s="135">
        <v>44495</v>
      </c>
      <c r="Q183" s="135"/>
      <c r="R183" s="143"/>
      <c r="S183" s="143"/>
      <c r="T183" s="143"/>
      <c r="U183" s="143">
        <v>2</v>
      </c>
      <c r="V183" s="143">
        <v>14287</v>
      </c>
      <c r="W183" s="143" t="str">
        <f ca="1">IF(H183="",IF(D183="","",IF(U183+V183&lt;15,"Données Nb pers ou RFR manquantes",IF(COUNTA(INDIRECT("TabRFR["&amp;YEAR(D183)&amp;"]"))&lt;&gt;COUNTA(TabRFR[Recherche RFR]),"Data RFR manquantes", IF(V183&lt;=INDEX(TabRFR[[2021]:[2025]],MATCH(BD!U183&amp;"-Très modestes",TabRFR[Recherche RFR],0),MATCH(TEXT(YEAR(BD!D183),"Standard"),TabRFR[[#Headers],[2021]:[2025]],0)),"Très Modeste",IF(V183&lt;=INDEX(TabRFR[[2021]:[2025]],MATCH(BD!U183&amp;"-modestes",TabRFR[Recherche RFR],0),MATCH(TEXT(YEAR(BD!D183),"Standard"),TabRFR[[#Headers],[2021]:[2025]],0)),"Modeste",IF(V183&lt;=INDEX(TabRFR[[2021]:[2025]],MATCH(BD!U183&amp;"-Intermédiaire",TabRFR[Recherche RFR],0),MATCH(TEXT(YEAR(BD!D183),"Standard"),TabRFR[[#Headers],[2021]:[2025]],0)),"Intermédiaire","Supérieur")))))),IF(D183="","",IF(U183+V183&lt;15,"Données Nb pers ou RFR manquantes",IF(COUNTA(INDIRECT("TabRFR["&amp;YEAR(H183)&amp;"]"))&lt;&gt;COUNTA(TabRFR[Recherche RFR]),"Data RFR manquantes", IF(V183&lt;=INDEX(TabRFR[[2021]:[2025]],MATCH(BD!U183&amp;"-Très modestes",TabRFR[Recherche RFR],0),MATCH(TEXT(YEAR(BD!H183),"Standard"),TabRFR[[#Headers],[2021]:[2025]],0)),"Très Modeste",IF(V183&lt;=INDEX(TabRFR[[2021]:[2025]],MATCH(BD!U183&amp;"-modestes",TabRFR[Recherche RFR],0),MATCH(TEXT(YEAR(BD!H183),"Standard"),TabRFR[[#Headers],[2021]:[2025]],0)),"Modeste",IF(V183&lt;=INDEX(TabRFR[[2021]:[2025]],MATCH(BD!U183&amp;"-Intermédiaire",TabRFR[Recherche RFR],0),MATCH(TEXT(YEAR(BD!H183),"Standard"),TabRFR[[#Headers],[2021]:[2025]],0)),"Intermédiaire","Supérieur")))))))</f>
        <v>Très Modeste</v>
      </c>
      <c r="X183" s="143"/>
      <c r="Y183" s="143" t="s">
        <v>936</v>
      </c>
      <c r="Z183" s="143">
        <v>38500</v>
      </c>
      <c r="AA183" s="143" t="s">
        <v>108</v>
      </c>
      <c r="AB183" s="148"/>
      <c r="AC183" s="149"/>
      <c r="AD183" s="143" t="s">
        <v>91</v>
      </c>
      <c r="AE183" s="143" t="s">
        <v>76</v>
      </c>
      <c r="AF183" s="143" t="s">
        <v>76</v>
      </c>
      <c r="AG183" s="143" t="s">
        <v>76</v>
      </c>
      <c r="AH183" s="143" t="s">
        <v>76</v>
      </c>
      <c r="AI183" s="143" t="s">
        <v>109</v>
      </c>
      <c r="AJ183" s="143" t="s">
        <v>108</v>
      </c>
      <c r="AK183" s="143" t="s">
        <v>110</v>
      </c>
      <c r="AL183" s="149" t="s">
        <v>111</v>
      </c>
      <c r="AM183" s="148" t="s">
        <v>112</v>
      </c>
      <c r="AN183" s="143" t="s">
        <v>76</v>
      </c>
      <c r="AO183" s="150" t="s">
        <v>102</v>
      </c>
      <c r="AP183" s="147">
        <v>44138</v>
      </c>
      <c r="AQ183" s="135" t="s">
        <v>3496</v>
      </c>
      <c r="AR183" s="143">
        <v>1990</v>
      </c>
      <c r="AS183" s="143" t="s">
        <v>3413</v>
      </c>
      <c r="AT183" s="135" t="s">
        <v>3446</v>
      </c>
      <c r="AU183" s="143" t="s">
        <v>173</v>
      </c>
      <c r="AV183" s="143" t="s">
        <v>937</v>
      </c>
      <c r="AW183" s="143">
        <v>31</v>
      </c>
      <c r="AX183" s="143">
        <v>6</v>
      </c>
      <c r="AY183" s="143">
        <v>80</v>
      </c>
      <c r="AZ183" s="143">
        <v>0.08</v>
      </c>
      <c r="BA183" s="143" t="s">
        <v>101</v>
      </c>
      <c r="BB183" s="143"/>
      <c r="BC183" s="143">
        <f>1688+300+88+101+68+90+45+120+22+47+20</f>
        <v>2589</v>
      </c>
      <c r="BD183" s="143"/>
      <c r="BE183" s="143">
        <f>180+30+450</f>
        <v>660</v>
      </c>
      <c r="BF183" s="143">
        <f t="shared" si="6"/>
        <v>3249</v>
      </c>
      <c r="BG183" s="151">
        <f t="shared" si="7"/>
        <v>178.69499999999999</v>
      </c>
      <c r="BH183" s="151">
        <f t="shared" si="8"/>
        <v>3427.6950000000002</v>
      </c>
      <c r="BI183" s="151">
        <v>2882.26</v>
      </c>
      <c r="BJ183" s="143" t="s">
        <v>102</v>
      </c>
      <c r="BK183" s="143"/>
      <c r="BL183" s="143"/>
      <c r="BM183" s="144" t="s">
        <v>3592</v>
      </c>
      <c r="BN183" s="144" t="s">
        <v>103</v>
      </c>
      <c r="BO183" s="135" t="s">
        <v>155</v>
      </c>
      <c r="BP183" s="143">
        <v>2021</v>
      </c>
      <c r="BQ183" s="203" t="s">
        <v>144</v>
      </c>
    </row>
    <row r="184" spans="1:69" ht="41.1" customHeight="1">
      <c r="A184" s="206" t="s">
        <v>86</v>
      </c>
      <c r="B184" s="206" t="s">
        <v>938</v>
      </c>
      <c r="C184" s="143">
        <v>600</v>
      </c>
      <c r="D184" s="135">
        <v>44337</v>
      </c>
      <c r="E184" s="135">
        <v>44337</v>
      </c>
      <c r="F184" s="147" t="s">
        <v>76</v>
      </c>
      <c r="G184" s="135" t="s">
        <v>76</v>
      </c>
      <c r="H184" s="147">
        <v>44341</v>
      </c>
      <c r="I184" s="147">
        <v>44341</v>
      </c>
      <c r="J184" s="147">
        <v>44347</v>
      </c>
      <c r="K184" s="135">
        <v>44448</v>
      </c>
      <c r="L184" s="135">
        <v>44412</v>
      </c>
      <c r="M184" s="135" t="s">
        <v>76</v>
      </c>
      <c r="N184" s="135">
        <v>44455</v>
      </c>
      <c r="O184" s="135">
        <v>44455</v>
      </c>
      <c r="P184" s="135">
        <v>44469</v>
      </c>
      <c r="Q184" s="135"/>
      <c r="R184" s="143"/>
      <c r="S184" s="143"/>
      <c r="T184" s="143"/>
      <c r="U184" s="143">
        <v>2</v>
      </c>
      <c r="V184" s="143">
        <v>42540</v>
      </c>
      <c r="W184" s="143" t="str">
        <f ca="1">IF(H184="",IF(D184="","",IF(U184+V184&lt;15,"Données Nb pers ou RFR manquantes",IF(COUNTA(INDIRECT("TabRFR["&amp;YEAR(D184)&amp;"]"))&lt;&gt;COUNTA(TabRFR[Recherche RFR]),"Data RFR manquantes", IF(V184&lt;=INDEX(TabRFR[[2021]:[2025]],MATCH(BD!U184&amp;"-Très modestes",TabRFR[Recherche RFR],0),MATCH(TEXT(YEAR(BD!D184),"Standard"),TabRFR[[#Headers],[2021]:[2025]],0)),"Très Modeste",IF(V184&lt;=INDEX(TabRFR[[2021]:[2025]],MATCH(BD!U184&amp;"-modestes",TabRFR[Recherche RFR],0),MATCH(TEXT(YEAR(BD!D184),"Standard"),TabRFR[[#Headers],[2021]:[2025]],0)),"Modeste",IF(V184&lt;=INDEX(TabRFR[[2021]:[2025]],MATCH(BD!U184&amp;"-Intermédiaire",TabRFR[Recherche RFR],0),MATCH(TEXT(YEAR(BD!D184),"Standard"),TabRFR[[#Headers],[2021]:[2025]],0)),"Intermédiaire","Supérieur")))))),IF(D184="","",IF(U184+V184&lt;15,"Données Nb pers ou RFR manquantes",IF(COUNTA(INDIRECT("TabRFR["&amp;YEAR(H184)&amp;"]"))&lt;&gt;COUNTA(TabRFR[Recherche RFR]),"Data RFR manquantes", IF(V184&lt;=INDEX(TabRFR[[2021]:[2025]],MATCH(BD!U184&amp;"-Très modestes",TabRFR[Recherche RFR],0),MATCH(TEXT(YEAR(BD!H184),"Standard"),TabRFR[[#Headers],[2021]:[2025]],0)),"Très Modeste",IF(V184&lt;=INDEX(TabRFR[[2021]:[2025]],MATCH(BD!U184&amp;"-modestes",TabRFR[Recherche RFR],0),MATCH(TEXT(YEAR(BD!H184),"Standard"),TabRFR[[#Headers],[2021]:[2025]],0)),"Modeste",IF(V184&lt;=INDEX(TabRFR[[2021]:[2025]],MATCH(BD!U184&amp;"-Intermédiaire",TabRFR[Recherche RFR],0),MATCH(TEXT(YEAR(BD!H184),"Standard"),TabRFR[[#Headers],[2021]:[2025]],0)),"Intermédiaire","Supérieur")))))))</f>
        <v>Intermédiaire</v>
      </c>
      <c r="X184" s="143"/>
      <c r="Y184" s="143" t="s">
        <v>939</v>
      </c>
      <c r="Z184" s="143">
        <v>38620</v>
      </c>
      <c r="AA184" s="143" t="s">
        <v>90</v>
      </c>
      <c r="AB184" s="148"/>
      <c r="AC184" s="149"/>
      <c r="AD184" s="143" t="s">
        <v>91</v>
      </c>
      <c r="AE184" s="143" t="s">
        <v>76</v>
      </c>
      <c r="AF184" s="143" t="s">
        <v>76</v>
      </c>
      <c r="AG184" s="143" t="s">
        <v>76</v>
      </c>
      <c r="AH184" s="143" t="s">
        <v>76</v>
      </c>
      <c r="AI184" s="143" t="s">
        <v>120</v>
      </c>
      <c r="AJ184" s="143" t="s">
        <v>121</v>
      </c>
      <c r="AK184" s="143" t="s">
        <v>122</v>
      </c>
      <c r="AL184" s="150" t="s">
        <v>123</v>
      </c>
      <c r="AM184" s="148">
        <v>608287337</v>
      </c>
      <c r="AN184" s="143" t="s">
        <v>76</v>
      </c>
      <c r="AO184" s="150" t="s">
        <v>102</v>
      </c>
      <c r="AP184" s="147">
        <v>44782</v>
      </c>
      <c r="AQ184" s="143" t="s">
        <v>3413</v>
      </c>
      <c r="AR184" s="143" t="s">
        <v>172</v>
      </c>
      <c r="AS184" s="143" t="s">
        <v>3413</v>
      </c>
      <c r="AT184" s="143" t="s">
        <v>98</v>
      </c>
      <c r="AU184" s="143" t="s">
        <v>194</v>
      </c>
      <c r="AV184" s="143" t="s">
        <v>940</v>
      </c>
      <c r="AW184" s="143">
        <v>14.7</v>
      </c>
      <c r="AX184" s="143">
        <v>9.6</v>
      </c>
      <c r="AY184" s="143">
        <v>92.5</v>
      </c>
      <c r="AZ184" s="143">
        <v>8.0000000000000002E-3</v>
      </c>
      <c r="BA184" s="143" t="s">
        <v>126</v>
      </c>
      <c r="BB184" s="143"/>
      <c r="BC184" s="143">
        <f>3398+567+594</f>
        <v>4559</v>
      </c>
      <c r="BD184" s="143"/>
      <c r="BE184" s="143">
        <v>650</v>
      </c>
      <c r="BF184" s="143">
        <f t="shared" si="6"/>
        <v>5209</v>
      </c>
      <c r="BG184" s="151">
        <f t="shared" si="7"/>
        <v>286.495</v>
      </c>
      <c r="BH184" s="151">
        <f t="shared" si="8"/>
        <v>5495.4949999999999</v>
      </c>
      <c r="BI184" s="151">
        <v>5000</v>
      </c>
      <c r="BJ184" s="143" t="s">
        <v>115</v>
      </c>
      <c r="BK184" s="143"/>
      <c r="BL184" s="143"/>
      <c r="BM184" s="144" t="s">
        <v>3592</v>
      </c>
      <c r="BN184" s="144" t="s">
        <v>103</v>
      </c>
      <c r="BO184" s="144" t="s">
        <v>143</v>
      </c>
      <c r="BP184" s="143" t="s">
        <v>3583</v>
      </c>
      <c r="BQ184" s="203" t="s">
        <v>3274</v>
      </c>
    </row>
    <row r="185" spans="1:69" ht="41.1" customHeight="1">
      <c r="A185" s="206" t="s">
        <v>86</v>
      </c>
      <c r="B185" s="206" t="s">
        <v>941</v>
      </c>
      <c r="C185" s="143">
        <v>1000</v>
      </c>
      <c r="D185" s="135">
        <v>44340</v>
      </c>
      <c r="E185" s="135">
        <v>44341</v>
      </c>
      <c r="F185" s="147">
        <v>44341</v>
      </c>
      <c r="G185" s="135" t="s">
        <v>942</v>
      </c>
      <c r="H185" s="147">
        <v>44347</v>
      </c>
      <c r="I185" s="147">
        <v>44347</v>
      </c>
      <c r="J185" s="147">
        <v>44354</v>
      </c>
      <c r="K185" s="135">
        <v>44503</v>
      </c>
      <c r="L185" s="135">
        <v>44406</v>
      </c>
      <c r="M185" s="135" t="s">
        <v>76</v>
      </c>
      <c r="N185" s="135">
        <v>44512</v>
      </c>
      <c r="O185" s="135">
        <v>44512</v>
      </c>
      <c r="P185" s="135">
        <v>44518</v>
      </c>
      <c r="Q185" s="135"/>
      <c r="R185" s="143"/>
      <c r="S185" s="143"/>
      <c r="T185" s="143"/>
      <c r="U185" s="143">
        <v>5</v>
      </c>
      <c r="V185" s="143">
        <v>41879</v>
      </c>
      <c r="W185" s="143" t="str">
        <f ca="1">IF(H185="",IF(D185="","",IF(U185+V185&lt;15,"Données Nb pers ou RFR manquantes",IF(COUNTA(INDIRECT("TabRFR["&amp;YEAR(D185)&amp;"]"))&lt;&gt;COUNTA(TabRFR[Recherche RFR]),"Data RFR manquantes", IF(V185&lt;=INDEX(TabRFR[[2021]:[2025]],MATCH(BD!U185&amp;"-Très modestes",TabRFR[Recherche RFR],0),MATCH(TEXT(YEAR(BD!D185),"Standard"),TabRFR[[#Headers],[2021]:[2025]],0)),"Très Modeste",IF(V185&lt;=INDEX(TabRFR[[2021]:[2025]],MATCH(BD!U185&amp;"-modestes",TabRFR[Recherche RFR],0),MATCH(TEXT(YEAR(BD!D185),"Standard"),TabRFR[[#Headers],[2021]:[2025]],0)),"Modeste",IF(V185&lt;=INDEX(TabRFR[[2021]:[2025]],MATCH(BD!U185&amp;"-Intermédiaire",TabRFR[Recherche RFR],0),MATCH(TEXT(YEAR(BD!D185),"Standard"),TabRFR[[#Headers],[2021]:[2025]],0)),"Intermédiaire","Supérieur")))))),IF(D185="","",IF(U185+V185&lt;15,"Données Nb pers ou RFR manquantes",IF(COUNTA(INDIRECT("TabRFR["&amp;YEAR(H185)&amp;"]"))&lt;&gt;COUNTA(TabRFR[Recherche RFR]),"Data RFR manquantes", IF(V185&lt;=INDEX(TabRFR[[2021]:[2025]],MATCH(BD!U185&amp;"-Très modestes",TabRFR[Recherche RFR],0),MATCH(TEXT(YEAR(BD!H185),"Standard"),TabRFR[[#Headers],[2021]:[2025]],0)),"Très Modeste",IF(V185&lt;=INDEX(TabRFR[[2021]:[2025]],MATCH(BD!U185&amp;"-modestes",TabRFR[Recherche RFR],0),MATCH(TEXT(YEAR(BD!H185),"Standard"),TabRFR[[#Headers],[2021]:[2025]],0)),"Modeste",IF(V185&lt;=INDEX(TabRFR[[2021]:[2025]],MATCH(BD!U185&amp;"-Intermédiaire",TabRFR[Recherche RFR],0),MATCH(TEXT(YEAR(BD!H185),"Standard"),TabRFR[[#Headers],[2021]:[2025]],0)),"Intermédiaire","Supérieur")))))))</f>
        <v>Modeste</v>
      </c>
      <c r="X185" s="143"/>
      <c r="Y185" s="143" t="s">
        <v>943</v>
      </c>
      <c r="Z185" s="143">
        <v>38620</v>
      </c>
      <c r="AA185" s="143" t="s">
        <v>680</v>
      </c>
      <c r="AB185" s="148"/>
      <c r="AC185" s="149"/>
      <c r="AD185" s="143" t="s">
        <v>91</v>
      </c>
      <c r="AE185" s="143" t="s">
        <v>76</v>
      </c>
      <c r="AF185" s="143" t="s">
        <v>76</v>
      </c>
      <c r="AG185" s="143" t="s">
        <v>76</v>
      </c>
      <c r="AH185" s="143" t="s">
        <v>76</v>
      </c>
      <c r="AI185" s="143" t="s">
        <v>169</v>
      </c>
      <c r="AJ185" s="143" t="s">
        <v>119</v>
      </c>
      <c r="AK185" s="143" t="s">
        <v>170</v>
      </c>
      <c r="AL185" s="149" t="s">
        <v>171</v>
      </c>
      <c r="AM185" s="148">
        <v>476355605</v>
      </c>
      <c r="AN185" s="143" t="s">
        <v>76</v>
      </c>
      <c r="AO185" s="150" t="s">
        <v>102</v>
      </c>
      <c r="AP185" s="147">
        <v>44495</v>
      </c>
      <c r="AQ185" s="135" t="s">
        <v>3496</v>
      </c>
      <c r="AR185" s="143">
        <v>2001</v>
      </c>
      <c r="AS185" s="135" t="s">
        <v>3496</v>
      </c>
      <c r="AT185" s="135" t="s">
        <v>3446</v>
      </c>
      <c r="AU185" s="143" t="s">
        <v>173</v>
      </c>
      <c r="AV185" s="143" t="s">
        <v>944</v>
      </c>
      <c r="AW185" s="143">
        <v>23</v>
      </c>
      <c r="AX185" s="143">
        <v>10</v>
      </c>
      <c r="AY185" s="143">
        <v>78</v>
      </c>
      <c r="AZ185" s="143">
        <v>7.0000000000000007E-2</v>
      </c>
      <c r="BA185" s="143" t="s">
        <v>101</v>
      </c>
      <c r="BB185" s="143"/>
      <c r="BC185" s="143">
        <f>87.59+316.9+246.42+226.13+72.41+977.76+110.12+69.05+312.1+87.04+70.86+68.69+207+295.6+365.75+1745+565+290.55+266.4</f>
        <v>6380.37</v>
      </c>
      <c r="BD185" s="143"/>
      <c r="BE185" s="143">
        <f>770+178.69+1150</f>
        <v>2098.69</v>
      </c>
      <c r="BF185" s="143">
        <f t="shared" si="6"/>
        <v>8479.06</v>
      </c>
      <c r="BG185" s="151">
        <f t="shared" si="7"/>
        <v>466.34829999999999</v>
      </c>
      <c r="BH185" s="151">
        <f t="shared" si="8"/>
        <v>8945.4082999999991</v>
      </c>
      <c r="BI185" s="151">
        <v>8945.41</v>
      </c>
      <c r="BJ185" s="143" t="s">
        <v>115</v>
      </c>
      <c r="BK185" s="143"/>
      <c r="BL185" s="143"/>
      <c r="BM185" s="144" t="s">
        <v>3592</v>
      </c>
      <c r="BN185" s="144" t="s">
        <v>103</v>
      </c>
      <c r="BO185" s="135" t="s">
        <v>155</v>
      </c>
      <c r="BP185" s="144">
        <v>2021</v>
      </c>
      <c r="BQ185" s="203" t="s">
        <v>3274</v>
      </c>
    </row>
    <row r="186" spans="1:69" ht="41.1" customHeight="1">
      <c r="A186" s="207" t="s">
        <v>86</v>
      </c>
      <c r="B186" s="207" t="s">
        <v>945</v>
      </c>
      <c r="C186" s="146" t="s">
        <v>76</v>
      </c>
      <c r="D186" s="135">
        <v>44341</v>
      </c>
      <c r="E186" s="135">
        <v>44341</v>
      </c>
      <c r="F186" s="147">
        <v>44341</v>
      </c>
      <c r="G186" s="135" t="s">
        <v>946</v>
      </c>
      <c r="H186" s="147" t="s">
        <v>76</v>
      </c>
      <c r="I186" s="147" t="s">
        <v>76</v>
      </c>
      <c r="J186" s="147" t="s">
        <v>76</v>
      </c>
      <c r="K186" s="135" t="s">
        <v>76</v>
      </c>
      <c r="L186" s="135" t="s">
        <v>76</v>
      </c>
      <c r="M186" s="135" t="s">
        <v>76</v>
      </c>
      <c r="N186" s="135" t="s">
        <v>76</v>
      </c>
      <c r="O186" s="135" t="s">
        <v>76</v>
      </c>
      <c r="P186" s="135" t="s">
        <v>76</v>
      </c>
      <c r="Q186" s="135">
        <v>44347</v>
      </c>
      <c r="R186" s="143" t="s">
        <v>177</v>
      </c>
      <c r="S186" s="143"/>
      <c r="T186" s="143"/>
      <c r="U186" s="143">
        <v>2</v>
      </c>
      <c r="V186" s="143">
        <v>46714</v>
      </c>
      <c r="W186" s="143" t="str">
        <f ca="1">IF(H186="",IF(D186="","",IF(U186+V186&lt;15,"Données Nb pers ou RFR manquantes",IF(COUNTA(INDIRECT("TabRFR["&amp;YEAR(D186)&amp;"]"))&lt;&gt;COUNTA(TabRFR[Recherche RFR]),"Data RFR manquantes", IF(V186&lt;=INDEX(TabRFR[[2021]:[2025]],MATCH(BD!U186&amp;"-Très modestes",TabRFR[Recherche RFR],0),MATCH(TEXT(YEAR(BD!D186),"Standard"),TabRFR[[#Headers],[2021]:[2025]],0)),"Très Modeste",IF(V186&lt;=INDEX(TabRFR[[2021]:[2025]],MATCH(BD!U186&amp;"-modestes",TabRFR[Recherche RFR],0),MATCH(TEXT(YEAR(BD!D186),"Standard"),TabRFR[[#Headers],[2021]:[2025]],0)),"Modeste",IF(V186&lt;=INDEX(TabRFR[[2021]:[2025]],MATCH(BD!U186&amp;"-Intermédiaire",TabRFR[Recherche RFR],0),MATCH(TEXT(YEAR(BD!D186),"Standard"),TabRFR[[#Headers],[2021]:[2025]],0)),"Intermédiaire","Supérieur")))))),IF(D186="","",IF(U186+V186&lt;15,"Données Nb pers ou RFR manquantes",IF(COUNTA(INDIRECT("TabRFR["&amp;YEAR(H186)&amp;"]"))&lt;&gt;COUNTA(TabRFR[Recherche RFR]),"Data RFR manquantes", IF(V186&lt;=INDEX(TabRFR[[2021]:[2025]],MATCH(BD!U186&amp;"-Très modestes",TabRFR[Recherche RFR],0),MATCH(TEXT(YEAR(BD!H186),"Standard"),TabRFR[[#Headers],[2021]:[2025]],0)),"Très Modeste",IF(V186&lt;=INDEX(TabRFR[[2021]:[2025]],MATCH(BD!U186&amp;"-modestes",TabRFR[Recherche RFR],0),MATCH(TEXT(YEAR(BD!H186),"Standard"),TabRFR[[#Headers],[2021]:[2025]],0)),"Modeste",IF(V186&lt;=INDEX(TabRFR[[2021]:[2025]],MATCH(BD!U186&amp;"-Intermédiaire",TabRFR[Recherche RFR],0),MATCH(TEXT(YEAR(BD!H186),"Standard"),TabRFR[[#Headers],[2021]:[2025]],0)),"Intermédiaire","Supérieur")))))))</f>
        <v>Data RFR manquantes</v>
      </c>
      <c r="X186" s="143"/>
      <c r="Y186" s="143" t="s">
        <v>947</v>
      </c>
      <c r="Z186" s="143">
        <v>38730</v>
      </c>
      <c r="AA186" s="143" t="s">
        <v>148</v>
      </c>
      <c r="AB186" s="148"/>
      <c r="AC186" s="149"/>
      <c r="AD186" s="143" t="s">
        <v>91</v>
      </c>
      <c r="AE186" s="143" t="s">
        <v>76</v>
      </c>
      <c r="AF186" s="143" t="s">
        <v>76</v>
      </c>
      <c r="AG186" s="143" t="s">
        <v>76</v>
      </c>
      <c r="AH186" s="143" t="s">
        <v>76</v>
      </c>
      <c r="AI186" s="135" t="s">
        <v>285</v>
      </c>
      <c r="AJ186" s="143" t="s">
        <v>108</v>
      </c>
      <c r="AK186" s="143" t="s">
        <v>286</v>
      </c>
      <c r="AL186" s="150" t="s">
        <v>287</v>
      </c>
      <c r="AM186" s="148">
        <v>476069938</v>
      </c>
      <c r="AN186" s="143" t="s">
        <v>76</v>
      </c>
      <c r="AO186" s="150" t="s">
        <v>102</v>
      </c>
      <c r="AP186" s="147">
        <v>44457</v>
      </c>
      <c r="AQ186" s="135" t="s">
        <v>3496</v>
      </c>
      <c r="AR186" s="143">
        <v>2001</v>
      </c>
      <c r="AS186" s="143" t="s">
        <v>3413</v>
      </c>
      <c r="AT186" s="138" t="s">
        <v>98</v>
      </c>
      <c r="AU186" s="143" t="s">
        <v>381</v>
      </c>
      <c r="AV186" s="143" t="s">
        <v>948</v>
      </c>
      <c r="AW186" s="143">
        <v>18.399999999999999</v>
      </c>
      <c r="AX186" s="143">
        <v>9</v>
      </c>
      <c r="AY186" s="143">
        <v>90</v>
      </c>
      <c r="AZ186" s="143">
        <v>2E-3</v>
      </c>
      <c r="BA186" s="143" t="s">
        <v>115</v>
      </c>
      <c r="BB186" s="143"/>
      <c r="BC186" s="143">
        <f>4041.67+1479+110</f>
        <v>5630.67</v>
      </c>
      <c r="BD186" s="143"/>
      <c r="BE186" s="143">
        <f>1+590</f>
        <v>591</v>
      </c>
      <c r="BF186" s="143">
        <f t="shared" si="6"/>
        <v>6221.67</v>
      </c>
      <c r="BG186" s="143">
        <f t="shared" si="7"/>
        <v>342.19184999999999</v>
      </c>
      <c r="BH186" s="143">
        <f t="shared" si="8"/>
        <v>6563.8618500000002</v>
      </c>
      <c r="BI186" s="151">
        <v>6563.86</v>
      </c>
      <c r="BJ186" s="143" t="s">
        <v>102</v>
      </c>
      <c r="BK186" s="143"/>
      <c r="BL186" s="143"/>
      <c r="BM186" s="144">
        <v>0</v>
      </c>
      <c r="BN186" s="144" t="s">
        <v>103</v>
      </c>
      <c r="BO186" s="144" t="s">
        <v>103</v>
      </c>
      <c r="BP186" s="203" t="s">
        <v>3582</v>
      </c>
      <c r="BQ186" s="203" t="s">
        <v>3273</v>
      </c>
    </row>
    <row r="187" spans="1:69" ht="41.1" customHeight="1">
      <c r="A187" s="206" t="s">
        <v>86</v>
      </c>
      <c r="B187" s="206" t="s">
        <v>949</v>
      </c>
      <c r="C187" s="143">
        <v>600</v>
      </c>
      <c r="D187" s="135">
        <v>44341</v>
      </c>
      <c r="E187" s="135">
        <v>44341</v>
      </c>
      <c r="F187" s="147" t="s">
        <v>76</v>
      </c>
      <c r="G187" s="135" t="s">
        <v>76</v>
      </c>
      <c r="H187" s="147">
        <v>44347</v>
      </c>
      <c r="I187" s="147">
        <v>44347</v>
      </c>
      <c r="J187" s="147">
        <v>44354</v>
      </c>
      <c r="K187" s="135">
        <v>44489</v>
      </c>
      <c r="L187" s="135">
        <v>44459</v>
      </c>
      <c r="M187" s="135" t="s">
        <v>76</v>
      </c>
      <c r="N187" s="135">
        <v>44491</v>
      </c>
      <c r="O187" s="135">
        <v>44491</v>
      </c>
      <c r="P187" s="135">
        <v>44496</v>
      </c>
      <c r="Q187" s="135"/>
      <c r="R187" s="143"/>
      <c r="S187" s="143"/>
      <c r="T187" s="143"/>
      <c r="U187" s="143">
        <v>2</v>
      </c>
      <c r="V187" s="143">
        <v>70770</v>
      </c>
      <c r="W187" s="143" t="str">
        <f ca="1">IF(H187="",IF(D187="","",IF(U187+V187&lt;15,"Données Nb pers ou RFR manquantes",IF(COUNTA(INDIRECT("TabRFR["&amp;YEAR(D187)&amp;"]"))&lt;&gt;COUNTA(TabRFR[Recherche RFR]),"Data RFR manquantes", IF(V187&lt;=INDEX(TabRFR[[2021]:[2025]],MATCH(BD!U187&amp;"-Très modestes",TabRFR[Recherche RFR],0),MATCH(TEXT(YEAR(BD!D187),"Standard"),TabRFR[[#Headers],[2021]:[2025]],0)),"Très Modeste",IF(V187&lt;=INDEX(TabRFR[[2021]:[2025]],MATCH(BD!U187&amp;"-modestes",TabRFR[Recherche RFR],0),MATCH(TEXT(YEAR(BD!D187),"Standard"),TabRFR[[#Headers],[2021]:[2025]],0)),"Modeste",IF(V187&lt;=INDEX(TabRFR[[2021]:[2025]],MATCH(BD!U187&amp;"-Intermédiaire",TabRFR[Recherche RFR],0),MATCH(TEXT(YEAR(BD!D187),"Standard"),TabRFR[[#Headers],[2021]:[2025]],0)),"Intermédiaire","Supérieur")))))),IF(D187="","",IF(U187+V187&lt;15,"Données Nb pers ou RFR manquantes",IF(COUNTA(INDIRECT("TabRFR["&amp;YEAR(H187)&amp;"]"))&lt;&gt;COUNTA(TabRFR[Recherche RFR]),"Data RFR manquantes", IF(V187&lt;=INDEX(TabRFR[[2021]:[2025]],MATCH(BD!U187&amp;"-Très modestes",TabRFR[Recherche RFR],0),MATCH(TEXT(YEAR(BD!H187),"Standard"),TabRFR[[#Headers],[2021]:[2025]],0)),"Très Modeste",IF(V187&lt;=INDEX(TabRFR[[2021]:[2025]],MATCH(BD!U187&amp;"-modestes",TabRFR[Recherche RFR],0),MATCH(TEXT(YEAR(BD!H187),"Standard"),TabRFR[[#Headers],[2021]:[2025]],0)),"Modeste",IF(V187&lt;=INDEX(TabRFR[[2021]:[2025]],MATCH(BD!U187&amp;"-Intermédiaire",TabRFR[Recherche RFR],0),MATCH(TEXT(YEAR(BD!H187),"Standard"),TabRFR[[#Headers],[2021]:[2025]],0)),"Intermédiaire","Supérieur")))))))</f>
        <v>Supérieur</v>
      </c>
      <c r="X187" s="143"/>
      <c r="Y187" s="143" t="s">
        <v>950</v>
      </c>
      <c r="Z187" s="143">
        <v>38500</v>
      </c>
      <c r="AA187" s="143" t="s">
        <v>284</v>
      </c>
      <c r="AB187" s="148"/>
      <c r="AC187" s="149"/>
      <c r="AD187" s="143" t="s">
        <v>91</v>
      </c>
      <c r="AE187" s="143" t="s">
        <v>76</v>
      </c>
      <c r="AF187" s="143" t="s">
        <v>76</v>
      </c>
      <c r="AG187" s="143" t="s">
        <v>76</v>
      </c>
      <c r="AH187" s="143" t="s">
        <v>76</v>
      </c>
      <c r="AI187" s="143" t="s">
        <v>951</v>
      </c>
      <c r="AJ187" s="143" t="s">
        <v>865</v>
      </c>
      <c r="AK187" s="143" t="s">
        <v>952</v>
      </c>
      <c r="AL187" s="150" t="s">
        <v>953</v>
      </c>
      <c r="AM187" s="148">
        <v>662398956</v>
      </c>
      <c r="AN187" s="143" t="s">
        <v>76</v>
      </c>
      <c r="AO187" s="150" t="s">
        <v>102</v>
      </c>
      <c r="AP187" s="147">
        <v>44658</v>
      </c>
      <c r="AQ187" s="135" t="s">
        <v>3449</v>
      </c>
      <c r="AR187" s="143">
        <v>2000</v>
      </c>
      <c r="AS187" s="143" t="s">
        <v>3413</v>
      </c>
      <c r="AT187" s="135" t="s">
        <v>3446</v>
      </c>
      <c r="AU187" s="143" t="s">
        <v>319</v>
      </c>
      <c r="AV187" s="143" t="s">
        <v>954</v>
      </c>
      <c r="AW187" s="143">
        <v>32</v>
      </c>
      <c r="AX187" s="143">
        <v>4</v>
      </c>
      <c r="AY187" s="143">
        <v>80.8</v>
      </c>
      <c r="AZ187" s="143">
        <v>0.11</v>
      </c>
      <c r="BA187" s="143" t="s">
        <v>101</v>
      </c>
      <c r="BB187" s="143"/>
      <c r="BC187" s="143">
        <f>2416.67+20.69+75.62+35.82+611.87+75.77+104.54+19.94+60.68+99.47</f>
        <v>3521.0699999999997</v>
      </c>
      <c r="BD187" s="143"/>
      <c r="BE187" s="143">
        <f>47.39+473.93+132.69+473.93</f>
        <v>1127.94</v>
      </c>
      <c r="BF187" s="143">
        <f t="shared" si="6"/>
        <v>4649.01</v>
      </c>
      <c r="BG187" s="151">
        <f t="shared" si="7"/>
        <v>255.69555000000003</v>
      </c>
      <c r="BH187" s="151">
        <f t="shared" si="8"/>
        <v>4904.7055500000006</v>
      </c>
      <c r="BI187" s="151">
        <v>4588.21</v>
      </c>
      <c r="BJ187" s="143" t="s">
        <v>115</v>
      </c>
      <c r="BK187" s="143"/>
      <c r="BL187" s="143"/>
      <c r="BM187" s="144" t="s">
        <v>3592</v>
      </c>
      <c r="BN187" s="144" t="s">
        <v>103</v>
      </c>
      <c r="BO187" s="144" t="s">
        <v>143</v>
      </c>
      <c r="BP187" s="144">
        <v>2021</v>
      </c>
      <c r="BQ187" s="203" t="s">
        <v>3274</v>
      </c>
    </row>
    <row r="188" spans="1:69" ht="41.1" customHeight="1">
      <c r="A188" s="206" t="s">
        <v>86</v>
      </c>
      <c r="B188" s="206" t="s">
        <v>955</v>
      </c>
      <c r="C188" s="143">
        <v>600</v>
      </c>
      <c r="D188" s="135">
        <v>44344</v>
      </c>
      <c r="E188" s="135">
        <v>44344</v>
      </c>
      <c r="F188" s="147" t="s">
        <v>76</v>
      </c>
      <c r="G188" s="135" t="s">
        <v>76</v>
      </c>
      <c r="H188" s="147">
        <v>44347</v>
      </c>
      <c r="I188" s="147">
        <v>44347</v>
      </c>
      <c r="J188" s="147">
        <v>44354</v>
      </c>
      <c r="K188" s="135">
        <v>44400</v>
      </c>
      <c r="L188" s="135">
        <v>44398</v>
      </c>
      <c r="M188" s="135" t="s">
        <v>76</v>
      </c>
      <c r="N188" s="135">
        <v>44413</v>
      </c>
      <c r="O188" s="135">
        <v>44413</v>
      </c>
      <c r="P188" s="135">
        <v>44431</v>
      </c>
      <c r="Q188" s="135"/>
      <c r="R188" s="143"/>
      <c r="S188" s="143"/>
      <c r="T188" s="143"/>
      <c r="U188" s="143">
        <v>4</v>
      </c>
      <c r="V188" s="143">
        <v>41068</v>
      </c>
      <c r="W188" s="143" t="str">
        <f ca="1">IF(H188="",IF(D188="","",IF(U188+V188&lt;15,"Données Nb pers ou RFR manquantes",IF(COUNTA(INDIRECT("TabRFR["&amp;YEAR(D188)&amp;"]"))&lt;&gt;COUNTA(TabRFR[Recherche RFR]),"Data RFR manquantes", IF(V188&lt;=INDEX(TabRFR[[2021]:[2025]],MATCH(BD!U188&amp;"-Très modestes",TabRFR[Recherche RFR],0),MATCH(TEXT(YEAR(BD!D188),"Standard"),TabRFR[[#Headers],[2021]:[2025]],0)),"Très Modeste",IF(V188&lt;=INDEX(TabRFR[[2021]:[2025]],MATCH(BD!U188&amp;"-modestes",TabRFR[Recherche RFR],0),MATCH(TEXT(YEAR(BD!D188),"Standard"),TabRFR[[#Headers],[2021]:[2025]],0)),"Modeste",IF(V188&lt;=INDEX(TabRFR[[2021]:[2025]],MATCH(BD!U188&amp;"-Intermédiaire",TabRFR[Recherche RFR],0),MATCH(TEXT(YEAR(BD!D188),"Standard"),TabRFR[[#Headers],[2021]:[2025]],0)),"Intermédiaire","Supérieur")))))),IF(D188="","",IF(U188+V188&lt;15,"Données Nb pers ou RFR manquantes",IF(COUNTA(INDIRECT("TabRFR["&amp;YEAR(H188)&amp;"]"))&lt;&gt;COUNTA(TabRFR[Recherche RFR]),"Data RFR manquantes", IF(V188&lt;=INDEX(TabRFR[[2021]:[2025]],MATCH(BD!U188&amp;"-Très modestes",TabRFR[Recherche RFR],0),MATCH(TEXT(YEAR(BD!H188),"Standard"),TabRFR[[#Headers],[2021]:[2025]],0)),"Très Modeste",IF(V188&lt;=INDEX(TabRFR[[2021]:[2025]],MATCH(BD!U188&amp;"-modestes",TabRFR[Recherche RFR],0),MATCH(TEXT(YEAR(BD!H188),"Standard"),TabRFR[[#Headers],[2021]:[2025]],0)),"Modeste",IF(V188&lt;=INDEX(TabRFR[[2021]:[2025]],MATCH(BD!U188&amp;"-Intermédiaire",TabRFR[Recherche RFR],0),MATCH(TEXT(YEAR(BD!H188),"Standard"),TabRFR[[#Headers],[2021]:[2025]],0)),"Intermédiaire","Supérieur")))))))</f>
        <v>Intermédiaire</v>
      </c>
      <c r="X188" s="143"/>
      <c r="Y188" s="143" t="s">
        <v>956</v>
      </c>
      <c r="Z188" s="143">
        <v>38340</v>
      </c>
      <c r="AA188" s="143" t="s">
        <v>266</v>
      </c>
      <c r="AB188" s="148"/>
      <c r="AC188" s="149"/>
      <c r="AD188" s="143" t="s">
        <v>91</v>
      </c>
      <c r="AE188" s="143" t="s">
        <v>76</v>
      </c>
      <c r="AF188" s="143" t="s">
        <v>76</v>
      </c>
      <c r="AG188" s="143" t="s">
        <v>76</v>
      </c>
      <c r="AH188" s="143" t="s">
        <v>76</v>
      </c>
      <c r="AI188" s="143" t="s">
        <v>169</v>
      </c>
      <c r="AJ188" s="143" t="s">
        <v>119</v>
      </c>
      <c r="AK188" s="143" t="s">
        <v>170</v>
      </c>
      <c r="AL188" s="149" t="s">
        <v>171</v>
      </c>
      <c r="AM188" s="148">
        <v>476355605</v>
      </c>
      <c r="AN188" s="143" t="s">
        <v>76</v>
      </c>
      <c r="AO188" s="150" t="s">
        <v>102</v>
      </c>
      <c r="AP188" s="147">
        <v>44495</v>
      </c>
      <c r="AQ188" s="135" t="s">
        <v>3496</v>
      </c>
      <c r="AR188" s="143">
        <v>2000</v>
      </c>
      <c r="AS188" s="143" t="s">
        <v>3413</v>
      </c>
      <c r="AT188" s="135" t="s">
        <v>3446</v>
      </c>
      <c r="AU188" s="143" t="s">
        <v>173</v>
      </c>
      <c r="AV188" s="143" t="s">
        <v>717</v>
      </c>
      <c r="AW188" s="143">
        <v>14</v>
      </c>
      <c r="AX188" s="143">
        <v>7.8</v>
      </c>
      <c r="AY188" s="143">
        <v>81</v>
      </c>
      <c r="AZ188" s="143">
        <v>0.08</v>
      </c>
      <c r="BA188" s="143" t="s">
        <v>101</v>
      </c>
      <c r="BB188" s="143"/>
      <c r="BC188" s="143">
        <f>44.89+72.35+2257+218+89.6+33.54+65.6</f>
        <v>2780.9799999999996</v>
      </c>
      <c r="BD188" s="143"/>
      <c r="BE188" s="143">
        <v>725</v>
      </c>
      <c r="BF188" s="143">
        <f t="shared" si="6"/>
        <v>3505.9799999999996</v>
      </c>
      <c r="BG188" s="151">
        <f t="shared" si="7"/>
        <v>192.82889999999998</v>
      </c>
      <c r="BH188" s="151">
        <f t="shared" si="8"/>
        <v>3698.8088999999995</v>
      </c>
      <c r="BI188" s="151">
        <v>3698.81</v>
      </c>
      <c r="BJ188" s="143" t="s">
        <v>102</v>
      </c>
      <c r="BK188" s="143"/>
      <c r="BL188" s="143"/>
      <c r="BM188" s="144" t="s">
        <v>3592</v>
      </c>
      <c r="BN188" s="144" t="s">
        <v>103</v>
      </c>
      <c r="BO188" s="144" t="s">
        <v>143</v>
      </c>
      <c r="BP188" s="144">
        <v>2021</v>
      </c>
      <c r="BQ188" s="203" t="s">
        <v>144</v>
      </c>
    </row>
    <row r="189" spans="1:69" ht="41.1" customHeight="1">
      <c r="A189" s="206" t="s">
        <v>86</v>
      </c>
      <c r="B189" s="206" t="s">
        <v>957</v>
      </c>
      <c r="C189" s="143">
        <v>1000</v>
      </c>
      <c r="D189" s="135">
        <v>44348</v>
      </c>
      <c r="E189" s="135">
        <v>44348</v>
      </c>
      <c r="F189" s="147" t="s">
        <v>76</v>
      </c>
      <c r="G189" s="135" t="s">
        <v>76</v>
      </c>
      <c r="H189" s="147">
        <v>44348</v>
      </c>
      <c r="I189" s="147">
        <v>44348</v>
      </c>
      <c r="J189" s="147">
        <v>44354</v>
      </c>
      <c r="K189" s="135">
        <v>44406</v>
      </c>
      <c r="L189" s="135">
        <v>44400</v>
      </c>
      <c r="M189" s="135" t="s">
        <v>76</v>
      </c>
      <c r="N189" s="135">
        <v>44413</v>
      </c>
      <c r="O189" s="135">
        <v>44413</v>
      </c>
      <c r="P189" s="135">
        <v>44431</v>
      </c>
      <c r="Q189" s="135"/>
      <c r="R189" s="143"/>
      <c r="S189" s="143"/>
      <c r="T189" s="143"/>
      <c r="U189" s="143">
        <v>2</v>
      </c>
      <c r="V189" s="143">
        <v>22450</v>
      </c>
      <c r="W189" s="143" t="str">
        <f ca="1">IF(H189="",IF(D189="","",IF(U189+V189&lt;15,"Données Nb pers ou RFR manquantes",IF(COUNTA(INDIRECT("TabRFR["&amp;YEAR(D189)&amp;"]"))&lt;&gt;COUNTA(TabRFR[Recherche RFR]),"Data RFR manquantes", IF(V189&lt;=INDEX(TabRFR[[2021]:[2025]],MATCH(BD!U189&amp;"-Très modestes",TabRFR[Recherche RFR],0),MATCH(TEXT(YEAR(BD!D189),"Standard"),TabRFR[[#Headers],[2021]:[2025]],0)),"Très Modeste",IF(V189&lt;=INDEX(TabRFR[[2021]:[2025]],MATCH(BD!U189&amp;"-modestes",TabRFR[Recherche RFR],0),MATCH(TEXT(YEAR(BD!D189),"Standard"),TabRFR[[#Headers],[2021]:[2025]],0)),"Modeste",IF(V189&lt;=INDEX(TabRFR[[2021]:[2025]],MATCH(BD!U189&amp;"-Intermédiaire",TabRFR[Recherche RFR],0),MATCH(TEXT(YEAR(BD!D189),"Standard"),TabRFR[[#Headers],[2021]:[2025]],0)),"Intermédiaire","Supérieur")))))),IF(D189="","",IF(U189+V189&lt;15,"Données Nb pers ou RFR manquantes",IF(COUNTA(INDIRECT("TabRFR["&amp;YEAR(H189)&amp;"]"))&lt;&gt;COUNTA(TabRFR[Recherche RFR]),"Data RFR manquantes", IF(V189&lt;=INDEX(TabRFR[[2021]:[2025]],MATCH(BD!U189&amp;"-Très modestes",TabRFR[Recherche RFR],0),MATCH(TEXT(YEAR(BD!H189),"Standard"),TabRFR[[#Headers],[2021]:[2025]],0)),"Très Modeste",IF(V189&lt;=INDEX(TabRFR[[2021]:[2025]],MATCH(BD!U189&amp;"-modestes",TabRFR[Recherche RFR],0),MATCH(TEXT(YEAR(BD!H189),"Standard"),TabRFR[[#Headers],[2021]:[2025]],0)),"Modeste",IF(V189&lt;=INDEX(TabRFR[[2021]:[2025]],MATCH(BD!U189&amp;"-Intermédiaire",TabRFR[Recherche RFR],0),MATCH(TEXT(YEAR(BD!H189),"Standard"),TabRFR[[#Headers],[2021]:[2025]],0)),"Intermédiaire","Supérieur")))))))</f>
        <v>Modeste</v>
      </c>
      <c r="X189" s="143"/>
      <c r="Y189" s="143" t="s">
        <v>958</v>
      </c>
      <c r="Z189" s="143">
        <v>38140</v>
      </c>
      <c r="AA189" s="143" t="s">
        <v>200</v>
      </c>
      <c r="AB189" s="148"/>
      <c r="AC189" s="149"/>
      <c r="AD189" s="143" t="s">
        <v>91</v>
      </c>
      <c r="AE189" s="143" t="s">
        <v>76</v>
      </c>
      <c r="AF189" s="143" t="s">
        <v>76</v>
      </c>
      <c r="AG189" s="143" t="s">
        <v>76</v>
      </c>
      <c r="AH189" s="143" t="s">
        <v>76</v>
      </c>
      <c r="AI189" s="135" t="s">
        <v>285</v>
      </c>
      <c r="AJ189" s="143" t="s">
        <v>108</v>
      </c>
      <c r="AK189" s="143" t="s">
        <v>286</v>
      </c>
      <c r="AL189" s="150" t="s">
        <v>287</v>
      </c>
      <c r="AM189" s="148">
        <v>476069938</v>
      </c>
      <c r="AN189" s="143" t="s">
        <v>76</v>
      </c>
      <c r="AO189" s="150" t="s">
        <v>102</v>
      </c>
      <c r="AP189" s="147">
        <v>44457</v>
      </c>
      <c r="AQ189" s="135" t="s">
        <v>3496</v>
      </c>
      <c r="AR189" s="143">
        <v>1997</v>
      </c>
      <c r="AS189" s="143" t="s">
        <v>3413</v>
      </c>
      <c r="AT189" s="143" t="s">
        <v>98</v>
      </c>
      <c r="AU189" s="143" t="s">
        <v>430</v>
      </c>
      <c r="AV189" s="143" t="s">
        <v>959</v>
      </c>
      <c r="AW189" s="143">
        <v>14.8</v>
      </c>
      <c r="AX189" s="143">
        <v>7.4</v>
      </c>
      <c r="AY189" s="143">
        <v>92.5</v>
      </c>
      <c r="AZ189" s="143">
        <v>1.2E-2</v>
      </c>
      <c r="BA189" s="143" t="s">
        <v>126</v>
      </c>
      <c r="BB189" s="143"/>
      <c r="BC189" s="143">
        <f>390+250+3195+89</f>
        <v>3924</v>
      </c>
      <c r="BD189" s="143"/>
      <c r="BE189" s="143">
        <f>450+390</f>
        <v>840</v>
      </c>
      <c r="BF189" s="143">
        <f t="shared" si="6"/>
        <v>4764</v>
      </c>
      <c r="BG189" s="143">
        <f t="shared" si="7"/>
        <v>262.02</v>
      </c>
      <c r="BH189" s="143">
        <f t="shared" si="8"/>
        <v>5026.0200000000004</v>
      </c>
      <c r="BI189" s="151">
        <v>5026.0200000000004</v>
      </c>
      <c r="BJ189" s="143" t="s">
        <v>102</v>
      </c>
      <c r="BK189" s="143"/>
      <c r="BL189" s="143"/>
      <c r="BM189" s="144" t="s">
        <v>3592</v>
      </c>
      <c r="BN189" s="144" t="s">
        <v>103</v>
      </c>
      <c r="BO189" s="135" t="s">
        <v>155</v>
      </c>
      <c r="BP189" s="143" t="s">
        <v>3583</v>
      </c>
      <c r="BQ189" s="203" t="s">
        <v>144</v>
      </c>
    </row>
    <row r="190" spans="1:69" ht="41.1" customHeight="1">
      <c r="A190" s="206" t="s">
        <v>86</v>
      </c>
      <c r="B190" s="206" t="s">
        <v>960</v>
      </c>
      <c r="C190" s="143">
        <v>600</v>
      </c>
      <c r="D190" s="135">
        <v>44349</v>
      </c>
      <c r="E190" s="135">
        <v>44350</v>
      </c>
      <c r="F190" s="147" t="s">
        <v>76</v>
      </c>
      <c r="G190" s="135" t="s">
        <v>76</v>
      </c>
      <c r="H190" s="147">
        <v>44351</v>
      </c>
      <c r="I190" s="147">
        <v>44351</v>
      </c>
      <c r="J190" s="147">
        <v>44361</v>
      </c>
      <c r="K190" s="135">
        <v>44537</v>
      </c>
      <c r="L190" s="135">
        <v>44524</v>
      </c>
      <c r="M190" s="135" t="s">
        <v>76</v>
      </c>
      <c r="N190" s="135">
        <v>44546</v>
      </c>
      <c r="O190" s="135">
        <v>44546</v>
      </c>
      <c r="P190" s="135">
        <v>44547</v>
      </c>
      <c r="Q190" s="135"/>
      <c r="R190" s="143"/>
      <c r="S190" s="143"/>
      <c r="T190" s="143"/>
      <c r="U190" s="143">
        <v>2</v>
      </c>
      <c r="V190" s="143">
        <v>30284</v>
      </c>
      <c r="W190" s="143" t="str">
        <f ca="1">IF(H190="",IF(D190="","",IF(U190+V190&lt;15,"Données Nb pers ou RFR manquantes",IF(COUNTA(INDIRECT("TabRFR["&amp;YEAR(D190)&amp;"]"))&lt;&gt;COUNTA(TabRFR[Recherche RFR]),"Data RFR manquantes", IF(V190&lt;=INDEX(TabRFR[[2021]:[2025]],MATCH(BD!U190&amp;"-Très modestes",TabRFR[Recherche RFR],0),MATCH(TEXT(YEAR(BD!D190),"Standard"),TabRFR[[#Headers],[2021]:[2025]],0)),"Très Modeste",IF(V190&lt;=INDEX(TabRFR[[2021]:[2025]],MATCH(BD!U190&amp;"-modestes",TabRFR[Recherche RFR],0),MATCH(TEXT(YEAR(BD!D190),"Standard"),TabRFR[[#Headers],[2021]:[2025]],0)),"Modeste",IF(V190&lt;=INDEX(TabRFR[[2021]:[2025]],MATCH(BD!U190&amp;"-Intermédiaire",TabRFR[Recherche RFR],0),MATCH(TEXT(YEAR(BD!D190),"Standard"),TabRFR[[#Headers],[2021]:[2025]],0)),"Intermédiaire","Supérieur")))))),IF(D190="","",IF(U190+V190&lt;15,"Données Nb pers ou RFR manquantes",IF(COUNTA(INDIRECT("TabRFR["&amp;YEAR(H190)&amp;"]"))&lt;&gt;COUNTA(TabRFR[Recherche RFR]),"Data RFR manquantes", IF(V190&lt;=INDEX(TabRFR[[2021]:[2025]],MATCH(BD!U190&amp;"-Très modestes",TabRFR[Recherche RFR],0),MATCH(TEXT(YEAR(BD!H190),"Standard"),TabRFR[[#Headers],[2021]:[2025]],0)),"Très Modeste",IF(V190&lt;=INDEX(TabRFR[[2021]:[2025]],MATCH(BD!U190&amp;"-modestes",TabRFR[Recherche RFR],0),MATCH(TEXT(YEAR(BD!H190),"Standard"),TabRFR[[#Headers],[2021]:[2025]],0)),"Modeste",IF(V190&lt;=INDEX(TabRFR[[2021]:[2025]],MATCH(BD!U190&amp;"-Intermédiaire",TabRFR[Recherche RFR],0),MATCH(TEXT(YEAR(BD!H190),"Standard"),TabRFR[[#Headers],[2021]:[2025]],0)),"Intermédiaire","Supérieur")))))))</f>
        <v>Intermédiaire</v>
      </c>
      <c r="X190" s="143"/>
      <c r="Y190" s="143" t="s">
        <v>961</v>
      </c>
      <c r="Z190" s="143">
        <v>38500</v>
      </c>
      <c r="AA190" s="143" t="s">
        <v>284</v>
      </c>
      <c r="AB190" s="148"/>
      <c r="AC190" s="149"/>
      <c r="AD190" s="143" t="s">
        <v>91</v>
      </c>
      <c r="AE190" s="143" t="s">
        <v>76</v>
      </c>
      <c r="AF190" s="143" t="s">
        <v>76</v>
      </c>
      <c r="AG190" s="143" t="s">
        <v>76</v>
      </c>
      <c r="AH190" s="143" t="s">
        <v>76</v>
      </c>
      <c r="AI190" s="143" t="s">
        <v>109</v>
      </c>
      <c r="AJ190" s="143" t="s">
        <v>108</v>
      </c>
      <c r="AK190" s="143" t="s">
        <v>110</v>
      </c>
      <c r="AL190" s="149" t="s">
        <v>111</v>
      </c>
      <c r="AM190" s="148" t="s">
        <v>112</v>
      </c>
      <c r="AN190" s="143" t="s">
        <v>76</v>
      </c>
      <c r="AO190" s="150" t="s">
        <v>102</v>
      </c>
      <c r="AP190" s="147">
        <v>44138</v>
      </c>
      <c r="AQ190" s="143" t="s">
        <v>3413</v>
      </c>
      <c r="AR190" s="143">
        <v>1990</v>
      </c>
      <c r="AS190" s="143" t="s">
        <v>3413</v>
      </c>
      <c r="AT190" s="143" t="s">
        <v>98</v>
      </c>
      <c r="AU190" s="143" t="s">
        <v>113</v>
      </c>
      <c r="AV190" s="143" t="s">
        <v>962</v>
      </c>
      <c r="AW190" s="143">
        <v>18</v>
      </c>
      <c r="AX190" s="143">
        <v>10</v>
      </c>
      <c r="AY190" s="143">
        <v>90.4</v>
      </c>
      <c r="AZ190" s="143">
        <v>3.0000000000000001E-3</v>
      </c>
      <c r="BA190" s="143" t="s">
        <v>101</v>
      </c>
      <c r="BB190" s="143"/>
      <c r="BC190" s="143">
        <f>3485+210+85+101+91+90+55+32+22+58+15</f>
        <v>4244</v>
      </c>
      <c r="BD190" s="143"/>
      <c r="BE190" s="143">
        <f>30+480</f>
        <v>510</v>
      </c>
      <c r="BF190" s="143">
        <f t="shared" si="6"/>
        <v>4754</v>
      </c>
      <c r="BG190" s="151">
        <f t="shared" si="7"/>
        <v>261.47000000000003</v>
      </c>
      <c r="BH190" s="151">
        <f t="shared" si="8"/>
        <v>5015.47</v>
      </c>
      <c r="BI190" s="151">
        <v>5015.47</v>
      </c>
      <c r="BJ190" s="143" t="s">
        <v>102</v>
      </c>
      <c r="BK190" s="143"/>
      <c r="BL190" s="143"/>
      <c r="BM190" s="144" t="s">
        <v>3592</v>
      </c>
      <c r="BN190" s="144" t="s">
        <v>103</v>
      </c>
      <c r="BO190" s="144" t="s">
        <v>143</v>
      </c>
      <c r="BP190" s="143" t="s">
        <v>3583</v>
      </c>
      <c r="BQ190" s="203" t="s">
        <v>144</v>
      </c>
    </row>
    <row r="191" spans="1:69" ht="41.1" customHeight="1">
      <c r="A191" s="206" t="s">
        <v>86</v>
      </c>
      <c r="B191" s="206" t="s">
        <v>963</v>
      </c>
      <c r="C191" s="143">
        <v>1000</v>
      </c>
      <c r="D191" s="135">
        <v>44349</v>
      </c>
      <c r="E191" s="135">
        <v>44350</v>
      </c>
      <c r="F191" s="147" t="s">
        <v>76</v>
      </c>
      <c r="G191" s="135" t="s">
        <v>76</v>
      </c>
      <c r="H191" s="147">
        <v>44351</v>
      </c>
      <c r="I191" s="147">
        <v>44351</v>
      </c>
      <c r="J191" s="147">
        <v>44361</v>
      </c>
      <c r="K191" s="135">
        <v>44545</v>
      </c>
      <c r="L191" s="135">
        <v>44499</v>
      </c>
      <c r="M191" s="135" t="s">
        <v>76</v>
      </c>
      <c r="N191" s="135">
        <v>44546</v>
      </c>
      <c r="O191" s="135">
        <v>44546</v>
      </c>
      <c r="P191" s="135">
        <v>44547</v>
      </c>
      <c r="Q191" s="135"/>
      <c r="R191" s="143"/>
      <c r="S191" s="143"/>
      <c r="T191" s="143"/>
      <c r="U191" s="143">
        <v>3</v>
      </c>
      <c r="V191" s="143">
        <v>26760</v>
      </c>
      <c r="W191" s="143" t="str">
        <f ca="1">IF(H191="",IF(D191="","",IF(U191+V191&lt;15,"Données Nb pers ou RFR manquantes",IF(COUNTA(INDIRECT("TabRFR["&amp;YEAR(D191)&amp;"]"))&lt;&gt;COUNTA(TabRFR[Recherche RFR]),"Data RFR manquantes", IF(V191&lt;=INDEX(TabRFR[[2021]:[2025]],MATCH(BD!U191&amp;"-Très modestes",TabRFR[Recherche RFR],0),MATCH(TEXT(YEAR(BD!D191),"Standard"),TabRFR[[#Headers],[2021]:[2025]],0)),"Très Modeste",IF(V191&lt;=INDEX(TabRFR[[2021]:[2025]],MATCH(BD!U191&amp;"-modestes",TabRFR[Recherche RFR],0),MATCH(TEXT(YEAR(BD!D191),"Standard"),TabRFR[[#Headers],[2021]:[2025]],0)),"Modeste",IF(V191&lt;=INDEX(TabRFR[[2021]:[2025]],MATCH(BD!U191&amp;"-Intermédiaire",TabRFR[Recherche RFR],0),MATCH(TEXT(YEAR(BD!D191),"Standard"),TabRFR[[#Headers],[2021]:[2025]],0)),"Intermédiaire","Supérieur")))))),IF(D191="","",IF(U191+V191&lt;15,"Données Nb pers ou RFR manquantes",IF(COUNTA(INDIRECT("TabRFR["&amp;YEAR(H191)&amp;"]"))&lt;&gt;COUNTA(TabRFR[Recherche RFR]),"Data RFR manquantes", IF(V191&lt;=INDEX(TabRFR[[2021]:[2025]],MATCH(BD!U191&amp;"-Très modestes",TabRFR[Recherche RFR],0),MATCH(TEXT(YEAR(BD!H191),"Standard"),TabRFR[[#Headers],[2021]:[2025]],0)),"Très Modeste",IF(V191&lt;=INDEX(TabRFR[[2021]:[2025]],MATCH(BD!U191&amp;"-modestes",TabRFR[Recherche RFR],0),MATCH(TEXT(YEAR(BD!H191),"Standard"),TabRFR[[#Headers],[2021]:[2025]],0)),"Modeste",IF(V191&lt;=INDEX(TabRFR[[2021]:[2025]],MATCH(BD!U191&amp;"-Intermédiaire",TabRFR[Recherche RFR],0),MATCH(TEXT(YEAR(BD!H191),"Standard"),TabRFR[[#Headers],[2021]:[2025]],0)),"Intermédiaire","Supérieur")))))))</f>
        <v>Modeste</v>
      </c>
      <c r="X191" s="143"/>
      <c r="Y191" s="143" t="s">
        <v>964</v>
      </c>
      <c r="Z191" s="143">
        <v>38210</v>
      </c>
      <c r="AA191" s="143" t="s">
        <v>202</v>
      </c>
      <c r="AB191" s="148"/>
      <c r="AC191" s="149"/>
      <c r="AD191" s="143" t="s">
        <v>91</v>
      </c>
      <c r="AE191" s="143" t="s">
        <v>76</v>
      </c>
      <c r="AF191" s="143" t="s">
        <v>76</v>
      </c>
      <c r="AG191" s="143" t="s">
        <v>76</v>
      </c>
      <c r="AH191" s="143" t="s">
        <v>76</v>
      </c>
      <c r="AI191" s="135" t="s">
        <v>220</v>
      </c>
      <c r="AJ191" s="143" t="s">
        <v>108</v>
      </c>
      <c r="AK191" s="143" t="s">
        <v>221</v>
      </c>
      <c r="AL191" s="150" t="s">
        <v>222</v>
      </c>
      <c r="AM191" s="148">
        <v>476323235</v>
      </c>
      <c r="AN191" s="143" t="s">
        <v>76</v>
      </c>
      <c r="AO191" s="150" t="s">
        <v>102</v>
      </c>
      <c r="AP191" s="147">
        <v>44794</v>
      </c>
      <c r="AQ191" s="135" t="s">
        <v>3323</v>
      </c>
      <c r="AR191" s="143">
        <v>1986</v>
      </c>
      <c r="AS191" s="143" t="s">
        <v>2862</v>
      </c>
      <c r="AT191" s="135" t="s">
        <v>3446</v>
      </c>
      <c r="AU191" s="143" t="s">
        <v>385</v>
      </c>
      <c r="AV191" s="143" t="s">
        <v>386</v>
      </c>
      <c r="AW191" s="143">
        <v>36</v>
      </c>
      <c r="AX191" s="143">
        <v>9</v>
      </c>
      <c r="AY191" s="143">
        <v>75</v>
      </c>
      <c r="AZ191" s="143">
        <v>0.1</v>
      </c>
      <c r="BA191" s="143" t="s">
        <v>101</v>
      </c>
      <c r="BB191" s="143"/>
      <c r="BC191" s="143">
        <f>530+160+3035+86+82+31+29+62</f>
        <v>4015</v>
      </c>
      <c r="BD191" s="143"/>
      <c r="BE191" s="143">
        <f>340+75+330+25</f>
        <v>770</v>
      </c>
      <c r="BF191" s="143">
        <f t="shared" si="6"/>
        <v>4785</v>
      </c>
      <c r="BG191" s="151">
        <f t="shared" si="7"/>
        <v>263.17500000000001</v>
      </c>
      <c r="BH191" s="151">
        <f t="shared" si="8"/>
        <v>5048.1750000000002</v>
      </c>
      <c r="BI191" s="151">
        <f>3731.54+1160.5</f>
        <v>4892.04</v>
      </c>
      <c r="BJ191" s="143" t="s">
        <v>115</v>
      </c>
      <c r="BK191" s="143"/>
      <c r="BL191" s="143"/>
      <c r="BM191" s="144" t="s">
        <v>3592</v>
      </c>
      <c r="BN191" s="144" t="s">
        <v>103</v>
      </c>
      <c r="BO191" s="135" t="s">
        <v>155</v>
      </c>
      <c r="BP191" s="144">
        <v>2021</v>
      </c>
      <c r="BQ191" s="203" t="s">
        <v>3274</v>
      </c>
    </row>
    <row r="192" spans="1:69" ht="41.1" customHeight="1">
      <c r="A192" s="206" t="s">
        <v>86</v>
      </c>
      <c r="B192" s="206" t="s">
        <v>965</v>
      </c>
      <c r="C192" s="143">
        <v>600</v>
      </c>
      <c r="D192" s="135">
        <v>44350</v>
      </c>
      <c r="E192" s="135">
        <v>44351</v>
      </c>
      <c r="F192" s="147">
        <v>44351</v>
      </c>
      <c r="G192" s="135" t="s">
        <v>966</v>
      </c>
      <c r="H192" s="147">
        <v>44355</v>
      </c>
      <c r="I192" s="147">
        <v>44355</v>
      </c>
      <c r="J192" s="147">
        <v>44362</v>
      </c>
      <c r="K192" s="135">
        <v>44451</v>
      </c>
      <c r="L192" s="135">
        <v>44407</v>
      </c>
      <c r="M192" s="135" t="s">
        <v>76</v>
      </c>
      <c r="N192" s="135">
        <v>44455</v>
      </c>
      <c r="O192" s="135">
        <v>44455</v>
      </c>
      <c r="P192" s="135">
        <v>44469</v>
      </c>
      <c r="Q192" s="135"/>
      <c r="R192" s="143"/>
      <c r="S192" s="143"/>
      <c r="T192" s="143"/>
      <c r="U192" s="143">
        <v>2</v>
      </c>
      <c r="V192" s="143">
        <v>36731</v>
      </c>
      <c r="W192" s="143" t="str">
        <f ca="1">IF(H192="",IF(D192="","",IF(U192+V192&lt;15,"Données Nb pers ou RFR manquantes",IF(COUNTA(INDIRECT("TabRFR["&amp;YEAR(D192)&amp;"]"))&lt;&gt;COUNTA(TabRFR[Recherche RFR]),"Data RFR manquantes", IF(V192&lt;=INDEX(TabRFR[[2021]:[2025]],MATCH(BD!U192&amp;"-Très modestes",TabRFR[Recherche RFR],0),MATCH(TEXT(YEAR(BD!D192),"Standard"),TabRFR[[#Headers],[2021]:[2025]],0)),"Très Modeste",IF(V192&lt;=INDEX(TabRFR[[2021]:[2025]],MATCH(BD!U192&amp;"-modestes",TabRFR[Recherche RFR],0),MATCH(TEXT(YEAR(BD!D192),"Standard"),TabRFR[[#Headers],[2021]:[2025]],0)),"Modeste",IF(V192&lt;=INDEX(TabRFR[[2021]:[2025]],MATCH(BD!U192&amp;"-Intermédiaire",TabRFR[Recherche RFR],0),MATCH(TEXT(YEAR(BD!D192),"Standard"),TabRFR[[#Headers],[2021]:[2025]],0)),"Intermédiaire","Supérieur")))))),IF(D192="","",IF(U192+V192&lt;15,"Données Nb pers ou RFR manquantes",IF(COUNTA(INDIRECT("TabRFR["&amp;YEAR(H192)&amp;"]"))&lt;&gt;COUNTA(TabRFR[Recherche RFR]),"Data RFR manquantes", IF(V192&lt;=INDEX(TabRFR[[2021]:[2025]],MATCH(BD!U192&amp;"-Très modestes",TabRFR[Recherche RFR],0),MATCH(TEXT(YEAR(BD!H192),"Standard"),TabRFR[[#Headers],[2021]:[2025]],0)),"Très Modeste",IF(V192&lt;=INDEX(TabRFR[[2021]:[2025]],MATCH(BD!U192&amp;"-modestes",TabRFR[Recherche RFR],0),MATCH(TEXT(YEAR(BD!H192),"Standard"),TabRFR[[#Headers],[2021]:[2025]],0)),"Modeste",IF(V192&lt;=INDEX(TabRFR[[2021]:[2025]],MATCH(BD!U192&amp;"-Intermédiaire",TabRFR[Recherche RFR],0),MATCH(TEXT(YEAR(BD!H192),"Standard"),TabRFR[[#Headers],[2021]:[2025]],0)),"Intermédiaire","Supérieur")))))))</f>
        <v>Intermédiaire</v>
      </c>
      <c r="X192" s="143"/>
      <c r="Y192" s="143" t="s">
        <v>967</v>
      </c>
      <c r="Z192" s="143">
        <v>38850</v>
      </c>
      <c r="AA192" s="143" t="s">
        <v>435</v>
      </c>
      <c r="AB192" s="148"/>
      <c r="AC192" s="149"/>
      <c r="AD192" s="143" t="s">
        <v>91</v>
      </c>
      <c r="AE192" s="143" t="s">
        <v>76</v>
      </c>
      <c r="AF192" s="143" t="s">
        <v>76</v>
      </c>
      <c r="AG192" s="143" t="s">
        <v>76</v>
      </c>
      <c r="AH192" s="143" t="s">
        <v>76</v>
      </c>
      <c r="AI192" s="135" t="s">
        <v>285</v>
      </c>
      <c r="AJ192" s="143" t="s">
        <v>108</v>
      </c>
      <c r="AK192" s="143" t="s">
        <v>286</v>
      </c>
      <c r="AL192" s="150" t="s">
        <v>287</v>
      </c>
      <c r="AM192" s="148">
        <v>476069938</v>
      </c>
      <c r="AN192" s="143" t="s">
        <v>76</v>
      </c>
      <c r="AO192" s="150" t="s">
        <v>102</v>
      </c>
      <c r="AP192" s="147">
        <v>44457</v>
      </c>
      <c r="AQ192" s="135" t="s">
        <v>3496</v>
      </c>
      <c r="AR192" s="143">
        <v>1985</v>
      </c>
      <c r="AS192" s="143" t="s">
        <v>3413</v>
      </c>
      <c r="AT192" s="135" t="s">
        <v>3446</v>
      </c>
      <c r="AU192" s="143" t="s">
        <v>381</v>
      </c>
      <c r="AV192" s="143" t="s">
        <v>968</v>
      </c>
      <c r="AW192" s="143">
        <v>28</v>
      </c>
      <c r="AX192" s="143">
        <v>8</v>
      </c>
      <c r="AY192" s="143">
        <v>81.099999999999994</v>
      </c>
      <c r="AZ192" s="143">
        <v>0.08</v>
      </c>
      <c r="BA192" s="143" t="s">
        <v>101</v>
      </c>
      <c r="BB192" s="143"/>
      <c r="BC192" s="143">
        <f>1972+89+250+250+3383+468</f>
        <v>6412</v>
      </c>
      <c r="BD192" s="143"/>
      <c r="BE192" s="143">
        <f>300</f>
        <v>300</v>
      </c>
      <c r="BF192" s="143">
        <f t="shared" si="6"/>
        <v>6712</v>
      </c>
      <c r="BG192" s="143">
        <f t="shared" si="7"/>
        <v>369.16</v>
      </c>
      <c r="BH192" s="143">
        <f t="shared" si="8"/>
        <v>7081.16</v>
      </c>
      <c r="BI192" s="151">
        <v>7081.16</v>
      </c>
      <c r="BJ192" s="143" t="s">
        <v>102</v>
      </c>
      <c r="BK192" s="143"/>
      <c r="BL192" s="143"/>
      <c r="BM192" s="144" t="s">
        <v>3592</v>
      </c>
      <c r="BN192" s="144" t="s">
        <v>103</v>
      </c>
      <c r="BO192" s="144" t="s">
        <v>143</v>
      </c>
      <c r="BP192" s="144">
        <v>2021</v>
      </c>
      <c r="BQ192" s="203" t="s">
        <v>144</v>
      </c>
    </row>
    <row r="193" spans="1:69" ht="41.1" customHeight="1">
      <c r="A193" s="206" t="s">
        <v>86</v>
      </c>
      <c r="B193" s="206" t="s">
        <v>969</v>
      </c>
      <c r="C193" s="143">
        <v>1000</v>
      </c>
      <c r="D193" s="135">
        <v>44354</v>
      </c>
      <c r="E193" s="135">
        <v>44354</v>
      </c>
      <c r="F193" s="147" t="s">
        <v>76</v>
      </c>
      <c r="G193" s="135" t="s">
        <v>76</v>
      </c>
      <c r="H193" s="147">
        <v>44355</v>
      </c>
      <c r="I193" s="147">
        <v>44355</v>
      </c>
      <c r="J193" s="147">
        <v>44362</v>
      </c>
      <c r="K193" s="135">
        <v>44420</v>
      </c>
      <c r="L193" s="135">
        <v>44399</v>
      </c>
      <c r="M193" s="135" t="s">
        <v>76</v>
      </c>
      <c r="N193" s="135">
        <v>44424</v>
      </c>
      <c r="O193" s="135">
        <v>44424</v>
      </c>
      <c r="P193" s="135">
        <v>44461</v>
      </c>
      <c r="Q193" s="135"/>
      <c r="R193" s="143"/>
      <c r="S193" s="143"/>
      <c r="T193" s="143"/>
      <c r="U193" s="143">
        <v>2</v>
      </c>
      <c r="V193" s="143">
        <v>27182</v>
      </c>
      <c r="W193" s="143" t="str">
        <f ca="1">IF(H193="",IF(D193="","",IF(U193+V193&lt;15,"Données Nb pers ou RFR manquantes",IF(COUNTA(INDIRECT("TabRFR["&amp;YEAR(D193)&amp;"]"))&lt;&gt;COUNTA(TabRFR[Recherche RFR]),"Data RFR manquantes", IF(V193&lt;=INDEX(TabRFR[[2021]:[2025]],MATCH(BD!U193&amp;"-Très modestes",TabRFR[Recherche RFR],0),MATCH(TEXT(YEAR(BD!D193),"Standard"),TabRFR[[#Headers],[2021]:[2025]],0)),"Très Modeste",IF(V193&lt;=INDEX(TabRFR[[2021]:[2025]],MATCH(BD!U193&amp;"-modestes",TabRFR[Recherche RFR],0),MATCH(TEXT(YEAR(BD!D193),"Standard"),TabRFR[[#Headers],[2021]:[2025]],0)),"Modeste",IF(V193&lt;=INDEX(TabRFR[[2021]:[2025]],MATCH(BD!U193&amp;"-Intermédiaire",TabRFR[Recherche RFR],0),MATCH(TEXT(YEAR(BD!D193),"Standard"),TabRFR[[#Headers],[2021]:[2025]],0)),"Intermédiaire","Supérieur")))))),IF(D193="","",IF(U193+V193&lt;15,"Données Nb pers ou RFR manquantes",IF(COUNTA(INDIRECT("TabRFR["&amp;YEAR(H193)&amp;"]"))&lt;&gt;COUNTA(TabRFR[Recherche RFR]),"Data RFR manquantes", IF(V193&lt;=INDEX(TabRFR[[2021]:[2025]],MATCH(BD!U193&amp;"-Très modestes",TabRFR[Recherche RFR],0),MATCH(TEXT(YEAR(BD!H193),"Standard"),TabRFR[[#Headers],[2021]:[2025]],0)),"Très Modeste",IF(V193&lt;=INDEX(TabRFR[[2021]:[2025]],MATCH(BD!U193&amp;"-modestes",TabRFR[Recherche RFR],0),MATCH(TEXT(YEAR(BD!H193),"Standard"),TabRFR[[#Headers],[2021]:[2025]],0)),"Modeste",IF(V193&lt;=INDEX(TabRFR[[2021]:[2025]],MATCH(BD!U193&amp;"-Intermédiaire",TabRFR[Recherche RFR],0),MATCH(TEXT(YEAR(BD!H193),"Standard"),TabRFR[[#Headers],[2021]:[2025]],0)),"Intermédiaire","Supérieur")))))))</f>
        <v>Modeste</v>
      </c>
      <c r="X193" s="143"/>
      <c r="Y193" s="143" t="s">
        <v>970</v>
      </c>
      <c r="Z193" s="143">
        <v>38730</v>
      </c>
      <c r="AA193" s="143" t="s">
        <v>148</v>
      </c>
      <c r="AB193" s="148"/>
      <c r="AC193" s="149"/>
      <c r="AD193" s="143" t="s">
        <v>91</v>
      </c>
      <c r="AE193" s="143" t="s">
        <v>76</v>
      </c>
      <c r="AF193" s="143" t="s">
        <v>76</v>
      </c>
      <c r="AG193" s="143" t="s">
        <v>76</v>
      </c>
      <c r="AH193" s="143" t="s">
        <v>76</v>
      </c>
      <c r="AI193" s="143" t="s">
        <v>92</v>
      </c>
      <c r="AJ193" s="143" t="s">
        <v>93</v>
      </c>
      <c r="AK193" s="143" t="s">
        <v>94</v>
      </c>
      <c r="AL193" s="149" t="s">
        <v>95</v>
      </c>
      <c r="AM193" s="148" t="s">
        <v>96</v>
      </c>
      <c r="AN193" s="143" t="s">
        <v>76</v>
      </c>
      <c r="AO193" s="150" t="s">
        <v>97</v>
      </c>
      <c r="AP193" s="147">
        <v>44517</v>
      </c>
      <c r="AQ193" s="135" t="s">
        <v>3496</v>
      </c>
      <c r="AR193" s="143" t="s">
        <v>172</v>
      </c>
      <c r="AS193" s="143" t="s">
        <v>3413</v>
      </c>
      <c r="AT193" s="143" t="s">
        <v>98</v>
      </c>
      <c r="AU193" s="143" t="s">
        <v>99</v>
      </c>
      <c r="AV193" s="143" t="s">
        <v>971</v>
      </c>
      <c r="AW193" s="143">
        <v>15</v>
      </c>
      <c r="AX193" s="143">
        <v>11.1</v>
      </c>
      <c r="AY193" s="143">
        <v>90</v>
      </c>
      <c r="AZ193" s="143">
        <v>0.01</v>
      </c>
      <c r="BA193" s="143" t="s">
        <v>101</v>
      </c>
      <c r="BB193" s="143"/>
      <c r="BC193" s="143">
        <f>2890+175+263</f>
        <v>3328</v>
      </c>
      <c r="BD193" s="143"/>
      <c r="BE193" s="143">
        <f>690+495</f>
        <v>1185</v>
      </c>
      <c r="BF193" s="143">
        <f t="shared" si="6"/>
        <v>4513</v>
      </c>
      <c r="BG193" s="151">
        <f t="shared" si="7"/>
        <v>248.215</v>
      </c>
      <c r="BH193" s="151">
        <f t="shared" si="8"/>
        <v>4761.2150000000001</v>
      </c>
      <c r="BI193" s="151">
        <v>4761.22</v>
      </c>
      <c r="BJ193" s="143" t="s">
        <v>102</v>
      </c>
      <c r="BK193" s="143"/>
      <c r="BL193" s="143"/>
      <c r="BM193" s="144" t="s">
        <v>3592</v>
      </c>
      <c r="BN193" s="144" t="s">
        <v>103</v>
      </c>
      <c r="BO193" s="135" t="s">
        <v>155</v>
      </c>
      <c r="BP193" s="143" t="s">
        <v>3583</v>
      </c>
      <c r="BQ193" s="203" t="s">
        <v>3275</v>
      </c>
    </row>
    <row r="194" spans="1:69" ht="41.1" customHeight="1">
      <c r="A194" s="206" t="s">
        <v>86</v>
      </c>
      <c r="B194" s="206" t="s">
        <v>972</v>
      </c>
      <c r="C194" s="143">
        <v>1000</v>
      </c>
      <c r="D194" s="135">
        <v>44355</v>
      </c>
      <c r="E194" s="135">
        <v>44357</v>
      </c>
      <c r="F194" s="147" t="s">
        <v>76</v>
      </c>
      <c r="G194" s="135" t="s">
        <v>76</v>
      </c>
      <c r="H194" s="147">
        <v>44358</v>
      </c>
      <c r="I194" s="147">
        <v>44358</v>
      </c>
      <c r="J194" s="147">
        <v>44365</v>
      </c>
      <c r="K194" s="135">
        <v>44446</v>
      </c>
      <c r="L194" s="135">
        <v>44433</v>
      </c>
      <c r="M194" s="135" t="s">
        <v>973</v>
      </c>
      <c r="N194" s="135">
        <v>44469</v>
      </c>
      <c r="O194" s="135">
        <v>44469</v>
      </c>
      <c r="P194" s="135">
        <v>44469</v>
      </c>
      <c r="Q194" s="135"/>
      <c r="R194" s="143"/>
      <c r="S194" s="143"/>
      <c r="T194" s="143"/>
      <c r="U194" s="143">
        <v>1</v>
      </c>
      <c r="V194" s="143">
        <v>18045</v>
      </c>
      <c r="W194" s="143" t="str">
        <f ca="1">IF(H194="",IF(D194="","",IF(U194+V194&lt;15,"Données Nb pers ou RFR manquantes",IF(COUNTA(INDIRECT("TabRFR["&amp;YEAR(D194)&amp;"]"))&lt;&gt;COUNTA(TabRFR[Recherche RFR]),"Data RFR manquantes", IF(V194&lt;=INDEX(TabRFR[[2021]:[2025]],MATCH(BD!U194&amp;"-Très modestes",TabRFR[Recherche RFR],0),MATCH(TEXT(YEAR(BD!D194),"Standard"),TabRFR[[#Headers],[2021]:[2025]],0)),"Très Modeste",IF(V194&lt;=INDEX(TabRFR[[2021]:[2025]],MATCH(BD!U194&amp;"-modestes",TabRFR[Recherche RFR],0),MATCH(TEXT(YEAR(BD!D194),"Standard"),TabRFR[[#Headers],[2021]:[2025]],0)),"Modeste",IF(V194&lt;=INDEX(TabRFR[[2021]:[2025]],MATCH(BD!U194&amp;"-Intermédiaire",TabRFR[Recherche RFR],0),MATCH(TEXT(YEAR(BD!D194),"Standard"),TabRFR[[#Headers],[2021]:[2025]],0)),"Intermédiaire","Supérieur")))))),IF(D194="","",IF(U194+V194&lt;15,"Données Nb pers ou RFR manquantes",IF(COUNTA(INDIRECT("TabRFR["&amp;YEAR(H194)&amp;"]"))&lt;&gt;COUNTA(TabRFR[Recherche RFR]),"Data RFR manquantes", IF(V194&lt;=INDEX(TabRFR[[2021]:[2025]],MATCH(BD!U194&amp;"-Très modestes",TabRFR[Recherche RFR],0),MATCH(TEXT(YEAR(BD!H194),"Standard"),TabRFR[[#Headers],[2021]:[2025]],0)),"Très Modeste",IF(V194&lt;=INDEX(TabRFR[[2021]:[2025]],MATCH(BD!U194&amp;"-modestes",TabRFR[Recherche RFR],0),MATCH(TEXT(YEAR(BD!H194),"Standard"),TabRFR[[#Headers],[2021]:[2025]],0)),"Modeste",IF(V194&lt;=INDEX(TabRFR[[2021]:[2025]],MATCH(BD!U194&amp;"-Intermédiaire",TabRFR[Recherche RFR],0),MATCH(TEXT(YEAR(BD!H194),"Standard"),TabRFR[[#Headers],[2021]:[2025]],0)),"Intermédiaire","Supérieur")))))))</f>
        <v>Modeste</v>
      </c>
      <c r="X194" s="143"/>
      <c r="Y194" s="143" t="s">
        <v>974</v>
      </c>
      <c r="Z194" s="143">
        <v>38340</v>
      </c>
      <c r="AA194" s="143" t="s">
        <v>266</v>
      </c>
      <c r="AB194" s="148"/>
      <c r="AC194" s="149"/>
      <c r="AD194" s="143" t="s">
        <v>91</v>
      </c>
      <c r="AE194" s="143" t="s">
        <v>76</v>
      </c>
      <c r="AF194" s="143" t="s">
        <v>76</v>
      </c>
      <c r="AG194" s="143" t="s">
        <v>76</v>
      </c>
      <c r="AH194" s="143" t="s">
        <v>76</v>
      </c>
      <c r="AI194" s="143" t="s">
        <v>160</v>
      </c>
      <c r="AJ194" s="143" t="s">
        <v>161</v>
      </c>
      <c r="AK194" s="143" t="s">
        <v>162</v>
      </c>
      <c r="AL194" s="150" t="s">
        <v>163</v>
      </c>
      <c r="AM194" s="148">
        <v>474934316</v>
      </c>
      <c r="AN194" s="143" t="s">
        <v>76</v>
      </c>
      <c r="AO194" s="150" t="s">
        <v>102</v>
      </c>
      <c r="AP194" s="147">
        <v>44641</v>
      </c>
      <c r="AQ194" s="135" t="s">
        <v>3496</v>
      </c>
      <c r="AR194" s="143">
        <v>1994</v>
      </c>
      <c r="AS194" s="135" t="s">
        <v>3496</v>
      </c>
      <c r="AT194" s="135" t="s">
        <v>3446</v>
      </c>
      <c r="AU194" s="143" t="s">
        <v>858</v>
      </c>
      <c r="AV194" s="143" t="s">
        <v>975</v>
      </c>
      <c r="AW194" s="143">
        <v>24</v>
      </c>
      <c r="AX194" s="143">
        <v>13.2</v>
      </c>
      <c r="AY194" s="143">
        <v>76</v>
      </c>
      <c r="AZ194" s="143">
        <v>0.09</v>
      </c>
      <c r="BA194" s="143" t="s">
        <v>101</v>
      </c>
      <c r="BB194" s="143"/>
      <c r="BC194" s="143">
        <f>2213+1168+890</f>
        <v>4271</v>
      </c>
      <c r="BD194" s="143"/>
      <c r="BE194" s="143">
        <f>133+892</f>
        <v>1025</v>
      </c>
      <c r="BF194" s="143">
        <f t="shared" si="6"/>
        <v>5296</v>
      </c>
      <c r="BG194" s="151">
        <f t="shared" si="7"/>
        <v>291.28000000000003</v>
      </c>
      <c r="BH194" s="151">
        <f t="shared" si="8"/>
        <v>5587.28</v>
      </c>
      <c r="BI194" s="151">
        <v>5633</v>
      </c>
      <c r="BJ194" s="143" t="s">
        <v>115</v>
      </c>
      <c r="BK194" s="143"/>
      <c r="BL194" s="143"/>
      <c r="BM194" s="144" t="s">
        <v>3592</v>
      </c>
      <c r="BN194" s="144" t="s">
        <v>103</v>
      </c>
      <c r="BO194" s="135" t="s">
        <v>155</v>
      </c>
      <c r="BP194" s="144">
        <v>2021</v>
      </c>
      <c r="BQ194" s="203" t="s">
        <v>3274</v>
      </c>
    </row>
    <row r="195" spans="1:69" ht="41.1" customHeight="1">
      <c r="A195" s="206" t="s">
        <v>86</v>
      </c>
      <c r="B195" s="206" t="s">
        <v>976</v>
      </c>
      <c r="C195" s="143">
        <v>1000</v>
      </c>
      <c r="D195" s="135">
        <v>44356</v>
      </c>
      <c r="E195" s="135">
        <v>44357</v>
      </c>
      <c r="F195" s="147">
        <v>44358</v>
      </c>
      <c r="G195" s="135" t="s">
        <v>977</v>
      </c>
      <c r="H195" s="147">
        <v>44393</v>
      </c>
      <c r="I195" s="147">
        <v>44393</v>
      </c>
      <c r="J195" s="147">
        <v>44396</v>
      </c>
      <c r="K195" s="135">
        <v>44518</v>
      </c>
      <c r="L195" s="135">
        <v>44469</v>
      </c>
      <c r="M195" s="135" t="s">
        <v>76</v>
      </c>
      <c r="N195" s="135">
        <v>44525</v>
      </c>
      <c r="O195" s="135">
        <v>44525</v>
      </c>
      <c r="P195" s="135">
        <v>44539</v>
      </c>
      <c r="Q195" s="135"/>
      <c r="R195" s="143"/>
      <c r="S195" s="143"/>
      <c r="T195" s="143"/>
      <c r="U195" s="143">
        <v>2</v>
      </c>
      <c r="V195" s="143">
        <v>27520</v>
      </c>
      <c r="W195" s="143" t="str">
        <f ca="1">IF(H195="",IF(D195="","",IF(U195+V195&lt;15,"Données Nb pers ou RFR manquantes",IF(COUNTA(INDIRECT("TabRFR["&amp;YEAR(D195)&amp;"]"))&lt;&gt;COUNTA(TabRFR[Recherche RFR]),"Data RFR manquantes", IF(V195&lt;=INDEX(TabRFR[[2021]:[2025]],MATCH(BD!U195&amp;"-Très modestes",TabRFR[Recherche RFR],0),MATCH(TEXT(YEAR(BD!D195),"Standard"),TabRFR[[#Headers],[2021]:[2025]],0)),"Très Modeste",IF(V195&lt;=INDEX(TabRFR[[2021]:[2025]],MATCH(BD!U195&amp;"-modestes",TabRFR[Recherche RFR],0),MATCH(TEXT(YEAR(BD!D195),"Standard"),TabRFR[[#Headers],[2021]:[2025]],0)),"Modeste",IF(V195&lt;=INDEX(TabRFR[[2021]:[2025]],MATCH(BD!U195&amp;"-Intermédiaire",TabRFR[Recherche RFR],0),MATCH(TEXT(YEAR(BD!D195),"Standard"),TabRFR[[#Headers],[2021]:[2025]],0)),"Intermédiaire","Supérieur")))))),IF(D195="","",IF(U195+V195&lt;15,"Données Nb pers ou RFR manquantes",IF(COUNTA(INDIRECT("TabRFR["&amp;YEAR(H195)&amp;"]"))&lt;&gt;COUNTA(TabRFR[Recherche RFR]),"Data RFR manquantes", IF(V195&lt;=INDEX(TabRFR[[2021]:[2025]],MATCH(BD!U195&amp;"-Très modestes",TabRFR[Recherche RFR],0),MATCH(TEXT(YEAR(BD!H195),"Standard"),TabRFR[[#Headers],[2021]:[2025]],0)),"Très Modeste",IF(V195&lt;=INDEX(TabRFR[[2021]:[2025]],MATCH(BD!U195&amp;"-modestes",TabRFR[Recherche RFR],0),MATCH(TEXT(YEAR(BD!H195),"Standard"),TabRFR[[#Headers],[2021]:[2025]],0)),"Modeste",IF(V195&lt;=INDEX(TabRFR[[2021]:[2025]],MATCH(BD!U195&amp;"-Intermédiaire",TabRFR[Recherche RFR],0),MATCH(TEXT(YEAR(BD!H195),"Standard"),TabRFR[[#Headers],[2021]:[2025]],0)),"Intermédiaire","Supérieur")))))))</f>
        <v>Modeste</v>
      </c>
      <c r="X195" s="143"/>
      <c r="Y195" s="143" t="s">
        <v>978</v>
      </c>
      <c r="Z195" s="143">
        <v>38500</v>
      </c>
      <c r="AA195" s="143" t="s">
        <v>134</v>
      </c>
      <c r="AB195" s="148"/>
      <c r="AC195" s="149"/>
      <c r="AD195" s="143" t="s">
        <v>91</v>
      </c>
      <c r="AE195" s="143" t="s">
        <v>76</v>
      </c>
      <c r="AF195" s="143" t="s">
        <v>76</v>
      </c>
      <c r="AG195" s="143" t="s">
        <v>76</v>
      </c>
      <c r="AH195" s="143" t="s">
        <v>76</v>
      </c>
      <c r="AI195" s="143" t="s">
        <v>92</v>
      </c>
      <c r="AJ195" s="143" t="s">
        <v>93</v>
      </c>
      <c r="AK195" s="143" t="s">
        <v>94</v>
      </c>
      <c r="AL195" s="149" t="s">
        <v>95</v>
      </c>
      <c r="AM195" s="148" t="s">
        <v>96</v>
      </c>
      <c r="AN195" s="143" t="s">
        <v>76</v>
      </c>
      <c r="AO195" s="150" t="s">
        <v>97</v>
      </c>
      <c r="AP195" s="147">
        <v>44517</v>
      </c>
      <c r="AQ195" s="143" t="s">
        <v>3413</v>
      </c>
      <c r="AR195" s="143">
        <v>1990</v>
      </c>
      <c r="AS195" s="143" t="s">
        <v>3413</v>
      </c>
      <c r="AT195" s="135" t="s">
        <v>3446</v>
      </c>
      <c r="AU195" s="143" t="s">
        <v>99</v>
      </c>
      <c r="AV195" s="143" t="s">
        <v>979</v>
      </c>
      <c r="AW195" s="143">
        <v>8</v>
      </c>
      <c r="AX195" s="143">
        <v>9</v>
      </c>
      <c r="AY195" s="143">
        <v>90.5</v>
      </c>
      <c r="AZ195" s="143">
        <v>3.0000000000000001E-3</v>
      </c>
      <c r="BA195" s="143" t="s">
        <v>101</v>
      </c>
      <c r="BB195" s="143"/>
      <c r="BC195" s="143">
        <f>3050+193</f>
        <v>3243</v>
      </c>
      <c r="BD195" s="143"/>
      <c r="BE195" s="143">
        <f>690+796</f>
        <v>1486</v>
      </c>
      <c r="BF195" s="143">
        <f t="shared" si="6"/>
        <v>4729</v>
      </c>
      <c r="BG195" s="151">
        <f t="shared" si="7"/>
        <v>260.09500000000003</v>
      </c>
      <c r="BH195" s="151">
        <f t="shared" si="8"/>
        <v>4989.0950000000003</v>
      </c>
      <c r="BI195" s="151">
        <v>4989.1000000000004</v>
      </c>
      <c r="BJ195" s="143" t="s">
        <v>102</v>
      </c>
      <c r="BK195" s="143"/>
      <c r="BL195" s="143"/>
      <c r="BM195" s="144" t="s">
        <v>3592</v>
      </c>
      <c r="BN195" s="144" t="s">
        <v>103</v>
      </c>
      <c r="BO195" s="135" t="s">
        <v>155</v>
      </c>
      <c r="BP195" s="144">
        <v>2021</v>
      </c>
      <c r="BQ195" s="203" t="s">
        <v>3275</v>
      </c>
    </row>
    <row r="196" spans="1:69" ht="41.1" customHeight="1">
      <c r="A196" s="206" t="s">
        <v>86</v>
      </c>
      <c r="B196" s="206" t="s">
        <v>980</v>
      </c>
      <c r="C196" s="143">
        <v>600</v>
      </c>
      <c r="D196" s="135">
        <v>44357</v>
      </c>
      <c r="E196" s="135">
        <v>44357</v>
      </c>
      <c r="F196" s="147">
        <v>44358</v>
      </c>
      <c r="G196" s="135" t="s">
        <v>977</v>
      </c>
      <c r="H196" s="147">
        <v>44362</v>
      </c>
      <c r="I196" s="147">
        <v>44362</v>
      </c>
      <c r="J196" s="147">
        <v>44368</v>
      </c>
      <c r="K196" s="135">
        <v>44489</v>
      </c>
      <c r="L196" s="135">
        <v>44446</v>
      </c>
      <c r="M196" s="135" t="s">
        <v>76</v>
      </c>
      <c r="N196" s="135">
        <v>44491</v>
      </c>
      <c r="O196" s="135">
        <v>44491</v>
      </c>
      <c r="P196" s="135">
        <v>44495</v>
      </c>
      <c r="Q196" s="135"/>
      <c r="R196" s="143"/>
      <c r="S196" s="143"/>
      <c r="T196" s="143"/>
      <c r="U196" s="143">
        <v>1</v>
      </c>
      <c r="V196" s="143">
        <v>49015</v>
      </c>
      <c r="W196" s="143" t="str">
        <f ca="1">IF(H196="",IF(D196="","",IF(U196+V196&lt;15,"Données Nb pers ou RFR manquantes",IF(COUNTA(INDIRECT("TabRFR["&amp;YEAR(D196)&amp;"]"))&lt;&gt;COUNTA(TabRFR[Recherche RFR]),"Data RFR manquantes", IF(V196&lt;=INDEX(TabRFR[[2021]:[2025]],MATCH(BD!U196&amp;"-Très modestes",TabRFR[Recherche RFR],0),MATCH(TEXT(YEAR(BD!D196),"Standard"),TabRFR[[#Headers],[2021]:[2025]],0)),"Très Modeste",IF(V196&lt;=INDEX(TabRFR[[2021]:[2025]],MATCH(BD!U196&amp;"-modestes",TabRFR[Recherche RFR],0),MATCH(TEXT(YEAR(BD!D196),"Standard"),TabRFR[[#Headers],[2021]:[2025]],0)),"Modeste",IF(V196&lt;=INDEX(TabRFR[[2021]:[2025]],MATCH(BD!U196&amp;"-Intermédiaire",TabRFR[Recherche RFR],0),MATCH(TEXT(YEAR(BD!D196),"Standard"),TabRFR[[#Headers],[2021]:[2025]],0)),"Intermédiaire","Supérieur")))))),IF(D196="","",IF(U196+V196&lt;15,"Données Nb pers ou RFR manquantes",IF(COUNTA(INDIRECT("TabRFR["&amp;YEAR(H196)&amp;"]"))&lt;&gt;COUNTA(TabRFR[Recherche RFR]),"Data RFR manquantes", IF(V196&lt;=INDEX(TabRFR[[2021]:[2025]],MATCH(BD!U196&amp;"-Très modestes",TabRFR[Recherche RFR],0),MATCH(TEXT(YEAR(BD!H196),"Standard"),TabRFR[[#Headers],[2021]:[2025]],0)),"Très Modeste",IF(V196&lt;=INDEX(TabRFR[[2021]:[2025]],MATCH(BD!U196&amp;"-modestes",TabRFR[Recherche RFR],0),MATCH(TEXT(YEAR(BD!H196),"Standard"),TabRFR[[#Headers],[2021]:[2025]],0)),"Modeste",IF(V196&lt;=INDEX(TabRFR[[2021]:[2025]],MATCH(BD!U196&amp;"-Intermédiaire",TabRFR[Recherche RFR],0),MATCH(TEXT(YEAR(BD!H196),"Standard"),TabRFR[[#Headers],[2021]:[2025]],0)),"Intermédiaire","Supérieur")))))))</f>
        <v>Supérieur</v>
      </c>
      <c r="X196" s="143"/>
      <c r="Y196" s="143" t="s">
        <v>981</v>
      </c>
      <c r="Z196" s="143">
        <v>38140</v>
      </c>
      <c r="AA196" s="143" t="s">
        <v>184</v>
      </c>
      <c r="AB196" s="148"/>
      <c r="AC196" s="149"/>
      <c r="AD196" s="143" t="s">
        <v>91</v>
      </c>
      <c r="AE196" s="143" t="s">
        <v>76</v>
      </c>
      <c r="AF196" s="143" t="s">
        <v>76</v>
      </c>
      <c r="AG196" s="143" t="s">
        <v>76</v>
      </c>
      <c r="AH196" s="143" t="s">
        <v>76</v>
      </c>
      <c r="AI196" s="135" t="s">
        <v>220</v>
      </c>
      <c r="AJ196" s="143" t="s">
        <v>108</v>
      </c>
      <c r="AK196" s="143" t="s">
        <v>221</v>
      </c>
      <c r="AL196" s="150" t="s">
        <v>222</v>
      </c>
      <c r="AM196" s="148">
        <v>476323235</v>
      </c>
      <c r="AN196" s="143" t="s">
        <v>76</v>
      </c>
      <c r="AO196" s="150" t="s">
        <v>102</v>
      </c>
      <c r="AP196" s="147">
        <v>44429</v>
      </c>
      <c r="AQ196" s="135" t="s">
        <v>3496</v>
      </c>
      <c r="AR196" s="143">
        <v>1992</v>
      </c>
      <c r="AS196" s="135" t="s">
        <v>3496</v>
      </c>
      <c r="AT196" s="135" t="s">
        <v>3446</v>
      </c>
      <c r="AU196" s="143" t="s">
        <v>982</v>
      </c>
      <c r="AV196" s="143" t="s">
        <v>983</v>
      </c>
      <c r="AW196" s="143">
        <v>14</v>
      </c>
      <c r="AX196" s="143">
        <v>10</v>
      </c>
      <c r="AY196" s="143">
        <v>79</v>
      </c>
      <c r="AZ196" s="143">
        <v>0.1</v>
      </c>
      <c r="BA196" s="143" t="s">
        <v>101</v>
      </c>
      <c r="BB196" s="143"/>
      <c r="BC196" s="143">
        <f>880+4230+590+135+380</f>
        <v>6215</v>
      </c>
      <c r="BD196" s="143"/>
      <c r="BE196" s="143">
        <f>743+930+635+230+95</f>
        <v>2633</v>
      </c>
      <c r="BF196" s="143">
        <f t="shared" si="6"/>
        <v>8848</v>
      </c>
      <c r="BG196" s="151">
        <f t="shared" si="7"/>
        <v>486.64</v>
      </c>
      <c r="BH196" s="151">
        <f t="shared" si="8"/>
        <v>9334.64</v>
      </c>
      <c r="BI196" s="151">
        <v>8969.15</v>
      </c>
      <c r="BJ196" s="143" t="s">
        <v>102</v>
      </c>
      <c r="BK196" s="143"/>
      <c r="BL196" s="143"/>
      <c r="BM196" s="144" t="s">
        <v>3592</v>
      </c>
      <c r="BN196" s="144" t="s">
        <v>103</v>
      </c>
      <c r="BO196" s="144" t="s">
        <v>143</v>
      </c>
      <c r="BP196" s="144">
        <v>2021</v>
      </c>
      <c r="BQ196" s="203" t="s">
        <v>144</v>
      </c>
    </row>
    <row r="197" spans="1:69" ht="41.1" customHeight="1">
      <c r="A197" s="206" t="s">
        <v>86</v>
      </c>
      <c r="B197" s="206" t="s">
        <v>984</v>
      </c>
      <c r="C197" s="143">
        <v>1000</v>
      </c>
      <c r="D197" s="135">
        <v>44358</v>
      </c>
      <c r="E197" s="135">
        <v>44358</v>
      </c>
      <c r="F197" s="147">
        <v>44358</v>
      </c>
      <c r="G197" s="135" t="s">
        <v>985</v>
      </c>
      <c r="H197" s="147">
        <v>44362</v>
      </c>
      <c r="I197" s="147">
        <v>44362</v>
      </c>
      <c r="J197" s="147">
        <v>44368</v>
      </c>
      <c r="K197" s="135">
        <v>44476</v>
      </c>
      <c r="L197" s="135">
        <v>44469</v>
      </c>
      <c r="M197" s="135" t="s">
        <v>76</v>
      </c>
      <c r="N197" s="135">
        <v>44481</v>
      </c>
      <c r="O197" s="135">
        <v>44481</v>
      </c>
      <c r="P197" s="135">
        <v>44481</v>
      </c>
      <c r="Q197" s="135"/>
      <c r="R197" s="143"/>
      <c r="S197" s="143"/>
      <c r="T197" s="143"/>
      <c r="U197" s="143">
        <v>1</v>
      </c>
      <c r="V197" s="143">
        <v>15181</v>
      </c>
      <c r="W197" s="143" t="str">
        <f ca="1">IF(H197="",IF(D197="","",IF(U197+V197&lt;15,"Données Nb pers ou RFR manquantes",IF(COUNTA(INDIRECT("TabRFR["&amp;YEAR(D197)&amp;"]"))&lt;&gt;COUNTA(TabRFR[Recherche RFR]),"Data RFR manquantes", IF(V197&lt;=INDEX(TabRFR[[2021]:[2025]],MATCH(BD!U197&amp;"-Très modestes",TabRFR[Recherche RFR],0),MATCH(TEXT(YEAR(BD!D197),"Standard"),TabRFR[[#Headers],[2021]:[2025]],0)),"Très Modeste",IF(V197&lt;=INDEX(TabRFR[[2021]:[2025]],MATCH(BD!U197&amp;"-modestes",TabRFR[Recherche RFR],0),MATCH(TEXT(YEAR(BD!D197),"Standard"),TabRFR[[#Headers],[2021]:[2025]],0)),"Modeste",IF(V197&lt;=INDEX(TabRFR[[2021]:[2025]],MATCH(BD!U197&amp;"-Intermédiaire",TabRFR[Recherche RFR],0),MATCH(TEXT(YEAR(BD!D197),"Standard"),TabRFR[[#Headers],[2021]:[2025]],0)),"Intermédiaire","Supérieur")))))),IF(D197="","",IF(U197+V197&lt;15,"Données Nb pers ou RFR manquantes",IF(COUNTA(INDIRECT("TabRFR["&amp;YEAR(H197)&amp;"]"))&lt;&gt;COUNTA(TabRFR[Recherche RFR]),"Data RFR manquantes", IF(V197&lt;=INDEX(TabRFR[[2021]:[2025]],MATCH(BD!U197&amp;"-Très modestes",TabRFR[Recherche RFR],0),MATCH(TEXT(YEAR(BD!H197),"Standard"),TabRFR[[#Headers],[2021]:[2025]],0)),"Très Modeste",IF(V197&lt;=INDEX(TabRFR[[2021]:[2025]],MATCH(BD!U197&amp;"-modestes",TabRFR[Recherche RFR],0),MATCH(TEXT(YEAR(BD!H197),"Standard"),TabRFR[[#Headers],[2021]:[2025]],0)),"Modeste",IF(V197&lt;=INDEX(TabRFR[[2021]:[2025]],MATCH(BD!U197&amp;"-Intermédiaire",TabRFR[Recherche RFR],0),MATCH(TEXT(YEAR(BD!H197),"Standard"),TabRFR[[#Headers],[2021]:[2025]],0)),"Intermédiaire","Supérieur")))))))</f>
        <v>Modeste</v>
      </c>
      <c r="X197" s="143"/>
      <c r="Y197" s="143" t="s">
        <v>986</v>
      </c>
      <c r="Z197" s="143">
        <v>38960</v>
      </c>
      <c r="AA197" s="143" t="s">
        <v>209</v>
      </c>
      <c r="AB197" s="148"/>
      <c r="AC197" s="149"/>
      <c r="AD197" s="143" t="s">
        <v>91</v>
      </c>
      <c r="AE197" s="143" t="s">
        <v>76</v>
      </c>
      <c r="AF197" s="143" t="s">
        <v>76</v>
      </c>
      <c r="AG197" s="143" t="s">
        <v>76</v>
      </c>
      <c r="AH197" s="143" t="s">
        <v>76</v>
      </c>
      <c r="AI197" s="135" t="s">
        <v>220</v>
      </c>
      <c r="AJ197" s="143" t="s">
        <v>108</v>
      </c>
      <c r="AK197" s="143" t="s">
        <v>221</v>
      </c>
      <c r="AL197" s="150" t="s">
        <v>222</v>
      </c>
      <c r="AM197" s="148">
        <v>476323235</v>
      </c>
      <c r="AN197" s="143" t="s">
        <v>76</v>
      </c>
      <c r="AO197" s="150" t="s">
        <v>102</v>
      </c>
      <c r="AP197" s="147">
        <v>44429</v>
      </c>
      <c r="AQ197" s="143" t="s">
        <v>3413</v>
      </c>
      <c r="AR197" s="143">
        <v>2000</v>
      </c>
      <c r="AS197" s="135" t="s">
        <v>3496</v>
      </c>
      <c r="AT197" s="135" t="s">
        <v>3446</v>
      </c>
      <c r="AU197" s="143" t="s">
        <v>369</v>
      </c>
      <c r="AV197" s="143" t="s">
        <v>987</v>
      </c>
      <c r="AW197" s="143">
        <v>4</v>
      </c>
      <c r="AX197" s="143">
        <v>7</v>
      </c>
      <c r="AY197" s="143">
        <v>78</v>
      </c>
      <c r="AZ197" s="143">
        <v>0.06</v>
      </c>
      <c r="BA197" s="143" t="s">
        <v>101</v>
      </c>
      <c r="BB197" s="143"/>
      <c r="BC197" s="143">
        <f>115+2290+90+235+280</f>
        <v>3010</v>
      </c>
      <c r="BD197" s="143"/>
      <c r="BE197" s="143">
        <f>1050+60+655+135</f>
        <v>1900</v>
      </c>
      <c r="BF197" s="143">
        <f t="shared" ref="BF197:BF260" si="9">BC197+BE197</f>
        <v>4910</v>
      </c>
      <c r="BG197" s="151">
        <f t="shared" ref="BG197:BG260" si="10">BF197*0.055</f>
        <v>270.05</v>
      </c>
      <c r="BH197" s="151">
        <f t="shared" ref="BH197:BH260" si="11">BF197+BG197</f>
        <v>5180.05</v>
      </c>
      <c r="BI197" s="151">
        <v>5180.05</v>
      </c>
      <c r="BJ197" s="143" t="s">
        <v>102</v>
      </c>
      <c r="BK197" s="143"/>
      <c r="BL197" s="143"/>
      <c r="BM197" s="144" t="s">
        <v>3592</v>
      </c>
      <c r="BN197" s="144" t="s">
        <v>103</v>
      </c>
      <c r="BO197" s="135" t="s">
        <v>155</v>
      </c>
      <c r="BP197" s="144">
        <v>2021</v>
      </c>
      <c r="BQ197" s="203" t="s">
        <v>144</v>
      </c>
    </row>
    <row r="198" spans="1:69" ht="41.1" customHeight="1">
      <c r="A198" s="206" t="s">
        <v>86</v>
      </c>
      <c r="B198" s="206" t="s">
        <v>988</v>
      </c>
      <c r="C198" s="143">
        <v>1000</v>
      </c>
      <c r="D198" s="135">
        <v>44361</v>
      </c>
      <c r="E198" s="135">
        <v>44361</v>
      </c>
      <c r="F198" s="147" t="s">
        <v>76</v>
      </c>
      <c r="G198" s="135" t="s">
        <v>76</v>
      </c>
      <c r="H198" s="147">
        <v>44362</v>
      </c>
      <c r="I198" s="147">
        <v>44362</v>
      </c>
      <c r="J198" s="147">
        <v>44368</v>
      </c>
      <c r="K198" s="135">
        <v>44448</v>
      </c>
      <c r="L198" s="135">
        <v>44440</v>
      </c>
      <c r="M198" s="135" t="s">
        <v>76</v>
      </c>
      <c r="N198" s="135">
        <v>44455</v>
      </c>
      <c r="O198" s="135">
        <v>44455</v>
      </c>
      <c r="P198" s="135">
        <v>44469</v>
      </c>
      <c r="Q198" s="135"/>
      <c r="R198" s="143"/>
      <c r="S198" s="143"/>
      <c r="T198" s="143"/>
      <c r="U198" s="143">
        <v>1</v>
      </c>
      <c r="V198" s="143">
        <v>16393</v>
      </c>
      <c r="W198" s="143" t="str">
        <f ca="1">IF(H198="",IF(D198="","",IF(U198+V198&lt;15,"Données Nb pers ou RFR manquantes",IF(COUNTA(INDIRECT("TabRFR["&amp;YEAR(D198)&amp;"]"))&lt;&gt;COUNTA(TabRFR[Recherche RFR]),"Data RFR manquantes", IF(V198&lt;=INDEX(TabRFR[[2021]:[2025]],MATCH(BD!U198&amp;"-Très modestes",TabRFR[Recherche RFR],0),MATCH(TEXT(YEAR(BD!D198),"Standard"),TabRFR[[#Headers],[2021]:[2025]],0)),"Très Modeste",IF(V198&lt;=INDEX(TabRFR[[2021]:[2025]],MATCH(BD!U198&amp;"-modestes",TabRFR[Recherche RFR],0),MATCH(TEXT(YEAR(BD!D198),"Standard"),TabRFR[[#Headers],[2021]:[2025]],0)),"Modeste",IF(V198&lt;=INDEX(TabRFR[[2021]:[2025]],MATCH(BD!U198&amp;"-Intermédiaire",TabRFR[Recherche RFR],0),MATCH(TEXT(YEAR(BD!D198),"Standard"),TabRFR[[#Headers],[2021]:[2025]],0)),"Intermédiaire","Supérieur")))))),IF(D198="","",IF(U198+V198&lt;15,"Données Nb pers ou RFR manquantes",IF(COUNTA(INDIRECT("TabRFR["&amp;YEAR(H198)&amp;"]"))&lt;&gt;COUNTA(TabRFR[Recherche RFR]),"Data RFR manquantes", IF(V198&lt;=INDEX(TabRFR[[2021]:[2025]],MATCH(BD!U198&amp;"-Très modestes",TabRFR[Recherche RFR],0),MATCH(TEXT(YEAR(BD!H198),"Standard"),TabRFR[[#Headers],[2021]:[2025]],0)),"Très Modeste",IF(V198&lt;=INDEX(TabRFR[[2021]:[2025]],MATCH(BD!U198&amp;"-modestes",TabRFR[Recherche RFR],0),MATCH(TEXT(YEAR(BD!H198),"Standard"),TabRFR[[#Headers],[2021]:[2025]],0)),"Modeste",IF(V198&lt;=INDEX(TabRFR[[2021]:[2025]],MATCH(BD!U198&amp;"-Intermédiaire",TabRFR[Recherche RFR],0),MATCH(TEXT(YEAR(BD!H198),"Standard"),TabRFR[[#Headers],[2021]:[2025]],0)),"Intermédiaire","Supérieur")))))))</f>
        <v>Modeste</v>
      </c>
      <c r="X198" s="143"/>
      <c r="Y198" s="143" t="s">
        <v>989</v>
      </c>
      <c r="Z198" s="143">
        <v>38210</v>
      </c>
      <c r="AA198" s="143" t="s">
        <v>130</v>
      </c>
      <c r="AB198" s="148"/>
      <c r="AC198" s="149"/>
      <c r="AD198" s="143" t="s">
        <v>91</v>
      </c>
      <c r="AE198" s="143" t="s">
        <v>76</v>
      </c>
      <c r="AF198" s="143" t="s">
        <v>76</v>
      </c>
      <c r="AG198" s="143" t="s">
        <v>76</v>
      </c>
      <c r="AH198" s="143" t="s">
        <v>76</v>
      </c>
      <c r="AI198" s="135" t="s">
        <v>872</v>
      </c>
      <c r="AJ198" s="143" t="s">
        <v>873</v>
      </c>
      <c r="AK198" s="143" t="s">
        <v>874</v>
      </c>
      <c r="AL198" s="150" t="s">
        <v>875</v>
      </c>
      <c r="AM198" s="148">
        <v>676354364</v>
      </c>
      <c r="AN198" s="143" t="s">
        <v>76</v>
      </c>
      <c r="AO198" s="150" t="s">
        <v>102</v>
      </c>
      <c r="AP198" s="147">
        <v>44495</v>
      </c>
      <c r="AQ198" s="135" t="s">
        <v>3496</v>
      </c>
      <c r="AR198" s="153">
        <v>1998</v>
      </c>
      <c r="AS198" s="143" t="s">
        <v>3413</v>
      </c>
      <c r="AT198" s="143" t="s">
        <v>98</v>
      </c>
      <c r="AU198" s="143" t="s">
        <v>876</v>
      </c>
      <c r="AV198" s="143" t="s">
        <v>877</v>
      </c>
      <c r="AW198" s="143">
        <v>13</v>
      </c>
      <c r="AX198" s="143">
        <v>7.8</v>
      </c>
      <c r="AY198" s="143">
        <v>90.4</v>
      </c>
      <c r="AZ198" s="143">
        <v>1.2999999999999999E-2</v>
      </c>
      <c r="BA198" s="143" t="s">
        <v>101</v>
      </c>
      <c r="BB198" s="143"/>
      <c r="BC198" s="143">
        <f>2170+189.27+218.22+227.8+80.26+298.1</f>
        <v>3183.65</v>
      </c>
      <c r="BD198" s="143"/>
      <c r="BE198" s="143">
        <v>500</v>
      </c>
      <c r="BF198" s="143">
        <f t="shared" si="9"/>
        <v>3683.65</v>
      </c>
      <c r="BG198" s="151">
        <f t="shared" si="10"/>
        <v>202.60075000000001</v>
      </c>
      <c r="BH198" s="151">
        <f t="shared" si="11"/>
        <v>3886.2507500000002</v>
      </c>
      <c r="BI198" s="151">
        <v>3929.48</v>
      </c>
      <c r="BJ198" s="143" t="s">
        <v>102</v>
      </c>
      <c r="BK198" s="143"/>
      <c r="BL198" s="143"/>
      <c r="BM198" s="144" t="s">
        <v>3592</v>
      </c>
      <c r="BN198" s="144" t="s">
        <v>103</v>
      </c>
      <c r="BO198" s="135" t="s">
        <v>155</v>
      </c>
      <c r="BP198" s="143" t="s">
        <v>3583</v>
      </c>
      <c r="BQ198" s="203" t="s">
        <v>144</v>
      </c>
    </row>
    <row r="199" spans="1:69" ht="41.1" customHeight="1">
      <c r="A199" s="206" t="s">
        <v>86</v>
      </c>
      <c r="B199" s="206" t="s">
        <v>990</v>
      </c>
      <c r="C199" s="143">
        <v>600</v>
      </c>
      <c r="D199" s="135">
        <v>44361</v>
      </c>
      <c r="E199" s="135">
        <v>44362</v>
      </c>
      <c r="F199" s="147">
        <v>44362</v>
      </c>
      <c r="G199" s="135" t="s">
        <v>571</v>
      </c>
      <c r="H199" s="147">
        <v>44368</v>
      </c>
      <c r="I199" s="147">
        <v>44368</v>
      </c>
      <c r="J199" s="147">
        <v>44371</v>
      </c>
      <c r="K199" s="135">
        <v>44526</v>
      </c>
      <c r="L199" s="135">
        <v>44417</v>
      </c>
      <c r="M199" s="135" t="s">
        <v>76</v>
      </c>
      <c r="N199" s="135">
        <v>44539</v>
      </c>
      <c r="O199" s="135">
        <v>44539</v>
      </c>
      <c r="P199" s="135">
        <v>44540</v>
      </c>
      <c r="Q199" s="135"/>
      <c r="R199" s="143"/>
      <c r="S199" s="143"/>
      <c r="T199" s="143"/>
      <c r="U199" s="143">
        <v>3</v>
      </c>
      <c r="V199" s="143">
        <v>65542</v>
      </c>
      <c r="W199" s="143" t="str">
        <f ca="1">IF(H199="",IF(D199="","",IF(U199+V199&lt;15,"Données Nb pers ou RFR manquantes",IF(COUNTA(INDIRECT("TabRFR["&amp;YEAR(D199)&amp;"]"))&lt;&gt;COUNTA(TabRFR[Recherche RFR]),"Data RFR manquantes", IF(V199&lt;=INDEX(TabRFR[[2021]:[2025]],MATCH(BD!U199&amp;"-Très modestes",TabRFR[Recherche RFR],0),MATCH(TEXT(YEAR(BD!D199),"Standard"),TabRFR[[#Headers],[2021]:[2025]],0)),"Très Modeste",IF(V199&lt;=INDEX(TabRFR[[2021]:[2025]],MATCH(BD!U199&amp;"-modestes",TabRFR[Recherche RFR],0),MATCH(TEXT(YEAR(BD!D199),"Standard"),TabRFR[[#Headers],[2021]:[2025]],0)),"Modeste",IF(V199&lt;=INDEX(TabRFR[[2021]:[2025]],MATCH(BD!U199&amp;"-Intermédiaire",TabRFR[Recherche RFR],0),MATCH(TEXT(YEAR(BD!D199),"Standard"),TabRFR[[#Headers],[2021]:[2025]],0)),"Intermédiaire","Supérieur")))))),IF(D199="","",IF(U199+V199&lt;15,"Données Nb pers ou RFR manquantes",IF(COUNTA(INDIRECT("TabRFR["&amp;YEAR(H199)&amp;"]"))&lt;&gt;COUNTA(TabRFR[Recherche RFR]),"Data RFR manquantes", IF(V199&lt;=INDEX(TabRFR[[2021]:[2025]],MATCH(BD!U199&amp;"-Très modestes",TabRFR[Recherche RFR],0),MATCH(TEXT(YEAR(BD!H199),"Standard"),TabRFR[[#Headers],[2021]:[2025]],0)),"Très Modeste",IF(V199&lt;=INDEX(TabRFR[[2021]:[2025]],MATCH(BD!U199&amp;"-modestes",TabRFR[Recherche RFR],0),MATCH(TEXT(YEAR(BD!H199),"Standard"),TabRFR[[#Headers],[2021]:[2025]],0)),"Modeste",IF(V199&lt;=INDEX(TabRFR[[2021]:[2025]],MATCH(BD!U199&amp;"-Intermédiaire",TabRFR[Recherche RFR],0),MATCH(TEXT(YEAR(BD!H199),"Standard"),TabRFR[[#Headers],[2021]:[2025]],0)),"Intermédiaire","Supérieur")))))))</f>
        <v>Supérieur</v>
      </c>
      <c r="X199" s="143"/>
      <c r="Y199" s="143" t="s">
        <v>991</v>
      </c>
      <c r="Z199" s="143">
        <v>38500</v>
      </c>
      <c r="AA199" s="143" t="s">
        <v>284</v>
      </c>
      <c r="AB199" s="148"/>
      <c r="AC199" s="149"/>
      <c r="AD199" s="143" t="s">
        <v>91</v>
      </c>
      <c r="AE199" s="143" t="s">
        <v>76</v>
      </c>
      <c r="AF199" s="143" t="s">
        <v>76</v>
      </c>
      <c r="AG199" s="143" t="s">
        <v>76</v>
      </c>
      <c r="AH199" s="143" t="s">
        <v>76</v>
      </c>
      <c r="AI199" s="135" t="s">
        <v>220</v>
      </c>
      <c r="AJ199" s="143" t="s">
        <v>108</v>
      </c>
      <c r="AK199" s="143" t="s">
        <v>221</v>
      </c>
      <c r="AL199" s="150" t="s">
        <v>222</v>
      </c>
      <c r="AM199" s="148">
        <v>476323235</v>
      </c>
      <c r="AN199" s="143" t="s">
        <v>76</v>
      </c>
      <c r="AO199" s="150" t="s">
        <v>102</v>
      </c>
      <c r="AP199" s="147">
        <v>44429</v>
      </c>
      <c r="AQ199" s="135" t="s">
        <v>3496</v>
      </c>
      <c r="AR199" s="143">
        <v>1999</v>
      </c>
      <c r="AS199" s="143" t="s">
        <v>3413</v>
      </c>
      <c r="AT199" s="135" t="s">
        <v>3446</v>
      </c>
      <c r="AU199" s="143" t="s">
        <v>369</v>
      </c>
      <c r="AV199" s="143" t="s">
        <v>835</v>
      </c>
      <c r="AW199" s="143">
        <v>4</v>
      </c>
      <c r="AX199" s="143">
        <v>6.8</v>
      </c>
      <c r="AY199" s="143">
        <v>78</v>
      </c>
      <c r="AZ199" s="143">
        <v>0.06</v>
      </c>
      <c r="BA199" s="143" t="s">
        <v>101</v>
      </c>
      <c r="BB199" s="143"/>
      <c r="BC199" s="143">
        <f>650+338+2650+43+41+31+29+95</f>
        <v>3877</v>
      </c>
      <c r="BD199" s="143"/>
      <c r="BE199" s="143">
        <f>60+35+315+220</f>
        <v>630</v>
      </c>
      <c r="BF199" s="143">
        <f t="shared" si="9"/>
        <v>4507</v>
      </c>
      <c r="BG199" s="151">
        <f t="shared" si="10"/>
        <v>247.88499999999999</v>
      </c>
      <c r="BH199" s="151">
        <f t="shared" si="11"/>
        <v>4754.8850000000002</v>
      </c>
      <c r="BI199" s="151">
        <f>3192.96+1510.3+590.7</f>
        <v>5293.96</v>
      </c>
      <c r="BJ199" s="143" t="s">
        <v>115</v>
      </c>
      <c r="BK199" s="143"/>
      <c r="BL199" s="143"/>
      <c r="BM199" s="144" t="s">
        <v>3592</v>
      </c>
      <c r="BN199" s="144" t="s">
        <v>103</v>
      </c>
      <c r="BO199" s="144" t="s">
        <v>143</v>
      </c>
      <c r="BP199" s="144">
        <v>2021</v>
      </c>
      <c r="BQ199" s="203" t="s">
        <v>3274</v>
      </c>
    </row>
    <row r="200" spans="1:69" ht="41.1" customHeight="1">
      <c r="A200" s="206" t="s">
        <v>86</v>
      </c>
      <c r="B200" s="206" t="s">
        <v>992</v>
      </c>
      <c r="C200" s="143">
        <v>1000</v>
      </c>
      <c r="D200" s="135">
        <v>44362</v>
      </c>
      <c r="E200" s="135">
        <v>44362</v>
      </c>
      <c r="F200" s="147" t="s">
        <v>76</v>
      </c>
      <c r="G200" s="135" t="s">
        <v>76</v>
      </c>
      <c r="H200" s="147">
        <v>44362</v>
      </c>
      <c r="I200" s="147">
        <v>44362</v>
      </c>
      <c r="J200" s="147">
        <v>44368</v>
      </c>
      <c r="K200" s="135">
        <v>44526</v>
      </c>
      <c r="L200" s="135">
        <v>44507</v>
      </c>
      <c r="M200" s="135" t="s">
        <v>76</v>
      </c>
      <c r="N200" s="135">
        <v>44539</v>
      </c>
      <c r="O200" s="135">
        <v>44539</v>
      </c>
      <c r="P200" s="135">
        <v>44540</v>
      </c>
      <c r="Q200" s="135"/>
      <c r="R200" s="143"/>
      <c r="S200" s="143"/>
      <c r="T200" s="143"/>
      <c r="U200" s="143">
        <v>1</v>
      </c>
      <c r="V200" s="143">
        <v>2183</v>
      </c>
      <c r="W200" s="143" t="str">
        <f ca="1">IF(H200="",IF(D200="","",IF(U200+V200&lt;15,"Données Nb pers ou RFR manquantes",IF(COUNTA(INDIRECT("TabRFR["&amp;YEAR(D200)&amp;"]"))&lt;&gt;COUNTA(TabRFR[Recherche RFR]),"Data RFR manquantes", IF(V200&lt;=INDEX(TabRFR[[2021]:[2025]],MATCH(BD!U200&amp;"-Très modestes",TabRFR[Recherche RFR],0),MATCH(TEXT(YEAR(BD!D200),"Standard"),TabRFR[[#Headers],[2021]:[2025]],0)),"Très Modeste",IF(V200&lt;=INDEX(TabRFR[[2021]:[2025]],MATCH(BD!U200&amp;"-modestes",TabRFR[Recherche RFR],0),MATCH(TEXT(YEAR(BD!D200),"Standard"),TabRFR[[#Headers],[2021]:[2025]],0)),"Modeste",IF(V200&lt;=INDEX(TabRFR[[2021]:[2025]],MATCH(BD!U200&amp;"-Intermédiaire",TabRFR[Recherche RFR],0),MATCH(TEXT(YEAR(BD!D200),"Standard"),TabRFR[[#Headers],[2021]:[2025]],0)),"Intermédiaire","Supérieur")))))),IF(D200="","",IF(U200+V200&lt;15,"Données Nb pers ou RFR manquantes",IF(COUNTA(INDIRECT("TabRFR["&amp;YEAR(H200)&amp;"]"))&lt;&gt;COUNTA(TabRFR[Recherche RFR]),"Data RFR manquantes", IF(V200&lt;=INDEX(TabRFR[[2021]:[2025]],MATCH(BD!U200&amp;"-Très modestes",TabRFR[Recherche RFR],0),MATCH(TEXT(YEAR(BD!H200),"Standard"),TabRFR[[#Headers],[2021]:[2025]],0)),"Très Modeste",IF(V200&lt;=INDEX(TabRFR[[2021]:[2025]],MATCH(BD!U200&amp;"-modestes",TabRFR[Recherche RFR],0),MATCH(TEXT(YEAR(BD!H200),"Standard"),TabRFR[[#Headers],[2021]:[2025]],0)),"Modeste",IF(V200&lt;=INDEX(TabRFR[[2021]:[2025]],MATCH(BD!U200&amp;"-Intermédiaire",TabRFR[Recherche RFR],0),MATCH(TEXT(YEAR(BD!H200),"Standard"),TabRFR[[#Headers],[2021]:[2025]],0)),"Intermédiaire","Supérieur")))))))</f>
        <v>Très Modeste</v>
      </c>
      <c r="X200" s="143"/>
      <c r="Y200" s="143" t="s">
        <v>993</v>
      </c>
      <c r="Z200" s="143">
        <v>38960</v>
      </c>
      <c r="AA200" s="143" t="s">
        <v>209</v>
      </c>
      <c r="AB200" s="148"/>
      <c r="AC200" s="149"/>
      <c r="AD200" s="143" t="s">
        <v>91</v>
      </c>
      <c r="AE200" s="143" t="s">
        <v>76</v>
      </c>
      <c r="AF200" s="143" t="s">
        <v>76</v>
      </c>
      <c r="AG200" s="143" t="s">
        <v>76</v>
      </c>
      <c r="AH200" s="143" t="s">
        <v>76</v>
      </c>
      <c r="AI200" s="143" t="s">
        <v>92</v>
      </c>
      <c r="AJ200" s="143" t="s">
        <v>93</v>
      </c>
      <c r="AK200" s="143" t="s">
        <v>94</v>
      </c>
      <c r="AL200" s="149" t="s">
        <v>95</v>
      </c>
      <c r="AM200" s="148" t="s">
        <v>96</v>
      </c>
      <c r="AN200" s="143" t="s">
        <v>76</v>
      </c>
      <c r="AO200" s="150" t="s">
        <v>97</v>
      </c>
      <c r="AP200" s="147">
        <v>44517</v>
      </c>
      <c r="AQ200" s="135" t="s">
        <v>3323</v>
      </c>
      <c r="AR200" s="143">
        <v>2000</v>
      </c>
      <c r="AS200" s="143" t="s">
        <v>3413</v>
      </c>
      <c r="AT200" s="135" t="s">
        <v>3446</v>
      </c>
      <c r="AU200" s="143" t="s">
        <v>99</v>
      </c>
      <c r="AV200" s="143" t="s">
        <v>994</v>
      </c>
      <c r="AW200" s="143">
        <v>30</v>
      </c>
      <c r="AX200" s="143">
        <v>7.9</v>
      </c>
      <c r="AY200" s="143">
        <v>80</v>
      </c>
      <c r="AZ200" s="143">
        <v>7.0000000000000007E-2</v>
      </c>
      <c r="BA200" s="143" t="s">
        <v>101</v>
      </c>
      <c r="BB200" s="143"/>
      <c r="BC200" s="143">
        <f>2036+4266+187.5+45+188+136</f>
        <v>6858.5</v>
      </c>
      <c r="BD200" s="143"/>
      <c r="BE200" s="143">
        <v>590</v>
      </c>
      <c r="BF200" s="143">
        <f t="shared" si="9"/>
        <v>7448.5</v>
      </c>
      <c r="BG200" s="151">
        <f t="shared" si="10"/>
        <v>409.66750000000002</v>
      </c>
      <c r="BH200" s="151">
        <f t="shared" si="11"/>
        <v>7858.1674999999996</v>
      </c>
      <c r="BI200" s="151">
        <v>7858.17</v>
      </c>
      <c r="BJ200" s="143" t="s">
        <v>102</v>
      </c>
      <c r="BK200" s="143"/>
      <c r="BL200" s="143"/>
      <c r="BM200" s="144" t="s">
        <v>3592</v>
      </c>
      <c r="BN200" s="144" t="s">
        <v>103</v>
      </c>
      <c r="BO200" s="135" t="s">
        <v>155</v>
      </c>
      <c r="BP200" s="144">
        <v>2021</v>
      </c>
      <c r="BQ200" s="203" t="s">
        <v>144</v>
      </c>
    </row>
    <row r="201" spans="1:69" ht="41.1" customHeight="1">
      <c r="A201" s="206" t="s">
        <v>86</v>
      </c>
      <c r="B201" s="206" t="s">
        <v>995</v>
      </c>
      <c r="C201" s="143">
        <v>600</v>
      </c>
      <c r="D201" s="135">
        <v>44365</v>
      </c>
      <c r="E201" s="135">
        <v>44365</v>
      </c>
      <c r="F201" s="147" t="s">
        <v>76</v>
      </c>
      <c r="G201" s="135" t="s">
        <v>76</v>
      </c>
      <c r="H201" s="147">
        <v>44368</v>
      </c>
      <c r="I201" s="147">
        <v>44368</v>
      </c>
      <c r="J201" s="147">
        <v>44371</v>
      </c>
      <c r="K201" s="135">
        <v>44482</v>
      </c>
      <c r="L201" s="135">
        <v>44439</v>
      </c>
      <c r="M201" s="135" t="s">
        <v>76</v>
      </c>
      <c r="N201" s="135">
        <v>44491</v>
      </c>
      <c r="O201" s="135">
        <v>44491</v>
      </c>
      <c r="P201" s="135">
        <v>44495</v>
      </c>
      <c r="Q201" s="135"/>
      <c r="R201" s="143"/>
      <c r="S201" s="143"/>
      <c r="T201" s="143"/>
      <c r="U201" s="143">
        <v>1</v>
      </c>
      <c r="V201" s="143">
        <v>19093</v>
      </c>
      <c r="W201" s="143" t="str">
        <f ca="1">IF(H201="",IF(D201="","",IF(U201+V201&lt;15,"Données Nb pers ou RFR manquantes",IF(COUNTA(INDIRECT("TabRFR["&amp;YEAR(D201)&amp;"]"))&lt;&gt;COUNTA(TabRFR[Recherche RFR]),"Data RFR manquantes", IF(V201&lt;=INDEX(TabRFR[[2021]:[2025]],MATCH(BD!U201&amp;"-Très modestes",TabRFR[Recherche RFR],0),MATCH(TEXT(YEAR(BD!D201),"Standard"),TabRFR[[#Headers],[2021]:[2025]],0)),"Très Modeste",IF(V201&lt;=INDEX(TabRFR[[2021]:[2025]],MATCH(BD!U201&amp;"-modestes",TabRFR[Recherche RFR],0),MATCH(TEXT(YEAR(BD!D201),"Standard"),TabRFR[[#Headers],[2021]:[2025]],0)),"Modeste",IF(V201&lt;=INDEX(TabRFR[[2021]:[2025]],MATCH(BD!U201&amp;"-Intermédiaire",TabRFR[Recherche RFR],0),MATCH(TEXT(YEAR(BD!D201),"Standard"),TabRFR[[#Headers],[2021]:[2025]],0)),"Intermédiaire","Supérieur")))))),IF(D201="","",IF(U201+V201&lt;15,"Données Nb pers ou RFR manquantes",IF(COUNTA(INDIRECT("TabRFR["&amp;YEAR(H201)&amp;"]"))&lt;&gt;COUNTA(TabRFR[Recherche RFR]),"Data RFR manquantes", IF(V201&lt;=INDEX(TabRFR[[2021]:[2025]],MATCH(BD!U201&amp;"-Très modestes",TabRFR[Recherche RFR],0),MATCH(TEXT(YEAR(BD!H201),"Standard"),TabRFR[[#Headers],[2021]:[2025]],0)),"Très Modeste",IF(V201&lt;=INDEX(TabRFR[[2021]:[2025]],MATCH(BD!U201&amp;"-modestes",TabRFR[Recherche RFR],0),MATCH(TEXT(YEAR(BD!H201),"Standard"),TabRFR[[#Headers],[2021]:[2025]],0)),"Modeste",IF(V201&lt;=INDEX(TabRFR[[2021]:[2025]],MATCH(BD!U201&amp;"-Intermédiaire",TabRFR[Recherche RFR],0),MATCH(TEXT(YEAR(BD!H201),"Standard"),TabRFR[[#Headers],[2021]:[2025]],0)),"Intermédiaire","Supérieur")))))))</f>
        <v>Intermédiaire</v>
      </c>
      <c r="X201" s="143"/>
      <c r="Y201" s="143" t="s">
        <v>133</v>
      </c>
      <c r="Z201" s="143">
        <v>38500</v>
      </c>
      <c r="AA201" s="143" t="s">
        <v>134</v>
      </c>
      <c r="AB201" s="148"/>
      <c r="AC201" s="149"/>
      <c r="AD201" s="143" t="s">
        <v>91</v>
      </c>
      <c r="AE201" s="143" t="s">
        <v>76</v>
      </c>
      <c r="AF201" s="143" t="s">
        <v>76</v>
      </c>
      <c r="AG201" s="143" t="s">
        <v>76</v>
      </c>
      <c r="AH201" s="143" t="s">
        <v>76</v>
      </c>
      <c r="AI201" s="143" t="s">
        <v>740</v>
      </c>
      <c r="AJ201" s="143" t="s">
        <v>741</v>
      </c>
      <c r="AK201" s="143" t="s">
        <v>742</v>
      </c>
      <c r="AL201" s="150" t="s">
        <v>743</v>
      </c>
      <c r="AM201" s="148">
        <v>476441060</v>
      </c>
      <c r="AN201" s="143" t="s">
        <v>76</v>
      </c>
      <c r="AO201" s="150" t="s">
        <v>102</v>
      </c>
      <c r="AP201" s="147">
        <v>44398</v>
      </c>
      <c r="AQ201" s="135" t="s">
        <v>3323</v>
      </c>
      <c r="AR201" s="143">
        <v>1996</v>
      </c>
      <c r="AS201" s="143" t="s">
        <v>3413</v>
      </c>
      <c r="AT201" s="135" t="s">
        <v>3446</v>
      </c>
      <c r="AU201" s="143" t="s">
        <v>369</v>
      </c>
      <c r="AV201" s="143" t="s">
        <v>370</v>
      </c>
      <c r="AW201" s="143">
        <v>20</v>
      </c>
      <c r="AX201" s="143">
        <v>5</v>
      </c>
      <c r="AY201" s="143">
        <v>83</v>
      </c>
      <c r="AZ201" s="143">
        <v>0.06</v>
      </c>
      <c r="BA201" s="143" t="s">
        <v>101</v>
      </c>
      <c r="BB201" s="143"/>
      <c r="BC201" s="143">
        <f>204+77+165+50+2090+105+125+47+147</f>
        <v>3010</v>
      </c>
      <c r="BD201" s="143"/>
      <c r="BE201" s="143">
        <f>80+900</f>
        <v>980</v>
      </c>
      <c r="BF201" s="143">
        <f t="shared" si="9"/>
        <v>3990</v>
      </c>
      <c r="BG201" s="151">
        <f t="shared" si="10"/>
        <v>219.45</v>
      </c>
      <c r="BH201" s="151">
        <f t="shared" si="11"/>
        <v>4209.45</v>
      </c>
      <c r="BI201" s="151">
        <v>3540</v>
      </c>
      <c r="BJ201" s="143" t="s">
        <v>115</v>
      </c>
      <c r="BK201" s="143"/>
      <c r="BL201" s="143"/>
      <c r="BM201" s="144" t="s">
        <v>3592</v>
      </c>
      <c r="BN201" s="144" t="s">
        <v>103</v>
      </c>
      <c r="BO201" s="144" t="s">
        <v>143</v>
      </c>
      <c r="BP201" s="144">
        <v>2021</v>
      </c>
      <c r="BQ201" s="203" t="s">
        <v>3274</v>
      </c>
    </row>
    <row r="202" spans="1:69" ht="41.1" customHeight="1">
      <c r="A202" s="206" t="s">
        <v>86</v>
      </c>
      <c r="B202" s="206" t="s">
        <v>996</v>
      </c>
      <c r="C202" s="143">
        <v>600</v>
      </c>
      <c r="D202" s="135">
        <v>44369</v>
      </c>
      <c r="E202" s="135">
        <v>44371</v>
      </c>
      <c r="F202" s="147">
        <v>44372</v>
      </c>
      <c r="G202" s="135" t="s">
        <v>997</v>
      </c>
      <c r="H202" s="147">
        <v>44376</v>
      </c>
      <c r="I202" s="147">
        <v>44376</v>
      </c>
      <c r="J202" s="147">
        <v>44382</v>
      </c>
      <c r="K202" s="135">
        <v>44208</v>
      </c>
      <c r="L202" s="135">
        <v>44551</v>
      </c>
      <c r="M202" s="135" t="s">
        <v>76</v>
      </c>
      <c r="N202" s="135">
        <v>44580</v>
      </c>
      <c r="O202" s="135">
        <v>44580</v>
      </c>
      <c r="P202" s="135">
        <v>44581</v>
      </c>
      <c r="Q202" s="135"/>
      <c r="R202" s="143"/>
      <c r="S202" s="143"/>
      <c r="T202" s="143"/>
      <c r="U202" s="143">
        <v>1</v>
      </c>
      <c r="V202" s="143">
        <v>45754</v>
      </c>
      <c r="W202" s="143" t="str">
        <f ca="1">IF(H202="",IF(D202="","",IF(U202+V202&lt;15,"Données Nb pers ou RFR manquantes",IF(COUNTA(INDIRECT("TabRFR["&amp;YEAR(D202)&amp;"]"))&lt;&gt;COUNTA(TabRFR[Recherche RFR]),"Data RFR manquantes", IF(V202&lt;=INDEX(TabRFR[[2021]:[2025]],MATCH(BD!U202&amp;"-Très modestes",TabRFR[Recherche RFR],0),MATCH(TEXT(YEAR(BD!D202),"Standard"),TabRFR[[#Headers],[2021]:[2025]],0)),"Très Modeste",IF(V202&lt;=INDEX(TabRFR[[2021]:[2025]],MATCH(BD!U202&amp;"-modestes",TabRFR[Recherche RFR],0),MATCH(TEXT(YEAR(BD!D202),"Standard"),TabRFR[[#Headers],[2021]:[2025]],0)),"Modeste",IF(V202&lt;=INDEX(TabRFR[[2021]:[2025]],MATCH(BD!U202&amp;"-Intermédiaire",TabRFR[Recherche RFR],0),MATCH(TEXT(YEAR(BD!D202),"Standard"),TabRFR[[#Headers],[2021]:[2025]],0)),"Intermédiaire","Supérieur")))))),IF(D202="","",IF(U202+V202&lt;15,"Données Nb pers ou RFR manquantes",IF(COUNTA(INDIRECT("TabRFR["&amp;YEAR(H202)&amp;"]"))&lt;&gt;COUNTA(TabRFR[Recherche RFR]),"Data RFR manquantes", IF(V202&lt;=INDEX(TabRFR[[2021]:[2025]],MATCH(BD!U202&amp;"-Très modestes",TabRFR[Recherche RFR],0),MATCH(TEXT(YEAR(BD!H202),"Standard"),TabRFR[[#Headers],[2021]:[2025]],0)),"Très Modeste",IF(V202&lt;=INDEX(TabRFR[[2021]:[2025]],MATCH(BD!U202&amp;"-modestes",TabRFR[Recherche RFR],0),MATCH(TEXT(YEAR(BD!H202),"Standard"),TabRFR[[#Headers],[2021]:[2025]],0)),"Modeste",IF(V202&lt;=INDEX(TabRFR[[2021]:[2025]],MATCH(BD!U202&amp;"-Intermédiaire",TabRFR[Recherche RFR],0),MATCH(TEXT(YEAR(BD!H202),"Standard"),TabRFR[[#Headers],[2021]:[2025]],0)),"Intermédiaire","Supérieur")))))))</f>
        <v>Supérieur</v>
      </c>
      <c r="X202" s="143"/>
      <c r="Y202" s="143" t="s">
        <v>998</v>
      </c>
      <c r="Z202" s="143">
        <v>38850</v>
      </c>
      <c r="AA202" s="143" t="s">
        <v>435</v>
      </c>
      <c r="AB202" s="148"/>
      <c r="AC202" s="149"/>
      <c r="AD202" s="143" t="s">
        <v>91</v>
      </c>
      <c r="AE202" s="143" t="s">
        <v>76</v>
      </c>
      <c r="AF202" s="143" t="s">
        <v>76</v>
      </c>
      <c r="AG202" s="143" t="s">
        <v>76</v>
      </c>
      <c r="AH202" s="143" t="s">
        <v>76</v>
      </c>
      <c r="AI202" s="143" t="s">
        <v>92</v>
      </c>
      <c r="AJ202" s="143" t="s">
        <v>93</v>
      </c>
      <c r="AK202" s="143" t="s">
        <v>94</v>
      </c>
      <c r="AL202" s="149" t="s">
        <v>95</v>
      </c>
      <c r="AM202" s="148" t="s">
        <v>96</v>
      </c>
      <c r="AN202" s="143" t="s">
        <v>76</v>
      </c>
      <c r="AO202" s="150" t="s">
        <v>97</v>
      </c>
      <c r="AP202" s="147">
        <v>44517</v>
      </c>
      <c r="AQ202" s="135" t="s">
        <v>3496</v>
      </c>
      <c r="AR202" s="143">
        <v>1982</v>
      </c>
      <c r="AS202" s="135" t="s">
        <v>3496</v>
      </c>
      <c r="AT202" s="135" t="s">
        <v>3446</v>
      </c>
      <c r="AU202" s="143" t="s">
        <v>385</v>
      </c>
      <c r="AV202" s="143" t="s">
        <v>999</v>
      </c>
      <c r="AW202" s="143">
        <v>30</v>
      </c>
      <c r="AX202" s="143">
        <v>9.5</v>
      </c>
      <c r="AY202" s="143">
        <v>76</v>
      </c>
      <c r="AZ202" s="143">
        <v>0.1</v>
      </c>
      <c r="BA202" s="143" t="s">
        <v>101</v>
      </c>
      <c r="BB202" s="143"/>
      <c r="BC202" s="143">
        <f>1716+221+1295</f>
        <v>3232</v>
      </c>
      <c r="BD202" s="143"/>
      <c r="BE202" s="143">
        <f>125+796</f>
        <v>921</v>
      </c>
      <c r="BF202" s="143">
        <f t="shared" si="9"/>
        <v>4153</v>
      </c>
      <c r="BG202" s="151">
        <f t="shared" si="10"/>
        <v>228.41499999999999</v>
      </c>
      <c r="BH202" s="151">
        <f t="shared" si="11"/>
        <v>4381.415</v>
      </c>
      <c r="BI202" s="151">
        <v>4381.42</v>
      </c>
      <c r="BJ202" s="143" t="s">
        <v>115</v>
      </c>
      <c r="BK202" s="143"/>
      <c r="BL202" s="143"/>
      <c r="BM202" s="144" t="s">
        <v>3592</v>
      </c>
      <c r="BN202" s="144" t="s">
        <v>103</v>
      </c>
      <c r="BO202" s="144" t="s">
        <v>143</v>
      </c>
      <c r="BP202" s="144">
        <v>2021</v>
      </c>
      <c r="BQ202" s="203" t="s">
        <v>3274</v>
      </c>
    </row>
    <row r="203" spans="1:69" ht="41.1" customHeight="1">
      <c r="A203" s="206" t="s">
        <v>86</v>
      </c>
      <c r="B203" s="206" t="s">
        <v>1000</v>
      </c>
      <c r="C203" s="143">
        <v>600</v>
      </c>
      <c r="D203" s="135">
        <v>44370</v>
      </c>
      <c r="E203" s="135">
        <v>44371</v>
      </c>
      <c r="F203" s="147" t="s">
        <v>76</v>
      </c>
      <c r="G203" s="135" t="s">
        <v>76</v>
      </c>
      <c r="H203" s="147">
        <v>44372</v>
      </c>
      <c r="I203" s="147">
        <v>44372</v>
      </c>
      <c r="J203" s="147">
        <v>44379</v>
      </c>
      <c r="K203" s="135">
        <v>44530</v>
      </c>
      <c r="L203" s="135">
        <v>44526</v>
      </c>
      <c r="M203" s="135" t="s">
        <v>76</v>
      </c>
      <c r="N203" s="135">
        <v>44539</v>
      </c>
      <c r="O203" s="135">
        <v>44539</v>
      </c>
      <c r="P203" s="135">
        <v>44540</v>
      </c>
      <c r="Q203" s="135"/>
      <c r="R203" s="143"/>
      <c r="S203" s="143"/>
      <c r="T203" s="143"/>
      <c r="U203" s="143">
        <v>1</v>
      </c>
      <c r="V203" s="143">
        <v>23359</v>
      </c>
      <c r="W203" s="143" t="str">
        <f ca="1">IF(H203="",IF(D203="","",IF(U203+V203&lt;15,"Données Nb pers ou RFR manquantes",IF(COUNTA(INDIRECT("TabRFR["&amp;YEAR(D203)&amp;"]"))&lt;&gt;COUNTA(TabRFR[Recherche RFR]),"Data RFR manquantes", IF(V203&lt;=INDEX(TabRFR[[2021]:[2025]],MATCH(BD!U203&amp;"-Très modestes",TabRFR[Recherche RFR],0),MATCH(TEXT(YEAR(BD!D203),"Standard"),TabRFR[[#Headers],[2021]:[2025]],0)),"Très Modeste",IF(V203&lt;=INDEX(TabRFR[[2021]:[2025]],MATCH(BD!U203&amp;"-modestes",TabRFR[Recherche RFR],0),MATCH(TEXT(YEAR(BD!D203),"Standard"),TabRFR[[#Headers],[2021]:[2025]],0)),"Modeste",IF(V203&lt;=INDEX(TabRFR[[2021]:[2025]],MATCH(BD!U203&amp;"-Intermédiaire",TabRFR[Recherche RFR],0),MATCH(TEXT(YEAR(BD!D203),"Standard"),TabRFR[[#Headers],[2021]:[2025]],0)),"Intermédiaire","Supérieur")))))),IF(D203="","",IF(U203+V203&lt;15,"Données Nb pers ou RFR manquantes",IF(COUNTA(INDIRECT("TabRFR["&amp;YEAR(H203)&amp;"]"))&lt;&gt;COUNTA(TabRFR[Recherche RFR]),"Data RFR manquantes", IF(V203&lt;=INDEX(TabRFR[[2021]:[2025]],MATCH(BD!U203&amp;"-Très modestes",TabRFR[Recherche RFR],0),MATCH(TEXT(YEAR(BD!H203),"Standard"),TabRFR[[#Headers],[2021]:[2025]],0)),"Très Modeste",IF(V203&lt;=INDEX(TabRFR[[2021]:[2025]],MATCH(BD!U203&amp;"-modestes",TabRFR[Recherche RFR],0),MATCH(TEXT(YEAR(BD!H203),"Standard"),TabRFR[[#Headers],[2021]:[2025]],0)),"Modeste",IF(V203&lt;=INDEX(TabRFR[[2021]:[2025]],MATCH(BD!U203&amp;"-Intermédiaire",TabRFR[Recherche RFR],0),MATCH(TEXT(YEAR(BD!H203),"Standard"),TabRFR[[#Headers],[2021]:[2025]],0)),"Intermédiaire","Supérieur")))))))</f>
        <v>Intermédiaire</v>
      </c>
      <c r="X203" s="143"/>
      <c r="Y203" s="143" t="s">
        <v>1001</v>
      </c>
      <c r="Z203" s="143">
        <v>38850</v>
      </c>
      <c r="AA203" s="143" t="s">
        <v>193</v>
      </c>
      <c r="AB203" s="148"/>
      <c r="AC203" s="149"/>
      <c r="AD203" s="143" t="s">
        <v>91</v>
      </c>
      <c r="AE203" s="143" t="s">
        <v>76</v>
      </c>
      <c r="AF203" s="143" t="s">
        <v>76</v>
      </c>
      <c r="AG203" s="143" t="s">
        <v>76</v>
      </c>
      <c r="AH203" s="143" t="s">
        <v>76</v>
      </c>
      <c r="AI203" s="143" t="s">
        <v>185</v>
      </c>
      <c r="AJ203" s="143" t="s">
        <v>108</v>
      </c>
      <c r="AK203" s="143" t="s">
        <v>186</v>
      </c>
      <c r="AL203" s="150" t="s">
        <v>187</v>
      </c>
      <c r="AM203" s="148">
        <v>951096343</v>
      </c>
      <c r="AN203" s="143" t="s">
        <v>76</v>
      </c>
      <c r="AO203" s="150" t="s">
        <v>102</v>
      </c>
      <c r="AP203" s="147">
        <v>44433</v>
      </c>
      <c r="AQ203" s="135" t="s">
        <v>3496</v>
      </c>
      <c r="AR203" s="143">
        <v>1992</v>
      </c>
      <c r="AS203" s="143" t="s">
        <v>3413</v>
      </c>
      <c r="AT203" s="143" t="s">
        <v>98</v>
      </c>
      <c r="AU203" s="143" t="s">
        <v>188</v>
      </c>
      <c r="AV203" s="143" t="s">
        <v>189</v>
      </c>
      <c r="AW203" s="143">
        <v>20</v>
      </c>
      <c r="AX203" s="143">
        <v>8.3000000000000007</v>
      </c>
      <c r="AY203" s="143">
        <v>87</v>
      </c>
      <c r="AZ203" s="143">
        <v>1.7999999999999999E-2</v>
      </c>
      <c r="BA203" s="143" t="s">
        <v>126</v>
      </c>
      <c r="BB203" s="143"/>
      <c r="BC203" s="143">
        <f>4577+340.27+271.27+235.84+269.9</f>
        <v>5694.2800000000007</v>
      </c>
      <c r="BD203" s="143"/>
      <c r="BE203" s="143">
        <v>630</v>
      </c>
      <c r="BF203" s="143">
        <f t="shared" si="9"/>
        <v>6324.2800000000007</v>
      </c>
      <c r="BG203" s="151">
        <f t="shared" si="10"/>
        <v>347.83540000000005</v>
      </c>
      <c r="BH203" s="151">
        <f t="shared" si="11"/>
        <v>6672.1154000000006</v>
      </c>
      <c r="BI203" s="151">
        <v>6400.01</v>
      </c>
      <c r="BJ203" s="143" t="s">
        <v>102</v>
      </c>
      <c r="BK203" s="143"/>
      <c r="BL203" s="143"/>
      <c r="BM203" s="144" t="s">
        <v>3592</v>
      </c>
      <c r="BN203" s="144" t="s">
        <v>103</v>
      </c>
      <c r="BO203" s="144" t="s">
        <v>143</v>
      </c>
      <c r="BP203" s="143" t="s">
        <v>3583</v>
      </c>
      <c r="BQ203" s="203" t="s">
        <v>144</v>
      </c>
    </row>
    <row r="204" spans="1:69" ht="41.1" customHeight="1">
      <c r="A204" s="206" t="s">
        <v>86</v>
      </c>
      <c r="B204" s="206" t="s">
        <v>1002</v>
      </c>
      <c r="C204" s="143">
        <v>1000</v>
      </c>
      <c r="D204" s="135">
        <v>44372</v>
      </c>
      <c r="E204" s="135">
        <v>44375</v>
      </c>
      <c r="F204" s="147">
        <v>44376</v>
      </c>
      <c r="G204" s="135" t="s">
        <v>1003</v>
      </c>
      <c r="H204" s="147">
        <v>44376</v>
      </c>
      <c r="I204" s="147">
        <v>44376</v>
      </c>
      <c r="J204" s="147">
        <v>44382</v>
      </c>
      <c r="K204" s="135">
        <v>44462</v>
      </c>
      <c r="L204" s="135">
        <v>44453</v>
      </c>
      <c r="M204" s="135" t="s">
        <v>1004</v>
      </c>
      <c r="N204" s="135">
        <v>44476</v>
      </c>
      <c r="O204" s="135">
        <v>44476</v>
      </c>
      <c r="P204" s="135">
        <v>44539</v>
      </c>
      <c r="Q204" s="135"/>
      <c r="R204" s="143"/>
      <c r="S204" s="143"/>
      <c r="T204" s="143"/>
      <c r="U204" s="143">
        <v>3</v>
      </c>
      <c r="V204" s="143">
        <v>20677</v>
      </c>
      <c r="W204" s="143" t="str">
        <f ca="1">IF(H204="",IF(D204="","",IF(U204+V204&lt;15,"Données Nb pers ou RFR manquantes",IF(COUNTA(INDIRECT("TabRFR["&amp;YEAR(D204)&amp;"]"))&lt;&gt;COUNTA(TabRFR[Recherche RFR]),"Data RFR manquantes", IF(V204&lt;=INDEX(TabRFR[[2021]:[2025]],MATCH(BD!U204&amp;"-Très modestes",TabRFR[Recherche RFR],0),MATCH(TEXT(YEAR(BD!D204),"Standard"),TabRFR[[#Headers],[2021]:[2025]],0)),"Très Modeste",IF(V204&lt;=INDEX(TabRFR[[2021]:[2025]],MATCH(BD!U204&amp;"-modestes",TabRFR[Recherche RFR],0),MATCH(TEXT(YEAR(BD!D204),"Standard"),TabRFR[[#Headers],[2021]:[2025]],0)),"Modeste",IF(V204&lt;=INDEX(TabRFR[[2021]:[2025]],MATCH(BD!U204&amp;"-Intermédiaire",TabRFR[Recherche RFR],0),MATCH(TEXT(YEAR(BD!D204),"Standard"),TabRFR[[#Headers],[2021]:[2025]],0)),"Intermédiaire","Supérieur")))))),IF(D204="","",IF(U204+V204&lt;15,"Données Nb pers ou RFR manquantes",IF(COUNTA(INDIRECT("TabRFR["&amp;YEAR(H204)&amp;"]"))&lt;&gt;COUNTA(TabRFR[Recherche RFR]),"Data RFR manquantes", IF(V204&lt;=INDEX(TabRFR[[2021]:[2025]],MATCH(BD!U204&amp;"-Très modestes",TabRFR[Recherche RFR],0),MATCH(TEXT(YEAR(BD!H204),"Standard"),TabRFR[[#Headers],[2021]:[2025]],0)),"Très Modeste",IF(V204&lt;=INDEX(TabRFR[[2021]:[2025]],MATCH(BD!U204&amp;"-modestes",TabRFR[Recherche RFR],0),MATCH(TEXT(YEAR(BD!H204),"Standard"),TabRFR[[#Headers],[2021]:[2025]],0)),"Modeste",IF(V204&lt;=INDEX(TabRFR[[2021]:[2025]],MATCH(BD!U204&amp;"-Intermédiaire",TabRFR[Recherche RFR],0),MATCH(TEXT(YEAR(BD!H204),"Standard"),TabRFR[[#Headers],[2021]:[2025]],0)),"Intermédiaire","Supérieur")))))))</f>
        <v>Très Modeste</v>
      </c>
      <c r="X204" s="143"/>
      <c r="Y204" s="143" t="s">
        <v>1005</v>
      </c>
      <c r="Z204" s="143">
        <v>38850</v>
      </c>
      <c r="AA204" s="143" t="s">
        <v>148</v>
      </c>
      <c r="AB204" s="148"/>
      <c r="AC204" s="149"/>
      <c r="AD204" s="143" t="s">
        <v>91</v>
      </c>
      <c r="AE204" s="143" t="s">
        <v>76</v>
      </c>
      <c r="AF204" s="143" t="s">
        <v>76</v>
      </c>
      <c r="AG204" s="143" t="s">
        <v>76</v>
      </c>
      <c r="AH204" s="143" t="s">
        <v>76</v>
      </c>
      <c r="AI204" s="135" t="s">
        <v>285</v>
      </c>
      <c r="AJ204" s="143" t="s">
        <v>108</v>
      </c>
      <c r="AK204" s="143" t="s">
        <v>286</v>
      </c>
      <c r="AL204" s="150" t="s">
        <v>287</v>
      </c>
      <c r="AM204" s="148">
        <v>476069938</v>
      </c>
      <c r="AN204" s="143" t="s">
        <v>76</v>
      </c>
      <c r="AO204" s="150" t="s">
        <v>102</v>
      </c>
      <c r="AP204" s="147">
        <v>44457</v>
      </c>
      <c r="AQ204" s="143" t="s">
        <v>3413</v>
      </c>
      <c r="AR204" s="143">
        <v>2000</v>
      </c>
      <c r="AS204" s="143" t="s">
        <v>3413</v>
      </c>
      <c r="AT204" s="143" t="s">
        <v>98</v>
      </c>
      <c r="AU204" s="143" t="s">
        <v>99</v>
      </c>
      <c r="AV204" s="143" t="s">
        <v>1006</v>
      </c>
      <c r="AW204" s="143">
        <v>133</v>
      </c>
      <c r="AX204" s="143">
        <v>8.1999999999999993</v>
      </c>
      <c r="AY204" s="143">
        <v>87.7</v>
      </c>
      <c r="AZ204" s="143">
        <v>2E-3</v>
      </c>
      <c r="BA204" s="143" t="s">
        <v>101</v>
      </c>
      <c r="BB204" s="143"/>
      <c r="BC204" s="143">
        <f>2080+150+390</f>
        <v>2620</v>
      </c>
      <c r="BD204" s="143"/>
      <c r="BE204" s="143">
        <f>300+350</f>
        <v>650</v>
      </c>
      <c r="BF204" s="143">
        <f t="shared" si="9"/>
        <v>3270</v>
      </c>
      <c r="BG204" s="143">
        <f t="shared" si="10"/>
        <v>179.85</v>
      </c>
      <c r="BH204" s="143">
        <f t="shared" si="11"/>
        <v>3449.85</v>
      </c>
      <c r="BI204" s="151">
        <v>3449.85</v>
      </c>
      <c r="BJ204" s="143" t="s">
        <v>102</v>
      </c>
      <c r="BK204" s="143"/>
      <c r="BL204" s="143"/>
      <c r="BM204" s="144" t="s">
        <v>3592</v>
      </c>
      <c r="BN204" s="144" t="s">
        <v>103</v>
      </c>
      <c r="BO204" s="135" t="s">
        <v>155</v>
      </c>
      <c r="BP204" s="143" t="s">
        <v>3583</v>
      </c>
      <c r="BQ204" s="203" t="s">
        <v>144</v>
      </c>
    </row>
    <row r="205" spans="1:69" ht="41.1" customHeight="1">
      <c r="A205" s="206" t="s">
        <v>86</v>
      </c>
      <c r="B205" s="206" t="s">
        <v>1007</v>
      </c>
      <c r="C205" s="143">
        <v>600</v>
      </c>
      <c r="D205" s="135">
        <v>44375</v>
      </c>
      <c r="E205" s="135">
        <v>44376</v>
      </c>
      <c r="F205" s="147">
        <v>44376</v>
      </c>
      <c r="G205" s="135" t="s">
        <v>1008</v>
      </c>
      <c r="H205" s="147">
        <v>44383</v>
      </c>
      <c r="I205" s="147">
        <v>44383</v>
      </c>
      <c r="J205" s="147">
        <v>44389</v>
      </c>
      <c r="K205" s="135">
        <v>44469</v>
      </c>
      <c r="L205" s="135">
        <v>44460</v>
      </c>
      <c r="M205" s="135" t="s">
        <v>76</v>
      </c>
      <c r="N205" s="135">
        <v>44476</v>
      </c>
      <c r="O205" s="135">
        <v>44476</v>
      </c>
      <c r="P205" s="135">
        <v>44481</v>
      </c>
      <c r="Q205" s="135"/>
      <c r="R205" s="143"/>
      <c r="S205" s="143"/>
      <c r="T205" s="143"/>
      <c r="U205" s="143">
        <v>2</v>
      </c>
      <c r="V205" s="143">
        <v>52008</v>
      </c>
      <c r="W205" s="143" t="str">
        <f ca="1">IF(H205="",IF(D205="","",IF(U205+V205&lt;15,"Données Nb pers ou RFR manquantes",IF(COUNTA(INDIRECT("TabRFR["&amp;YEAR(D205)&amp;"]"))&lt;&gt;COUNTA(TabRFR[Recherche RFR]),"Data RFR manquantes", IF(V205&lt;=INDEX(TabRFR[[2021]:[2025]],MATCH(BD!U205&amp;"-Très modestes",TabRFR[Recherche RFR],0),MATCH(TEXT(YEAR(BD!D205),"Standard"),TabRFR[[#Headers],[2021]:[2025]],0)),"Très Modeste",IF(V205&lt;=INDEX(TabRFR[[2021]:[2025]],MATCH(BD!U205&amp;"-modestes",TabRFR[Recherche RFR],0),MATCH(TEXT(YEAR(BD!D205),"Standard"),TabRFR[[#Headers],[2021]:[2025]],0)),"Modeste",IF(V205&lt;=INDEX(TabRFR[[2021]:[2025]],MATCH(BD!U205&amp;"-Intermédiaire",TabRFR[Recherche RFR],0),MATCH(TEXT(YEAR(BD!D205),"Standard"),TabRFR[[#Headers],[2021]:[2025]],0)),"Intermédiaire","Supérieur")))))),IF(D205="","",IF(U205+V205&lt;15,"Données Nb pers ou RFR manquantes",IF(COUNTA(INDIRECT("TabRFR["&amp;YEAR(H205)&amp;"]"))&lt;&gt;COUNTA(TabRFR[Recherche RFR]),"Data RFR manquantes", IF(V205&lt;=INDEX(TabRFR[[2021]:[2025]],MATCH(BD!U205&amp;"-Très modestes",TabRFR[Recherche RFR],0),MATCH(TEXT(YEAR(BD!H205),"Standard"),TabRFR[[#Headers],[2021]:[2025]],0)),"Très Modeste",IF(V205&lt;=INDEX(TabRFR[[2021]:[2025]],MATCH(BD!U205&amp;"-modestes",TabRFR[Recherche RFR],0),MATCH(TEXT(YEAR(BD!H205),"Standard"),TabRFR[[#Headers],[2021]:[2025]],0)),"Modeste",IF(V205&lt;=INDEX(TabRFR[[2021]:[2025]],MATCH(BD!U205&amp;"-Intermédiaire",TabRFR[Recherche RFR],0),MATCH(TEXT(YEAR(BD!H205),"Standard"),TabRFR[[#Headers],[2021]:[2025]],0)),"Intermédiaire","Supérieur")))))))</f>
        <v>Supérieur</v>
      </c>
      <c r="X205" s="143"/>
      <c r="Y205" s="143" t="s">
        <v>1009</v>
      </c>
      <c r="Z205" s="143">
        <v>38850</v>
      </c>
      <c r="AA205" s="143" t="s">
        <v>193</v>
      </c>
      <c r="AB205" s="148"/>
      <c r="AC205" s="149"/>
      <c r="AD205" s="143" t="s">
        <v>91</v>
      </c>
      <c r="AE205" s="143" t="s">
        <v>76</v>
      </c>
      <c r="AF205" s="143" t="s">
        <v>76</v>
      </c>
      <c r="AG205" s="143" t="s">
        <v>76</v>
      </c>
      <c r="AH205" s="143" t="s">
        <v>76</v>
      </c>
      <c r="AI205" s="135" t="s">
        <v>2703</v>
      </c>
      <c r="AJ205" s="143" t="s">
        <v>266</v>
      </c>
      <c r="AK205" s="143" t="s">
        <v>317</v>
      </c>
      <c r="AL205" s="150" t="s">
        <v>318</v>
      </c>
      <c r="AM205" s="148">
        <v>476500550</v>
      </c>
      <c r="AN205" s="143" t="s">
        <v>76</v>
      </c>
      <c r="AO205" s="150" t="s">
        <v>102</v>
      </c>
      <c r="AP205" s="147">
        <v>44740</v>
      </c>
      <c r="AQ205" s="143" t="s">
        <v>3413</v>
      </c>
      <c r="AR205" s="143">
        <v>1985</v>
      </c>
      <c r="AS205" s="143" t="s">
        <v>3413</v>
      </c>
      <c r="AT205" s="135" t="s">
        <v>3446</v>
      </c>
      <c r="AU205" s="143" t="s">
        <v>319</v>
      </c>
      <c r="AV205" s="143" t="s">
        <v>415</v>
      </c>
      <c r="AW205" s="143">
        <v>32</v>
      </c>
      <c r="AX205" s="143">
        <v>7</v>
      </c>
      <c r="AY205" s="143">
        <v>77.8</v>
      </c>
      <c r="AZ205" s="143">
        <v>0.08</v>
      </c>
      <c r="BA205" s="143" t="s">
        <v>101</v>
      </c>
      <c r="BB205" s="143"/>
      <c r="BC205" s="143">
        <f>1991.67+85.75</f>
        <v>2077.42</v>
      </c>
      <c r="BD205" s="143"/>
      <c r="BE205" s="143">
        <v>550</v>
      </c>
      <c r="BF205" s="143">
        <f t="shared" si="9"/>
        <v>2627.42</v>
      </c>
      <c r="BG205" s="151">
        <f t="shared" si="10"/>
        <v>144.50810000000001</v>
      </c>
      <c r="BH205" s="151">
        <f t="shared" si="11"/>
        <v>2771.9281000000001</v>
      </c>
      <c r="BI205" s="151">
        <v>2771.93</v>
      </c>
      <c r="BJ205" s="143" t="s">
        <v>102</v>
      </c>
      <c r="BK205" s="143"/>
      <c r="BL205" s="143"/>
      <c r="BM205" s="144" t="s">
        <v>3592</v>
      </c>
      <c r="BN205" s="144" t="s">
        <v>103</v>
      </c>
      <c r="BO205" s="144" t="s">
        <v>143</v>
      </c>
      <c r="BP205" s="144">
        <v>2021</v>
      </c>
      <c r="BQ205" s="203" t="s">
        <v>144</v>
      </c>
    </row>
    <row r="206" spans="1:69" ht="41.1" customHeight="1">
      <c r="A206" s="207" t="s">
        <v>86</v>
      </c>
      <c r="B206" s="207" t="s">
        <v>1010</v>
      </c>
      <c r="C206" s="143">
        <v>600</v>
      </c>
      <c r="D206" s="135">
        <v>44375</v>
      </c>
      <c r="E206" s="135">
        <v>44376</v>
      </c>
      <c r="F206" s="147">
        <v>44376</v>
      </c>
      <c r="G206" s="135" t="s">
        <v>1011</v>
      </c>
      <c r="H206" s="147">
        <v>44393</v>
      </c>
      <c r="I206" s="147">
        <v>44393</v>
      </c>
      <c r="J206" s="147">
        <v>44396</v>
      </c>
      <c r="K206" s="135">
        <v>44467</v>
      </c>
      <c r="L206" s="135">
        <v>44319</v>
      </c>
      <c r="M206" s="135" t="s">
        <v>76</v>
      </c>
      <c r="N206" s="135" t="s">
        <v>76</v>
      </c>
      <c r="O206" s="135" t="s">
        <v>76</v>
      </c>
      <c r="P206" s="135" t="s">
        <v>76</v>
      </c>
      <c r="Q206" s="135">
        <v>44469</v>
      </c>
      <c r="R206" s="143" t="s">
        <v>1012</v>
      </c>
      <c r="S206" s="143"/>
      <c r="T206" s="143"/>
      <c r="U206" s="143">
        <v>2</v>
      </c>
      <c r="V206" s="143">
        <v>28327</v>
      </c>
      <c r="W206" s="143" t="str">
        <f ca="1">IF(H206="",IF(D206="","",IF(U206+V206&lt;15,"Données Nb pers ou RFR manquantes",IF(COUNTA(INDIRECT("TabRFR["&amp;YEAR(D206)&amp;"]"))&lt;&gt;COUNTA(TabRFR[Recherche RFR]),"Data RFR manquantes", IF(V206&lt;=INDEX(TabRFR[[2021]:[2025]],MATCH(BD!U206&amp;"-Très modestes",TabRFR[Recherche RFR],0),MATCH(TEXT(YEAR(BD!D206),"Standard"),TabRFR[[#Headers],[2021]:[2025]],0)),"Très Modeste",IF(V206&lt;=INDEX(TabRFR[[2021]:[2025]],MATCH(BD!U206&amp;"-modestes",TabRFR[Recherche RFR],0),MATCH(TEXT(YEAR(BD!D206),"Standard"),TabRFR[[#Headers],[2021]:[2025]],0)),"Modeste",IF(V206&lt;=INDEX(TabRFR[[2021]:[2025]],MATCH(BD!U206&amp;"-Intermédiaire",TabRFR[Recherche RFR],0),MATCH(TEXT(YEAR(BD!D206),"Standard"),TabRFR[[#Headers],[2021]:[2025]],0)),"Intermédiaire","Supérieur")))))),IF(D206="","",IF(U206+V206&lt;15,"Données Nb pers ou RFR manquantes",IF(COUNTA(INDIRECT("TabRFR["&amp;YEAR(H206)&amp;"]"))&lt;&gt;COUNTA(TabRFR[Recherche RFR]),"Data RFR manquantes", IF(V206&lt;=INDEX(TabRFR[[2021]:[2025]],MATCH(BD!U206&amp;"-Très modestes",TabRFR[Recherche RFR],0),MATCH(TEXT(YEAR(BD!H206),"Standard"),TabRFR[[#Headers],[2021]:[2025]],0)),"Très Modeste",IF(V206&lt;=INDEX(TabRFR[[2021]:[2025]],MATCH(BD!U206&amp;"-modestes",TabRFR[Recherche RFR],0),MATCH(TEXT(YEAR(BD!H206),"Standard"),TabRFR[[#Headers],[2021]:[2025]],0)),"Modeste",IF(V206&lt;=INDEX(TabRFR[[2021]:[2025]],MATCH(BD!U206&amp;"-Intermédiaire",TabRFR[Recherche RFR],0),MATCH(TEXT(YEAR(BD!H206),"Standard"),TabRFR[[#Headers],[2021]:[2025]],0)),"Intermédiaire","Supérieur")))))))</f>
        <v>Intermédiaire</v>
      </c>
      <c r="X206" s="143"/>
      <c r="Y206" s="143" t="s">
        <v>1013</v>
      </c>
      <c r="Z206" s="143">
        <v>38620</v>
      </c>
      <c r="AA206" s="143" t="s">
        <v>262</v>
      </c>
      <c r="AB206" s="148"/>
      <c r="AC206" s="149"/>
      <c r="AD206" s="143" t="s">
        <v>91</v>
      </c>
      <c r="AE206" s="143" t="s">
        <v>76</v>
      </c>
      <c r="AF206" s="143" t="s">
        <v>76</v>
      </c>
      <c r="AG206" s="143" t="s">
        <v>76</v>
      </c>
      <c r="AH206" s="143" t="s">
        <v>76</v>
      </c>
      <c r="AI206" s="135" t="s">
        <v>2748</v>
      </c>
      <c r="AJ206" s="143" t="s">
        <v>108</v>
      </c>
      <c r="AK206" s="135" t="s">
        <v>2749</v>
      </c>
      <c r="AL206" s="150" t="s">
        <v>275</v>
      </c>
      <c r="AM206" s="148">
        <v>476059444</v>
      </c>
      <c r="AN206" s="143" t="s">
        <v>76</v>
      </c>
      <c r="AO206" s="150" t="s">
        <v>102</v>
      </c>
      <c r="AP206" s="147">
        <v>44424</v>
      </c>
      <c r="AQ206" s="143" t="s">
        <v>3413</v>
      </c>
      <c r="AR206" s="143">
        <v>2000</v>
      </c>
      <c r="AS206" s="143" t="s">
        <v>3413</v>
      </c>
      <c r="AT206" s="143" t="s">
        <v>98</v>
      </c>
      <c r="AU206" s="143" t="s">
        <v>276</v>
      </c>
      <c r="AV206" s="143" t="s">
        <v>1014</v>
      </c>
      <c r="AW206" s="143">
        <v>8.5</v>
      </c>
      <c r="AX206" s="143">
        <v>9</v>
      </c>
      <c r="AY206" s="143">
        <v>91.1</v>
      </c>
      <c r="AZ206" s="143">
        <v>0.02</v>
      </c>
      <c r="BA206" s="143" t="s">
        <v>126</v>
      </c>
      <c r="BB206" s="143"/>
      <c r="BC206" s="143">
        <f>4970</f>
        <v>4970</v>
      </c>
      <c r="BD206" s="143"/>
      <c r="BE206" s="143">
        <v>300</v>
      </c>
      <c r="BF206" s="143">
        <f t="shared" si="9"/>
        <v>5270</v>
      </c>
      <c r="BG206" s="151">
        <f t="shared" si="10"/>
        <v>289.85000000000002</v>
      </c>
      <c r="BH206" s="151">
        <f t="shared" si="11"/>
        <v>5559.85</v>
      </c>
      <c r="BI206" s="151">
        <v>4225.95</v>
      </c>
      <c r="BJ206" s="143" t="s">
        <v>115</v>
      </c>
      <c r="BK206" s="143"/>
      <c r="BL206" s="143"/>
      <c r="BM206" s="144">
        <v>0</v>
      </c>
      <c r="BN206" s="144" t="s">
        <v>103</v>
      </c>
      <c r="BO206" s="144" t="s">
        <v>103</v>
      </c>
      <c r="BP206" s="203" t="s">
        <v>3582</v>
      </c>
      <c r="BQ206" s="203" t="s">
        <v>3273</v>
      </c>
    </row>
    <row r="207" spans="1:69" ht="41.1" customHeight="1">
      <c r="A207" s="206" t="s">
        <v>86</v>
      </c>
      <c r="B207" s="206" t="s">
        <v>1015</v>
      </c>
      <c r="C207" s="143">
        <v>600</v>
      </c>
      <c r="D207" s="135">
        <v>44375</v>
      </c>
      <c r="E207" s="135">
        <v>44376</v>
      </c>
      <c r="F207" s="147" t="s">
        <v>76</v>
      </c>
      <c r="G207" s="135" t="s">
        <v>76</v>
      </c>
      <c r="H207" s="147">
        <v>44376</v>
      </c>
      <c r="I207" s="147">
        <v>44376</v>
      </c>
      <c r="J207" s="147">
        <v>44382</v>
      </c>
      <c r="K207" s="135">
        <v>44559</v>
      </c>
      <c r="L207" s="135">
        <v>44540</v>
      </c>
      <c r="M207" s="135" t="s">
        <v>76</v>
      </c>
      <c r="N207" s="135">
        <v>44615</v>
      </c>
      <c r="O207" s="135">
        <v>44615</v>
      </c>
      <c r="P207" s="135">
        <v>44616</v>
      </c>
      <c r="Q207" s="135"/>
      <c r="R207" s="143"/>
      <c r="S207" s="143"/>
      <c r="T207" s="143"/>
      <c r="U207" s="143">
        <v>2</v>
      </c>
      <c r="V207" s="143">
        <v>32696</v>
      </c>
      <c r="W207" s="143" t="str">
        <f ca="1">IF(H207="",IF(D207="","",IF(U207+V207&lt;15,"Données Nb pers ou RFR manquantes",IF(COUNTA(INDIRECT("TabRFR["&amp;YEAR(D207)&amp;"]"))&lt;&gt;COUNTA(TabRFR[Recherche RFR]),"Data RFR manquantes", IF(V207&lt;=INDEX(TabRFR[[2021]:[2025]],MATCH(BD!U207&amp;"-Très modestes",TabRFR[Recherche RFR],0),MATCH(TEXT(YEAR(BD!D207),"Standard"),TabRFR[[#Headers],[2021]:[2025]],0)),"Très Modeste",IF(V207&lt;=INDEX(TabRFR[[2021]:[2025]],MATCH(BD!U207&amp;"-modestes",TabRFR[Recherche RFR],0),MATCH(TEXT(YEAR(BD!D207),"Standard"),TabRFR[[#Headers],[2021]:[2025]],0)),"Modeste",IF(V207&lt;=INDEX(TabRFR[[2021]:[2025]],MATCH(BD!U207&amp;"-Intermédiaire",TabRFR[Recherche RFR],0),MATCH(TEXT(YEAR(BD!D207),"Standard"),TabRFR[[#Headers],[2021]:[2025]],0)),"Intermédiaire","Supérieur")))))),IF(D207="","",IF(U207+V207&lt;15,"Données Nb pers ou RFR manquantes",IF(COUNTA(INDIRECT("TabRFR["&amp;YEAR(H207)&amp;"]"))&lt;&gt;COUNTA(TabRFR[Recherche RFR]),"Data RFR manquantes", IF(V207&lt;=INDEX(TabRFR[[2021]:[2025]],MATCH(BD!U207&amp;"-Très modestes",TabRFR[Recherche RFR],0),MATCH(TEXT(YEAR(BD!H207),"Standard"),TabRFR[[#Headers],[2021]:[2025]],0)),"Très Modeste",IF(V207&lt;=INDEX(TabRFR[[2021]:[2025]],MATCH(BD!U207&amp;"-modestes",TabRFR[Recherche RFR],0),MATCH(TEXT(YEAR(BD!H207),"Standard"),TabRFR[[#Headers],[2021]:[2025]],0)),"Modeste",IF(V207&lt;=INDEX(TabRFR[[2021]:[2025]],MATCH(BD!U207&amp;"-Intermédiaire",TabRFR[Recherche RFR],0),MATCH(TEXT(YEAR(BD!H207),"Standard"),TabRFR[[#Headers],[2021]:[2025]],0)),"Intermédiaire","Supérieur")))))))</f>
        <v>Intermédiaire</v>
      </c>
      <c r="X207" s="143"/>
      <c r="Y207" s="143" t="s">
        <v>1016</v>
      </c>
      <c r="Z207" s="143">
        <v>38140</v>
      </c>
      <c r="AA207" s="143" t="s">
        <v>159</v>
      </c>
      <c r="AB207" s="148"/>
      <c r="AC207" s="149"/>
      <c r="AD207" s="143" t="s">
        <v>91</v>
      </c>
      <c r="AE207" s="143" t="s">
        <v>76</v>
      </c>
      <c r="AF207" s="143" t="s">
        <v>76</v>
      </c>
      <c r="AG207" s="143" t="s">
        <v>76</v>
      </c>
      <c r="AH207" s="143" t="s">
        <v>76</v>
      </c>
      <c r="AI207" s="143" t="s">
        <v>201</v>
      </c>
      <c r="AJ207" s="143" t="s">
        <v>202</v>
      </c>
      <c r="AK207" s="143" t="s">
        <v>203</v>
      </c>
      <c r="AL207" s="150" t="s">
        <v>204</v>
      </c>
      <c r="AM207" s="148">
        <v>476065876</v>
      </c>
      <c r="AN207" s="143" t="s">
        <v>76</v>
      </c>
      <c r="AO207" s="150" t="s">
        <v>102</v>
      </c>
      <c r="AP207" s="147">
        <v>44398</v>
      </c>
      <c r="AQ207" s="135" t="s">
        <v>3496</v>
      </c>
      <c r="AR207" s="143">
        <v>2002</v>
      </c>
      <c r="AS207" s="143" t="s">
        <v>3413</v>
      </c>
      <c r="AT207" s="143" t="s">
        <v>98</v>
      </c>
      <c r="AU207" s="143" t="s">
        <v>99</v>
      </c>
      <c r="AV207" s="143" t="s">
        <v>1017</v>
      </c>
      <c r="AW207" s="143">
        <v>15</v>
      </c>
      <c r="AX207" s="143">
        <v>9</v>
      </c>
      <c r="AY207" s="143">
        <v>92.4</v>
      </c>
      <c r="AZ207" s="143">
        <v>2.2399999999999998E-3</v>
      </c>
      <c r="BA207" s="143" t="s">
        <v>101</v>
      </c>
      <c r="BB207" s="143"/>
      <c r="BC207" s="143">
        <f>2665+585+515</f>
        <v>3765</v>
      </c>
      <c r="BD207" s="143"/>
      <c r="BE207" s="143">
        <v>400</v>
      </c>
      <c r="BF207" s="143">
        <f t="shared" si="9"/>
        <v>4165</v>
      </c>
      <c r="BG207" s="151">
        <f t="shared" si="10"/>
        <v>229.07499999999999</v>
      </c>
      <c r="BH207" s="151">
        <f t="shared" si="11"/>
        <v>4394.0749999999998</v>
      </c>
      <c r="BI207" s="151">
        <v>4394.08</v>
      </c>
      <c r="BJ207" s="143" t="s">
        <v>102</v>
      </c>
      <c r="BK207" s="143"/>
      <c r="BL207" s="143"/>
      <c r="BM207" s="144" t="s">
        <v>3592</v>
      </c>
      <c r="BN207" s="144" t="s">
        <v>103</v>
      </c>
      <c r="BO207" s="144" t="s">
        <v>143</v>
      </c>
      <c r="BP207" s="143" t="s">
        <v>3583</v>
      </c>
      <c r="BQ207" s="203" t="s">
        <v>144</v>
      </c>
    </row>
    <row r="208" spans="1:69" ht="41.1" customHeight="1">
      <c r="A208" s="206" t="s">
        <v>86</v>
      </c>
      <c r="B208" s="206" t="s">
        <v>1018</v>
      </c>
      <c r="C208" s="143">
        <v>600</v>
      </c>
      <c r="D208" s="135">
        <v>44377</v>
      </c>
      <c r="E208" s="135">
        <v>44378</v>
      </c>
      <c r="F208" s="147" t="s">
        <v>76</v>
      </c>
      <c r="G208" s="135" t="s">
        <v>76</v>
      </c>
      <c r="H208" s="147">
        <v>44383</v>
      </c>
      <c r="I208" s="147">
        <v>44383</v>
      </c>
      <c r="J208" s="147">
        <v>44389</v>
      </c>
      <c r="K208" s="135">
        <v>44432</v>
      </c>
      <c r="L208" s="135">
        <v>44399</v>
      </c>
      <c r="M208" s="135" t="s">
        <v>76</v>
      </c>
      <c r="N208" s="135">
        <v>44438</v>
      </c>
      <c r="O208" s="135">
        <v>44438</v>
      </c>
      <c r="P208" s="135">
        <v>44455</v>
      </c>
      <c r="Q208" s="135"/>
      <c r="R208" s="143"/>
      <c r="S208" s="143"/>
      <c r="T208" s="143"/>
      <c r="U208" s="143">
        <v>3</v>
      </c>
      <c r="V208" s="143">
        <v>49976</v>
      </c>
      <c r="W208" s="143" t="str">
        <f ca="1">IF(H208="",IF(D208="","",IF(U208+V208&lt;15,"Données Nb pers ou RFR manquantes",IF(COUNTA(INDIRECT("TabRFR["&amp;YEAR(D208)&amp;"]"))&lt;&gt;COUNTA(TabRFR[Recherche RFR]),"Data RFR manquantes", IF(V208&lt;=INDEX(TabRFR[[2021]:[2025]],MATCH(BD!U208&amp;"-Très modestes",TabRFR[Recherche RFR],0),MATCH(TEXT(YEAR(BD!D208),"Standard"),TabRFR[[#Headers],[2021]:[2025]],0)),"Très Modeste",IF(V208&lt;=INDEX(TabRFR[[2021]:[2025]],MATCH(BD!U208&amp;"-modestes",TabRFR[Recherche RFR],0),MATCH(TEXT(YEAR(BD!D208),"Standard"),TabRFR[[#Headers],[2021]:[2025]],0)),"Modeste",IF(V208&lt;=INDEX(TabRFR[[2021]:[2025]],MATCH(BD!U208&amp;"-Intermédiaire",TabRFR[Recherche RFR],0),MATCH(TEXT(YEAR(BD!D208),"Standard"),TabRFR[[#Headers],[2021]:[2025]],0)),"Intermédiaire","Supérieur")))))),IF(D208="","",IF(U208+V208&lt;15,"Données Nb pers ou RFR manquantes",IF(COUNTA(INDIRECT("TabRFR["&amp;YEAR(H208)&amp;"]"))&lt;&gt;COUNTA(TabRFR[Recherche RFR]),"Data RFR manquantes", IF(V208&lt;=INDEX(TabRFR[[2021]:[2025]],MATCH(BD!U208&amp;"-Très modestes",TabRFR[Recherche RFR],0),MATCH(TEXT(YEAR(BD!H208),"Standard"),TabRFR[[#Headers],[2021]:[2025]],0)),"Très Modeste",IF(V208&lt;=INDEX(TabRFR[[2021]:[2025]],MATCH(BD!U208&amp;"-modestes",TabRFR[Recherche RFR],0),MATCH(TEXT(YEAR(BD!H208),"Standard"),TabRFR[[#Headers],[2021]:[2025]],0)),"Modeste",IF(V208&lt;=INDEX(TabRFR[[2021]:[2025]],MATCH(BD!U208&amp;"-Intermédiaire",TabRFR[Recherche RFR],0),MATCH(TEXT(YEAR(BD!H208),"Standard"),TabRFR[[#Headers],[2021]:[2025]],0)),"Intermédiaire","Supérieur")))))))</f>
        <v>Intermédiaire</v>
      </c>
      <c r="X208" s="143"/>
      <c r="Y208" s="143" t="s">
        <v>1019</v>
      </c>
      <c r="Z208" s="143">
        <v>38620</v>
      </c>
      <c r="AA208" s="143" t="s">
        <v>680</v>
      </c>
      <c r="AB208" s="148"/>
      <c r="AC208" s="149"/>
      <c r="AD208" s="143" t="s">
        <v>91</v>
      </c>
      <c r="AE208" s="143" t="s">
        <v>76</v>
      </c>
      <c r="AF208" s="143" t="s">
        <v>76</v>
      </c>
      <c r="AG208" s="143" t="s">
        <v>76</v>
      </c>
      <c r="AH208" s="143" t="s">
        <v>76</v>
      </c>
      <c r="AI208" s="143" t="s">
        <v>92</v>
      </c>
      <c r="AJ208" s="143" t="s">
        <v>93</v>
      </c>
      <c r="AK208" s="143" t="s">
        <v>94</v>
      </c>
      <c r="AL208" s="149" t="s">
        <v>95</v>
      </c>
      <c r="AM208" s="148" t="s">
        <v>96</v>
      </c>
      <c r="AN208" s="143" t="s">
        <v>76</v>
      </c>
      <c r="AO208" s="150" t="s">
        <v>97</v>
      </c>
      <c r="AP208" s="147">
        <v>44517</v>
      </c>
      <c r="AQ208" s="135" t="s">
        <v>3496</v>
      </c>
      <c r="AR208" s="143">
        <v>2001</v>
      </c>
      <c r="AS208" s="143" t="s">
        <v>3413</v>
      </c>
      <c r="AT208" s="143" t="s">
        <v>98</v>
      </c>
      <c r="AU208" s="143" t="s">
        <v>99</v>
      </c>
      <c r="AV208" s="143" t="s">
        <v>638</v>
      </c>
      <c r="AW208" s="143">
        <v>11</v>
      </c>
      <c r="AX208" s="143">
        <v>12</v>
      </c>
      <c r="AY208" s="143">
        <v>88.5</v>
      </c>
      <c r="AZ208" s="143">
        <v>7.0000000000000001E-3</v>
      </c>
      <c r="BA208" s="143" t="s">
        <v>101</v>
      </c>
      <c r="BB208" s="143"/>
      <c r="BC208" s="143">
        <f>3600+1395+175+263+275</f>
        <v>5708</v>
      </c>
      <c r="BD208" s="143"/>
      <c r="BE208" s="143">
        <f>690+795</f>
        <v>1485</v>
      </c>
      <c r="BF208" s="143">
        <f t="shared" si="9"/>
        <v>7193</v>
      </c>
      <c r="BG208" s="151">
        <f t="shared" si="10"/>
        <v>395.61500000000001</v>
      </c>
      <c r="BH208" s="151">
        <f t="shared" si="11"/>
        <v>7588.6149999999998</v>
      </c>
      <c r="BI208" s="151">
        <v>7588.62</v>
      </c>
      <c r="BJ208" s="143" t="s">
        <v>102</v>
      </c>
      <c r="BK208" s="143"/>
      <c r="BL208" s="143"/>
      <c r="BM208" s="144" t="s">
        <v>3592</v>
      </c>
      <c r="BN208" s="144" t="s">
        <v>103</v>
      </c>
      <c r="BO208" s="144" t="s">
        <v>143</v>
      </c>
      <c r="BP208" s="143" t="s">
        <v>3583</v>
      </c>
      <c r="BQ208" s="203" t="s">
        <v>144</v>
      </c>
    </row>
    <row r="209" spans="1:69" ht="41.1" customHeight="1">
      <c r="A209" s="206" t="s">
        <v>86</v>
      </c>
      <c r="B209" s="206" t="s">
        <v>1020</v>
      </c>
      <c r="C209" s="143">
        <v>1000</v>
      </c>
      <c r="D209" s="135">
        <v>44377</v>
      </c>
      <c r="E209" s="135">
        <v>44378</v>
      </c>
      <c r="F209" s="147" t="s">
        <v>76</v>
      </c>
      <c r="G209" s="135" t="s">
        <v>76</v>
      </c>
      <c r="H209" s="147">
        <v>44383</v>
      </c>
      <c r="I209" s="147">
        <v>44383</v>
      </c>
      <c r="J209" s="147">
        <v>44389</v>
      </c>
      <c r="K209" s="135">
        <v>44524</v>
      </c>
      <c r="L209" s="135">
        <v>44499</v>
      </c>
      <c r="M209" s="135" t="s">
        <v>76</v>
      </c>
      <c r="N209" s="135">
        <v>44525</v>
      </c>
      <c r="O209" s="135">
        <v>44525</v>
      </c>
      <c r="P209" s="135">
        <v>44539</v>
      </c>
      <c r="Q209" s="135"/>
      <c r="R209" s="143"/>
      <c r="S209" s="143"/>
      <c r="T209" s="143"/>
      <c r="U209" s="143">
        <v>4</v>
      </c>
      <c r="V209" s="143">
        <v>28822</v>
      </c>
      <c r="W209" s="143" t="str">
        <f ca="1">IF(H209="",IF(D209="","",IF(U209+V209&lt;15,"Données Nb pers ou RFR manquantes",IF(COUNTA(INDIRECT("TabRFR["&amp;YEAR(D209)&amp;"]"))&lt;&gt;COUNTA(TabRFR[Recherche RFR]),"Data RFR manquantes", IF(V209&lt;=INDEX(TabRFR[[2021]:[2025]],MATCH(BD!U209&amp;"-Très modestes",TabRFR[Recherche RFR],0),MATCH(TEXT(YEAR(BD!D209),"Standard"),TabRFR[[#Headers],[2021]:[2025]],0)),"Très Modeste",IF(V209&lt;=INDEX(TabRFR[[2021]:[2025]],MATCH(BD!U209&amp;"-modestes",TabRFR[Recherche RFR],0),MATCH(TEXT(YEAR(BD!D209),"Standard"),TabRFR[[#Headers],[2021]:[2025]],0)),"Modeste",IF(V209&lt;=INDEX(TabRFR[[2021]:[2025]],MATCH(BD!U209&amp;"-Intermédiaire",TabRFR[Recherche RFR],0),MATCH(TEXT(YEAR(BD!D209),"Standard"),TabRFR[[#Headers],[2021]:[2025]],0)),"Intermédiaire","Supérieur")))))),IF(D209="","",IF(U209+V209&lt;15,"Données Nb pers ou RFR manquantes",IF(COUNTA(INDIRECT("TabRFR["&amp;YEAR(H209)&amp;"]"))&lt;&gt;COUNTA(TabRFR[Recherche RFR]),"Data RFR manquantes", IF(V209&lt;=INDEX(TabRFR[[2021]:[2025]],MATCH(BD!U209&amp;"-Très modestes",TabRFR[Recherche RFR],0),MATCH(TEXT(YEAR(BD!H209),"Standard"),TabRFR[[#Headers],[2021]:[2025]],0)),"Très Modeste",IF(V209&lt;=INDEX(TabRFR[[2021]:[2025]],MATCH(BD!U209&amp;"-modestes",TabRFR[Recherche RFR],0),MATCH(TEXT(YEAR(BD!H209),"Standard"),TabRFR[[#Headers],[2021]:[2025]],0)),"Modeste",IF(V209&lt;=INDEX(TabRFR[[2021]:[2025]],MATCH(BD!U209&amp;"-Intermédiaire",TabRFR[Recherche RFR],0),MATCH(TEXT(YEAR(BD!H209),"Standard"),TabRFR[[#Headers],[2021]:[2025]],0)),"Intermédiaire","Supérieur")))))))</f>
        <v>Très Modeste</v>
      </c>
      <c r="X209" s="143"/>
      <c r="Y209" s="143" t="s">
        <v>1021</v>
      </c>
      <c r="Z209" s="143">
        <v>38620</v>
      </c>
      <c r="AA209" s="143" t="s">
        <v>262</v>
      </c>
      <c r="AB209" s="148"/>
      <c r="AC209" s="149"/>
      <c r="AD209" s="143" t="s">
        <v>91</v>
      </c>
      <c r="AE209" s="143" t="s">
        <v>76</v>
      </c>
      <c r="AF209" s="143" t="s">
        <v>76</v>
      </c>
      <c r="AG209" s="143" t="s">
        <v>76</v>
      </c>
      <c r="AH209" s="143" t="s">
        <v>76</v>
      </c>
      <c r="AI209" s="143" t="s">
        <v>92</v>
      </c>
      <c r="AJ209" s="143" t="s">
        <v>93</v>
      </c>
      <c r="AK209" s="143" t="s">
        <v>94</v>
      </c>
      <c r="AL209" s="149" t="s">
        <v>95</v>
      </c>
      <c r="AM209" s="148" t="s">
        <v>96</v>
      </c>
      <c r="AN209" s="143" t="s">
        <v>76</v>
      </c>
      <c r="AO209" s="150" t="s">
        <v>97</v>
      </c>
      <c r="AP209" s="147">
        <v>44517</v>
      </c>
      <c r="AQ209" s="143" t="s">
        <v>3413</v>
      </c>
      <c r="AR209" s="143">
        <v>1980</v>
      </c>
      <c r="AS209" s="143" t="s">
        <v>3413</v>
      </c>
      <c r="AT209" s="135" t="s">
        <v>3446</v>
      </c>
      <c r="AU209" s="143" t="s">
        <v>385</v>
      </c>
      <c r="AV209" s="143" t="s">
        <v>1022</v>
      </c>
      <c r="AW209" s="143">
        <v>31</v>
      </c>
      <c r="AX209" s="143">
        <v>9</v>
      </c>
      <c r="AY209" s="143">
        <v>75</v>
      </c>
      <c r="AZ209" s="143">
        <v>0.1</v>
      </c>
      <c r="BA209" s="143" t="s">
        <v>101</v>
      </c>
      <c r="BB209" s="143"/>
      <c r="BC209" s="143">
        <f>4728+247+45+138+860</f>
        <v>6018</v>
      </c>
      <c r="BD209" s="143"/>
      <c r="BE209" s="143">
        <v>790</v>
      </c>
      <c r="BF209" s="143">
        <f t="shared" si="9"/>
        <v>6808</v>
      </c>
      <c r="BG209" s="151">
        <f t="shared" si="10"/>
        <v>374.44</v>
      </c>
      <c r="BH209" s="151">
        <f t="shared" si="11"/>
        <v>7182.44</v>
      </c>
      <c r="BI209" s="151">
        <v>7182.44</v>
      </c>
      <c r="BJ209" s="143" t="s">
        <v>102</v>
      </c>
      <c r="BK209" s="143"/>
      <c r="BL209" s="143"/>
      <c r="BM209" s="144" t="s">
        <v>3592</v>
      </c>
      <c r="BN209" s="144" t="s">
        <v>103</v>
      </c>
      <c r="BO209" s="135" t="s">
        <v>155</v>
      </c>
      <c r="BP209" s="144">
        <v>2021</v>
      </c>
      <c r="BQ209" s="203" t="s">
        <v>144</v>
      </c>
    </row>
    <row r="210" spans="1:69" ht="41.1" customHeight="1">
      <c r="A210" s="206" t="s">
        <v>86</v>
      </c>
      <c r="B210" s="206" t="s">
        <v>1023</v>
      </c>
      <c r="C210" s="143">
        <v>600</v>
      </c>
      <c r="D210" s="135">
        <v>44378</v>
      </c>
      <c r="E210" s="135">
        <v>44378</v>
      </c>
      <c r="F210" s="147" t="s">
        <v>76</v>
      </c>
      <c r="G210" s="135" t="s">
        <v>76</v>
      </c>
      <c r="H210" s="147">
        <v>44383</v>
      </c>
      <c r="I210" s="147">
        <v>44383</v>
      </c>
      <c r="J210" s="147">
        <v>44389</v>
      </c>
      <c r="K210" s="135">
        <v>44412</v>
      </c>
      <c r="L210" s="135">
        <v>44405</v>
      </c>
      <c r="M210" s="135" t="s">
        <v>1024</v>
      </c>
      <c r="N210" s="135">
        <v>44438</v>
      </c>
      <c r="O210" s="135">
        <v>44438</v>
      </c>
      <c r="P210" s="135">
        <v>44455</v>
      </c>
      <c r="Q210" s="135"/>
      <c r="R210" s="143"/>
      <c r="S210" s="143"/>
      <c r="T210" s="143"/>
      <c r="U210" s="143">
        <v>2</v>
      </c>
      <c r="V210" s="143">
        <f>15362+29656</f>
        <v>45018</v>
      </c>
      <c r="W210" s="143" t="str">
        <f ca="1">IF(H210="",IF(D210="","",IF(U210+V210&lt;15,"Données Nb pers ou RFR manquantes",IF(COUNTA(INDIRECT("TabRFR["&amp;YEAR(D210)&amp;"]"))&lt;&gt;COUNTA(TabRFR[Recherche RFR]),"Data RFR manquantes", IF(V210&lt;=INDEX(TabRFR[[2021]:[2025]],MATCH(BD!U210&amp;"-Très modestes",TabRFR[Recherche RFR],0),MATCH(TEXT(YEAR(BD!D210),"Standard"),TabRFR[[#Headers],[2021]:[2025]],0)),"Très Modeste",IF(V210&lt;=INDEX(TabRFR[[2021]:[2025]],MATCH(BD!U210&amp;"-modestes",TabRFR[Recherche RFR],0),MATCH(TEXT(YEAR(BD!D210),"Standard"),TabRFR[[#Headers],[2021]:[2025]],0)),"Modeste",IF(V210&lt;=INDEX(TabRFR[[2021]:[2025]],MATCH(BD!U210&amp;"-Intermédiaire",TabRFR[Recherche RFR],0),MATCH(TEXT(YEAR(BD!D210),"Standard"),TabRFR[[#Headers],[2021]:[2025]],0)),"Intermédiaire","Supérieur")))))),IF(D210="","",IF(U210+V210&lt;15,"Données Nb pers ou RFR manquantes",IF(COUNTA(INDIRECT("TabRFR["&amp;YEAR(H210)&amp;"]"))&lt;&gt;COUNTA(TabRFR[Recherche RFR]),"Data RFR manquantes", IF(V210&lt;=INDEX(TabRFR[[2021]:[2025]],MATCH(BD!U210&amp;"-Très modestes",TabRFR[Recherche RFR],0),MATCH(TEXT(YEAR(BD!H210),"Standard"),TabRFR[[#Headers],[2021]:[2025]],0)),"Très Modeste",IF(V210&lt;=INDEX(TabRFR[[2021]:[2025]],MATCH(BD!U210&amp;"-modestes",TabRFR[Recherche RFR],0),MATCH(TEXT(YEAR(BD!H210),"Standard"),TabRFR[[#Headers],[2021]:[2025]],0)),"Modeste",IF(V210&lt;=INDEX(TabRFR[[2021]:[2025]],MATCH(BD!U210&amp;"-Intermédiaire",TabRFR[Recherche RFR],0),MATCH(TEXT(YEAR(BD!H210),"Standard"),TabRFR[[#Headers],[2021]:[2025]],0)),"Intermédiaire","Supérieur")))))))</f>
        <v>Supérieur</v>
      </c>
      <c r="X210" s="143"/>
      <c r="Y210" s="143" t="s">
        <v>1025</v>
      </c>
      <c r="Z210" s="143">
        <v>38340</v>
      </c>
      <c r="AA210" s="143" t="s">
        <v>413</v>
      </c>
      <c r="AB210" s="148"/>
      <c r="AC210" s="149"/>
      <c r="AD210" s="143" t="s">
        <v>91</v>
      </c>
      <c r="AE210" s="143" t="s">
        <v>76</v>
      </c>
      <c r="AF210" s="143" t="s">
        <v>76</v>
      </c>
      <c r="AG210" s="143" t="s">
        <v>76</v>
      </c>
      <c r="AH210" s="143" t="s">
        <v>76</v>
      </c>
      <c r="AI210" s="143" t="s">
        <v>250</v>
      </c>
      <c r="AJ210" s="143" t="s">
        <v>121</v>
      </c>
      <c r="AK210" s="143" t="s">
        <v>251</v>
      </c>
      <c r="AL210" s="150" t="s">
        <v>252</v>
      </c>
      <c r="AM210" s="148">
        <v>476452433</v>
      </c>
      <c r="AN210" s="143" t="s">
        <v>76</v>
      </c>
      <c r="AO210" s="150" t="s">
        <v>102</v>
      </c>
      <c r="AP210" s="147">
        <v>44589</v>
      </c>
      <c r="AQ210" s="135" t="s">
        <v>3449</v>
      </c>
      <c r="AR210" s="143">
        <v>1990</v>
      </c>
      <c r="AS210" s="143" t="s">
        <v>3413</v>
      </c>
      <c r="AT210" s="135" t="s">
        <v>3446</v>
      </c>
      <c r="AU210" s="143" t="s">
        <v>253</v>
      </c>
      <c r="AV210" s="143" t="s">
        <v>1026</v>
      </c>
      <c r="AW210" s="143">
        <v>16</v>
      </c>
      <c r="AX210" s="143">
        <v>6.4</v>
      </c>
      <c r="AY210" s="143">
        <v>81</v>
      </c>
      <c r="AZ210" s="143">
        <v>0.08</v>
      </c>
      <c r="BA210" s="143" t="s">
        <v>101</v>
      </c>
      <c r="BB210" s="143"/>
      <c r="BC210" s="143">
        <f>4520.28+248.33+255</f>
        <v>5023.6099999999997</v>
      </c>
      <c r="BD210" s="143"/>
      <c r="BE210" s="143">
        <f>85+400</f>
        <v>485</v>
      </c>
      <c r="BF210" s="143">
        <f t="shared" si="9"/>
        <v>5508.61</v>
      </c>
      <c r="BG210" s="151">
        <f t="shared" si="10"/>
        <v>302.97354999999999</v>
      </c>
      <c r="BH210" s="151">
        <f t="shared" si="11"/>
        <v>5811.5835499999994</v>
      </c>
      <c r="BI210" s="151">
        <v>5411.74</v>
      </c>
      <c r="BJ210" s="143" t="s">
        <v>115</v>
      </c>
      <c r="BK210" s="143"/>
      <c r="BL210" s="143"/>
      <c r="BM210" s="144" t="s">
        <v>3592</v>
      </c>
      <c r="BN210" s="144" t="s">
        <v>103</v>
      </c>
      <c r="BO210" s="144" t="s">
        <v>143</v>
      </c>
      <c r="BP210" s="144">
        <v>2021</v>
      </c>
      <c r="BQ210" s="203" t="s">
        <v>3274</v>
      </c>
    </row>
    <row r="211" spans="1:69" ht="41.1" customHeight="1">
      <c r="A211" s="206" t="s">
        <v>86</v>
      </c>
      <c r="B211" s="206" t="s">
        <v>1027</v>
      </c>
      <c r="C211" s="143">
        <v>600</v>
      </c>
      <c r="D211" s="135">
        <v>44379</v>
      </c>
      <c r="E211" s="135">
        <v>44383</v>
      </c>
      <c r="F211" s="147" t="s">
        <v>76</v>
      </c>
      <c r="G211" s="135" t="s">
        <v>76</v>
      </c>
      <c r="H211" s="147">
        <v>44383</v>
      </c>
      <c r="I211" s="147">
        <v>44383</v>
      </c>
      <c r="J211" s="147">
        <v>44389</v>
      </c>
      <c r="K211" s="135">
        <v>44623</v>
      </c>
      <c r="L211" s="135">
        <v>44547</v>
      </c>
      <c r="M211" s="135" t="s">
        <v>76</v>
      </c>
      <c r="N211" s="135">
        <v>44630</v>
      </c>
      <c r="O211" s="135">
        <v>44630</v>
      </c>
      <c r="P211" s="135">
        <v>44630</v>
      </c>
      <c r="Q211" s="135"/>
      <c r="R211" s="143"/>
      <c r="S211" s="143"/>
      <c r="T211" s="143"/>
      <c r="U211" s="143">
        <v>2</v>
      </c>
      <c r="V211" s="143">
        <v>46202</v>
      </c>
      <c r="W211" s="143" t="str">
        <f ca="1">IF(H211="",IF(D211="","",IF(U211+V211&lt;15,"Données Nb pers ou RFR manquantes",IF(COUNTA(INDIRECT("TabRFR["&amp;YEAR(D211)&amp;"]"))&lt;&gt;COUNTA(TabRFR[Recherche RFR]),"Data RFR manquantes", IF(V211&lt;=INDEX(TabRFR[[2021]:[2025]],MATCH(BD!U211&amp;"-Très modestes",TabRFR[Recherche RFR],0),MATCH(TEXT(YEAR(BD!D211),"Standard"),TabRFR[[#Headers],[2021]:[2025]],0)),"Très Modeste",IF(V211&lt;=INDEX(TabRFR[[2021]:[2025]],MATCH(BD!U211&amp;"-modestes",TabRFR[Recherche RFR],0),MATCH(TEXT(YEAR(BD!D211),"Standard"),TabRFR[[#Headers],[2021]:[2025]],0)),"Modeste",IF(V211&lt;=INDEX(TabRFR[[2021]:[2025]],MATCH(BD!U211&amp;"-Intermédiaire",TabRFR[Recherche RFR],0),MATCH(TEXT(YEAR(BD!D211),"Standard"),TabRFR[[#Headers],[2021]:[2025]],0)),"Intermédiaire","Supérieur")))))),IF(D211="","",IF(U211+V211&lt;15,"Données Nb pers ou RFR manquantes",IF(COUNTA(INDIRECT("TabRFR["&amp;YEAR(H211)&amp;"]"))&lt;&gt;COUNTA(TabRFR[Recherche RFR]),"Data RFR manquantes", IF(V211&lt;=INDEX(TabRFR[[2021]:[2025]],MATCH(BD!U211&amp;"-Très modestes",TabRFR[Recherche RFR],0),MATCH(TEXT(YEAR(BD!H211),"Standard"),TabRFR[[#Headers],[2021]:[2025]],0)),"Très Modeste",IF(V211&lt;=INDEX(TabRFR[[2021]:[2025]],MATCH(BD!U211&amp;"-modestes",TabRFR[Recherche RFR],0),MATCH(TEXT(YEAR(BD!H211),"Standard"),TabRFR[[#Headers],[2021]:[2025]],0)),"Modeste",IF(V211&lt;=INDEX(TabRFR[[2021]:[2025]],MATCH(BD!U211&amp;"-Intermédiaire",TabRFR[Recherche RFR],0),MATCH(TEXT(YEAR(BD!H211),"Standard"),TabRFR[[#Headers],[2021]:[2025]],0)),"Intermédiaire","Supérieur")))))))</f>
        <v>Supérieur</v>
      </c>
      <c r="X211" s="143"/>
      <c r="Y211" s="143" t="s">
        <v>815</v>
      </c>
      <c r="Z211" s="143">
        <v>38500</v>
      </c>
      <c r="AA211" s="143" t="s">
        <v>134</v>
      </c>
      <c r="AB211" s="148"/>
      <c r="AC211" s="149"/>
      <c r="AD211" s="143" t="s">
        <v>91</v>
      </c>
      <c r="AE211" s="143" t="s">
        <v>76</v>
      </c>
      <c r="AF211" s="143" t="s">
        <v>76</v>
      </c>
      <c r="AG211" s="143" t="s">
        <v>76</v>
      </c>
      <c r="AH211" s="143" t="s">
        <v>76</v>
      </c>
      <c r="AI211" s="143" t="s">
        <v>109</v>
      </c>
      <c r="AJ211" s="143" t="s">
        <v>108</v>
      </c>
      <c r="AK211" s="143" t="s">
        <v>110</v>
      </c>
      <c r="AL211" s="149" t="s">
        <v>111</v>
      </c>
      <c r="AM211" s="148" t="s">
        <v>112</v>
      </c>
      <c r="AN211" s="143" t="s">
        <v>76</v>
      </c>
      <c r="AO211" s="150" t="s">
        <v>102</v>
      </c>
      <c r="AP211" s="147">
        <v>44503</v>
      </c>
      <c r="AQ211" s="135" t="s">
        <v>3449</v>
      </c>
      <c r="AR211" s="143">
        <v>1990</v>
      </c>
      <c r="AS211" s="143" t="s">
        <v>3413</v>
      </c>
      <c r="AT211" s="135" t="s">
        <v>3446</v>
      </c>
      <c r="AU211" s="143" t="s">
        <v>1028</v>
      </c>
      <c r="AV211" s="143" t="s">
        <v>1029</v>
      </c>
      <c r="AW211" s="143">
        <v>30</v>
      </c>
      <c r="AX211" s="143">
        <v>5</v>
      </c>
      <c r="AY211" s="143">
        <v>80.2</v>
      </c>
      <c r="AZ211" s="143">
        <v>7.0000000000000007E-2</v>
      </c>
      <c r="BA211" s="143" t="s">
        <v>101</v>
      </c>
      <c r="BB211" s="143"/>
      <c r="BC211" s="143">
        <f>1953.21+450+101+85+81+90+62+43+22+15+120</f>
        <v>3022.21</v>
      </c>
      <c r="BD211" s="143"/>
      <c r="BE211" s="143">
        <f>60+440+500</f>
        <v>1000</v>
      </c>
      <c r="BF211" s="143">
        <f t="shared" si="9"/>
        <v>4022.21</v>
      </c>
      <c r="BG211" s="151">
        <f t="shared" si="10"/>
        <v>221.22155000000001</v>
      </c>
      <c r="BH211" s="151">
        <f t="shared" si="11"/>
        <v>4243.4315500000002</v>
      </c>
      <c r="BI211" s="151">
        <v>4243.43</v>
      </c>
      <c r="BJ211" s="143" t="s">
        <v>102</v>
      </c>
      <c r="BK211" s="143"/>
      <c r="BL211" s="143"/>
      <c r="BM211" s="144" t="s">
        <v>3592</v>
      </c>
      <c r="BN211" s="144" t="s">
        <v>103</v>
      </c>
      <c r="BO211" s="144" t="s">
        <v>143</v>
      </c>
      <c r="BP211" s="143">
        <v>2021</v>
      </c>
      <c r="BQ211" s="203" t="s">
        <v>144</v>
      </c>
    </row>
    <row r="212" spans="1:69" ht="41.1" customHeight="1">
      <c r="A212" s="206" t="s">
        <v>86</v>
      </c>
      <c r="B212" s="206" t="s">
        <v>1030</v>
      </c>
      <c r="C212" s="143">
        <v>1000</v>
      </c>
      <c r="D212" s="135">
        <v>44379</v>
      </c>
      <c r="E212" s="135">
        <v>44383</v>
      </c>
      <c r="F212" s="147" t="s">
        <v>76</v>
      </c>
      <c r="G212" s="135" t="s">
        <v>76</v>
      </c>
      <c r="H212" s="147">
        <v>44383</v>
      </c>
      <c r="I212" s="147">
        <v>44383</v>
      </c>
      <c r="J212" s="147">
        <v>44389</v>
      </c>
      <c r="K212" s="135">
        <v>44537</v>
      </c>
      <c r="L212" s="135">
        <v>44530</v>
      </c>
      <c r="M212" s="135" t="s">
        <v>76</v>
      </c>
      <c r="N212" s="135">
        <v>44539</v>
      </c>
      <c r="O212" s="135">
        <v>44539</v>
      </c>
      <c r="P212" s="135">
        <v>44540</v>
      </c>
      <c r="Q212" s="135"/>
      <c r="R212" s="143"/>
      <c r="S212" s="143"/>
      <c r="T212" s="143"/>
      <c r="U212" s="143">
        <v>2</v>
      </c>
      <c r="V212" s="143">
        <v>22974</v>
      </c>
      <c r="W212" s="143" t="str">
        <f ca="1">IF(H212="",IF(D212="","",IF(U212+V212&lt;15,"Données Nb pers ou RFR manquantes",IF(COUNTA(INDIRECT("TabRFR["&amp;YEAR(D212)&amp;"]"))&lt;&gt;COUNTA(TabRFR[Recherche RFR]),"Data RFR manquantes", IF(V212&lt;=INDEX(TabRFR[[2021]:[2025]],MATCH(BD!U212&amp;"-Très modestes",TabRFR[Recherche RFR],0),MATCH(TEXT(YEAR(BD!D212),"Standard"),TabRFR[[#Headers],[2021]:[2025]],0)),"Très Modeste",IF(V212&lt;=INDEX(TabRFR[[2021]:[2025]],MATCH(BD!U212&amp;"-modestes",TabRFR[Recherche RFR],0),MATCH(TEXT(YEAR(BD!D212),"Standard"),TabRFR[[#Headers],[2021]:[2025]],0)),"Modeste",IF(V212&lt;=INDEX(TabRFR[[2021]:[2025]],MATCH(BD!U212&amp;"-Intermédiaire",TabRFR[Recherche RFR],0),MATCH(TEXT(YEAR(BD!D212),"Standard"),TabRFR[[#Headers],[2021]:[2025]],0)),"Intermédiaire","Supérieur")))))),IF(D212="","",IF(U212+V212&lt;15,"Données Nb pers ou RFR manquantes",IF(COUNTA(INDIRECT("TabRFR["&amp;YEAR(H212)&amp;"]"))&lt;&gt;COUNTA(TabRFR[Recherche RFR]),"Data RFR manquantes", IF(V212&lt;=INDEX(TabRFR[[2021]:[2025]],MATCH(BD!U212&amp;"-Très modestes",TabRFR[Recherche RFR],0),MATCH(TEXT(YEAR(BD!H212),"Standard"),TabRFR[[#Headers],[2021]:[2025]],0)),"Très Modeste",IF(V212&lt;=INDEX(TabRFR[[2021]:[2025]],MATCH(BD!U212&amp;"-modestes",TabRFR[Recherche RFR],0),MATCH(TEXT(YEAR(BD!H212),"Standard"),TabRFR[[#Headers],[2021]:[2025]],0)),"Modeste",IF(V212&lt;=INDEX(TabRFR[[2021]:[2025]],MATCH(BD!U212&amp;"-Intermédiaire",TabRFR[Recherche RFR],0),MATCH(TEXT(YEAR(BD!H212),"Standard"),TabRFR[[#Headers],[2021]:[2025]],0)),"Intermédiaire","Supérieur")))))))</f>
        <v>Modeste</v>
      </c>
      <c r="X212" s="143"/>
      <c r="Y212" s="143" t="s">
        <v>1031</v>
      </c>
      <c r="Z212" s="143">
        <v>38500</v>
      </c>
      <c r="AA212" s="143" t="s">
        <v>134</v>
      </c>
      <c r="AB212" s="148"/>
      <c r="AC212" s="149"/>
      <c r="AD212" s="143" t="s">
        <v>91</v>
      </c>
      <c r="AE212" s="143" t="s">
        <v>76</v>
      </c>
      <c r="AF212" s="143" t="s">
        <v>76</v>
      </c>
      <c r="AG212" s="143" t="s">
        <v>76</v>
      </c>
      <c r="AH212" s="143" t="s">
        <v>76</v>
      </c>
      <c r="AI212" s="143" t="s">
        <v>109</v>
      </c>
      <c r="AJ212" s="143" t="s">
        <v>108</v>
      </c>
      <c r="AK212" s="143" t="s">
        <v>110</v>
      </c>
      <c r="AL212" s="149" t="s">
        <v>111</v>
      </c>
      <c r="AM212" s="148" t="s">
        <v>112</v>
      </c>
      <c r="AN212" s="143" t="s">
        <v>76</v>
      </c>
      <c r="AO212" s="150" t="s">
        <v>102</v>
      </c>
      <c r="AP212" s="147">
        <v>44503</v>
      </c>
      <c r="AQ212" s="143" t="s">
        <v>3413</v>
      </c>
      <c r="AR212" s="143">
        <v>1995</v>
      </c>
      <c r="AS212" s="143" t="s">
        <v>3413</v>
      </c>
      <c r="AT212" s="143" t="s">
        <v>98</v>
      </c>
      <c r="AU212" s="143" t="s">
        <v>113</v>
      </c>
      <c r="AV212" s="143" t="s">
        <v>1032</v>
      </c>
      <c r="AW212" s="143">
        <v>12</v>
      </c>
      <c r="AX212" s="143">
        <v>12</v>
      </c>
      <c r="AY212" s="143">
        <v>91</v>
      </c>
      <c r="AZ212" s="143">
        <v>0.02</v>
      </c>
      <c r="BA212" s="143" t="s">
        <v>101</v>
      </c>
      <c r="BB212" s="143"/>
      <c r="BC212" s="143">
        <f>3895+133+125+62.9+60+22+88+15</f>
        <v>4400.8999999999996</v>
      </c>
      <c r="BD212" s="143"/>
      <c r="BE212" s="143">
        <f>30+450</f>
        <v>480</v>
      </c>
      <c r="BF212" s="143">
        <f t="shared" si="9"/>
        <v>4880.8999999999996</v>
      </c>
      <c r="BG212" s="151">
        <f t="shared" si="10"/>
        <v>268.4495</v>
      </c>
      <c r="BH212" s="151">
        <f t="shared" si="11"/>
        <v>5149.3494999999994</v>
      </c>
      <c r="BI212" s="151">
        <v>5243.35</v>
      </c>
      <c r="BJ212" s="143" t="s">
        <v>115</v>
      </c>
      <c r="BK212" s="143"/>
      <c r="BL212" s="143"/>
      <c r="BM212" s="144" t="s">
        <v>3592</v>
      </c>
      <c r="BN212" s="144" t="s">
        <v>103</v>
      </c>
      <c r="BO212" s="135" t="s">
        <v>155</v>
      </c>
      <c r="BP212" s="143" t="s">
        <v>3583</v>
      </c>
      <c r="BQ212" s="203" t="s">
        <v>3274</v>
      </c>
    </row>
    <row r="213" spans="1:69" ht="41.1" customHeight="1">
      <c r="A213" s="206" t="s">
        <v>86</v>
      </c>
      <c r="B213" s="206" t="s">
        <v>1033</v>
      </c>
      <c r="C213" s="143">
        <v>1000</v>
      </c>
      <c r="D213" s="135">
        <v>44379</v>
      </c>
      <c r="E213" s="135">
        <v>44383</v>
      </c>
      <c r="F213" s="147">
        <v>44383</v>
      </c>
      <c r="G213" s="135" t="s">
        <v>1034</v>
      </c>
      <c r="H213" s="147">
        <v>44393</v>
      </c>
      <c r="I213" s="147">
        <v>44393</v>
      </c>
      <c r="J213" s="147">
        <v>44396</v>
      </c>
      <c r="K213" s="135">
        <v>44512</v>
      </c>
      <c r="L213" s="135">
        <v>44489</v>
      </c>
      <c r="M213" s="135" t="s">
        <v>76</v>
      </c>
      <c r="N213" s="135">
        <v>44525</v>
      </c>
      <c r="O213" s="135">
        <v>44525</v>
      </c>
      <c r="P213" s="135">
        <v>44539</v>
      </c>
      <c r="Q213" s="135"/>
      <c r="R213" s="143"/>
      <c r="S213" s="143"/>
      <c r="T213" s="143"/>
      <c r="U213" s="143">
        <v>2</v>
      </c>
      <c r="V213" s="143">
        <v>23999</v>
      </c>
      <c r="W213" s="143" t="str">
        <f ca="1">IF(H213="",IF(D213="","",IF(U213+V213&lt;15,"Données Nb pers ou RFR manquantes",IF(COUNTA(INDIRECT("TabRFR["&amp;YEAR(D213)&amp;"]"))&lt;&gt;COUNTA(TabRFR[Recherche RFR]),"Data RFR manquantes", IF(V213&lt;=INDEX(TabRFR[[2021]:[2025]],MATCH(BD!U213&amp;"-Très modestes",TabRFR[Recherche RFR],0),MATCH(TEXT(YEAR(BD!D213),"Standard"),TabRFR[[#Headers],[2021]:[2025]],0)),"Très Modeste",IF(V213&lt;=INDEX(TabRFR[[2021]:[2025]],MATCH(BD!U213&amp;"-modestes",TabRFR[Recherche RFR],0),MATCH(TEXT(YEAR(BD!D213),"Standard"),TabRFR[[#Headers],[2021]:[2025]],0)),"Modeste",IF(V213&lt;=INDEX(TabRFR[[2021]:[2025]],MATCH(BD!U213&amp;"-Intermédiaire",TabRFR[Recherche RFR],0),MATCH(TEXT(YEAR(BD!D213),"Standard"),TabRFR[[#Headers],[2021]:[2025]],0)),"Intermédiaire","Supérieur")))))),IF(D213="","",IF(U213+V213&lt;15,"Données Nb pers ou RFR manquantes",IF(COUNTA(INDIRECT("TabRFR["&amp;YEAR(H213)&amp;"]"))&lt;&gt;COUNTA(TabRFR[Recherche RFR]),"Data RFR manquantes", IF(V213&lt;=INDEX(TabRFR[[2021]:[2025]],MATCH(BD!U213&amp;"-Très modestes",TabRFR[Recherche RFR],0),MATCH(TEXT(YEAR(BD!H213),"Standard"),TabRFR[[#Headers],[2021]:[2025]],0)),"Très Modeste",IF(V213&lt;=INDEX(TabRFR[[2021]:[2025]],MATCH(BD!U213&amp;"-modestes",TabRFR[Recherche RFR],0),MATCH(TEXT(YEAR(BD!H213),"Standard"),TabRFR[[#Headers],[2021]:[2025]],0)),"Modeste",IF(V213&lt;=INDEX(TabRFR[[2021]:[2025]],MATCH(BD!U213&amp;"-Intermédiaire",TabRFR[Recherche RFR],0),MATCH(TEXT(YEAR(BD!H213),"Standard"),TabRFR[[#Headers],[2021]:[2025]],0)),"Intermédiaire","Supérieur")))))))</f>
        <v>Modeste</v>
      </c>
      <c r="X213" s="143"/>
      <c r="Y213" s="143" t="s">
        <v>1035</v>
      </c>
      <c r="Z213" s="143">
        <v>38340</v>
      </c>
      <c r="AA213" s="143" t="s">
        <v>266</v>
      </c>
      <c r="AB213" s="148"/>
      <c r="AC213" s="149"/>
      <c r="AD213" s="143" t="s">
        <v>91</v>
      </c>
      <c r="AE213" s="143" t="s">
        <v>76</v>
      </c>
      <c r="AF213" s="143" t="s">
        <v>76</v>
      </c>
      <c r="AG213" s="143" t="s">
        <v>76</v>
      </c>
      <c r="AH213" s="143" t="s">
        <v>76</v>
      </c>
      <c r="AI213" s="143" t="s">
        <v>1036</v>
      </c>
      <c r="AJ213" s="143" t="s">
        <v>1037</v>
      </c>
      <c r="AK213" s="143" t="s">
        <v>1038</v>
      </c>
      <c r="AL213" s="150" t="s">
        <v>1039</v>
      </c>
      <c r="AM213" s="148">
        <v>652624373</v>
      </c>
      <c r="AN213" s="143" t="s">
        <v>76</v>
      </c>
      <c r="AO213" s="150" t="s">
        <v>102</v>
      </c>
      <c r="AP213" s="147">
        <v>44446</v>
      </c>
      <c r="AQ213" s="135" t="s">
        <v>3449</v>
      </c>
      <c r="AR213" s="143">
        <v>1986</v>
      </c>
      <c r="AS213" s="143" t="s">
        <v>3413</v>
      </c>
      <c r="AT213" s="143" t="s">
        <v>98</v>
      </c>
      <c r="AU213" s="143" t="s">
        <v>430</v>
      </c>
      <c r="AV213" s="143" t="s">
        <v>959</v>
      </c>
      <c r="AW213" s="143">
        <v>14.8</v>
      </c>
      <c r="AX213" s="143">
        <v>7.4</v>
      </c>
      <c r="AY213" s="143">
        <v>92.5</v>
      </c>
      <c r="AZ213" s="143">
        <v>1.2E-2</v>
      </c>
      <c r="BA213" s="143" t="s">
        <v>126</v>
      </c>
      <c r="BB213" s="143"/>
      <c r="BC213" s="143">
        <f>3110+962.3</f>
        <v>4072.3</v>
      </c>
      <c r="BD213" s="143"/>
      <c r="BE213" s="143">
        <f>500+90</f>
        <v>590</v>
      </c>
      <c r="BF213" s="143">
        <f t="shared" si="9"/>
        <v>4662.3</v>
      </c>
      <c r="BG213" s="151">
        <f t="shared" si="10"/>
        <v>256.42650000000003</v>
      </c>
      <c r="BH213" s="151">
        <f t="shared" si="11"/>
        <v>4918.7265000000007</v>
      </c>
      <c r="BI213" s="151">
        <v>4876.53</v>
      </c>
      <c r="BJ213" s="143" t="s">
        <v>102</v>
      </c>
      <c r="BK213" s="143"/>
      <c r="BL213" s="143"/>
      <c r="BM213" s="144" t="s">
        <v>3592</v>
      </c>
      <c r="BN213" s="144" t="s">
        <v>103</v>
      </c>
      <c r="BO213" s="135" t="s">
        <v>155</v>
      </c>
      <c r="BP213" s="143" t="s">
        <v>3583</v>
      </c>
      <c r="BQ213" s="203" t="s">
        <v>144</v>
      </c>
    </row>
    <row r="214" spans="1:69" ht="41.1" customHeight="1">
      <c r="A214" s="206" t="s">
        <v>86</v>
      </c>
      <c r="B214" s="206" t="s">
        <v>1040</v>
      </c>
      <c r="C214" s="143">
        <v>600</v>
      </c>
      <c r="D214" s="135">
        <v>44380</v>
      </c>
      <c r="E214" s="135">
        <v>44383</v>
      </c>
      <c r="F214" s="147" t="s">
        <v>76</v>
      </c>
      <c r="G214" s="135" t="s">
        <v>76</v>
      </c>
      <c r="H214" s="147">
        <v>44383</v>
      </c>
      <c r="I214" s="147">
        <v>44383</v>
      </c>
      <c r="J214" s="147">
        <v>44389</v>
      </c>
      <c r="K214" s="135">
        <v>44494</v>
      </c>
      <c r="L214" s="135">
        <v>44489</v>
      </c>
      <c r="M214" s="135" t="s">
        <v>76</v>
      </c>
      <c r="N214" s="135">
        <v>44497</v>
      </c>
      <c r="O214" s="135">
        <v>44497</v>
      </c>
      <c r="P214" s="135">
        <v>44498</v>
      </c>
      <c r="Q214" s="135"/>
      <c r="R214" s="143"/>
      <c r="S214" s="143"/>
      <c r="T214" s="143"/>
      <c r="U214" s="143">
        <v>4</v>
      </c>
      <c r="V214" s="143">
        <v>49436</v>
      </c>
      <c r="W214" s="143" t="str">
        <f ca="1">IF(H214="",IF(D214="","",IF(U214+V214&lt;15,"Données Nb pers ou RFR manquantes",IF(COUNTA(INDIRECT("TabRFR["&amp;YEAR(D214)&amp;"]"))&lt;&gt;COUNTA(TabRFR[Recherche RFR]),"Data RFR manquantes", IF(V214&lt;=INDEX(TabRFR[[2021]:[2025]],MATCH(BD!U214&amp;"-Très modestes",TabRFR[Recherche RFR],0),MATCH(TEXT(YEAR(BD!D214),"Standard"),TabRFR[[#Headers],[2021]:[2025]],0)),"Très Modeste",IF(V214&lt;=INDEX(TabRFR[[2021]:[2025]],MATCH(BD!U214&amp;"-modestes",TabRFR[Recherche RFR],0),MATCH(TEXT(YEAR(BD!D214),"Standard"),TabRFR[[#Headers],[2021]:[2025]],0)),"Modeste",IF(V214&lt;=INDEX(TabRFR[[2021]:[2025]],MATCH(BD!U214&amp;"-Intermédiaire",TabRFR[Recherche RFR],0),MATCH(TEXT(YEAR(BD!D214),"Standard"),TabRFR[[#Headers],[2021]:[2025]],0)),"Intermédiaire","Supérieur")))))),IF(D214="","",IF(U214+V214&lt;15,"Données Nb pers ou RFR manquantes",IF(COUNTA(INDIRECT("TabRFR["&amp;YEAR(H214)&amp;"]"))&lt;&gt;COUNTA(TabRFR[Recherche RFR]),"Data RFR manquantes", IF(V214&lt;=INDEX(TabRFR[[2021]:[2025]],MATCH(BD!U214&amp;"-Très modestes",TabRFR[Recherche RFR],0),MATCH(TEXT(YEAR(BD!H214),"Standard"),TabRFR[[#Headers],[2021]:[2025]],0)),"Très Modeste",IF(V214&lt;=INDEX(TabRFR[[2021]:[2025]],MATCH(BD!U214&amp;"-modestes",TabRFR[Recherche RFR],0),MATCH(TEXT(YEAR(BD!H214),"Standard"),TabRFR[[#Headers],[2021]:[2025]],0)),"Modeste",IF(V214&lt;=INDEX(TabRFR[[2021]:[2025]],MATCH(BD!U214&amp;"-Intermédiaire",TabRFR[Recherche RFR],0),MATCH(TEXT(YEAR(BD!H214),"Standard"),TabRFR[[#Headers],[2021]:[2025]],0)),"Intermédiaire","Supérieur")))))))</f>
        <v>Intermédiaire</v>
      </c>
      <c r="X214" s="143"/>
      <c r="Y214" s="143" t="s">
        <v>1041</v>
      </c>
      <c r="Z214" s="143">
        <v>38960</v>
      </c>
      <c r="AA214" s="143" t="s">
        <v>209</v>
      </c>
      <c r="AB214" s="148"/>
      <c r="AC214" s="149"/>
      <c r="AD214" s="143" t="s">
        <v>91</v>
      </c>
      <c r="AE214" s="143" t="s">
        <v>76</v>
      </c>
      <c r="AF214" s="143" t="s">
        <v>76</v>
      </c>
      <c r="AG214" s="143" t="s">
        <v>76</v>
      </c>
      <c r="AH214" s="143" t="s">
        <v>76</v>
      </c>
      <c r="AI214" s="135" t="s">
        <v>285</v>
      </c>
      <c r="AJ214" s="143" t="s">
        <v>108</v>
      </c>
      <c r="AK214" s="143" t="s">
        <v>286</v>
      </c>
      <c r="AL214" s="150" t="s">
        <v>287</v>
      </c>
      <c r="AM214" s="148">
        <v>476069938</v>
      </c>
      <c r="AN214" s="143" t="s">
        <v>76</v>
      </c>
      <c r="AO214" s="150" t="s">
        <v>102</v>
      </c>
      <c r="AP214" s="147">
        <v>44457</v>
      </c>
      <c r="AQ214" s="143" t="s">
        <v>3413</v>
      </c>
      <c r="AR214" s="143">
        <v>1998</v>
      </c>
      <c r="AS214" s="143" t="s">
        <v>3413</v>
      </c>
      <c r="AT214" s="135" t="s">
        <v>3446</v>
      </c>
      <c r="AU214" s="143" t="s">
        <v>532</v>
      </c>
      <c r="AV214" s="143" t="s">
        <v>1042</v>
      </c>
      <c r="AW214" s="143">
        <v>40</v>
      </c>
      <c r="AX214" s="143">
        <v>5.9</v>
      </c>
      <c r="AY214" s="143">
        <v>83.6</v>
      </c>
      <c r="AZ214" s="143">
        <v>7.0000000000000007E-2</v>
      </c>
      <c r="BA214" s="143" t="s">
        <v>101</v>
      </c>
      <c r="BB214" s="143"/>
      <c r="BC214" s="143">
        <f>910+98.96+55+250+74.8+2840+89</f>
        <v>4317.76</v>
      </c>
      <c r="BD214" s="143"/>
      <c r="BE214" s="143">
        <f>490+300+430</f>
        <v>1220</v>
      </c>
      <c r="BF214" s="143">
        <f t="shared" si="9"/>
        <v>5537.76</v>
      </c>
      <c r="BG214" s="143">
        <f t="shared" si="10"/>
        <v>304.57679999999999</v>
      </c>
      <c r="BH214" s="143">
        <f t="shared" si="11"/>
        <v>5842.3368</v>
      </c>
      <c r="BI214" s="151">
        <v>5842.34</v>
      </c>
      <c r="BJ214" s="143" t="s">
        <v>115</v>
      </c>
      <c r="BK214" s="143"/>
      <c r="BL214" s="143"/>
      <c r="BM214" s="144" t="s">
        <v>3592</v>
      </c>
      <c r="BN214" s="144" t="s">
        <v>103</v>
      </c>
      <c r="BO214" s="144" t="s">
        <v>143</v>
      </c>
      <c r="BP214" s="144">
        <v>2021</v>
      </c>
      <c r="BQ214" s="203" t="s">
        <v>3274</v>
      </c>
    </row>
    <row r="215" spans="1:69" ht="41.1" customHeight="1">
      <c r="A215" s="206" t="s">
        <v>86</v>
      </c>
      <c r="B215" s="206" t="s">
        <v>1043</v>
      </c>
      <c r="C215" s="143">
        <v>600</v>
      </c>
      <c r="D215" s="135">
        <v>44381</v>
      </c>
      <c r="E215" s="135">
        <v>44383</v>
      </c>
      <c r="F215" s="147" t="s">
        <v>76</v>
      </c>
      <c r="G215" s="135" t="s">
        <v>76</v>
      </c>
      <c r="H215" s="147">
        <v>44383</v>
      </c>
      <c r="I215" s="147">
        <v>44383</v>
      </c>
      <c r="J215" s="147">
        <v>44389</v>
      </c>
      <c r="K215" s="135">
        <v>44442</v>
      </c>
      <c r="L215" s="135">
        <v>44439</v>
      </c>
      <c r="M215" s="135" t="s">
        <v>76</v>
      </c>
      <c r="N215" s="135">
        <v>44455</v>
      </c>
      <c r="O215" s="135">
        <v>44455</v>
      </c>
      <c r="P215" s="135">
        <v>44469</v>
      </c>
      <c r="Q215" s="135"/>
      <c r="R215" s="143"/>
      <c r="S215" s="143"/>
      <c r="T215" s="143"/>
      <c r="U215" s="143">
        <v>2</v>
      </c>
      <c r="V215" s="143">
        <v>37694</v>
      </c>
      <c r="W215" s="143" t="str">
        <f ca="1">IF(H215="",IF(D215="","",IF(U215+V215&lt;15,"Données Nb pers ou RFR manquantes",IF(COUNTA(INDIRECT("TabRFR["&amp;YEAR(D215)&amp;"]"))&lt;&gt;COUNTA(TabRFR[Recherche RFR]),"Data RFR manquantes", IF(V215&lt;=INDEX(TabRFR[[2021]:[2025]],MATCH(BD!U215&amp;"-Très modestes",TabRFR[Recherche RFR],0),MATCH(TEXT(YEAR(BD!D215),"Standard"),TabRFR[[#Headers],[2021]:[2025]],0)),"Très Modeste",IF(V215&lt;=INDEX(TabRFR[[2021]:[2025]],MATCH(BD!U215&amp;"-modestes",TabRFR[Recherche RFR],0),MATCH(TEXT(YEAR(BD!D215),"Standard"),TabRFR[[#Headers],[2021]:[2025]],0)),"Modeste",IF(V215&lt;=INDEX(TabRFR[[2021]:[2025]],MATCH(BD!U215&amp;"-Intermédiaire",TabRFR[Recherche RFR],0),MATCH(TEXT(YEAR(BD!D215),"Standard"),TabRFR[[#Headers],[2021]:[2025]],0)),"Intermédiaire","Supérieur")))))),IF(D215="","",IF(U215+V215&lt;15,"Données Nb pers ou RFR manquantes",IF(COUNTA(INDIRECT("TabRFR["&amp;YEAR(H215)&amp;"]"))&lt;&gt;COUNTA(TabRFR[Recherche RFR]),"Data RFR manquantes", IF(V215&lt;=INDEX(TabRFR[[2021]:[2025]],MATCH(BD!U215&amp;"-Très modestes",TabRFR[Recherche RFR],0),MATCH(TEXT(YEAR(BD!H215),"Standard"),TabRFR[[#Headers],[2021]:[2025]],0)),"Très Modeste",IF(V215&lt;=INDEX(TabRFR[[2021]:[2025]],MATCH(BD!U215&amp;"-modestes",TabRFR[Recherche RFR],0),MATCH(TEXT(YEAR(BD!H215),"Standard"),TabRFR[[#Headers],[2021]:[2025]],0)),"Modeste",IF(V215&lt;=INDEX(TabRFR[[2021]:[2025]],MATCH(BD!U215&amp;"-Intermédiaire",TabRFR[Recherche RFR],0),MATCH(TEXT(YEAR(BD!H215),"Standard"),TabRFR[[#Headers],[2021]:[2025]],0)),"Intermédiaire","Supérieur")))))))</f>
        <v>Intermédiaire</v>
      </c>
      <c r="X215" s="143"/>
      <c r="Y215" s="143" t="s">
        <v>1044</v>
      </c>
      <c r="Z215" s="143">
        <v>38620</v>
      </c>
      <c r="AA215" s="143" t="s">
        <v>680</v>
      </c>
      <c r="AB215" s="148"/>
      <c r="AC215" s="149"/>
      <c r="AD215" s="143" t="s">
        <v>91</v>
      </c>
      <c r="AE215" s="143" t="s">
        <v>76</v>
      </c>
      <c r="AF215" s="143" t="s">
        <v>76</v>
      </c>
      <c r="AG215" s="143" t="s">
        <v>76</v>
      </c>
      <c r="AH215" s="143" t="s">
        <v>76</v>
      </c>
      <c r="AI215" s="143" t="s">
        <v>120</v>
      </c>
      <c r="AJ215" s="143" t="s">
        <v>121</v>
      </c>
      <c r="AK215" s="143" t="s">
        <v>122</v>
      </c>
      <c r="AL215" s="150" t="s">
        <v>123</v>
      </c>
      <c r="AM215" s="148">
        <v>608287337</v>
      </c>
      <c r="AN215" s="143" t="s">
        <v>76</v>
      </c>
      <c r="AO215" s="150" t="s">
        <v>102</v>
      </c>
      <c r="AP215" s="147">
        <v>44782</v>
      </c>
      <c r="AQ215" s="135" t="s">
        <v>3496</v>
      </c>
      <c r="AR215" s="143">
        <v>1999</v>
      </c>
      <c r="AS215" s="143" t="s">
        <v>3413</v>
      </c>
      <c r="AT215" s="135" t="s">
        <v>3446</v>
      </c>
      <c r="AU215" s="143" t="s">
        <v>1045</v>
      </c>
      <c r="AV215" s="143" t="s">
        <v>1046</v>
      </c>
      <c r="AW215" s="143">
        <v>11</v>
      </c>
      <c r="AX215" s="143">
        <v>6.5</v>
      </c>
      <c r="AY215" s="143">
        <v>87.8</v>
      </c>
      <c r="AZ215" s="143">
        <v>8.5000000000000006E-2</v>
      </c>
      <c r="BA215" s="143" t="s">
        <v>126</v>
      </c>
      <c r="BB215" s="143"/>
      <c r="BC215" s="143">
        <f>3288+62+325+223+165</f>
        <v>4063</v>
      </c>
      <c r="BD215" s="143"/>
      <c r="BE215" s="143">
        <v>500</v>
      </c>
      <c r="BF215" s="143">
        <f t="shared" si="9"/>
        <v>4563</v>
      </c>
      <c r="BG215" s="151">
        <f t="shared" si="10"/>
        <v>250.965</v>
      </c>
      <c r="BH215" s="151">
        <f t="shared" si="11"/>
        <v>4813.9650000000001</v>
      </c>
      <c r="BI215" s="151">
        <v>4200</v>
      </c>
      <c r="BJ215" s="143" t="s">
        <v>102</v>
      </c>
      <c r="BK215" s="143"/>
      <c r="BL215" s="143"/>
      <c r="BM215" s="144" t="s">
        <v>3592</v>
      </c>
      <c r="BN215" s="144" t="s">
        <v>103</v>
      </c>
      <c r="BO215" s="144" t="s">
        <v>143</v>
      </c>
      <c r="BP215" s="144">
        <v>2021</v>
      </c>
      <c r="BQ215" s="203" t="s">
        <v>144</v>
      </c>
    </row>
    <row r="216" spans="1:69" ht="41.1" customHeight="1">
      <c r="A216" s="206" t="s">
        <v>86</v>
      </c>
      <c r="B216" s="206" t="s">
        <v>1047</v>
      </c>
      <c r="C216" s="143">
        <v>600</v>
      </c>
      <c r="D216" s="135">
        <v>44382</v>
      </c>
      <c r="E216" s="135">
        <v>44383</v>
      </c>
      <c r="F216" s="147">
        <v>44383</v>
      </c>
      <c r="G216" s="135" t="s">
        <v>1048</v>
      </c>
      <c r="H216" s="147">
        <v>44393</v>
      </c>
      <c r="I216" s="147">
        <v>44393</v>
      </c>
      <c r="J216" s="147">
        <v>44396</v>
      </c>
      <c r="K216" s="135">
        <v>44606</v>
      </c>
      <c r="L216" s="135">
        <v>44521</v>
      </c>
      <c r="M216" s="135"/>
      <c r="N216" s="135">
        <v>44609</v>
      </c>
      <c r="O216" s="135">
        <v>44609</v>
      </c>
      <c r="P216" s="135">
        <v>44609</v>
      </c>
      <c r="Q216" s="135"/>
      <c r="R216" s="143"/>
      <c r="S216" s="143"/>
      <c r="T216" s="143"/>
      <c r="U216" s="143">
        <v>2</v>
      </c>
      <c r="V216" s="143">
        <v>78340</v>
      </c>
      <c r="W216" s="143" t="str">
        <f ca="1">IF(H216="",IF(D216="","",IF(U216+V216&lt;15,"Données Nb pers ou RFR manquantes",IF(COUNTA(INDIRECT("TabRFR["&amp;YEAR(D216)&amp;"]"))&lt;&gt;COUNTA(TabRFR[Recherche RFR]),"Data RFR manquantes", IF(V216&lt;=INDEX(TabRFR[[2021]:[2025]],MATCH(BD!U216&amp;"-Très modestes",TabRFR[Recherche RFR],0),MATCH(TEXT(YEAR(BD!D216),"Standard"),TabRFR[[#Headers],[2021]:[2025]],0)),"Très Modeste",IF(V216&lt;=INDEX(TabRFR[[2021]:[2025]],MATCH(BD!U216&amp;"-modestes",TabRFR[Recherche RFR],0),MATCH(TEXT(YEAR(BD!D216),"Standard"),TabRFR[[#Headers],[2021]:[2025]],0)),"Modeste",IF(V216&lt;=INDEX(TabRFR[[2021]:[2025]],MATCH(BD!U216&amp;"-Intermédiaire",TabRFR[Recherche RFR],0),MATCH(TEXT(YEAR(BD!D216),"Standard"),TabRFR[[#Headers],[2021]:[2025]],0)),"Intermédiaire","Supérieur")))))),IF(D216="","",IF(U216+V216&lt;15,"Données Nb pers ou RFR manquantes",IF(COUNTA(INDIRECT("TabRFR["&amp;YEAR(H216)&amp;"]"))&lt;&gt;COUNTA(TabRFR[Recherche RFR]),"Data RFR manquantes", IF(V216&lt;=INDEX(TabRFR[[2021]:[2025]],MATCH(BD!U216&amp;"-Très modestes",TabRFR[Recherche RFR],0),MATCH(TEXT(YEAR(BD!H216),"Standard"),TabRFR[[#Headers],[2021]:[2025]],0)),"Très Modeste",IF(V216&lt;=INDEX(TabRFR[[2021]:[2025]],MATCH(BD!U216&amp;"-modestes",TabRFR[Recherche RFR],0),MATCH(TEXT(YEAR(BD!H216),"Standard"),TabRFR[[#Headers],[2021]:[2025]],0)),"Modeste",IF(V216&lt;=INDEX(TabRFR[[2021]:[2025]],MATCH(BD!U216&amp;"-Intermédiaire",TabRFR[Recherche RFR],0),MATCH(TEXT(YEAR(BD!H216),"Standard"),TabRFR[[#Headers],[2021]:[2025]],0)),"Intermédiaire","Supérieur")))))))</f>
        <v>Supérieur</v>
      </c>
      <c r="X216" s="143"/>
      <c r="Y216" s="143" t="s">
        <v>1049</v>
      </c>
      <c r="Z216" s="143">
        <v>38730</v>
      </c>
      <c r="AA216" s="143" t="s">
        <v>148</v>
      </c>
      <c r="AB216" s="148"/>
      <c r="AC216" s="149"/>
      <c r="AD216" s="143" t="s">
        <v>91</v>
      </c>
      <c r="AE216" s="143" t="s">
        <v>76</v>
      </c>
      <c r="AF216" s="143" t="s">
        <v>76</v>
      </c>
      <c r="AG216" s="143" t="s">
        <v>76</v>
      </c>
      <c r="AH216" s="143" t="s">
        <v>76</v>
      </c>
      <c r="AI216" s="135" t="s">
        <v>872</v>
      </c>
      <c r="AJ216" s="143" t="s">
        <v>873</v>
      </c>
      <c r="AK216" s="143" t="s">
        <v>874</v>
      </c>
      <c r="AL216" s="150" t="s">
        <v>875</v>
      </c>
      <c r="AM216" s="148">
        <v>676354364</v>
      </c>
      <c r="AN216" s="143" t="s">
        <v>76</v>
      </c>
      <c r="AO216" s="150" t="s">
        <v>102</v>
      </c>
      <c r="AP216" s="147">
        <v>44495</v>
      </c>
      <c r="AQ216" s="135" t="s">
        <v>3496</v>
      </c>
      <c r="AR216" s="153">
        <v>1985</v>
      </c>
      <c r="AS216" s="143" t="s">
        <v>3413</v>
      </c>
      <c r="AT216" s="143" t="s">
        <v>98</v>
      </c>
      <c r="AU216" s="143" t="s">
        <v>876</v>
      </c>
      <c r="AV216" s="143" t="s">
        <v>1050</v>
      </c>
      <c r="AW216" s="143">
        <v>15</v>
      </c>
      <c r="AX216" s="143">
        <v>8.3000000000000007</v>
      </c>
      <c r="AY216" s="143">
        <v>90.6</v>
      </c>
      <c r="AZ216" s="143">
        <v>4.0000000000000001E-3</v>
      </c>
      <c r="BA216" s="143" t="s">
        <v>101</v>
      </c>
      <c r="BB216" s="143"/>
      <c r="BC216" s="143">
        <f>3490+703.78+206.07+138.57+45+400.36+400+197.4+65.3</f>
        <v>5646.4799999999987</v>
      </c>
      <c r="BD216" s="143"/>
      <c r="BE216" s="143">
        <v>1160</v>
      </c>
      <c r="BF216" s="143">
        <f t="shared" si="9"/>
        <v>6806.4799999999987</v>
      </c>
      <c r="BG216" s="151">
        <f t="shared" si="10"/>
        <v>374.35639999999995</v>
      </c>
      <c r="BH216" s="151">
        <f t="shared" si="11"/>
        <v>7180.8363999999983</v>
      </c>
      <c r="BI216" s="151">
        <v>7180.84</v>
      </c>
      <c r="BJ216" s="143" t="s">
        <v>102</v>
      </c>
      <c r="BK216" s="143"/>
      <c r="BL216" s="143"/>
      <c r="BM216" s="144" t="s">
        <v>3592</v>
      </c>
      <c r="BN216" s="144" t="s">
        <v>103</v>
      </c>
      <c r="BO216" s="144" t="s">
        <v>143</v>
      </c>
      <c r="BP216" s="143" t="s">
        <v>3583</v>
      </c>
      <c r="BQ216" s="203" t="s">
        <v>144</v>
      </c>
    </row>
    <row r="217" spans="1:69" ht="41.1" customHeight="1">
      <c r="A217" s="206" t="s">
        <v>86</v>
      </c>
      <c r="B217" s="206" t="s">
        <v>1051</v>
      </c>
      <c r="C217" s="143">
        <v>1000</v>
      </c>
      <c r="D217" s="135">
        <v>44382</v>
      </c>
      <c r="E217" s="135">
        <v>44383</v>
      </c>
      <c r="F217" s="147" t="s">
        <v>76</v>
      </c>
      <c r="G217" s="135" t="s">
        <v>76</v>
      </c>
      <c r="H217" s="147">
        <v>44383</v>
      </c>
      <c r="I217" s="147">
        <v>44383</v>
      </c>
      <c r="J217" s="147">
        <v>44389</v>
      </c>
      <c r="K217" s="135">
        <v>44449</v>
      </c>
      <c r="L217" s="135">
        <v>44439</v>
      </c>
      <c r="M217" s="135" t="s">
        <v>76</v>
      </c>
      <c r="N217" s="135">
        <v>44455</v>
      </c>
      <c r="O217" s="135">
        <v>44455</v>
      </c>
      <c r="P217" s="135">
        <v>44469</v>
      </c>
      <c r="Q217" s="135"/>
      <c r="R217" s="143"/>
      <c r="S217" s="143"/>
      <c r="T217" s="143"/>
      <c r="U217" s="143">
        <v>5</v>
      </c>
      <c r="V217" s="143">
        <v>24643</v>
      </c>
      <c r="W217" s="143" t="str">
        <f ca="1">IF(H217="",IF(D217="","",IF(U217+V217&lt;15,"Données Nb pers ou RFR manquantes",IF(COUNTA(INDIRECT("TabRFR["&amp;YEAR(D217)&amp;"]"))&lt;&gt;COUNTA(TabRFR[Recherche RFR]),"Data RFR manquantes", IF(V217&lt;=INDEX(TabRFR[[2021]:[2025]],MATCH(BD!U217&amp;"-Très modestes",TabRFR[Recherche RFR],0),MATCH(TEXT(YEAR(BD!D217),"Standard"),TabRFR[[#Headers],[2021]:[2025]],0)),"Très Modeste",IF(V217&lt;=INDEX(TabRFR[[2021]:[2025]],MATCH(BD!U217&amp;"-modestes",TabRFR[Recherche RFR],0),MATCH(TEXT(YEAR(BD!D217),"Standard"),TabRFR[[#Headers],[2021]:[2025]],0)),"Modeste",IF(V217&lt;=INDEX(TabRFR[[2021]:[2025]],MATCH(BD!U217&amp;"-Intermédiaire",TabRFR[Recherche RFR],0),MATCH(TEXT(YEAR(BD!D217),"Standard"),TabRFR[[#Headers],[2021]:[2025]],0)),"Intermédiaire","Supérieur")))))),IF(D217="","",IF(U217+V217&lt;15,"Données Nb pers ou RFR manquantes",IF(COUNTA(INDIRECT("TabRFR["&amp;YEAR(H217)&amp;"]"))&lt;&gt;COUNTA(TabRFR[Recherche RFR]),"Data RFR manquantes", IF(V217&lt;=INDEX(TabRFR[[2021]:[2025]],MATCH(BD!U217&amp;"-Très modestes",TabRFR[Recherche RFR],0),MATCH(TEXT(YEAR(BD!H217),"Standard"),TabRFR[[#Headers],[2021]:[2025]],0)),"Très Modeste",IF(V217&lt;=INDEX(TabRFR[[2021]:[2025]],MATCH(BD!U217&amp;"-modestes",TabRFR[Recherche RFR],0),MATCH(TEXT(YEAR(BD!H217),"Standard"),TabRFR[[#Headers],[2021]:[2025]],0)),"Modeste",IF(V217&lt;=INDEX(TabRFR[[2021]:[2025]],MATCH(BD!U217&amp;"-Intermédiaire",TabRFR[Recherche RFR],0),MATCH(TEXT(YEAR(BD!H217),"Standard"),TabRFR[[#Headers],[2021]:[2025]],0)),"Intermédiaire","Supérieur")))))))</f>
        <v>Très Modeste</v>
      </c>
      <c r="X217" s="143"/>
      <c r="Y217" s="143" t="s">
        <v>1052</v>
      </c>
      <c r="Z217" s="143">
        <v>38620</v>
      </c>
      <c r="AA217" s="143" t="s">
        <v>680</v>
      </c>
      <c r="AB217" s="148"/>
      <c r="AC217" s="149"/>
      <c r="AD217" s="143" t="s">
        <v>91</v>
      </c>
      <c r="AE217" s="143" t="s">
        <v>76</v>
      </c>
      <c r="AF217" s="143" t="s">
        <v>76</v>
      </c>
      <c r="AG217" s="143" t="s">
        <v>76</v>
      </c>
      <c r="AH217" s="143" t="s">
        <v>76</v>
      </c>
      <c r="AI217" s="143" t="s">
        <v>92</v>
      </c>
      <c r="AJ217" s="143" t="s">
        <v>93</v>
      </c>
      <c r="AK217" s="143" t="s">
        <v>94</v>
      </c>
      <c r="AL217" s="149" t="s">
        <v>95</v>
      </c>
      <c r="AM217" s="148" t="s">
        <v>96</v>
      </c>
      <c r="AN217" s="143" t="s">
        <v>76</v>
      </c>
      <c r="AO217" s="150" t="s">
        <v>97</v>
      </c>
      <c r="AP217" s="147">
        <v>44517</v>
      </c>
      <c r="AQ217" s="143" t="s">
        <v>3413</v>
      </c>
      <c r="AR217" s="143">
        <v>2000</v>
      </c>
      <c r="AS217" s="143" t="s">
        <v>3413</v>
      </c>
      <c r="AT217" s="143" t="s">
        <v>98</v>
      </c>
      <c r="AU217" s="143" t="s">
        <v>99</v>
      </c>
      <c r="AV217" s="143" t="s">
        <v>1053</v>
      </c>
      <c r="AW217" s="143">
        <v>15</v>
      </c>
      <c r="AX217" s="143">
        <v>12</v>
      </c>
      <c r="AY217" s="143">
        <v>89.6</v>
      </c>
      <c r="AZ217" s="143">
        <v>1E-3</v>
      </c>
      <c r="BA217" s="143" t="s">
        <v>101</v>
      </c>
      <c r="BB217" s="143"/>
      <c r="BC217" s="143">
        <f>4630+996+545+225+150+538+496</f>
        <v>7580</v>
      </c>
      <c r="BD217" s="143"/>
      <c r="BE217" s="143">
        <v>690</v>
      </c>
      <c r="BF217" s="143">
        <f t="shared" si="9"/>
        <v>8270</v>
      </c>
      <c r="BG217" s="151">
        <f t="shared" si="10"/>
        <v>454.85</v>
      </c>
      <c r="BH217" s="151">
        <f t="shared" si="11"/>
        <v>8724.85</v>
      </c>
      <c r="BI217" s="151">
        <v>8724.85</v>
      </c>
      <c r="BJ217" s="143" t="s">
        <v>102</v>
      </c>
      <c r="BK217" s="143"/>
      <c r="BL217" s="143"/>
      <c r="BM217" s="144" t="s">
        <v>3592</v>
      </c>
      <c r="BN217" s="144" t="s">
        <v>103</v>
      </c>
      <c r="BO217" s="135" t="s">
        <v>155</v>
      </c>
      <c r="BP217" s="143" t="s">
        <v>3583</v>
      </c>
      <c r="BQ217" s="203" t="s">
        <v>144</v>
      </c>
    </row>
    <row r="218" spans="1:69" ht="41.1" customHeight="1">
      <c r="A218" s="206" t="s">
        <v>86</v>
      </c>
      <c r="B218" s="206" t="s">
        <v>1054</v>
      </c>
      <c r="C218" s="143">
        <v>600</v>
      </c>
      <c r="D218" s="135">
        <v>44384</v>
      </c>
      <c r="E218" s="135">
        <v>44385</v>
      </c>
      <c r="F218" s="147" t="s">
        <v>76</v>
      </c>
      <c r="G218" s="135" t="s">
        <v>76</v>
      </c>
      <c r="H218" s="147">
        <v>44393</v>
      </c>
      <c r="I218" s="147">
        <v>44393</v>
      </c>
      <c r="J218" s="147">
        <v>44435</v>
      </c>
      <c r="K218" s="135">
        <v>44529</v>
      </c>
      <c r="L218" s="135">
        <v>44500</v>
      </c>
      <c r="M218" s="135" t="s">
        <v>76</v>
      </c>
      <c r="N218" s="135">
        <v>44539</v>
      </c>
      <c r="O218" s="135">
        <v>44539</v>
      </c>
      <c r="P218" s="135">
        <v>44540</v>
      </c>
      <c r="Q218" s="135"/>
      <c r="R218" s="143"/>
      <c r="S218" s="143"/>
      <c r="T218" s="143"/>
      <c r="U218" s="143">
        <v>3</v>
      </c>
      <c r="V218" s="143">
        <f>56747+19442</f>
        <v>76189</v>
      </c>
      <c r="W218" s="143" t="str">
        <f ca="1">IF(H218="",IF(D218="","",IF(U218+V218&lt;15,"Données Nb pers ou RFR manquantes",IF(COUNTA(INDIRECT("TabRFR["&amp;YEAR(D218)&amp;"]"))&lt;&gt;COUNTA(TabRFR[Recherche RFR]),"Data RFR manquantes", IF(V218&lt;=INDEX(TabRFR[[2021]:[2025]],MATCH(BD!U218&amp;"-Très modestes",TabRFR[Recherche RFR],0),MATCH(TEXT(YEAR(BD!D218),"Standard"),TabRFR[[#Headers],[2021]:[2025]],0)),"Très Modeste",IF(V218&lt;=INDEX(TabRFR[[2021]:[2025]],MATCH(BD!U218&amp;"-modestes",TabRFR[Recherche RFR],0),MATCH(TEXT(YEAR(BD!D218),"Standard"),TabRFR[[#Headers],[2021]:[2025]],0)),"Modeste",IF(V218&lt;=INDEX(TabRFR[[2021]:[2025]],MATCH(BD!U218&amp;"-Intermédiaire",TabRFR[Recherche RFR],0),MATCH(TEXT(YEAR(BD!D218),"Standard"),TabRFR[[#Headers],[2021]:[2025]],0)),"Intermédiaire","Supérieur")))))),IF(D218="","",IF(U218+V218&lt;15,"Données Nb pers ou RFR manquantes",IF(COUNTA(INDIRECT("TabRFR["&amp;YEAR(H218)&amp;"]"))&lt;&gt;COUNTA(TabRFR[Recherche RFR]),"Data RFR manquantes", IF(V218&lt;=INDEX(TabRFR[[2021]:[2025]],MATCH(BD!U218&amp;"-Très modestes",TabRFR[Recherche RFR],0),MATCH(TEXT(YEAR(BD!H218),"Standard"),TabRFR[[#Headers],[2021]:[2025]],0)),"Très Modeste",IF(V218&lt;=INDEX(TabRFR[[2021]:[2025]],MATCH(BD!U218&amp;"-modestes",TabRFR[Recherche RFR],0),MATCH(TEXT(YEAR(BD!H218),"Standard"),TabRFR[[#Headers],[2021]:[2025]],0)),"Modeste",IF(V218&lt;=INDEX(TabRFR[[2021]:[2025]],MATCH(BD!U218&amp;"-Intermédiaire",TabRFR[Recherche RFR],0),MATCH(TEXT(YEAR(BD!H218),"Standard"),TabRFR[[#Headers],[2021]:[2025]],0)),"Intermédiaire","Supérieur")))))))</f>
        <v>Supérieur</v>
      </c>
      <c r="X218" s="143"/>
      <c r="Y218" s="143" t="s">
        <v>372</v>
      </c>
      <c r="Z218" s="143">
        <v>38850</v>
      </c>
      <c r="AA218" s="143" t="s">
        <v>168</v>
      </c>
      <c r="AB218" s="148"/>
      <c r="AC218" s="149"/>
      <c r="AD218" s="143" t="s">
        <v>91</v>
      </c>
      <c r="AE218" s="143" t="s">
        <v>76</v>
      </c>
      <c r="AF218" s="143" t="s">
        <v>76</v>
      </c>
      <c r="AG218" s="143" t="s">
        <v>76</v>
      </c>
      <c r="AH218" s="143" t="s">
        <v>76</v>
      </c>
      <c r="AI218" s="143" t="s">
        <v>201</v>
      </c>
      <c r="AJ218" s="143" t="s">
        <v>202</v>
      </c>
      <c r="AK218" s="143" t="s">
        <v>203</v>
      </c>
      <c r="AL218" s="150" t="s">
        <v>204</v>
      </c>
      <c r="AM218" s="148">
        <v>476065876</v>
      </c>
      <c r="AN218" s="143" t="s">
        <v>76</v>
      </c>
      <c r="AO218" s="150" t="s">
        <v>102</v>
      </c>
      <c r="AP218" s="147">
        <v>44770</v>
      </c>
      <c r="AQ218" s="143" t="s">
        <v>3413</v>
      </c>
      <c r="AR218" s="143">
        <v>2001</v>
      </c>
      <c r="AS218" s="143" t="s">
        <v>3413</v>
      </c>
      <c r="AT218" s="143" t="s">
        <v>98</v>
      </c>
      <c r="AU218" s="143" t="s">
        <v>99</v>
      </c>
      <c r="AV218" s="143" t="s">
        <v>1055</v>
      </c>
      <c r="AW218" s="143">
        <v>14</v>
      </c>
      <c r="AX218" s="143">
        <v>6.1</v>
      </c>
      <c r="AY218" s="143">
        <v>94.3</v>
      </c>
      <c r="AZ218" s="143">
        <v>3.8E-3</v>
      </c>
      <c r="BA218" s="143" t="s">
        <v>101</v>
      </c>
      <c r="BB218" s="143"/>
      <c r="BC218" s="143">
        <f>3326.4+1093.4</f>
        <v>4419.8</v>
      </c>
      <c r="BD218" s="143"/>
      <c r="BE218" s="143">
        <f>830.5+99</f>
        <v>929.5</v>
      </c>
      <c r="BF218" s="143">
        <f t="shared" si="9"/>
        <v>5349.3</v>
      </c>
      <c r="BG218" s="151">
        <f t="shared" si="10"/>
        <v>294.2115</v>
      </c>
      <c r="BH218" s="151">
        <f t="shared" si="11"/>
        <v>5643.5115000000005</v>
      </c>
      <c r="BI218" s="151">
        <v>5130.47</v>
      </c>
      <c r="BJ218" s="143" t="s">
        <v>102</v>
      </c>
      <c r="BK218" s="143"/>
      <c r="BL218" s="143"/>
      <c r="BM218" s="144" t="s">
        <v>3592</v>
      </c>
      <c r="BN218" s="144" t="s">
        <v>103</v>
      </c>
      <c r="BO218" s="144" t="s">
        <v>143</v>
      </c>
      <c r="BP218" s="143" t="s">
        <v>3583</v>
      </c>
      <c r="BQ218" s="203" t="s">
        <v>144</v>
      </c>
    </row>
    <row r="219" spans="1:69" ht="41.1" customHeight="1">
      <c r="A219" s="206" t="s">
        <v>86</v>
      </c>
      <c r="B219" s="206" t="s">
        <v>1056</v>
      </c>
      <c r="C219" s="143">
        <v>600</v>
      </c>
      <c r="D219" s="135">
        <v>44386</v>
      </c>
      <c r="E219" s="135">
        <v>44389</v>
      </c>
      <c r="F219" s="147" t="s">
        <v>76</v>
      </c>
      <c r="G219" s="135" t="s">
        <v>76</v>
      </c>
      <c r="H219" s="147">
        <v>44393</v>
      </c>
      <c r="I219" s="147">
        <v>44393</v>
      </c>
      <c r="J219" s="147">
        <v>44396</v>
      </c>
      <c r="K219" s="135">
        <v>44498</v>
      </c>
      <c r="L219" s="135">
        <v>44469</v>
      </c>
      <c r="M219" s="135" t="s">
        <v>76</v>
      </c>
      <c r="N219" s="135">
        <v>44512</v>
      </c>
      <c r="O219" s="135">
        <v>44512</v>
      </c>
      <c r="P219" s="135">
        <v>44518</v>
      </c>
      <c r="Q219" s="135"/>
      <c r="R219" s="143"/>
      <c r="S219" s="143"/>
      <c r="T219" s="143"/>
      <c r="U219" s="143">
        <v>1</v>
      </c>
      <c r="V219" s="143">
        <v>49348</v>
      </c>
      <c r="W219" s="143" t="str">
        <f ca="1">IF(H219="",IF(D219="","",IF(U219+V219&lt;15,"Données Nb pers ou RFR manquantes",IF(COUNTA(INDIRECT("TabRFR["&amp;YEAR(D219)&amp;"]"))&lt;&gt;COUNTA(TabRFR[Recherche RFR]),"Data RFR manquantes", IF(V219&lt;=INDEX(TabRFR[[2021]:[2025]],MATCH(BD!U219&amp;"-Très modestes",TabRFR[Recherche RFR],0),MATCH(TEXT(YEAR(BD!D219),"Standard"),TabRFR[[#Headers],[2021]:[2025]],0)),"Très Modeste",IF(V219&lt;=INDEX(TabRFR[[2021]:[2025]],MATCH(BD!U219&amp;"-modestes",TabRFR[Recherche RFR],0),MATCH(TEXT(YEAR(BD!D219),"Standard"),TabRFR[[#Headers],[2021]:[2025]],0)),"Modeste",IF(V219&lt;=INDEX(TabRFR[[2021]:[2025]],MATCH(BD!U219&amp;"-Intermédiaire",TabRFR[Recherche RFR],0),MATCH(TEXT(YEAR(BD!D219),"Standard"),TabRFR[[#Headers],[2021]:[2025]],0)),"Intermédiaire","Supérieur")))))),IF(D219="","",IF(U219+V219&lt;15,"Données Nb pers ou RFR manquantes",IF(COUNTA(INDIRECT("TabRFR["&amp;YEAR(H219)&amp;"]"))&lt;&gt;COUNTA(TabRFR[Recherche RFR]),"Data RFR manquantes", IF(V219&lt;=INDEX(TabRFR[[2021]:[2025]],MATCH(BD!U219&amp;"-Très modestes",TabRFR[Recherche RFR],0),MATCH(TEXT(YEAR(BD!H219),"Standard"),TabRFR[[#Headers],[2021]:[2025]],0)),"Très Modeste",IF(V219&lt;=INDEX(TabRFR[[2021]:[2025]],MATCH(BD!U219&amp;"-modestes",TabRFR[Recherche RFR],0),MATCH(TEXT(YEAR(BD!H219),"Standard"),TabRFR[[#Headers],[2021]:[2025]],0)),"Modeste",IF(V219&lt;=INDEX(TabRFR[[2021]:[2025]],MATCH(BD!U219&amp;"-Intermédiaire",TabRFR[Recherche RFR],0),MATCH(TEXT(YEAR(BD!H219),"Standard"),TabRFR[[#Headers],[2021]:[2025]],0)),"Intermédiaire","Supérieur")))))))</f>
        <v>Supérieur</v>
      </c>
      <c r="X219" s="143"/>
      <c r="Y219" s="143" t="s">
        <v>1057</v>
      </c>
      <c r="Z219" s="143">
        <v>38140</v>
      </c>
      <c r="AA219" s="143" t="s">
        <v>200</v>
      </c>
      <c r="AB219" s="148"/>
      <c r="AC219" s="149"/>
      <c r="AD219" s="143" t="s">
        <v>91</v>
      </c>
      <c r="AE219" s="143" t="s">
        <v>76</v>
      </c>
      <c r="AF219" s="143" t="s">
        <v>76</v>
      </c>
      <c r="AG219" s="143" t="s">
        <v>76</v>
      </c>
      <c r="AH219" s="143" t="s">
        <v>76</v>
      </c>
      <c r="AI219" s="135" t="s">
        <v>220</v>
      </c>
      <c r="AJ219" s="143" t="s">
        <v>108</v>
      </c>
      <c r="AK219" s="143" t="s">
        <v>221</v>
      </c>
      <c r="AL219" s="150" t="s">
        <v>222</v>
      </c>
      <c r="AM219" s="148">
        <v>476323235</v>
      </c>
      <c r="AN219" s="143" t="s">
        <v>76</v>
      </c>
      <c r="AO219" s="150" t="s">
        <v>102</v>
      </c>
      <c r="AP219" s="147">
        <v>44794</v>
      </c>
      <c r="AQ219" s="143" t="s">
        <v>3413</v>
      </c>
      <c r="AR219" s="143">
        <v>1982</v>
      </c>
      <c r="AS219" s="143" t="s">
        <v>3413</v>
      </c>
      <c r="AT219" s="135" t="s">
        <v>3446</v>
      </c>
      <c r="AU219" s="143" t="s">
        <v>223</v>
      </c>
      <c r="AV219" s="143" t="s">
        <v>1058</v>
      </c>
      <c r="AW219" s="143">
        <v>12</v>
      </c>
      <c r="AX219" s="143">
        <v>9.1999999999999993</v>
      </c>
      <c r="AY219" s="143">
        <v>77</v>
      </c>
      <c r="AZ219" s="143">
        <v>0.04</v>
      </c>
      <c r="BA219" s="143" t="s">
        <v>101</v>
      </c>
      <c r="BB219" s="143"/>
      <c r="BC219" s="143">
        <f>425+532+1890+90+95+39+48+29+31+110+38</f>
        <v>3327</v>
      </c>
      <c r="BD219" s="143"/>
      <c r="BE219" s="143">
        <f>42+330+60+330</f>
        <v>762</v>
      </c>
      <c r="BF219" s="143">
        <f t="shared" si="9"/>
        <v>4089</v>
      </c>
      <c r="BG219" s="151">
        <f t="shared" si="10"/>
        <v>224.89500000000001</v>
      </c>
      <c r="BH219" s="151">
        <f t="shared" si="11"/>
        <v>4313.8950000000004</v>
      </c>
      <c r="BI219" s="151">
        <v>4174.3100000000004</v>
      </c>
      <c r="BJ219" s="143" t="s">
        <v>102</v>
      </c>
      <c r="BK219" s="143"/>
      <c r="BL219" s="143"/>
      <c r="BM219" s="144" t="s">
        <v>3592</v>
      </c>
      <c r="BN219" s="144" t="s">
        <v>103</v>
      </c>
      <c r="BO219" s="144" t="s">
        <v>143</v>
      </c>
      <c r="BP219" s="144">
        <v>2021</v>
      </c>
      <c r="BQ219" s="203" t="s">
        <v>144</v>
      </c>
    </row>
    <row r="220" spans="1:69" ht="41.1" customHeight="1">
      <c r="A220" s="206" t="s">
        <v>86</v>
      </c>
      <c r="B220" s="206" t="s">
        <v>1059</v>
      </c>
      <c r="C220" s="143">
        <v>1000</v>
      </c>
      <c r="D220" s="135">
        <v>44386</v>
      </c>
      <c r="E220" s="135">
        <v>44389</v>
      </c>
      <c r="F220" s="147" t="s">
        <v>76</v>
      </c>
      <c r="G220" s="135" t="s">
        <v>76</v>
      </c>
      <c r="H220" s="147">
        <v>44393</v>
      </c>
      <c r="I220" s="147">
        <v>44393</v>
      </c>
      <c r="J220" s="147">
        <v>44396</v>
      </c>
      <c r="K220" s="135">
        <v>44498</v>
      </c>
      <c r="L220" s="135">
        <v>44469</v>
      </c>
      <c r="M220" s="135" t="s">
        <v>76</v>
      </c>
      <c r="N220" s="135">
        <v>44512</v>
      </c>
      <c r="O220" s="135">
        <v>44512</v>
      </c>
      <c r="P220" s="135">
        <v>44518</v>
      </c>
      <c r="Q220" s="135"/>
      <c r="R220" s="143"/>
      <c r="S220" s="143"/>
      <c r="T220" s="143"/>
      <c r="U220" s="143">
        <v>1</v>
      </c>
      <c r="V220" s="143">
        <v>10133</v>
      </c>
      <c r="W220" s="143" t="str">
        <f ca="1">IF(H220="",IF(D220="","",IF(U220+V220&lt;15,"Données Nb pers ou RFR manquantes",IF(COUNTA(INDIRECT("TabRFR["&amp;YEAR(D220)&amp;"]"))&lt;&gt;COUNTA(TabRFR[Recherche RFR]),"Data RFR manquantes", IF(V220&lt;=INDEX(TabRFR[[2021]:[2025]],MATCH(BD!U220&amp;"-Très modestes",TabRFR[Recherche RFR],0),MATCH(TEXT(YEAR(BD!D220),"Standard"),TabRFR[[#Headers],[2021]:[2025]],0)),"Très Modeste",IF(V220&lt;=INDEX(TabRFR[[2021]:[2025]],MATCH(BD!U220&amp;"-modestes",TabRFR[Recherche RFR],0),MATCH(TEXT(YEAR(BD!D220),"Standard"),TabRFR[[#Headers],[2021]:[2025]],0)),"Modeste",IF(V220&lt;=INDEX(TabRFR[[2021]:[2025]],MATCH(BD!U220&amp;"-Intermédiaire",TabRFR[Recherche RFR],0),MATCH(TEXT(YEAR(BD!D220),"Standard"),TabRFR[[#Headers],[2021]:[2025]],0)),"Intermédiaire","Supérieur")))))),IF(D220="","",IF(U220+V220&lt;15,"Données Nb pers ou RFR manquantes",IF(COUNTA(INDIRECT("TabRFR["&amp;YEAR(H220)&amp;"]"))&lt;&gt;COUNTA(TabRFR[Recherche RFR]),"Data RFR manquantes", IF(V220&lt;=INDEX(TabRFR[[2021]:[2025]],MATCH(BD!U220&amp;"-Très modestes",TabRFR[Recherche RFR],0),MATCH(TEXT(YEAR(BD!H220),"Standard"),TabRFR[[#Headers],[2021]:[2025]],0)),"Très Modeste",IF(V220&lt;=INDEX(TabRFR[[2021]:[2025]],MATCH(BD!U220&amp;"-modestes",TabRFR[Recherche RFR],0),MATCH(TEXT(YEAR(BD!H220),"Standard"),TabRFR[[#Headers],[2021]:[2025]],0)),"Modeste",IF(V220&lt;=INDEX(TabRFR[[2021]:[2025]],MATCH(BD!U220&amp;"-Intermédiaire",TabRFR[Recherche RFR],0),MATCH(TEXT(YEAR(BD!H220),"Standard"),TabRFR[[#Headers],[2021]:[2025]],0)),"Intermédiaire","Supérieur")))))))</f>
        <v>Très Modeste</v>
      </c>
      <c r="X220" s="143"/>
      <c r="Y220" s="143" t="s">
        <v>739</v>
      </c>
      <c r="Z220" s="143">
        <v>38340</v>
      </c>
      <c r="AA220" s="143" t="s">
        <v>413</v>
      </c>
      <c r="AB220" s="148"/>
      <c r="AC220" s="149"/>
      <c r="AD220" s="143" t="s">
        <v>91</v>
      </c>
      <c r="AE220" s="143" t="s">
        <v>76</v>
      </c>
      <c r="AF220" s="143" t="s">
        <v>76</v>
      </c>
      <c r="AG220" s="143" t="s">
        <v>76</v>
      </c>
      <c r="AH220" s="143" t="s">
        <v>76</v>
      </c>
      <c r="AI220" s="143" t="s">
        <v>92</v>
      </c>
      <c r="AJ220" s="143" t="s">
        <v>93</v>
      </c>
      <c r="AK220" s="143" t="s">
        <v>94</v>
      </c>
      <c r="AL220" s="149" t="s">
        <v>95</v>
      </c>
      <c r="AM220" s="148" t="s">
        <v>96</v>
      </c>
      <c r="AN220" s="143" t="s">
        <v>76</v>
      </c>
      <c r="AO220" s="150" t="s">
        <v>97</v>
      </c>
      <c r="AP220" s="147">
        <v>44517</v>
      </c>
      <c r="AQ220" s="135" t="s">
        <v>3323</v>
      </c>
      <c r="AR220" s="143">
        <v>1995</v>
      </c>
      <c r="AS220" s="143" t="s">
        <v>3413</v>
      </c>
      <c r="AT220" s="143" t="s">
        <v>98</v>
      </c>
      <c r="AU220" s="143" t="s">
        <v>99</v>
      </c>
      <c r="AV220" s="143" t="s">
        <v>1060</v>
      </c>
      <c r="AW220" s="143">
        <v>12</v>
      </c>
      <c r="AX220" s="143">
        <v>14.5</v>
      </c>
      <c r="AY220" s="143">
        <v>92</v>
      </c>
      <c r="AZ220" s="143">
        <v>0.01</v>
      </c>
      <c r="BA220" s="143" t="s">
        <v>101</v>
      </c>
      <c r="BB220" s="143"/>
      <c r="BC220" s="143">
        <f>6100+985+195+180+163+168</f>
        <v>7791</v>
      </c>
      <c r="BD220" s="143"/>
      <c r="BE220" s="143">
        <f>890+947+786</f>
        <v>2623</v>
      </c>
      <c r="BF220" s="143">
        <f t="shared" si="9"/>
        <v>10414</v>
      </c>
      <c r="BG220" s="151">
        <f t="shared" si="10"/>
        <v>572.77</v>
      </c>
      <c r="BH220" s="151">
        <f t="shared" si="11"/>
        <v>10986.77</v>
      </c>
      <c r="BI220" s="151">
        <v>10986.377</v>
      </c>
      <c r="BJ220" s="143" t="s">
        <v>102</v>
      </c>
      <c r="BK220" s="143"/>
      <c r="BL220" s="143"/>
      <c r="BM220" s="144" t="s">
        <v>3592</v>
      </c>
      <c r="BN220" s="144" t="s">
        <v>103</v>
      </c>
      <c r="BO220" s="135" t="s">
        <v>155</v>
      </c>
      <c r="BP220" s="143" t="s">
        <v>3583</v>
      </c>
      <c r="BQ220" s="203" t="s">
        <v>144</v>
      </c>
    </row>
    <row r="221" spans="1:69" ht="41.1" customHeight="1">
      <c r="A221" s="206" t="s">
        <v>86</v>
      </c>
      <c r="B221" s="206" t="s">
        <v>1061</v>
      </c>
      <c r="C221" s="143">
        <v>600</v>
      </c>
      <c r="D221" s="135">
        <v>44390</v>
      </c>
      <c r="E221" s="135">
        <v>44390</v>
      </c>
      <c r="F221" s="147" t="s">
        <v>76</v>
      </c>
      <c r="G221" s="135" t="s">
        <v>76</v>
      </c>
      <c r="H221" s="147">
        <v>44393</v>
      </c>
      <c r="I221" s="147">
        <v>44393</v>
      </c>
      <c r="J221" s="147">
        <v>44396</v>
      </c>
      <c r="K221" s="135">
        <v>44440</v>
      </c>
      <c r="L221" s="135">
        <v>44424</v>
      </c>
      <c r="M221" s="135" t="s">
        <v>76</v>
      </c>
      <c r="N221" s="135">
        <v>44442</v>
      </c>
      <c r="O221" s="135">
        <v>44442</v>
      </c>
      <c r="P221" s="135">
        <v>44469</v>
      </c>
      <c r="Q221" s="135"/>
      <c r="R221" s="143"/>
      <c r="S221" s="143"/>
      <c r="T221" s="143"/>
      <c r="U221" s="143">
        <v>2</v>
      </c>
      <c r="V221" s="143">
        <v>54698</v>
      </c>
      <c r="W221" s="143" t="str">
        <f ca="1">IF(H221="",IF(D221="","",IF(U221+V221&lt;15,"Données Nb pers ou RFR manquantes",IF(COUNTA(INDIRECT("TabRFR["&amp;YEAR(D221)&amp;"]"))&lt;&gt;COUNTA(TabRFR[Recherche RFR]),"Data RFR manquantes", IF(V221&lt;=INDEX(TabRFR[[2021]:[2025]],MATCH(BD!U221&amp;"-Très modestes",TabRFR[Recherche RFR],0),MATCH(TEXT(YEAR(BD!D221),"Standard"),TabRFR[[#Headers],[2021]:[2025]],0)),"Très Modeste",IF(V221&lt;=INDEX(TabRFR[[2021]:[2025]],MATCH(BD!U221&amp;"-modestes",TabRFR[Recherche RFR],0),MATCH(TEXT(YEAR(BD!D221),"Standard"),TabRFR[[#Headers],[2021]:[2025]],0)),"Modeste",IF(V221&lt;=INDEX(TabRFR[[2021]:[2025]],MATCH(BD!U221&amp;"-Intermédiaire",TabRFR[Recherche RFR],0),MATCH(TEXT(YEAR(BD!D221),"Standard"),TabRFR[[#Headers],[2021]:[2025]],0)),"Intermédiaire","Supérieur")))))),IF(D221="","",IF(U221+V221&lt;15,"Données Nb pers ou RFR manquantes",IF(COUNTA(INDIRECT("TabRFR["&amp;YEAR(H221)&amp;"]"))&lt;&gt;COUNTA(TabRFR[Recherche RFR]),"Data RFR manquantes", IF(V221&lt;=INDEX(TabRFR[[2021]:[2025]],MATCH(BD!U221&amp;"-Très modestes",TabRFR[Recherche RFR],0),MATCH(TEXT(YEAR(BD!H221),"Standard"),TabRFR[[#Headers],[2021]:[2025]],0)),"Très Modeste",IF(V221&lt;=INDEX(TabRFR[[2021]:[2025]],MATCH(BD!U221&amp;"-modestes",TabRFR[Recherche RFR],0),MATCH(TEXT(YEAR(BD!H221),"Standard"),TabRFR[[#Headers],[2021]:[2025]],0)),"Modeste",IF(V221&lt;=INDEX(TabRFR[[2021]:[2025]],MATCH(BD!U221&amp;"-Intermédiaire",TabRFR[Recherche RFR],0),MATCH(TEXT(YEAR(BD!H221),"Standard"),TabRFR[[#Headers],[2021]:[2025]],0)),"Intermédiaire","Supérieur")))))))</f>
        <v>Supérieur</v>
      </c>
      <c r="X221" s="143"/>
      <c r="Y221" s="143" t="s">
        <v>1062</v>
      </c>
      <c r="Z221" s="143">
        <v>38340</v>
      </c>
      <c r="AA221" s="143" t="s">
        <v>266</v>
      </c>
      <c r="AB221" s="148"/>
      <c r="AC221" s="149"/>
      <c r="AD221" s="143" t="s">
        <v>91</v>
      </c>
      <c r="AE221" s="143" t="s">
        <v>76</v>
      </c>
      <c r="AF221" s="143" t="s">
        <v>76</v>
      </c>
      <c r="AG221" s="143" t="s">
        <v>76</v>
      </c>
      <c r="AH221" s="143" t="s">
        <v>76</v>
      </c>
      <c r="AI221" s="143" t="s">
        <v>120</v>
      </c>
      <c r="AJ221" s="143" t="s">
        <v>121</v>
      </c>
      <c r="AK221" s="143" t="s">
        <v>122</v>
      </c>
      <c r="AL221" s="150" t="s">
        <v>123</v>
      </c>
      <c r="AM221" s="148">
        <v>608287337</v>
      </c>
      <c r="AN221" s="143" t="s">
        <v>76</v>
      </c>
      <c r="AO221" s="150" t="s">
        <v>102</v>
      </c>
      <c r="AP221" s="147">
        <v>44417</v>
      </c>
      <c r="AQ221" s="143" t="s">
        <v>3413</v>
      </c>
      <c r="AR221" s="143">
        <v>2001</v>
      </c>
      <c r="AS221" s="143" t="s">
        <v>3413</v>
      </c>
      <c r="AT221" s="143" t="s">
        <v>98</v>
      </c>
      <c r="AU221" s="143" t="s">
        <v>124</v>
      </c>
      <c r="AV221" s="143" t="s">
        <v>1063</v>
      </c>
      <c r="AW221" s="143">
        <v>22.8</v>
      </c>
      <c r="AX221" s="143">
        <v>6.5</v>
      </c>
      <c r="AY221" s="143">
        <v>93.1</v>
      </c>
      <c r="AZ221" s="143">
        <v>8.0000000000000002E-3</v>
      </c>
      <c r="BA221" s="143" t="s">
        <v>101</v>
      </c>
      <c r="BB221" s="143"/>
      <c r="BC221" s="143">
        <f>2944+315+581+326</f>
        <v>4166</v>
      </c>
      <c r="BD221" s="143"/>
      <c r="BE221" s="143">
        <v>650</v>
      </c>
      <c r="BF221" s="143">
        <f t="shared" si="9"/>
        <v>4816</v>
      </c>
      <c r="BG221" s="151">
        <f t="shared" si="10"/>
        <v>264.88</v>
      </c>
      <c r="BH221" s="151">
        <f t="shared" si="11"/>
        <v>5080.88</v>
      </c>
      <c r="BI221" s="151">
        <v>4500</v>
      </c>
      <c r="BJ221" s="143" t="s">
        <v>115</v>
      </c>
      <c r="BK221" s="143"/>
      <c r="BL221" s="143"/>
      <c r="BM221" s="144" t="s">
        <v>3592</v>
      </c>
      <c r="BN221" s="144" t="s">
        <v>103</v>
      </c>
      <c r="BO221" s="144" t="s">
        <v>143</v>
      </c>
      <c r="BP221" s="143" t="s">
        <v>3583</v>
      </c>
      <c r="BQ221" s="203" t="s">
        <v>3274</v>
      </c>
    </row>
    <row r="222" spans="1:69" ht="41.1" customHeight="1">
      <c r="A222" s="206" t="s">
        <v>86</v>
      </c>
      <c r="B222" s="206" t="s">
        <v>1064</v>
      </c>
      <c r="C222" s="143">
        <v>1000</v>
      </c>
      <c r="D222" s="135">
        <v>44393</v>
      </c>
      <c r="E222" s="135">
        <v>44393</v>
      </c>
      <c r="F222" s="147" t="s">
        <v>76</v>
      </c>
      <c r="G222" s="135" t="s">
        <v>76</v>
      </c>
      <c r="H222" s="147">
        <v>44413</v>
      </c>
      <c r="I222" s="147">
        <v>44413</v>
      </c>
      <c r="J222" s="147">
        <v>44417</v>
      </c>
      <c r="K222" s="135">
        <v>44533</v>
      </c>
      <c r="L222" s="135">
        <v>44497</v>
      </c>
      <c r="M222" s="135" t="s">
        <v>76</v>
      </c>
      <c r="N222" s="135">
        <v>44539</v>
      </c>
      <c r="O222" s="135">
        <v>44539</v>
      </c>
      <c r="P222" s="135">
        <v>44540</v>
      </c>
      <c r="Q222" s="135"/>
      <c r="R222" s="143"/>
      <c r="S222" s="143"/>
      <c r="T222" s="143"/>
      <c r="U222" s="143">
        <v>3</v>
      </c>
      <c r="V222" s="143">
        <v>22964</v>
      </c>
      <c r="W222" s="143" t="str">
        <f ca="1">IF(H222="",IF(D222="","",IF(U222+V222&lt;15,"Données Nb pers ou RFR manquantes",IF(COUNTA(INDIRECT("TabRFR["&amp;YEAR(D222)&amp;"]"))&lt;&gt;COUNTA(TabRFR[Recherche RFR]),"Data RFR manquantes", IF(V222&lt;=INDEX(TabRFR[[2021]:[2025]],MATCH(BD!U222&amp;"-Très modestes",TabRFR[Recherche RFR],0),MATCH(TEXT(YEAR(BD!D222),"Standard"),TabRFR[[#Headers],[2021]:[2025]],0)),"Très Modeste",IF(V222&lt;=INDEX(TabRFR[[2021]:[2025]],MATCH(BD!U222&amp;"-modestes",TabRFR[Recherche RFR],0),MATCH(TEXT(YEAR(BD!D222),"Standard"),TabRFR[[#Headers],[2021]:[2025]],0)),"Modeste",IF(V222&lt;=INDEX(TabRFR[[2021]:[2025]],MATCH(BD!U222&amp;"-Intermédiaire",TabRFR[Recherche RFR],0),MATCH(TEXT(YEAR(BD!D222),"Standard"),TabRFR[[#Headers],[2021]:[2025]],0)),"Intermédiaire","Supérieur")))))),IF(D222="","",IF(U222+V222&lt;15,"Données Nb pers ou RFR manquantes",IF(COUNTA(INDIRECT("TabRFR["&amp;YEAR(H222)&amp;"]"))&lt;&gt;COUNTA(TabRFR[Recherche RFR]),"Data RFR manquantes", IF(V222&lt;=INDEX(TabRFR[[2021]:[2025]],MATCH(BD!U222&amp;"-Très modestes",TabRFR[Recherche RFR],0),MATCH(TEXT(YEAR(BD!H222),"Standard"),TabRFR[[#Headers],[2021]:[2025]],0)),"Très Modeste",IF(V222&lt;=INDEX(TabRFR[[2021]:[2025]],MATCH(BD!U222&amp;"-modestes",TabRFR[Recherche RFR],0),MATCH(TEXT(YEAR(BD!H222),"Standard"),TabRFR[[#Headers],[2021]:[2025]],0)),"Modeste",IF(V222&lt;=INDEX(TabRFR[[2021]:[2025]],MATCH(BD!U222&amp;"-Intermédiaire",TabRFR[Recherche RFR],0),MATCH(TEXT(YEAR(BD!H222),"Standard"),TabRFR[[#Headers],[2021]:[2025]],0)),"Intermédiaire","Supérieur")))))))</f>
        <v>Très Modeste</v>
      </c>
      <c r="X222" s="143"/>
      <c r="Y222" s="143" t="s">
        <v>1065</v>
      </c>
      <c r="Z222" s="143">
        <v>38210</v>
      </c>
      <c r="AA222" s="143" t="s">
        <v>130</v>
      </c>
      <c r="AB222" s="148"/>
      <c r="AC222" s="149"/>
      <c r="AD222" s="143" t="s">
        <v>91</v>
      </c>
      <c r="AE222" s="143" t="s">
        <v>76</v>
      </c>
      <c r="AF222" s="143" t="s">
        <v>76</v>
      </c>
      <c r="AG222" s="143" t="s">
        <v>76</v>
      </c>
      <c r="AH222" s="143" t="s">
        <v>76</v>
      </c>
      <c r="AI222" s="143" t="s">
        <v>886</v>
      </c>
      <c r="AJ222" s="143" t="s">
        <v>887</v>
      </c>
      <c r="AK222" s="143" t="s">
        <v>888</v>
      </c>
      <c r="AL222" s="150" t="s">
        <v>889</v>
      </c>
      <c r="AM222" s="148">
        <v>476042368</v>
      </c>
      <c r="AN222" s="143" t="s">
        <v>76</v>
      </c>
      <c r="AO222" s="150" t="s">
        <v>102</v>
      </c>
      <c r="AP222" s="147">
        <v>44524</v>
      </c>
      <c r="AQ222" s="135" t="s">
        <v>3496</v>
      </c>
      <c r="AR222" s="143">
        <v>1982</v>
      </c>
      <c r="AS222" s="143" t="s">
        <v>3413</v>
      </c>
      <c r="AT222" s="143" t="s">
        <v>98</v>
      </c>
      <c r="AU222" s="143" t="s">
        <v>1066</v>
      </c>
      <c r="AV222" s="143" t="s">
        <v>1067</v>
      </c>
      <c r="AW222" s="143">
        <v>14.9</v>
      </c>
      <c r="AX222" s="143">
        <v>9.1</v>
      </c>
      <c r="AY222" s="143">
        <v>91.4</v>
      </c>
      <c r="AZ222" s="143">
        <v>6.0000000000000001E-3</v>
      </c>
      <c r="BA222" s="143" t="s">
        <v>126</v>
      </c>
      <c r="BB222" s="143"/>
      <c r="BC222" s="143">
        <f>3067.5+60.1+171+110.6+105.3+98.7+210+85+54.5+39.2+319</f>
        <v>4320.8999999999996</v>
      </c>
      <c r="BD222" s="143"/>
      <c r="BE222" s="143">
        <f>600+325.5+740</f>
        <v>1665.5</v>
      </c>
      <c r="BF222" s="143">
        <f t="shared" si="9"/>
        <v>5986.4</v>
      </c>
      <c r="BG222" s="151">
        <f t="shared" si="10"/>
        <v>329.25200000000001</v>
      </c>
      <c r="BH222" s="151">
        <f t="shared" si="11"/>
        <v>6315.652</v>
      </c>
      <c r="BI222" s="151">
        <v>5999.88</v>
      </c>
      <c r="BJ222" s="143" t="s">
        <v>102</v>
      </c>
      <c r="BK222" s="143"/>
      <c r="BL222" s="143"/>
      <c r="BM222" s="144" t="s">
        <v>3592</v>
      </c>
      <c r="BN222" s="144" t="s">
        <v>103</v>
      </c>
      <c r="BO222" s="135" t="s">
        <v>155</v>
      </c>
      <c r="BP222" s="143" t="s">
        <v>3583</v>
      </c>
      <c r="BQ222" s="203" t="s">
        <v>144</v>
      </c>
    </row>
    <row r="223" spans="1:69" ht="41.1" customHeight="1">
      <c r="A223" s="206" t="s">
        <v>86</v>
      </c>
      <c r="B223" s="206" t="s">
        <v>1068</v>
      </c>
      <c r="C223" s="143">
        <v>600</v>
      </c>
      <c r="D223" s="135">
        <v>44399</v>
      </c>
      <c r="E223" s="135">
        <v>44399</v>
      </c>
      <c r="F223" s="147">
        <v>44413</v>
      </c>
      <c r="G223" s="135" t="s">
        <v>571</v>
      </c>
      <c r="H223" s="147">
        <v>44418</v>
      </c>
      <c r="I223" s="147">
        <v>44418</v>
      </c>
      <c r="J223" s="147">
        <v>44426</v>
      </c>
      <c r="K223" s="135">
        <v>44536</v>
      </c>
      <c r="L223" s="135">
        <v>44518</v>
      </c>
      <c r="M223" s="135" t="s">
        <v>76</v>
      </c>
      <c r="N223" s="135">
        <v>44539</v>
      </c>
      <c r="O223" s="135">
        <v>44539</v>
      </c>
      <c r="P223" s="135">
        <v>44540</v>
      </c>
      <c r="Q223" s="135"/>
      <c r="R223" s="143"/>
      <c r="S223" s="143"/>
      <c r="T223" s="143"/>
      <c r="U223" s="143">
        <v>5</v>
      </c>
      <c r="V223" s="143">
        <v>48449</v>
      </c>
      <c r="W223" s="143" t="str">
        <f ca="1">IF(H223="",IF(D223="","",IF(U223+V223&lt;15,"Données Nb pers ou RFR manquantes",IF(COUNTA(INDIRECT("TabRFR["&amp;YEAR(D223)&amp;"]"))&lt;&gt;COUNTA(TabRFR[Recherche RFR]),"Data RFR manquantes", IF(V223&lt;=INDEX(TabRFR[[2021]:[2025]],MATCH(BD!U223&amp;"-Très modestes",TabRFR[Recherche RFR],0),MATCH(TEXT(YEAR(BD!D223),"Standard"),TabRFR[[#Headers],[2021]:[2025]],0)),"Très Modeste",IF(V223&lt;=INDEX(TabRFR[[2021]:[2025]],MATCH(BD!U223&amp;"-modestes",TabRFR[Recherche RFR],0),MATCH(TEXT(YEAR(BD!D223),"Standard"),TabRFR[[#Headers],[2021]:[2025]],0)),"Modeste",IF(V223&lt;=INDEX(TabRFR[[2021]:[2025]],MATCH(BD!U223&amp;"-Intermédiaire",TabRFR[Recherche RFR],0),MATCH(TEXT(YEAR(BD!D223),"Standard"),TabRFR[[#Headers],[2021]:[2025]],0)),"Intermédiaire","Supérieur")))))),IF(D223="","",IF(U223+V223&lt;15,"Données Nb pers ou RFR manquantes",IF(COUNTA(INDIRECT("TabRFR["&amp;YEAR(H223)&amp;"]"))&lt;&gt;COUNTA(TabRFR[Recherche RFR]),"Data RFR manquantes", IF(V223&lt;=INDEX(TabRFR[[2021]:[2025]],MATCH(BD!U223&amp;"-Très modestes",TabRFR[Recherche RFR],0),MATCH(TEXT(YEAR(BD!H223),"Standard"),TabRFR[[#Headers],[2021]:[2025]],0)),"Très Modeste",IF(V223&lt;=INDEX(TabRFR[[2021]:[2025]],MATCH(BD!U223&amp;"-modestes",TabRFR[Recherche RFR],0),MATCH(TEXT(YEAR(BD!H223),"Standard"),TabRFR[[#Headers],[2021]:[2025]],0)),"Modeste",IF(V223&lt;=INDEX(TabRFR[[2021]:[2025]],MATCH(BD!U223&amp;"-Intermédiaire",TabRFR[Recherche RFR],0),MATCH(TEXT(YEAR(BD!H223),"Standard"),TabRFR[[#Headers],[2021]:[2025]],0)),"Intermédiaire","Supérieur")))))))</f>
        <v>Intermédiaire</v>
      </c>
      <c r="X223" s="143"/>
      <c r="Y223" s="143" t="s">
        <v>1069</v>
      </c>
      <c r="Z223" s="143">
        <v>38430</v>
      </c>
      <c r="AA223" s="143" t="s">
        <v>119</v>
      </c>
      <c r="AB223" s="148"/>
      <c r="AC223" s="149"/>
      <c r="AD223" s="143" t="s">
        <v>91</v>
      </c>
      <c r="AE223" s="143" t="s">
        <v>76</v>
      </c>
      <c r="AF223" s="143" t="s">
        <v>76</v>
      </c>
      <c r="AG223" s="143" t="s">
        <v>76</v>
      </c>
      <c r="AH223" s="143" t="s">
        <v>76</v>
      </c>
      <c r="AI223" s="135" t="s">
        <v>2703</v>
      </c>
      <c r="AJ223" s="143" t="s">
        <v>266</v>
      </c>
      <c r="AK223" s="143" t="s">
        <v>317</v>
      </c>
      <c r="AL223" s="150" t="s">
        <v>318</v>
      </c>
      <c r="AM223" s="148">
        <v>476500550</v>
      </c>
      <c r="AN223" s="143" t="s">
        <v>76</v>
      </c>
      <c r="AO223" s="150" t="s">
        <v>102</v>
      </c>
      <c r="AP223" s="147">
        <v>44740</v>
      </c>
      <c r="AQ223" s="135" t="s">
        <v>3496</v>
      </c>
      <c r="AR223" s="143">
        <v>1996</v>
      </c>
      <c r="AS223" s="135" t="s">
        <v>3496</v>
      </c>
      <c r="AT223" s="135" t="s">
        <v>3446</v>
      </c>
      <c r="AU223" s="143" t="s">
        <v>319</v>
      </c>
      <c r="AV223" s="143" t="s">
        <v>554</v>
      </c>
      <c r="AW223" s="143">
        <v>30</v>
      </c>
      <c r="AX223" s="143">
        <v>13</v>
      </c>
      <c r="AY223" s="143">
        <v>84</v>
      </c>
      <c r="AZ223" s="143">
        <v>0.04</v>
      </c>
      <c r="BA223" s="143" t="s">
        <v>101</v>
      </c>
      <c r="BB223" s="143"/>
      <c r="BC223" s="143">
        <f>547.4+61.09+1950+179.08</f>
        <v>2737.5699999999997</v>
      </c>
      <c r="BD223" s="143"/>
      <c r="BE223" s="143">
        <v>500</v>
      </c>
      <c r="BF223" s="143">
        <f t="shared" si="9"/>
        <v>3237.5699999999997</v>
      </c>
      <c r="BG223" s="151">
        <f t="shared" si="10"/>
        <v>178.06634999999997</v>
      </c>
      <c r="BH223" s="151">
        <f t="shared" si="11"/>
        <v>3415.6363499999998</v>
      </c>
      <c r="BI223" s="151">
        <v>3415.64</v>
      </c>
      <c r="BJ223" s="143" t="s">
        <v>115</v>
      </c>
      <c r="BK223" s="143"/>
      <c r="BL223" s="143"/>
      <c r="BM223" s="144" t="s">
        <v>3592</v>
      </c>
      <c r="BN223" s="144" t="s">
        <v>103</v>
      </c>
      <c r="BO223" s="144" t="s">
        <v>143</v>
      </c>
      <c r="BP223" s="144">
        <v>2021</v>
      </c>
      <c r="BQ223" s="203" t="s">
        <v>3274</v>
      </c>
    </row>
    <row r="224" spans="1:69" ht="41.1" customHeight="1">
      <c r="A224" s="206" t="s">
        <v>86</v>
      </c>
      <c r="B224" s="206" t="s">
        <v>1070</v>
      </c>
      <c r="C224" s="143">
        <v>1000</v>
      </c>
      <c r="D224" s="135">
        <v>44399</v>
      </c>
      <c r="E224" s="135">
        <v>44405</v>
      </c>
      <c r="F224" s="147">
        <v>44413</v>
      </c>
      <c r="G224" s="135" t="s">
        <v>1071</v>
      </c>
      <c r="H224" s="147">
        <v>44418</v>
      </c>
      <c r="I224" s="147">
        <v>44418</v>
      </c>
      <c r="J224" s="147">
        <v>44426</v>
      </c>
      <c r="K224" s="135">
        <v>44572</v>
      </c>
      <c r="L224" s="135">
        <v>44504</v>
      </c>
      <c r="M224" s="135" t="s">
        <v>76</v>
      </c>
      <c r="N224" s="135">
        <v>44580</v>
      </c>
      <c r="O224" s="135">
        <v>44580</v>
      </c>
      <c r="P224" s="135">
        <v>44581</v>
      </c>
      <c r="Q224" s="135"/>
      <c r="R224" s="143"/>
      <c r="S224" s="143"/>
      <c r="T224" s="143"/>
      <c r="U224" s="143">
        <v>2</v>
      </c>
      <c r="V224" s="143">
        <v>16263</v>
      </c>
      <c r="W224" s="143" t="str">
        <f ca="1">IF(H224="",IF(D224="","",IF(U224+V224&lt;15,"Données Nb pers ou RFR manquantes",IF(COUNTA(INDIRECT("TabRFR["&amp;YEAR(D224)&amp;"]"))&lt;&gt;COUNTA(TabRFR[Recherche RFR]),"Data RFR manquantes", IF(V224&lt;=INDEX(TabRFR[[2021]:[2025]],MATCH(BD!U224&amp;"-Très modestes",TabRFR[Recherche RFR],0),MATCH(TEXT(YEAR(BD!D224),"Standard"),TabRFR[[#Headers],[2021]:[2025]],0)),"Très Modeste",IF(V224&lt;=INDEX(TabRFR[[2021]:[2025]],MATCH(BD!U224&amp;"-modestes",TabRFR[Recherche RFR],0),MATCH(TEXT(YEAR(BD!D224),"Standard"),TabRFR[[#Headers],[2021]:[2025]],0)),"Modeste",IF(V224&lt;=INDEX(TabRFR[[2021]:[2025]],MATCH(BD!U224&amp;"-Intermédiaire",TabRFR[Recherche RFR],0),MATCH(TEXT(YEAR(BD!D224),"Standard"),TabRFR[[#Headers],[2021]:[2025]],0)),"Intermédiaire","Supérieur")))))),IF(D224="","",IF(U224+V224&lt;15,"Données Nb pers ou RFR manquantes",IF(COUNTA(INDIRECT("TabRFR["&amp;YEAR(H224)&amp;"]"))&lt;&gt;COUNTA(TabRFR[Recherche RFR]),"Data RFR manquantes", IF(V224&lt;=INDEX(TabRFR[[2021]:[2025]],MATCH(BD!U224&amp;"-Très modestes",TabRFR[Recherche RFR],0),MATCH(TEXT(YEAR(BD!H224),"Standard"),TabRFR[[#Headers],[2021]:[2025]],0)),"Très Modeste",IF(V224&lt;=INDEX(TabRFR[[2021]:[2025]],MATCH(BD!U224&amp;"-modestes",TabRFR[Recherche RFR],0),MATCH(TEXT(YEAR(BD!H224),"Standard"),TabRFR[[#Headers],[2021]:[2025]],0)),"Modeste",IF(V224&lt;=INDEX(TabRFR[[2021]:[2025]],MATCH(BD!U224&amp;"-Intermédiaire",TabRFR[Recherche RFR],0),MATCH(TEXT(YEAR(BD!H224),"Standard"),TabRFR[[#Headers],[2021]:[2025]],0)),"Intermédiaire","Supérieur")))))))</f>
        <v>Très Modeste</v>
      </c>
      <c r="X224" s="143"/>
      <c r="Y224" s="143" t="s">
        <v>1072</v>
      </c>
      <c r="Z224" s="143">
        <v>38430</v>
      </c>
      <c r="AA224" s="143" t="s">
        <v>351</v>
      </c>
      <c r="AB224" s="148"/>
      <c r="AC224" s="149"/>
      <c r="AD224" s="143" t="s">
        <v>91</v>
      </c>
      <c r="AE224" s="143" t="s">
        <v>76</v>
      </c>
      <c r="AF224" s="143" t="s">
        <v>76</v>
      </c>
      <c r="AG224" s="143" t="s">
        <v>76</v>
      </c>
      <c r="AH224" s="143" t="s">
        <v>76</v>
      </c>
      <c r="AI224" s="143" t="s">
        <v>185</v>
      </c>
      <c r="AJ224" s="143" t="s">
        <v>108</v>
      </c>
      <c r="AK224" s="143" t="s">
        <v>186</v>
      </c>
      <c r="AL224" s="150" t="s">
        <v>187</v>
      </c>
      <c r="AM224" s="148">
        <v>951096343</v>
      </c>
      <c r="AN224" s="143" t="s">
        <v>76</v>
      </c>
      <c r="AO224" s="150" t="s">
        <v>102</v>
      </c>
      <c r="AP224" s="147">
        <v>44433</v>
      </c>
      <c r="AQ224" s="135" t="s">
        <v>3496</v>
      </c>
      <c r="AR224" s="143">
        <v>1996</v>
      </c>
      <c r="AS224" s="143" t="s">
        <v>3413</v>
      </c>
      <c r="AT224" s="143" t="s">
        <v>98</v>
      </c>
      <c r="AU224" s="143" t="s">
        <v>356</v>
      </c>
      <c r="AV224" s="143" t="s">
        <v>1073</v>
      </c>
      <c r="AW224" s="143">
        <v>14</v>
      </c>
      <c r="AX224" s="143">
        <v>11</v>
      </c>
      <c r="AY224" s="143">
        <v>98</v>
      </c>
      <c r="AZ224" s="143">
        <v>7.0000000000000001E-3</v>
      </c>
      <c r="BA224" s="143" t="s">
        <v>101</v>
      </c>
      <c r="BB224" s="143"/>
      <c r="BC224" s="143">
        <f>5813.67+404+375+66.18+805+269.9</f>
        <v>7733.75</v>
      </c>
      <c r="BD224" s="143"/>
      <c r="BE224" s="143">
        <f>980+630</f>
        <v>1610</v>
      </c>
      <c r="BF224" s="143">
        <f t="shared" si="9"/>
        <v>9343.75</v>
      </c>
      <c r="BG224" s="151">
        <f t="shared" si="10"/>
        <v>513.90625</v>
      </c>
      <c r="BH224" s="151">
        <f t="shared" si="11"/>
        <v>9857.65625</v>
      </c>
      <c r="BI224" s="151">
        <v>9500</v>
      </c>
      <c r="BJ224" s="143" t="s">
        <v>115</v>
      </c>
      <c r="BK224" s="143"/>
      <c r="BL224" s="143"/>
      <c r="BM224" s="144" t="s">
        <v>3592</v>
      </c>
      <c r="BN224" s="144" t="s">
        <v>103</v>
      </c>
      <c r="BO224" s="135" t="s">
        <v>155</v>
      </c>
      <c r="BP224" s="143" t="s">
        <v>3583</v>
      </c>
      <c r="BQ224" s="203" t="s">
        <v>3274</v>
      </c>
    </row>
    <row r="225" spans="1:69" ht="41.1" customHeight="1">
      <c r="A225" s="206" t="s">
        <v>86</v>
      </c>
      <c r="B225" s="206" t="s">
        <v>1074</v>
      </c>
      <c r="C225" s="143">
        <v>1000</v>
      </c>
      <c r="D225" s="135">
        <v>44400</v>
      </c>
      <c r="E225" s="135">
        <v>44405</v>
      </c>
      <c r="F225" s="147" t="s">
        <v>76</v>
      </c>
      <c r="G225" s="135" t="s">
        <v>76</v>
      </c>
      <c r="H225" s="147">
        <v>44413</v>
      </c>
      <c r="I225" s="147">
        <v>44413</v>
      </c>
      <c r="J225" s="147">
        <v>44417</v>
      </c>
      <c r="K225" s="135">
        <v>44581</v>
      </c>
      <c r="L225" s="135">
        <v>44543</v>
      </c>
      <c r="M225" s="135" t="s">
        <v>76</v>
      </c>
      <c r="N225" s="135">
        <v>44594</v>
      </c>
      <c r="O225" s="135">
        <v>44595</v>
      </c>
      <c r="P225" s="135">
        <v>44600</v>
      </c>
      <c r="Q225" s="135"/>
      <c r="R225" s="143"/>
      <c r="S225" s="143"/>
      <c r="T225" s="143"/>
      <c r="U225" s="143">
        <v>3</v>
      </c>
      <c r="V225" s="143">
        <v>27838</v>
      </c>
      <c r="W225" s="143" t="str">
        <f ca="1">IF(H225="",IF(D225="","",IF(U225+V225&lt;15,"Données Nb pers ou RFR manquantes",IF(COUNTA(INDIRECT("TabRFR["&amp;YEAR(D225)&amp;"]"))&lt;&gt;COUNTA(TabRFR[Recherche RFR]),"Data RFR manquantes", IF(V225&lt;=INDEX(TabRFR[[2021]:[2025]],MATCH(BD!U225&amp;"-Très modestes",TabRFR[Recherche RFR],0),MATCH(TEXT(YEAR(BD!D225),"Standard"),TabRFR[[#Headers],[2021]:[2025]],0)),"Très Modeste",IF(V225&lt;=INDEX(TabRFR[[2021]:[2025]],MATCH(BD!U225&amp;"-modestes",TabRFR[Recherche RFR],0),MATCH(TEXT(YEAR(BD!D225),"Standard"),TabRFR[[#Headers],[2021]:[2025]],0)),"Modeste",IF(V225&lt;=INDEX(TabRFR[[2021]:[2025]],MATCH(BD!U225&amp;"-Intermédiaire",TabRFR[Recherche RFR],0),MATCH(TEXT(YEAR(BD!D225),"Standard"),TabRFR[[#Headers],[2021]:[2025]],0)),"Intermédiaire","Supérieur")))))),IF(D225="","",IF(U225+V225&lt;15,"Données Nb pers ou RFR manquantes",IF(COUNTA(INDIRECT("TabRFR["&amp;YEAR(H225)&amp;"]"))&lt;&gt;COUNTA(TabRFR[Recherche RFR]),"Data RFR manquantes", IF(V225&lt;=INDEX(TabRFR[[2021]:[2025]],MATCH(BD!U225&amp;"-Très modestes",TabRFR[Recherche RFR],0),MATCH(TEXT(YEAR(BD!H225),"Standard"),TabRFR[[#Headers],[2021]:[2025]],0)),"Très Modeste",IF(V225&lt;=INDEX(TabRFR[[2021]:[2025]],MATCH(BD!U225&amp;"-modestes",TabRFR[Recherche RFR],0),MATCH(TEXT(YEAR(BD!H225),"Standard"),TabRFR[[#Headers],[2021]:[2025]],0)),"Modeste",IF(V225&lt;=INDEX(TabRFR[[2021]:[2025]],MATCH(BD!U225&amp;"-Intermédiaire",TabRFR[Recherche RFR],0),MATCH(TEXT(YEAR(BD!H225),"Standard"),TabRFR[[#Headers],[2021]:[2025]],0)),"Intermédiaire","Supérieur")))))))</f>
        <v>Modeste</v>
      </c>
      <c r="X225" s="143"/>
      <c r="Y225" s="143" t="s">
        <v>928</v>
      </c>
      <c r="Z225" s="143">
        <v>38490</v>
      </c>
      <c r="AA225" s="143" t="s">
        <v>1075</v>
      </c>
      <c r="AB225" s="148"/>
      <c r="AC225" s="149"/>
      <c r="AD225" s="143" t="s">
        <v>91</v>
      </c>
      <c r="AE225" s="143" t="s">
        <v>76</v>
      </c>
      <c r="AF225" s="143" t="s">
        <v>76</v>
      </c>
      <c r="AG225" s="143" t="s">
        <v>76</v>
      </c>
      <c r="AH225" s="143" t="s">
        <v>76</v>
      </c>
      <c r="AI225" s="143" t="s">
        <v>210</v>
      </c>
      <c r="AJ225" s="143" t="s">
        <v>136</v>
      </c>
      <c r="AK225" s="143" t="s">
        <v>211</v>
      </c>
      <c r="AL225" s="150" t="s">
        <v>212</v>
      </c>
      <c r="AM225" s="148">
        <v>474432868</v>
      </c>
      <c r="AN225" s="143" t="s">
        <v>76</v>
      </c>
      <c r="AO225" s="150" t="s">
        <v>102</v>
      </c>
      <c r="AP225" s="147">
        <v>44514</v>
      </c>
      <c r="AQ225" s="135" t="s">
        <v>3496</v>
      </c>
      <c r="AR225" s="143">
        <v>1990</v>
      </c>
      <c r="AS225" s="143" t="s">
        <v>3413</v>
      </c>
      <c r="AT225" s="143" t="s">
        <v>98</v>
      </c>
      <c r="AU225" s="143" t="s">
        <v>214</v>
      </c>
      <c r="AV225" s="143" t="s">
        <v>1076</v>
      </c>
      <c r="AW225" s="143">
        <v>15</v>
      </c>
      <c r="AX225" s="143">
        <v>10.199999999999999</v>
      </c>
      <c r="AY225" s="143">
        <v>91.5</v>
      </c>
      <c r="AZ225" s="143">
        <v>1.1999999999999999E-3</v>
      </c>
      <c r="BA225" s="143" t="s">
        <v>101</v>
      </c>
      <c r="BB225" s="143"/>
      <c r="BC225" s="143">
        <f>3540+340+216+721.41+164+275+46</f>
        <v>5302.41</v>
      </c>
      <c r="BD225" s="143"/>
      <c r="BE225" s="143">
        <f>250+750</f>
        <v>1000</v>
      </c>
      <c r="BF225" s="143">
        <f t="shared" si="9"/>
        <v>6302.41</v>
      </c>
      <c r="BG225" s="151">
        <f t="shared" si="10"/>
        <v>346.63254999999998</v>
      </c>
      <c r="BH225" s="151">
        <f t="shared" si="11"/>
        <v>6649.0425500000001</v>
      </c>
      <c r="BI225" s="151">
        <v>6649.04</v>
      </c>
      <c r="BJ225" s="143" t="s">
        <v>102</v>
      </c>
      <c r="BK225" s="143"/>
      <c r="BL225" s="143"/>
      <c r="BM225" s="144" t="s">
        <v>3592</v>
      </c>
      <c r="BN225" s="144" t="s">
        <v>103</v>
      </c>
      <c r="BO225" s="135" t="s">
        <v>155</v>
      </c>
      <c r="BP225" s="143" t="s">
        <v>3583</v>
      </c>
      <c r="BQ225" s="203" t="s">
        <v>144</v>
      </c>
    </row>
    <row r="226" spans="1:69" ht="41.1" customHeight="1">
      <c r="A226" s="206" t="s">
        <v>86</v>
      </c>
      <c r="B226" s="206" t="s">
        <v>1077</v>
      </c>
      <c r="C226" s="143">
        <v>1000</v>
      </c>
      <c r="D226" s="135">
        <v>44400</v>
      </c>
      <c r="E226" s="135">
        <v>44405</v>
      </c>
      <c r="F226" s="147" t="s">
        <v>76</v>
      </c>
      <c r="G226" s="135" t="s">
        <v>76</v>
      </c>
      <c r="H226" s="147">
        <v>44413</v>
      </c>
      <c r="I226" s="147">
        <v>44413</v>
      </c>
      <c r="J226" s="147">
        <v>44417</v>
      </c>
      <c r="K226" s="135">
        <v>44704</v>
      </c>
      <c r="L226" s="135">
        <v>44561</v>
      </c>
      <c r="M226" s="135" t="s">
        <v>76</v>
      </c>
      <c r="N226" s="135">
        <v>44768</v>
      </c>
      <c r="O226" s="135">
        <v>44768</v>
      </c>
      <c r="P226" s="135">
        <v>44769</v>
      </c>
      <c r="Q226" s="135"/>
      <c r="R226" s="143"/>
      <c r="S226" s="143"/>
      <c r="T226" s="143"/>
      <c r="U226" s="143">
        <v>1</v>
      </c>
      <c r="V226" s="143">
        <f>4086+3381</f>
        <v>7467</v>
      </c>
      <c r="W226" s="143" t="str">
        <f ca="1">IF(H226="",IF(D226="","",IF(U226+V226&lt;15,"Données Nb pers ou RFR manquantes",IF(COUNTA(INDIRECT("TabRFR["&amp;YEAR(D226)&amp;"]"))&lt;&gt;COUNTA(TabRFR[Recherche RFR]),"Data RFR manquantes", IF(V226&lt;=INDEX(TabRFR[[2021]:[2025]],MATCH(BD!U226&amp;"-Très modestes",TabRFR[Recherche RFR],0),MATCH(TEXT(YEAR(BD!D226),"Standard"),TabRFR[[#Headers],[2021]:[2025]],0)),"Très Modeste",IF(V226&lt;=INDEX(TabRFR[[2021]:[2025]],MATCH(BD!U226&amp;"-modestes",TabRFR[Recherche RFR],0),MATCH(TEXT(YEAR(BD!D226),"Standard"),TabRFR[[#Headers],[2021]:[2025]],0)),"Modeste",IF(V226&lt;=INDEX(TabRFR[[2021]:[2025]],MATCH(BD!U226&amp;"-Intermédiaire",TabRFR[Recherche RFR],0),MATCH(TEXT(YEAR(BD!D226),"Standard"),TabRFR[[#Headers],[2021]:[2025]],0)),"Intermédiaire","Supérieur")))))),IF(D226="","",IF(U226+V226&lt;15,"Données Nb pers ou RFR manquantes",IF(COUNTA(INDIRECT("TabRFR["&amp;YEAR(H226)&amp;"]"))&lt;&gt;COUNTA(TabRFR[Recherche RFR]),"Data RFR manquantes", IF(V226&lt;=INDEX(TabRFR[[2021]:[2025]],MATCH(BD!U226&amp;"-Très modestes",TabRFR[Recherche RFR],0),MATCH(TEXT(YEAR(BD!H226),"Standard"),TabRFR[[#Headers],[2021]:[2025]],0)),"Très Modeste",IF(V226&lt;=INDEX(TabRFR[[2021]:[2025]],MATCH(BD!U226&amp;"-modestes",TabRFR[Recherche RFR],0),MATCH(TEXT(YEAR(BD!H226),"Standard"),TabRFR[[#Headers],[2021]:[2025]],0)),"Modeste",IF(V226&lt;=INDEX(TabRFR[[2021]:[2025]],MATCH(BD!U226&amp;"-Intermédiaire",TabRFR[Recherche RFR],0),MATCH(TEXT(YEAR(BD!H226),"Standard"),TabRFR[[#Headers],[2021]:[2025]],0)),"Intermédiaire","Supérieur")))))))</f>
        <v>Très Modeste</v>
      </c>
      <c r="X226" s="143"/>
      <c r="Y226" s="143" t="s">
        <v>1078</v>
      </c>
      <c r="Z226" s="143">
        <v>38620</v>
      </c>
      <c r="AA226" s="143" t="s">
        <v>90</v>
      </c>
      <c r="AB226" s="148"/>
      <c r="AC226" s="149"/>
      <c r="AD226" s="143" t="s">
        <v>91</v>
      </c>
      <c r="AE226" s="143" t="s">
        <v>76</v>
      </c>
      <c r="AF226" s="143" t="s">
        <v>76</v>
      </c>
      <c r="AG226" s="143" t="s">
        <v>76</v>
      </c>
      <c r="AH226" s="143" t="s">
        <v>76</v>
      </c>
      <c r="AI226" s="143" t="s">
        <v>92</v>
      </c>
      <c r="AJ226" s="143" t="s">
        <v>93</v>
      </c>
      <c r="AK226" s="143" t="s">
        <v>94</v>
      </c>
      <c r="AL226" s="149" t="s">
        <v>95</v>
      </c>
      <c r="AM226" s="148" t="s">
        <v>96</v>
      </c>
      <c r="AN226" s="143" t="s">
        <v>76</v>
      </c>
      <c r="AO226" s="150" t="s">
        <v>97</v>
      </c>
      <c r="AP226" s="147">
        <v>44517</v>
      </c>
      <c r="AQ226" s="135" t="s">
        <v>3323</v>
      </c>
      <c r="AR226" s="143">
        <v>1991</v>
      </c>
      <c r="AS226" s="143" t="s">
        <v>1955</v>
      </c>
      <c r="AT226" s="143" t="s">
        <v>98</v>
      </c>
      <c r="AU226" s="143" t="s">
        <v>1079</v>
      </c>
      <c r="AV226" s="143" t="s">
        <v>1080</v>
      </c>
      <c r="AW226" s="143">
        <v>10</v>
      </c>
      <c r="AX226" s="143">
        <v>12</v>
      </c>
      <c r="AY226" s="143">
        <v>92.6</v>
      </c>
      <c r="AZ226" s="143">
        <v>1.6999999999999999E-3</v>
      </c>
      <c r="BA226" s="143" t="s">
        <v>101</v>
      </c>
      <c r="BB226" s="143"/>
      <c r="BC226" s="143">
        <f>6260+497+194+158+457+91+189+1897+297+1860+448+225+796</f>
        <v>13369</v>
      </c>
      <c r="BD226" s="143"/>
      <c r="BE226" s="143">
        <f>450+198+1680+390</f>
        <v>2718</v>
      </c>
      <c r="BF226" s="143">
        <f t="shared" si="9"/>
        <v>16087</v>
      </c>
      <c r="BG226" s="151">
        <f t="shared" si="10"/>
        <v>884.78499999999997</v>
      </c>
      <c r="BH226" s="151">
        <f t="shared" si="11"/>
        <v>16971.785</v>
      </c>
      <c r="BI226" s="151">
        <v>16971.78</v>
      </c>
      <c r="BJ226" s="143" t="s">
        <v>102</v>
      </c>
      <c r="BK226" s="143"/>
      <c r="BL226" s="143"/>
      <c r="BM226" s="144" t="s">
        <v>3592</v>
      </c>
      <c r="BN226" s="144" t="s">
        <v>103</v>
      </c>
      <c r="BO226" s="135" t="s">
        <v>155</v>
      </c>
      <c r="BP226" s="143" t="s">
        <v>3583</v>
      </c>
      <c r="BQ226" s="203" t="s">
        <v>144</v>
      </c>
    </row>
    <row r="227" spans="1:69" ht="41.1" customHeight="1">
      <c r="A227" s="206" t="s">
        <v>86</v>
      </c>
      <c r="B227" s="206" t="s">
        <v>1081</v>
      </c>
      <c r="C227" s="143">
        <v>600</v>
      </c>
      <c r="D227" s="135">
        <v>44400</v>
      </c>
      <c r="E227" s="135">
        <v>44405</v>
      </c>
      <c r="F227" s="147">
        <v>44413</v>
      </c>
      <c r="G227" s="135" t="s">
        <v>571</v>
      </c>
      <c r="H227" s="147">
        <v>44418</v>
      </c>
      <c r="I227" s="147">
        <v>44418</v>
      </c>
      <c r="J227" s="147">
        <v>44426</v>
      </c>
      <c r="K227" s="135">
        <v>44482</v>
      </c>
      <c r="L227" s="135">
        <v>44438</v>
      </c>
      <c r="M227" s="135" t="s">
        <v>76</v>
      </c>
      <c r="N227" s="135">
        <v>44491</v>
      </c>
      <c r="O227" s="135">
        <v>44491</v>
      </c>
      <c r="P227" s="135">
        <v>44495</v>
      </c>
      <c r="Q227" s="135"/>
      <c r="R227" s="143"/>
      <c r="S227" s="143"/>
      <c r="T227" s="143"/>
      <c r="U227" s="143">
        <v>4</v>
      </c>
      <c r="V227" s="143">
        <v>54818</v>
      </c>
      <c r="W227" s="143" t="str">
        <f ca="1">IF(H227="",IF(D227="","",IF(U227+V227&lt;15,"Données Nb pers ou RFR manquantes",IF(COUNTA(INDIRECT("TabRFR["&amp;YEAR(D227)&amp;"]"))&lt;&gt;COUNTA(TabRFR[Recherche RFR]),"Data RFR manquantes", IF(V227&lt;=INDEX(TabRFR[[2021]:[2025]],MATCH(BD!U227&amp;"-Très modestes",TabRFR[Recherche RFR],0),MATCH(TEXT(YEAR(BD!D227),"Standard"),TabRFR[[#Headers],[2021]:[2025]],0)),"Très Modeste",IF(V227&lt;=INDEX(TabRFR[[2021]:[2025]],MATCH(BD!U227&amp;"-modestes",TabRFR[Recherche RFR],0),MATCH(TEXT(YEAR(BD!D227),"Standard"),TabRFR[[#Headers],[2021]:[2025]],0)),"Modeste",IF(V227&lt;=INDEX(TabRFR[[2021]:[2025]],MATCH(BD!U227&amp;"-Intermédiaire",TabRFR[Recherche RFR],0),MATCH(TEXT(YEAR(BD!D227),"Standard"),TabRFR[[#Headers],[2021]:[2025]],0)),"Intermédiaire","Supérieur")))))),IF(D227="","",IF(U227+V227&lt;15,"Données Nb pers ou RFR manquantes",IF(COUNTA(INDIRECT("TabRFR["&amp;YEAR(H227)&amp;"]"))&lt;&gt;COUNTA(TabRFR[Recherche RFR]),"Data RFR manquantes", IF(V227&lt;=INDEX(TabRFR[[2021]:[2025]],MATCH(BD!U227&amp;"-Très modestes",TabRFR[Recherche RFR],0),MATCH(TEXT(YEAR(BD!H227),"Standard"),TabRFR[[#Headers],[2021]:[2025]],0)),"Très Modeste",IF(V227&lt;=INDEX(TabRFR[[2021]:[2025]],MATCH(BD!U227&amp;"-modestes",TabRFR[Recherche RFR],0),MATCH(TEXT(YEAR(BD!H227),"Standard"),TabRFR[[#Headers],[2021]:[2025]],0)),"Modeste",IF(V227&lt;=INDEX(TabRFR[[2021]:[2025]],MATCH(BD!U227&amp;"-Intermédiaire",TabRFR[Recherche RFR],0),MATCH(TEXT(YEAR(BD!H227),"Standard"),TabRFR[[#Headers],[2021]:[2025]],0)),"Intermédiaire","Supérieur")))))))</f>
        <v>Intermédiaire</v>
      </c>
      <c r="X227" s="143"/>
      <c r="Y227" s="143" t="s">
        <v>1082</v>
      </c>
      <c r="Z227" s="143">
        <v>38430</v>
      </c>
      <c r="AA227" s="143" t="s">
        <v>119</v>
      </c>
      <c r="AB227" s="148"/>
      <c r="AC227" s="149"/>
      <c r="AD227" s="143" t="s">
        <v>91</v>
      </c>
      <c r="AE227" s="143" t="s">
        <v>76</v>
      </c>
      <c r="AF227" s="143" t="s">
        <v>76</v>
      </c>
      <c r="AG227" s="143" t="s">
        <v>76</v>
      </c>
      <c r="AH227" s="143" t="s">
        <v>76</v>
      </c>
      <c r="AI227" s="143" t="s">
        <v>120</v>
      </c>
      <c r="AJ227" s="143" t="s">
        <v>121</v>
      </c>
      <c r="AK227" s="143" t="s">
        <v>122</v>
      </c>
      <c r="AL227" s="150" t="s">
        <v>123</v>
      </c>
      <c r="AM227" s="148">
        <v>608287337</v>
      </c>
      <c r="AN227" s="143" t="s">
        <v>76</v>
      </c>
      <c r="AO227" s="150" t="s">
        <v>102</v>
      </c>
      <c r="AP227" s="147">
        <v>44417</v>
      </c>
      <c r="AQ227" s="135" t="s">
        <v>3496</v>
      </c>
      <c r="AR227" s="143">
        <v>1996</v>
      </c>
      <c r="AS227" s="143" t="s">
        <v>3413</v>
      </c>
      <c r="AT227" s="135" t="s">
        <v>3446</v>
      </c>
      <c r="AU227" s="143" t="s">
        <v>1045</v>
      </c>
      <c r="AV227" s="143" t="s">
        <v>1046</v>
      </c>
      <c r="AW227" s="143">
        <v>30.5</v>
      </c>
      <c r="AX227" s="143">
        <v>6.5</v>
      </c>
      <c r="AY227" s="143">
        <v>87.8</v>
      </c>
      <c r="AZ227" s="143">
        <v>8.5000000000000006E-2</v>
      </c>
      <c r="BA227" s="143" t="s">
        <v>126</v>
      </c>
      <c r="BB227" s="143"/>
      <c r="BC227" s="143">
        <f>3288+230+132+325+165</f>
        <v>4140</v>
      </c>
      <c r="BD227" s="143"/>
      <c r="BE227" s="143">
        <v>650</v>
      </c>
      <c r="BF227" s="143">
        <f t="shared" si="9"/>
        <v>4790</v>
      </c>
      <c r="BG227" s="151">
        <f t="shared" si="10"/>
        <v>263.45</v>
      </c>
      <c r="BH227" s="151">
        <f t="shared" si="11"/>
        <v>5053.45</v>
      </c>
      <c r="BI227" s="151">
        <v>4790</v>
      </c>
      <c r="BJ227" s="143" t="s">
        <v>102</v>
      </c>
      <c r="BK227" s="143"/>
      <c r="BL227" s="143"/>
      <c r="BM227" s="144" t="s">
        <v>3592</v>
      </c>
      <c r="BN227" s="144" t="s">
        <v>103</v>
      </c>
      <c r="BO227" s="144" t="s">
        <v>143</v>
      </c>
      <c r="BP227" s="144">
        <v>2021</v>
      </c>
      <c r="BQ227" s="203" t="s">
        <v>144</v>
      </c>
    </row>
    <row r="228" spans="1:69" ht="41.1" customHeight="1">
      <c r="A228" s="206" t="s">
        <v>86</v>
      </c>
      <c r="B228" s="206" t="s">
        <v>1083</v>
      </c>
      <c r="C228" s="143">
        <v>1000</v>
      </c>
      <c r="D228" s="135">
        <v>44404</v>
      </c>
      <c r="E228" s="135">
        <v>44405</v>
      </c>
      <c r="F228" s="147">
        <v>44413</v>
      </c>
      <c r="G228" s="135" t="s">
        <v>571</v>
      </c>
      <c r="H228" s="147">
        <v>44426</v>
      </c>
      <c r="I228" s="147">
        <v>44426</v>
      </c>
      <c r="J228" s="147">
        <v>44428</v>
      </c>
      <c r="K228" s="135">
        <v>44545</v>
      </c>
      <c r="L228" s="135">
        <v>44537</v>
      </c>
      <c r="M228" s="135" t="s">
        <v>1084</v>
      </c>
      <c r="N228" s="135">
        <v>44580</v>
      </c>
      <c r="O228" s="135">
        <v>44580</v>
      </c>
      <c r="P228" s="135">
        <v>44581</v>
      </c>
      <c r="Q228" s="135"/>
      <c r="R228" s="143"/>
      <c r="S228" s="143"/>
      <c r="T228" s="143"/>
      <c r="U228" s="143">
        <v>1</v>
      </c>
      <c r="V228" s="143">
        <v>18984</v>
      </c>
      <c r="W228" s="143" t="str">
        <f ca="1">IF(H228="",IF(D228="","",IF(U228+V228&lt;15,"Données Nb pers ou RFR manquantes",IF(COUNTA(INDIRECT("TabRFR["&amp;YEAR(D228)&amp;"]"))&lt;&gt;COUNTA(TabRFR[Recherche RFR]),"Data RFR manquantes", IF(V228&lt;=INDEX(TabRFR[[2021]:[2025]],MATCH(BD!U228&amp;"-Très modestes",TabRFR[Recherche RFR],0),MATCH(TEXT(YEAR(BD!D228),"Standard"),TabRFR[[#Headers],[2021]:[2025]],0)),"Très Modeste",IF(V228&lt;=INDEX(TabRFR[[2021]:[2025]],MATCH(BD!U228&amp;"-modestes",TabRFR[Recherche RFR],0),MATCH(TEXT(YEAR(BD!D228),"Standard"),TabRFR[[#Headers],[2021]:[2025]],0)),"Modeste",IF(V228&lt;=INDEX(TabRFR[[2021]:[2025]],MATCH(BD!U228&amp;"-Intermédiaire",TabRFR[Recherche RFR],0),MATCH(TEXT(YEAR(BD!D228),"Standard"),TabRFR[[#Headers],[2021]:[2025]],0)),"Intermédiaire","Supérieur")))))),IF(D228="","",IF(U228+V228&lt;15,"Données Nb pers ou RFR manquantes",IF(COUNTA(INDIRECT("TabRFR["&amp;YEAR(H228)&amp;"]"))&lt;&gt;COUNTA(TabRFR[Recherche RFR]),"Data RFR manquantes", IF(V228&lt;=INDEX(TabRFR[[2021]:[2025]],MATCH(BD!U228&amp;"-Très modestes",TabRFR[Recherche RFR],0),MATCH(TEXT(YEAR(BD!H228),"Standard"),TabRFR[[#Headers],[2021]:[2025]],0)),"Très Modeste",IF(V228&lt;=INDEX(TabRFR[[2021]:[2025]],MATCH(BD!U228&amp;"-modestes",TabRFR[Recherche RFR],0),MATCH(TEXT(YEAR(BD!H228),"Standard"),TabRFR[[#Headers],[2021]:[2025]],0)),"Modeste",IF(V228&lt;=INDEX(TabRFR[[2021]:[2025]],MATCH(BD!U228&amp;"-Intermédiaire",TabRFR[Recherche RFR],0),MATCH(TEXT(YEAR(BD!H228),"Standard"),TabRFR[[#Headers],[2021]:[2025]],0)),"Intermédiaire","Supérieur")))))))</f>
        <v>Modeste</v>
      </c>
      <c r="X228" s="143"/>
      <c r="Y228" s="143" t="s">
        <v>1085</v>
      </c>
      <c r="Z228" s="143">
        <v>38500</v>
      </c>
      <c r="AA228" s="143" t="s">
        <v>134</v>
      </c>
      <c r="AB228" s="148"/>
      <c r="AC228" s="149"/>
      <c r="AD228" s="143" t="s">
        <v>91</v>
      </c>
      <c r="AE228" s="143" t="s">
        <v>76</v>
      </c>
      <c r="AF228" s="143" t="s">
        <v>76</v>
      </c>
      <c r="AG228" s="143" t="s">
        <v>76</v>
      </c>
      <c r="AH228" s="143" t="s">
        <v>76</v>
      </c>
      <c r="AI228" s="135" t="s">
        <v>872</v>
      </c>
      <c r="AJ228" s="143" t="s">
        <v>873</v>
      </c>
      <c r="AK228" s="143" t="s">
        <v>874</v>
      </c>
      <c r="AL228" s="150" t="s">
        <v>875</v>
      </c>
      <c r="AM228" s="148">
        <v>676354364</v>
      </c>
      <c r="AN228" s="143" t="s">
        <v>76</v>
      </c>
      <c r="AO228" s="150" t="s">
        <v>102</v>
      </c>
      <c r="AP228" s="147">
        <v>44860</v>
      </c>
      <c r="AQ228" s="135" t="s">
        <v>3496</v>
      </c>
      <c r="AR228" s="153">
        <v>1990</v>
      </c>
      <c r="AS228" s="143" t="s">
        <v>3413</v>
      </c>
      <c r="AT228" s="135" t="s">
        <v>3446</v>
      </c>
      <c r="AU228" s="143" t="s">
        <v>899</v>
      </c>
      <c r="AV228" s="143" t="s">
        <v>1086</v>
      </c>
      <c r="AW228" s="143">
        <v>38</v>
      </c>
      <c r="AX228" s="143">
        <v>6</v>
      </c>
      <c r="AY228" s="143">
        <v>81</v>
      </c>
      <c r="AZ228" s="143">
        <v>0.05</v>
      </c>
      <c r="BA228" s="143" t="s">
        <v>126</v>
      </c>
      <c r="BB228" s="143"/>
      <c r="BC228" s="143">
        <f>2935+175+1541.3+572.09+252.58+82.45</f>
        <v>5558.42</v>
      </c>
      <c r="BD228" s="143"/>
      <c r="BE228" s="143">
        <v>635</v>
      </c>
      <c r="BF228" s="143">
        <f t="shared" si="9"/>
        <v>6193.42</v>
      </c>
      <c r="BG228" s="151">
        <f t="shared" si="10"/>
        <v>340.63810000000001</v>
      </c>
      <c r="BH228" s="151">
        <f t="shared" si="11"/>
        <v>6534.0581000000002</v>
      </c>
      <c r="BI228" s="151">
        <v>6193.42</v>
      </c>
      <c r="BJ228" s="143" t="s">
        <v>115</v>
      </c>
      <c r="BK228" s="143"/>
      <c r="BL228" s="143"/>
      <c r="BM228" s="144" t="s">
        <v>3592</v>
      </c>
      <c r="BN228" s="144" t="s">
        <v>103</v>
      </c>
      <c r="BO228" s="135" t="s">
        <v>155</v>
      </c>
      <c r="BP228" s="144">
        <v>2021</v>
      </c>
      <c r="BQ228" s="203" t="s">
        <v>3274</v>
      </c>
    </row>
    <row r="229" spans="1:69" ht="41.1" customHeight="1">
      <c r="A229" s="206" t="s">
        <v>86</v>
      </c>
      <c r="B229" s="206" t="s">
        <v>1087</v>
      </c>
      <c r="C229" s="143">
        <v>1000</v>
      </c>
      <c r="D229" s="135">
        <v>44406</v>
      </c>
      <c r="E229" s="135">
        <v>44407</v>
      </c>
      <c r="F229" s="147" t="s">
        <v>76</v>
      </c>
      <c r="G229" s="135" t="s">
        <v>76</v>
      </c>
      <c r="H229" s="147">
        <v>44413</v>
      </c>
      <c r="I229" s="147">
        <v>44413</v>
      </c>
      <c r="J229" s="147">
        <v>44417</v>
      </c>
      <c r="K229" s="135">
        <v>44821</v>
      </c>
      <c r="L229" s="135">
        <v>44797</v>
      </c>
      <c r="M229" s="135" t="s">
        <v>1088</v>
      </c>
      <c r="N229" s="135">
        <v>44873</v>
      </c>
      <c r="O229" s="135">
        <v>44873</v>
      </c>
      <c r="P229" s="135">
        <v>44879</v>
      </c>
      <c r="Q229" s="135"/>
      <c r="R229" s="143"/>
      <c r="S229" s="143"/>
      <c r="T229" s="143"/>
      <c r="U229" s="143">
        <v>1</v>
      </c>
      <c r="V229" s="143">
        <v>10324</v>
      </c>
      <c r="W229" s="143" t="str">
        <f ca="1">IF(H229="",IF(D229="","",IF(U229+V229&lt;15,"Données Nb pers ou RFR manquantes",IF(COUNTA(INDIRECT("TabRFR["&amp;YEAR(D229)&amp;"]"))&lt;&gt;COUNTA(TabRFR[Recherche RFR]),"Data RFR manquantes", IF(V229&lt;=INDEX(TabRFR[[2021]:[2025]],MATCH(BD!U229&amp;"-Très modestes",TabRFR[Recherche RFR],0),MATCH(TEXT(YEAR(BD!D229),"Standard"),TabRFR[[#Headers],[2021]:[2025]],0)),"Très Modeste",IF(V229&lt;=INDEX(TabRFR[[2021]:[2025]],MATCH(BD!U229&amp;"-modestes",TabRFR[Recherche RFR],0),MATCH(TEXT(YEAR(BD!D229),"Standard"),TabRFR[[#Headers],[2021]:[2025]],0)),"Modeste",IF(V229&lt;=INDEX(TabRFR[[2021]:[2025]],MATCH(BD!U229&amp;"-Intermédiaire",TabRFR[Recherche RFR],0),MATCH(TEXT(YEAR(BD!D229),"Standard"),TabRFR[[#Headers],[2021]:[2025]],0)),"Intermédiaire","Supérieur")))))),IF(D229="","",IF(U229+V229&lt;15,"Données Nb pers ou RFR manquantes",IF(COUNTA(INDIRECT("TabRFR["&amp;YEAR(H229)&amp;"]"))&lt;&gt;COUNTA(TabRFR[Recherche RFR]),"Data RFR manquantes", IF(V229&lt;=INDEX(TabRFR[[2021]:[2025]],MATCH(BD!U229&amp;"-Très modestes",TabRFR[Recherche RFR],0),MATCH(TEXT(YEAR(BD!H229),"Standard"),TabRFR[[#Headers],[2021]:[2025]],0)),"Très Modeste",IF(V229&lt;=INDEX(TabRFR[[2021]:[2025]],MATCH(BD!U229&amp;"-modestes",TabRFR[Recherche RFR],0),MATCH(TEXT(YEAR(BD!H229),"Standard"),TabRFR[[#Headers],[2021]:[2025]],0)),"Modeste",IF(V229&lt;=INDEX(TabRFR[[2021]:[2025]],MATCH(BD!U229&amp;"-Intermédiaire",TabRFR[Recherche RFR],0),MATCH(TEXT(YEAR(BD!H229),"Standard"),TabRFR[[#Headers],[2021]:[2025]],0)),"Intermédiaire","Supérieur")))))))</f>
        <v>Très Modeste</v>
      </c>
      <c r="X229" s="143"/>
      <c r="Y229" s="143" t="s">
        <v>1089</v>
      </c>
      <c r="Z229" s="143">
        <v>38140</v>
      </c>
      <c r="AA229" s="143" t="s">
        <v>184</v>
      </c>
      <c r="AB229" s="148"/>
      <c r="AC229" s="149"/>
      <c r="AD229" s="143" t="s">
        <v>91</v>
      </c>
      <c r="AE229" s="143" t="s">
        <v>76</v>
      </c>
      <c r="AF229" s="143" t="s">
        <v>76</v>
      </c>
      <c r="AG229" s="143" t="s">
        <v>76</v>
      </c>
      <c r="AH229" s="143" t="s">
        <v>76</v>
      </c>
      <c r="AI229" s="143" t="s">
        <v>201</v>
      </c>
      <c r="AJ229" s="143" t="s">
        <v>202</v>
      </c>
      <c r="AK229" s="143" t="s">
        <v>203</v>
      </c>
      <c r="AL229" s="150" t="s">
        <v>204</v>
      </c>
      <c r="AM229" s="148">
        <v>476065876</v>
      </c>
      <c r="AN229" s="143" t="s">
        <v>76</v>
      </c>
      <c r="AO229" s="150" t="s">
        <v>102</v>
      </c>
      <c r="AP229" s="147">
        <v>44398</v>
      </c>
      <c r="AQ229" s="143" t="s">
        <v>3413</v>
      </c>
      <c r="AR229" s="143">
        <v>1950</v>
      </c>
      <c r="AS229" s="143" t="s">
        <v>3413</v>
      </c>
      <c r="AT229" s="143" t="s">
        <v>98</v>
      </c>
      <c r="AU229" s="143" t="s">
        <v>99</v>
      </c>
      <c r="AV229" s="143" t="s">
        <v>1090</v>
      </c>
      <c r="AW229" s="143">
        <v>8</v>
      </c>
      <c r="AX229" s="143">
        <v>6</v>
      </c>
      <c r="AY229" s="143">
        <v>94</v>
      </c>
      <c r="AZ229" s="143">
        <v>8.9999999999999993E-3</v>
      </c>
      <c r="BA229" s="143" t="s">
        <v>101</v>
      </c>
      <c r="BB229" s="143"/>
      <c r="BC229" s="143">
        <f>2874.3+1921.7+138.6</f>
        <v>4934.6000000000004</v>
      </c>
      <c r="BD229" s="143"/>
      <c r="BE229" s="143">
        <v>880</v>
      </c>
      <c r="BF229" s="143">
        <f t="shared" si="9"/>
        <v>5814.6</v>
      </c>
      <c r="BG229" s="151">
        <f t="shared" si="10"/>
        <v>319.803</v>
      </c>
      <c r="BH229" s="151">
        <f t="shared" si="11"/>
        <v>6134.4030000000002</v>
      </c>
      <c r="BI229" s="151">
        <v>5988.18</v>
      </c>
      <c r="BJ229" s="143" t="s">
        <v>102</v>
      </c>
      <c r="BK229" s="143"/>
      <c r="BL229" s="143"/>
      <c r="BM229" s="144" t="s">
        <v>3592</v>
      </c>
      <c r="BN229" s="144" t="s">
        <v>103</v>
      </c>
      <c r="BO229" s="135" t="s">
        <v>155</v>
      </c>
      <c r="BP229" s="143" t="s">
        <v>3583</v>
      </c>
      <c r="BQ229" s="203" t="s">
        <v>144</v>
      </c>
    </row>
    <row r="230" spans="1:69" ht="41.1" customHeight="1">
      <c r="A230" s="206" t="s">
        <v>86</v>
      </c>
      <c r="B230" s="206" t="s">
        <v>1091</v>
      </c>
      <c r="C230" s="143">
        <v>600</v>
      </c>
      <c r="D230" s="135">
        <v>44407</v>
      </c>
      <c r="E230" s="135">
        <v>44410</v>
      </c>
      <c r="F230" s="147" t="s">
        <v>76</v>
      </c>
      <c r="G230" s="135" t="s">
        <v>76</v>
      </c>
      <c r="H230" s="147">
        <v>44413</v>
      </c>
      <c r="I230" s="147">
        <v>44413</v>
      </c>
      <c r="J230" s="147">
        <v>44417</v>
      </c>
      <c r="K230" s="135">
        <v>44509</v>
      </c>
      <c r="L230" s="135">
        <v>44494</v>
      </c>
      <c r="M230" s="135" t="s">
        <v>76</v>
      </c>
      <c r="N230" s="135">
        <v>44512</v>
      </c>
      <c r="O230" s="135">
        <v>44512</v>
      </c>
      <c r="P230" s="135">
        <v>44518</v>
      </c>
      <c r="Q230" s="135"/>
      <c r="R230" s="143"/>
      <c r="S230" s="143"/>
      <c r="T230" s="143"/>
      <c r="U230" s="143">
        <v>2</v>
      </c>
      <c r="V230" s="143">
        <v>36298</v>
      </c>
      <c r="W230" s="143" t="str">
        <f ca="1">IF(H230="",IF(D230="","",IF(U230+V230&lt;15,"Données Nb pers ou RFR manquantes",IF(COUNTA(INDIRECT("TabRFR["&amp;YEAR(D230)&amp;"]"))&lt;&gt;COUNTA(TabRFR[Recherche RFR]),"Data RFR manquantes", IF(V230&lt;=INDEX(TabRFR[[2021]:[2025]],MATCH(BD!U230&amp;"-Très modestes",TabRFR[Recherche RFR],0),MATCH(TEXT(YEAR(BD!D230),"Standard"),TabRFR[[#Headers],[2021]:[2025]],0)),"Très Modeste",IF(V230&lt;=INDEX(TabRFR[[2021]:[2025]],MATCH(BD!U230&amp;"-modestes",TabRFR[Recherche RFR],0),MATCH(TEXT(YEAR(BD!D230),"Standard"),TabRFR[[#Headers],[2021]:[2025]],0)),"Modeste",IF(V230&lt;=INDEX(TabRFR[[2021]:[2025]],MATCH(BD!U230&amp;"-Intermédiaire",TabRFR[Recherche RFR],0),MATCH(TEXT(YEAR(BD!D230),"Standard"),TabRFR[[#Headers],[2021]:[2025]],0)),"Intermédiaire","Supérieur")))))),IF(D230="","",IF(U230+V230&lt;15,"Données Nb pers ou RFR manquantes",IF(COUNTA(INDIRECT("TabRFR["&amp;YEAR(H230)&amp;"]"))&lt;&gt;COUNTA(TabRFR[Recherche RFR]),"Data RFR manquantes", IF(V230&lt;=INDEX(TabRFR[[2021]:[2025]],MATCH(BD!U230&amp;"-Très modestes",TabRFR[Recherche RFR],0),MATCH(TEXT(YEAR(BD!H230),"Standard"),TabRFR[[#Headers],[2021]:[2025]],0)),"Très Modeste",IF(V230&lt;=INDEX(TabRFR[[2021]:[2025]],MATCH(BD!U230&amp;"-modestes",TabRFR[Recherche RFR],0),MATCH(TEXT(YEAR(BD!H230),"Standard"),TabRFR[[#Headers],[2021]:[2025]],0)),"Modeste",IF(V230&lt;=INDEX(TabRFR[[2021]:[2025]],MATCH(BD!U230&amp;"-Intermédiaire",TabRFR[Recherche RFR],0),MATCH(TEXT(YEAR(BD!H230),"Standard"),TabRFR[[#Headers],[2021]:[2025]],0)),"Intermédiaire","Supérieur")))))))</f>
        <v>Intermédiaire</v>
      </c>
      <c r="X230" s="143"/>
      <c r="Y230" s="143" t="s">
        <v>1092</v>
      </c>
      <c r="Z230" s="143">
        <v>38430</v>
      </c>
      <c r="AA230" s="143" t="s">
        <v>351</v>
      </c>
      <c r="AB230" s="148"/>
      <c r="AC230" s="149"/>
      <c r="AD230" s="143" t="s">
        <v>91</v>
      </c>
      <c r="AE230" s="143" t="s">
        <v>76</v>
      </c>
      <c r="AF230" s="143" t="s">
        <v>76</v>
      </c>
      <c r="AG230" s="143" t="s">
        <v>76</v>
      </c>
      <c r="AH230" s="143" t="s">
        <v>76</v>
      </c>
      <c r="AI230" s="143" t="s">
        <v>951</v>
      </c>
      <c r="AJ230" s="143" t="s">
        <v>865</v>
      </c>
      <c r="AK230" s="143" t="s">
        <v>952</v>
      </c>
      <c r="AL230" s="150" t="s">
        <v>953</v>
      </c>
      <c r="AM230" s="148">
        <v>662398956</v>
      </c>
      <c r="AN230" s="143" t="s">
        <v>76</v>
      </c>
      <c r="AO230" s="150" t="s">
        <v>102</v>
      </c>
      <c r="AP230" s="147">
        <v>44658</v>
      </c>
      <c r="AQ230" s="143" t="s">
        <v>3413</v>
      </c>
      <c r="AR230" s="143">
        <v>1999</v>
      </c>
      <c r="AS230" s="143" t="s">
        <v>3413</v>
      </c>
      <c r="AT230" s="135" t="s">
        <v>3446</v>
      </c>
      <c r="AU230" s="143" t="s">
        <v>319</v>
      </c>
      <c r="AV230" s="143" t="s">
        <v>1093</v>
      </c>
      <c r="AW230" s="143">
        <v>40</v>
      </c>
      <c r="AX230" s="143">
        <v>6</v>
      </c>
      <c r="AY230" s="143">
        <v>83.6</v>
      </c>
      <c r="AZ230" s="143">
        <v>7.0000000000000007E-2</v>
      </c>
      <c r="BA230" s="143" t="s">
        <v>101</v>
      </c>
      <c r="BB230" s="143"/>
      <c r="BC230" s="143">
        <f>2666.67+300+463.3+101.16+175+248.28+78.58+20</f>
        <v>4052.9900000000002</v>
      </c>
      <c r="BD230" s="143"/>
      <c r="BE230" s="143">
        <f>473.93+47.39</f>
        <v>521.32000000000005</v>
      </c>
      <c r="BF230" s="143">
        <f t="shared" si="9"/>
        <v>4574.3100000000004</v>
      </c>
      <c r="BG230" s="151">
        <f t="shared" si="10"/>
        <v>251.58705000000003</v>
      </c>
      <c r="BH230" s="151">
        <f t="shared" si="11"/>
        <v>4825.8970500000005</v>
      </c>
      <c r="BI230" s="151">
        <v>4667.6499999999996</v>
      </c>
      <c r="BJ230" s="143" t="s">
        <v>115</v>
      </c>
      <c r="BK230" s="143"/>
      <c r="BL230" s="143"/>
      <c r="BM230" s="144" t="s">
        <v>3592</v>
      </c>
      <c r="BN230" s="144" t="s">
        <v>103</v>
      </c>
      <c r="BO230" s="144" t="s">
        <v>143</v>
      </c>
      <c r="BP230" s="144">
        <v>2021</v>
      </c>
      <c r="BQ230" s="203" t="s">
        <v>3274</v>
      </c>
    </row>
    <row r="231" spans="1:69" ht="41.1" customHeight="1">
      <c r="A231" s="206" t="s">
        <v>86</v>
      </c>
      <c r="B231" s="206" t="s">
        <v>1094</v>
      </c>
      <c r="C231" s="143">
        <v>1000</v>
      </c>
      <c r="D231" s="135">
        <v>44412</v>
      </c>
      <c r="E231" s="135">
        <v>44413</v>
      </c>
      <c r="F231" s="147">
        <v>44413</v>
      </c>
      <c r="G231" s="135" t="s">
        <v>379</v>
      </c>
      <c r="H231" s="147">
        <v>44462</v>
      </c>
      <c r="I231" s="147">
        <v>44462</v>
      </c>
      <c r="J231" s="147">
        <v>44462</v>
      </c>
      <c r="K231" s="135">
        <v>44644</v>
      </c>
      <c r="L231" s="135">
        <v>44595</v>
      </c>
      <c r="M231" s="135"/>
      <c r="N231" s="135">
        <v>44658</v>
      </c>
      <c r="O231" s="135">
        <v>44658</v>
      </c>
      <c r="P231" s="135">
        <v>44662</v>
      </c>
      <c r="Q231" s="135"/>
      <c r="R231" s="143"/>
      <c r="S231" s="143"/>
      <c r="T231" s="143"/>
      <c r="U231" s="143">
        <v>2</v>
      </c>
      <c r="V231" s="143">
        <v>25702</v>
      </c>
      <c r="W231" s="143" t="str">
        <f ca="1">IF(H231="",IF(D231="","",IF(U231+V231&lt;15,"Données Nb pers ou RFR manquantes",IF(COUNTA(INDIRECT("TabRFR["&amp;YEAR(D231)&amp;"]"))&lt;&gt;COUNTA(TabRFR[Recherche RFR]),"Data RFR manquantes", IF(V231&lt;=INDEX(TabRFR[[2021]:[2025]],MATCH(BD!U231&amp;"-Très modestes",TabRFR[Recherche RFR],0),MATCH(TEXT(YEAR(BD!D231),"Standard"),TabRFR[[#Headers],[2021]:[2025]],0)),"Très Modeste",IF(V231&lt;=INDEX(TabRFR[[2021]:[2025]],MATCH(BD!U231&amp;"-modestes",TabRFR[Recherche RFR],0),MATCH(TEXT(YEAR(BD!D231),"Standard"),TabRFR[[#Headers],[2021]:[2025]],0)),"Modeste",IF(V231&lt;=INDEX(TabRFR[[2021]:[2025]],MATCH(BD!U231&amp;"-Intermédiaire",TabRFR[Recherche RFR],0),MATCH(TEXT(YEAR(BD!D231),"Standard"),TabRFR[[#Headers],[2021]:[2025]],0)),"Intermédiaire","Supérieur")))))),IF(D231="","",IF(U231+V231&lt;15,"Données Nb pers ou RFR manquantes",IF(COUNTA(INDIRECT("TabRFR["&amp;YEAR(H231)&amp;"]"))&lt;&gt;COUNTA(TabRFR[Recherche RFR]),"Data RFR manquantes", IF(V231&lt;=INDEX(TabRFR[[2021]:[2025]],MATCH(BD!U231&amp;"-Très modestes",TabRFR[Recherche RFR],0),MATCH(TEXT(YEAR(BD!H231),"Standard"),TabRFR[[#Headers],[2021]:[2025]],0)),"Très Modeste",IF(V231&lt;=INDEX(TabRFR[[2021]:[2025]],MATCH(BD!U231&amp;"-modestes",TabRFR[Recherche RFR],0),MATCH(TEXT(YEAR(BD!H231),"Standard"),TabRFR[[#Headers],[2021]:[2025]],0)),"Modeste",IF(V231&lt;=INDEX(TabRFR[[2021]:[2025]],MATCH(BD!U231&amp;"-Intermédiaire",TabRFR[Recherche RFR],0),MATCH(TEXT(YEAR(BD!H231),"Standard"),TabRFR[[#Headers],[2021]:[2025]],0)),"Intermédiaire","Supérieur")))))))</f>
        <v>Modeste</v>
      </c>
      <c r="X231" s="143"/>
      <c r="Y231" s="143" t="s">
        <v>1095</v>
      </c>
      <c r="Z231" s="143">
        <v>38430</v>
      </c>
      <c r="AA231" s="143" t="s">
        <v>119</v>
      </c>
      <c r="AB231" s="148"/>
      <c r="AC231" s="149"/>
      <c r="AD231" s="143" t="s">
        <v>91</v>
      </c>
      <c r="AE231" s="143" t="s">
        <v>76</v>
      </c>
      <c r="AF231" s="143" t="s">
        <v>76</v>
      </c>
      <c r="AG231" s="143" t="s">
        <v>76</v>
      </c>
      <c r="AH231" s="143" t="s">
        <v>76</v>
      </c>
      <c r="AI231" s="135" t="s">
        <v>285</v>
      </c>
      <c r="AJ231" s="143" t="s">
        <v>108</v>
      </c>
      <c r="AK231" s="143" t="s">
        <v>286</v>
      </c>
      <c r="AL231" s="150" t="s">
        <v>287</v>
      </c>
      <c r="AM231" s="148">
        <v>476069938</v>
      </c>
      <c r="AN231" s="143" t="s">
        <v>76</v>
      </c>
      <c r="AO231" s="150" t="s">
        <v>102</v>
      </c>
      <c r="AP231" s="147">
        <v>44457</v>
      </c>
      <c r="AQ231" s="135" t="s">
        <v>3496</v>
      </c>
      <c r="AR231" s="143">
        <v>1990</v>
      </c>
      <c r="AS231" s="143" t="s">
        <v>3413</v>
      </c>
      <c r="AT231" s="135" t="s">
        <v>3446</v>
      </c>
      <c r="AU231" s="143" t="s">
        <v>532</v>
      </c>
      <c r="AV231" s="143" t="s">
        <v>762</v>
      </c>
      <c r="AW231" s="143">
        <v>40</v>
      </c>
      <c r="AX231" s="143">
        <v>6</v>
      </c>
      <c r="AY231" s="143">
        <v>83</v>
      </c>
      <c r="AZ231" s="143">
        <v>7.0000000000000007E-2</v>
      </c>
      <c r="BA231" s="143" t="s">
        <v>101</v>
      </c>
      <c r="BB231" s="143"/>
      <c r="BC231" s="143">
        <f>550+250+2790+150+89+98+207</f>
        <v>4134</v>
      </c>
      <c r="BD231" s="143"/>
      <c r="BE231" s="143">
        <f>690+450+300</f>
        <v>1440</v>
      </c>
      <c r="BF231" s="143">
        <f t="shared" si="9"/>
        <v>5574</v>
      </c>
      <c r="BG231" s="143">
        <f t="shared" si="10"/>
        <v>306.57</v>
      </c>
      <c r="BH231" s="143">
        <f t="shared" si="11"/>
        <v>5880.57</v>
      </c>
      <c r="BI231" s="151">
        <v>5880.58</v>
      </c>
      <c r="BJ231" s="143" t="s">
        <v>115</v>
      </c>
      <c r="BK231" s="143"/>
      <c r="BL231" s="143"/>
      <c r="BM231" s="144" t="s">
        <v>3592</v>
      </c>
      <c r="BN231" s="144" t="s">
        <v>103</v>
      </c>
      <c r="BO231" s="135" t="s">
        <v>155</v>
      </c>
      <c r="BP231" s="144">
        <v>2021</v>
      </c>
      <c r="BQ231" s="203" t="s">
        <v>3274</v>
      </c>
    </row>
    <row r="232" spans="1:69" ht="41.1" customHeight="1">
      <c r="A232" s="206" t="s">
        <v>86</v>
      </c>
      <c r="B232" s="206" t="s">
        <v>1096</v>
      </c>
      <c r="C232" s="143">
        <v>600</v>
      </c>
      <c r="D232" s="135">
        <v>44418</v>
      </c>
      <c r="E232" s="135">
        <v>44420</v>
      </c>
      <c r="F232" s="147">
        <v>44420</v>
      </c>
      <c r="G232" s="135" t="s">
        <v>1097</v>
      </c>
      <c r="H232" s="147">
        <v>44426</v>
      </c>
      <c r="I232" s="147">
        <v>44426</v>
      </c>
      <c r="J232" s="147">
        <v>44428</v>
      </c>
      <c r="K232" s="135">
        <v>44494</v>
      </c>
      <c r="L232" s="135">
        <v>44453</v>
      </c>
      <c r="M232" s="135" t="s">
        <v>76</v>
      </c>
      <c r="N232" s="135">
        <v>44497</v>
      </c>
      <c r="O232" s="135">
        <v>44497</v>
      </c>
      <c r="P232" s="135">
        <v>44498</v>
      </c>
      <c r="Q232" s="135"/>
      <c r="R232" s="143"/>
      <c r="S232" s="143"/>
      <c r="T232" s="143"/>
      <c r="U232" s="143">
        <v>1</v>
      </c>
      <c r="V232" s="143">
        <v>37749</v>
      </c>
      <c r="W232" s="143" t="str">
        <f ca="1">IF(H232="",IF(D232="","",IF(U232+V232&lt;15,"Données Nb pers ou RFR manquantes",IF(COUNTA(INDIRECT("TabRFR["&amp;YEAR(D232)&amp;"]"))&lt;&gt;COUNTA(TabRFR[Recherche RFR]),"Data RFR manquantes", IF(V232&lt;=INDEX(TabRFR[[2021]:[2025]],MATCH(BD!U232&amp;"-Très modestes",TabRFR[Recherche RFR],0),MATCH(TEXT(YEAR(BD!D232),"Standard"),TabRFR[[#Headers],[2021]:[2025]],0)),"Très Modeste",IF(V232&lt;=INDEX(TabRFR[[2021]:[2025]],MATCH(BD!U232&amp;"-modestes",TabRFR[Recherche RFR],0),MATCH(TEXT(YEAR(BD!D232),"Standard"),TabRFR[[#Headers],[2021]:[2025]],0)),"Modeste",IF(V232&lt;=INDEX(TabRFR[[2021]:[2025]],MATCH(BD!U232&amp;"-Intermédiaire",TabRFR[Recherche RFR],0),MATCH(TEXT(YEAR(BD!D232),"Standard"),TabRFR[[#Headers],[2021]:[2025]],0)),"Intermédiaire","Supérieur")))))),IF(D232="","",IF(U232+V232&lt;15,"Données Nb pers ou RFR manquantes",IF(COUNTA(INDIRECT("TabRFR["&amp;YEAR(H232)&amp;"]"))&lt;&gt;COUNTA(TabRFR[Recherche RFR]),"Data RFR manquantes", IF(V232&lt;=INDEX(TabRFR[[2021]:[2025]],MATCH(BD!U232&amp;"-Très modestes",TabRFR[Recherche RFR],0),MATCH(TEXT(YEAR(BD!H232),"Standard"),TabRFR[[#Headers],[2021]:[2025]],0)),"Très Modeste",IF(V232&lt;=INDEX(TabRFR[[2021]:[2025]],MATCH(BD!U232&amp;"-modestes",TabRFR[Recherche RFR],0),MATCH(TEXT(YEAR(BD!H232),"Standard"),TabRFR[[#Headers],[2021]:[2025]],0)),"Modeste",IF(V232&lt;=INDEX(TabRFR[[2021]:[2025]],MATCH(BD!U232&amp;"-Intermédiaire",TabRFR[Recherche RFR],0),MATCH(TEXT(YEAR(BD!H232),"Standard"),TabRFR[[#Headers],[2021]:[2025]],0)),"Intermédiaire","Supérieur")))))))</f>
        <v>Supérieur</v>
      </c>
      <c r="X232" s="143"/>
      <c r="Y232" s="143" t="s">
        <v>626</v>
      </c>
      <c r="Z232" s="143">
        <v>38500</v>
      </c>
      <c r="AA232" s="143" t="s">
        <v>108</v>
      </c>
      <c r="AB232" s="148"/>
      <c r="AC232" s="149"/>
      <c r="AD232" s="143" t="s">
        <v>91</v>
      </c>
      <c r="AE232" s="143" t="s">
        <v>76</v>
      </c>
      <c r="AF232" s="143" t="s">
        <v>76</v>
      </c>
      <c r="AG232" s="143" t="s">
        <v>76</v>
      </c>
      <c r="AH232" s="143" t="s">
        <v>76</v>
      </c>
      <c r="AI232" s="143" t="s">
        <v>905</v>
      </c>
      <c r="AJ232" s="143" t="s">
        <v>136</v>
      </c>
      <c r="AK232" s="143" t="s">
        <v>906</v>
      </c>
      <c r="AL232" s="150" t="s">
        <v>907</v>
      </c>
      <c r="AM232" s="148">
        <v>438920220</v>
      </c>
      <c r="AN232" s="143" t="s">
        <v>76</v>
      </c>
      <c r="AO232" s="150" t="s">
        <v>102</v>
      </c>
      <c r="AP232" s="147">
        <v>44668</v>
      </c>
      <c r="AQ232" s="143" t="s">
        <v>3413</v>
      </c>
      <c r="AR232" s="143" t="s">
        <v>172</v>
      </c>
      <c r="AS232" s="143" t="s">
        <v>3413</v>
      </c>
      <c r="AT232" s="143" t="s">
        <v>98</v>
      </c>
      <c r="AU232" s="143" t="s">
        <v>369</v>
      </c>
      <c r="AV232" s="143" t="s">
        <v>1098</v>
      </c>
      <c r="AW232" s="143">
        <v>16</v>
      </c>
      <c r="AX232" s="143">
        <v>9.1</v>
      </c>
      <c r="AY232" s="143">
        <v>91.8</v>
      </c>
      <c r="AZ232" s="143">
        <v>4.0000000000000001E-3</v>
      </c>
      <c r="BA232" s="143" t="s">
        <v>101</v>
      </c>
      <c r="BB232" s="143"/>
      <c r="BC232" s="143">
        <f>931+4213+308</f>
        <v>5452</v>
      </c>
      <c r="BD232" s="143"/>
      <c r="BE232" s="143">
        <f>699+112+128+48+1.67</f>
        <v>988.67</v>
      </c>
      <c r="BF232" s="143">
        <f t="shared" si="9"/>
        <v>6440.67</v>
      </c>
      <c r="BG232" s="151">
        <f t="shared" si="10"/>
        <v>354.23685</v>
      </c>
      <c r="BH232" s="151">
        <f t="shared" si="11"/>
        <v>6794.9068500000003</v>
      </c>
      <c r="BI232" s="151">
        <v>5750</v>
      </c>
      <c r="BJ232" s="143" t="s">
        <v>115</v>
      </c>
      <c r="BK232" s="143"/>
      <c r="BL232" s="143"/>
      <c r="BM232" s="144" t="s">
        <v>3592</v>
      </c>
      <c r="BN232" s="144" t="s">
        <v>103</v>
      </c>
      <c r="BO232" s="144" t="s">
        <v>143</v>
      </c>
      <c r="BP232" s="143" t="s">
        <v>3583</v>
      </c>
      <c r="BQ232" s="203" t="s">
        <v>3274</v>
      </c>
    </row>
    <row r="233" spans="1:69" ht="41.1" customHeight="1">
      <c r="A233" s="206" t="s">
        <v>86</v>
      </c>
      <c r="B233" s="206" t="s">
        <v>1099</v>
      </c>
      <c r="C233" s="143">
        <v>600</v>
      </c>
      <c r="D233" s="135">
        <v>44418</v>
      </c>
      <c r="E233" s="135">
        <v>44420</v>
      </c>
      <c r="F233" s="147" t="s">
        <v>76</v>
      </c>
      <c r="G233" s="135" t="s">
        <v>76</v>
      </c>
      <c r="H233" s="147">
        <v>44424</v>
      </c>
      <c r="I233" s="147">
        <v>44424</v>
      </c>
      <c r="J233" s="147">
        <v>44428</v>
      </c>
      <c r="K233" s="135">
        <v>44516</v>
      </c>
      <c r="L233" s="135">
        <v>44510</v>
      </c>
      <c r="M233" s="135" t="s">
        <v>76</v>
      </c>
      <c r="N233" s="135">
        <v>44525</v>
      </c>
      <c r="O233" s="135">
        <v>44525</v>
      </c>
      <c r="P233" s="135">
        <v>44539</v>
      </c>
      <c r="Q233" s="135"/>
      <c r="R233" s="143"/>
      <c r="S233" s="143"/>
      <c r="T233" s="143"/>
      <c r="U233" s="143">
        <v>3</v>
      </c>
      <c r="V233" s="143">
        <v>42336</v>
      </c>
      <c r="W233" s="143" t="str">
        <f ca="1">IF(H233="",IF(D233="","",IF(U233+V233&lt;15,"Données Nb pers ou RFR manquantes",IF(COUNTA(INDIRECT("TabRFR["&amp;YEAR(D233)&amp;"]"))&lt;&gt;COUNTA(TabRFR[Recherche RFR]),"Data RFR manquantes", IF(V233&lt;=INDEX(TabRFR[[2021]:[2025]],MATCH(BD!U233&amp;"-Très modestes",TabRFR[Recherche RFR],0),MATCH(TEXT(YEAR(BD!D233),"Standard"),TabRFR[[#Headers],[2021]:[2025]],0)),"Très Modeste",IF(V233&lt;=INDEX(TabRFR[[2021]:[2025]],MATCH(BD!U233&amp;"-modestes",TabRFR[Recherche RFR],0),MATCH(TEXT(YEAR(BD!D233),"Standard"),TabRFR[[#Headers],[2021]:[2025]],0)),"Modeste",IF(V233&lt;=INDEX(TabRFR[[2021]:[2025]],MATCH(BD!U233&amp;"-Intermédiaire",TabRFR[Recherche RFR],0),MATCH(TEXT(YEAR(BD!D233),"Standard"),TabRFR[[#Headers],[2021]:[2025]],0)),"Intermédiaire","Supérieur")))))),IF(D233="","",IF(U233+V233&lt;15,"Données Nb pers ou RFR manquantes",IF(COUNTA(INDIRECT("TabRFR["&amp;YEAR(H233)&amp;"]"))&lt;&gt;COUNTA(TabRFR[Recherche RFR]),"Data RFR manquantes", IF(V233&lt;=INDEX(TabRFR[[2021]:[2025]],MATCH(BD!U233&amp;"-Très modestes",TabRFR[Recherche RFR],0),MATCH(TEXT(YEAR(BD!H233),"Standard"),TabRFR[[#Headers],[2021]:[2025]],0)),"Très Modeste",IF(V233&lt;=INDEX(TabRFR[[2021]:[2025]],MATCH(BD!U233&amp;"-modestes",TabRFR[Recherche RFR],0),MATCH(TEXT(YEAR(BD!H233),"Standard"),TabRFR[[#Headers],[2021]:[2025]],0)),"Modeste",IF(V233&lt;=INDEX(TabRFR[[2021]:[2025]],MATCH(BD!U233&amp;"-Intermédiaire",TabRFR[Recherche RFR],0),MATCH(TEXT(YEAR(BD!H233),"Standard"),TabRFR[[#Headers],[2021]:[2025]],0)),"Intermédiaire","Supérieur")))))))</f>
        <v>Intermédiaire</v>
      </c>
      <c r="X233" s="143"/>
      <c r="Y233" s="143" t="s">
        <v>257</v>
      </c>
      <c r="Z233" s="143">
        <v>38430</v>
      </c>
      <c r="AA233" s="143" t="s">
        <v>119</v>
      </c>
      <c r="AB233" s="148"/>
      <c r="AC233" s="149"/>
      <c r="AD233" s="143" t="s">
        <v>91</v>
      </c>
      <c r="AE233" s="143" t="s">
        <v>76</v>
      </c>
      <c r="AF233" s="143" t="s">
        <v>76</v>
      </c>
      <c r="AG233" s="143" t="s">
        <v>76</v>
      </c>
      <c r="AH233" s="143" t="s">
        <v>76</v>
      </c>
      <c r="AI233" s="143" t="s">
        <v>169</v>
      </c>
      <c r="AJ233" s="143" t="s">
        <v>119</v>
      </c>
      <c r="AK233" s="143" t="s">
        <v>170</v>
      </c>
      <c r="AL233" s="149" t="s">
        <v>171</v>
      </c>
      <c r="AM233" s="148">
        <v>476355605</v>
      </c>
      <c r="AN233" s="143" t="s">
        <v>76</v>
      </c>
      <c r="AO233" s="150" t="s">
        <v>102</v>
      </c>
      <c r="AP233" s="147">
        <v>44495</v>
      </c>
      <c r="AQ233" s="135" t="s">
        <v>3496</v>
      </c>
      <c r="AR233" s="143">
        <v>1996</v>
      </c>
      <c r="AS233" s="135" t="s">
        <v>3496</v>
      </c>
      <c r="AT233" s="135" t="s">
        <v>3446</v>
      </c>
      <c r="AU233" s="143" t="s">
        <v>173</v>
      </c>
      <c r="AV233" s="143" t="s">
        <v>526</v>
      </c>
      <c r="AW233" s="143">
        <v>26</v>
      </c>
      <c r="AX233" s="143">
        <v>8</v>
      </c>
      <c r="AY233" s="143">
        <v>81</v>
      </c>
      <c r="AZ233" s="143">
        <v>7.0000000000000007E-2</v>
      </c>
      <c r="BA233" s="143" t="s">
        <v>101</v>
      </c>
      <c r="BB233" s="143"/>
      <c r="BC233" s="143">
        <f>360+48.5+94+365.75+1745+590.56+178.55+215</f>
        <v>3597.36</v>
      </c>
      <c r="BD233" s="143"/>
      <c r="BE233" s="143">
        <f>382.94+99.09+126.35+1150</f>
        <v>1758.38</v>
      </c>
      <c r="BF233" s="143">
        <f t="shared" si="9"/>
        <v>5355.74</v>
      </c>
      <c r="BG233" s="151">
        <f t="shared" si="10"/>
        <v>294.56569999999999</v>
      </c>
      <c r="BH233" s="151">
        <f t="shared" si="11"/>
        <v>5650.3056999999999</v>
      </c>
      <c r="BI233" s="151">
        <v>5650.31</v>
      </c>
      <c r="BJ233" s="143" t="s">
        <v>102</v>
      </c>
      <c r="BK233" s="143"/>
      <c r="BL233" s="143"/>
      <c r="BM233" s="144" t="s">
        <v>3592</v>
      </c>
      <c r="BN233" s="144" t="s">
        <v>103</v>
      </c>
      <c r="BO233" s="144" t="s">
        <v>143</v>
      </c>
      <c r="BP233" s="144">
        <v>2021</v>
      </c>
      <c r="BQ233" s="203" t="s">
        <v>144</v>
      </c>
    </row>
    <row r="234" spans="1:69" ht="41.1" customHeight="1">
      <c r="A234" s="206" t="s">
        <v>86</v>
      </c>
      <c r="B234" s="206" t="s">
        <v>1100</v>
      </c>
      <c r="C234" s="143">
        <v>600</v>
      </c>
      <c r="D234" s="135">
        <v>44427</v>
      </c>
      <c r="E234" s="135">
        <v>44428</v>
      </c>
      <c r="F234" s="147" t="s">
        <v>76</v>
      </c>
      <c r="G234" s="135" t="s">
        <v>76</v>
      </c>
      <c r="H234" s="147">
        <v>44428</v>
      </c>
      <c r="I234" s="147">
        <v>44428</v>
      </c>
      <c r="J234" s="147">
        <v>44435</v>
      </c>
      <c r="K234" s="135">
        <v>44502</v>
      </c>
      <c r="L234" s="135">
        <v>44490</v>
      </c>
      <c r="M234" s="135" t="s">
        <v>76</v>
      </c>
      <c r="N234" s="135">
        <v>44512</v>
      </c>
      <c r="O234" s="135">
        <v>44512</v>
      </c>
      <c r="P234" s="135">
        <v>44518</v>
      </c>
      <c r="Q234" s="135"/>
      <c r="R234" s="143"/>
      <c r="S234" s="143"/>
      <c r="T234" s="143"/>
      <c r="U234" s="143">
        <v>2</v>
      </c>
      <c r="V234" s="143">
        <v>42470</v>
      </c>
      <c r="W234" s="143" t="str">
        <f ca="1">IF(H234="",IF(D234="","",IF(U234+V234&lt;15,"Données Nb pers ou RFR manquantes",IF(COUNTA(INDIRECT("TabRFR["&amp;YEAR(D234)&amp;"]"))&lt;&gt;COUNTA(TabRFR[Recherche RFR]),"Data RFR manquantes", IF(V234&lt;=INDEX(TabRFR[[2021]:[2025]],MATCH(BD!U234&amp;"-Très modestes",TabRFR[Recherche RFR],0),MATCH(TEXT(YEAR(BD!D234),"Standard"),TabRFR[[#Headers],[2021]:[2025]],0)),"Très Modeste",IF(V234&lt;=INDEX(TabRFR[[2021]:[2025]],MATCH(BD!U234&amp;"-modestes",TabRFR[Recherche RFR],0),MATCH(TEXT(YEAR(BD!D234),"Standard"),TabRFR[[#Headers],[2021]:[2025]],0)),"Modeste",IF(V234&lt;=INDEX(TabRFR[[2021]:[2025]],MATCH(BD!U234&amp;"-Intermédiaire",TabRFR[Recherche RFR],0),MATCH(TEXT(YEAR(BD!D234),"Standard"),TabRFR[[#Headers],[2021]:[2025]],0)),"Intermédiaire","Supérieur")))))),IF(D234="","",IF(U234+V234&lt;15,"Données Nb pers ou RFR manquantes",IF(COUNTA(INDIRECT("TabRFR["&amp;YEAR(H234)&amp;"]"))&lt;&gt;COUNTA(TabRFR[Recherche RFR]),"Data RFR manquantes", IF(V234&lt;=INDEX(TabRFR[[2021]:[2025]],MATCH(BD!U234&amp;"-Très modestes",TabRFR[Recherche RFR],0),MATCH(TEXT(YEAR(BD!H234),"Standard"),TabRFR[[#Headers],[2021]:[2025]],0)),"Très Modeste",IF(V234&lt;=INDEX(TabRFR[[2021]:[2025]],MATCH(BD!U234&amp;"-modestes",TabRFR[Recherche RFR],0),MATCH(TEXT(YEAR(BD!H234),"Standard"),TabRFR[[#Headers],[2021]:[2025]],0)),"Modeste",IF(V234&lt;=INDEX(TabRFR[[2021]:[2025]],MATCH(BD!U234&amp;"-Intermédiaire",TabRFR[Recherche RFR],0),MATCH(TEXT(YEAR(BD!H234),"Standard"),TabRFR[[#Headers],[2021]:[2025]],0)),"Intermédiaire","Supérieur")))))))</f>
        <v>Intermédiaire</v>
      </c>
      <c r="X234" s="143"/>
      <c r="Y234" s="143" t="s">
        <v>1101</v>
      </c>
      <c r="Z234" s="143">
        <v>38140</v>
      </c>
      <c r="AA234" s="143" t="s">
        <v>200</v>
      </c>
      <c r="AB234" s="148"/>
      <c r="AC234" s="149"/>
      <c r="AD234" s="143" t="s">
        <v>91</v>
      </c>
      <c r="AE234" s="143" t="s">
        <v>76</v>
      </c>
      <c r="AF234" s="143" t="s">
        <v>76</v>
      </c>
      <c r="AG234" s="143" t="s">
        <v>76</v>
      </c>
      <c r="AH234" s="143" t="s">
        <v>76</v>
      </c>
      <c r="AI234" s="143" t="s">
        <v>109</v>
      </c>
      <c r="AJ234" s="143" t="s">
        <v>108</v>
      </c>
      <c r="AK234" s="143" t="s">
        <v>110</v>
      </c>
      <c r="AL234" s="149" t="s">
        <v>111</v>
      </c>
      <c r="AM234" s="148" t="s">
        <v>112</v>
      </c>
      <c r="AN234" s="143" t="s">
        <v>76</v>
      </c>
      <c r="AO234" s="150" t="s">
        <v>102</v>
      </c>
      <c r="AP234" s="147">
        <v>44503</v>
      </c>
      <c r="AQ234" s="135" t="s">
        <v>3496</v>
      </c>
      <c r="AR234" s="143">
        <v>1999</v>
      </c>
      <c r="AS234" s="135" t="s">
        <v>3496</v>
      </c>
      <c r="AT234" s="143" t="s">
        <v>98</v>
      </c>
      <c r="AU234" s="143" t="s">
        <v>113</v>
      </c>
      <c r="AV234" s="143" t="s">
        <v>1102</v>
      </c>
      <c r="AW234" s="143">
        <v>19</v>
      </c>
      <c r="AX234" s="143">
        <v>11.4</v>
      </c>
      <c r="AY234" s="143">
        <v>92</v>
      </c>
      <c r="AZ234" s="143">
        <v>0.01</v>
      </c>
      <c r="BA234" s="143" t="s">
        <v>101</v>
      </c>
      <c r="BB234" s="143"/>
      <c r="BC234" s="143">
        <f>5848+560+89+101+168+15</f>
        <v>6781</v>
      </c>
      <c r="BD234" s="143"/>
      <c r="BE234" s="143">
        <f>455+35</f>
        <v>490</v>
      </c>
      <c r="BF234" s="143">
        <f t="shared" si="9"/>
        <v>7271</v>
      </c>
      <c r="BG234" s="151">
        <f t="shared" si="10"/>
        <v>399.90500000000003</v>
      </c>
      <c r="BH234" s="151">
        <f t="shared" si="11"/>
        <v>7670.9049999999997</v>
      </c>
      <c r="BI234" s="151">
        <v>7655.08</v>
      </c>
      <c r="BJ234" s="143" t="s">
        <v>102</v>
      </c>
      <c r="BK234" s="143"/>
      <c r="BL234" s="143"/>
      <c r="BM234" s="144" t="s">
        <v>3592</v>
      </c>
      <c r="BN234" s="144" t="s">
        <v>103</v>
      </c>
      <c r="BO234" s="144" t="s">
        <v>143</v>
      </c>
      <c r="BP234" s="143" t="s">
        <v>3583</v>
      </c>
      <c r="BQ234" s="203" t="s">
        <v>144</v>
      </c>
    </row>
    <row r="235" spans="1:69" ht="41.1" customHeight="1">
      <c r="A235" s="206" t="s">
        <v>86</v>
      </c>
      <c r="B235" s="206" t="s">
        <v>1103</v>
      </c>
      <c r="C235" s="143">
        <v>600</v>
      </c>
      <c r="D235" s="135">
        <v>44438</v>
      </c>
      <c r="E235" s="135">
        <v>44438</v>
      </c>
      <c r="F235" s="147">
        <v>44442</v>
      </c>
      <c r="G235" s="135" t="s">
        <v>1104</v>
      </c>
      <c r="H235" s="147">
        <v>44476</v>
      </c>
      <c r="I235" s="147">
        <v>44476</v>
      </c>
      <c r="J235" s="147">
        <v>44494</v>
      </c>
      <c r="K235" s="135">
        <v>44589</v>
      </c>
      <c r="L235" s="135">
        <v>44573</v>
      </c>
      <c r="M235" s="135" t="s">
        <v>76</v>
      </c>
      <c r="N235" s="135">
        <v>44606</v>
      </c>
      <c r="O235" s="135">
        <v>44606</v>
      </c>
      <c r="P235" s="135">
        <v>44607</v>
      </c>
      <c r="Q235" s="135"/>
      <c r="R235" s="143"/>
      <c r="S235" s="143"/>
      <c r="T235" s="143"/>
      <c r="U235" s="143">
        <v>2</v>
      </c>
      <c r="V235" s="143">
        <v>41071</v>
      </c>
      <c r="W235" s="143" t="str">
        <f ca="1">IF(H235="",IF(D235="","",IF(U235+V235&lt;15,"Données Nb pers ou RFR manquantes",IF(COUNTA(INDIRECT("TabRFR["&amp;YEAR(D235)&amp;"]"))&lt;&gt;COUNTA(TabRFR[Recherche RFR]),"Data RFR manquantes", IF(V235&lt;=INDEX(TabRFR[[2021]:[2025]],MATCH(BD!U235&amp;"-Très modestes",TabRFR[Recherche RFR],0),MATCH(TEXT(YEAR(BD!D235),"Standard"),TabRFR[[#Headers],[2021]:[2025]],0)),"Très Modeste",IF(V235&lt;=INDEX(TabRFR[[2021]:[2025]],MATCH(BD!U235&amp;"-modestes",TabRFR[Recherche RFR],0),MATCH(TEXT(YEAR(BD!D235),"Standard"),TabRFR[[#Headers],[2021]:[2025]],0)),"Modeste",IF(V235&lt;=INDEX(TabRFR[[2021]:[2025]],MATCH(BD!U235&amp;"-Intermédiaire",TabRFR[Recherche RFR],0),MATCH(TEXT(YEAR(BD!D235),"Standard"),TabRFR[[#Headers],[2021]:[2025]],0)),"Intermédiaire","Supérieur")))))),IF(D235="","",IF(U235+V235&lt;15,"Données Nb pers ou RFR manquantes",IF(COUNTA(INDIRECT("TabRFR["&amp;YEAR(H235)&amp;"]"))&lt;&gt;COUNTA(TabRFR[Recherche RFR]),"Data RFR manquantes", IF(V235&lt;=INDEX(TabRFR[[2021]:[2025]],MATCH(BD!U235&amp;"-Très modestes",TabRFR[Recherche RFR],0),MATCH(TEXT(YEAR(BD!H235),"Standard"),TabRFR[[#Headers],[2021]:[2025]],0)),"Très Modeste",IF(V235&lt;=INDEX(TabRFR[[2021]:[2025]],MATCH(BD!U235&amp;"-modestes",TabRFR[Recherche RFR],0),MATCH(TEXT(YEAR(BD!H235),"Standard"),TabRFR[[#Headers],[2021]:[2025]],0)),"Modeste",IF(V235&lt;=INDEX(TabRFR[[2021]:[2025]],MATCH(BD!U235&amp;"-Intermédiaire",TabRFR[Recherche RFR],0),MATCH(TEXT(YEAR(BD!H235),"Standard"),TabRFR[[#Headers],[2021]:[2025]],0)),"Intermédiaire","Supérieur")))))))</f>
        <v>Intermédiaire</v>
      </c>
      <c r="X235" s="143"/>
      <c r="Y235" s="143" t="s">
        <v>1105</v>
      </c>
      <c r="Z235" s="143">
        <v>38620</v>
      </c>
      <c r="AA235" s="143" t="s">
        <v>262</v>
      </c>
      <c r="AB235" s="148"/>
      <c r="AC235" s="149"/>
      <c r="AD235" s="143" t="s">
        <v>91</v>
      </c>
      <c r="AE235" s="143" t="s">
        <v>76</v>
      </c>
      <c r="AF235" s="143" t="s">
        <v>76</v>
      </c>
      <c r="AG235" s="143" t="s">
        <v>76</v>
      </c>
      <c r="AH235" s="143" t="s">
        <v>76</v>
      </c>
      <c r="AI235" s="143" t="s">
        <v>1106</v>
      </c>
      <c r="AJ235" s="143" t="s">
        <v>1075</v>
      </c>
      <c r="AK235" s="143" t="s">
        <v>1107</v>
      </c>
      <c r="AL235" s="150" t="s">
        <v>1108</v>
      </c>
      <c r="AM235" s="148">
        <v>476663386</v>
      </c>
      <c r="AN235" s="143" t="s">
        <v>76</v>
      </c>
      <c r="AO235" s="150" t="s">
        <v>102</v>
      </c>
      <c r="AP235" s="147">
        <v>44731</v>
      </c>
      <c r="AQ235" s="135" t="s">
        <v>3496</v>
      </c>
      <c r="AR235" s="143">
        <v>1991</v>
      </c>
      <c r="AS235" s="143" t="s">
        <v>3413</v>
      </c>
      <c r="AT235" s="135" t="s">
        <v>3446</v>
      </c>
      <c r="AU235" s="143" t="s">
        <v>1109</v>
      </c>
      <c r="AV235" s="143" t="s">
        <v>1110</v>
      </c>
      <c r="AW235" s="151">
        <v>37.6</v>
      </c>
      <c r="AX235" s="151">
        <v>8.5</v>
      </c>
      <c r="AY235" s="151">
        <v>75.400000000000006</v>
      </c>
      <c r="AZ235" s="151">
        <v>0.08</v>
      </c>
      <c r="BA235" s="151" t="s">
        <v>101</v>
      </c>
      <c r="BB235" s="143"/>
      <c r="BC235" s="151">
        <f>2281.5+533.22+133+17.11+85.8+300.44+125+320+34.57+120.86+175</f>
        <v>4126.5000000000009</v>
      </c>
      <c r="BD235" s="143"/>
      <c r="BE235" s="151">
        <f>500+350</f>
        <v>850</v>
      </c>
      <c r="BF235" s="151">
        <f t="shared" si="9"/>
        <v>4976.5000000000009</v>
      </c>
      <c r="BG235" s="151">
        <f t="shared" si="10"/>
        <v>273.70750000000004</v>
      </c>
      <c r="BH235" s="151">
        <f t="shared" si="11"/>
        <v>5250.2075000000013</v>
      </c>
      <c r="BI235" s="151">
        <v>5213.74</v>
      </c>
      <c r="BJ235" s="143" t="s">
        <v>115</v>
      </c>
      <c r="BK235" s="143"/>
      <c r="BL235" s="143"/>
      <c r="BM235" s="144" t="s">
        <v>3592</v>
      </c>
      <c r="BN235" s="144" t="s">
        <v>103</v>
      </c>
      <c r="BO235" s="144" t="s">
        <v>143</v>
      </c>
      <c r="BP235" s="144">
        <v>2021</v>
      </c>
      <c r="BQ235" s="203" t="s">
        <v>3274</v>
      </c>
    </row>
    <row r="236" spans="1:69" ht="41.1" customHeight="1">
      <c r="A236" s="207" t="s">
        <v>86</v>
      </c>
      <c r="B236" s="207" t="s">
        <v>1111</v>
      </c>
      <c r="C236" s="146" t="s">
        <v>76</v>
      </c>
      <c r="D236" s="135">
        <v>44440</v>
      </c>
      <c r="E236" s="135">
        <v>44441</v>
      </c>
      <c r="F236" s="147" t="s">
        <v>76</v>
      </c>
      <c r="G236" s="135" t="s">
        <v>76</v>
      </c>
      <c r="H236" s="147" t="s">
        <v>76</v>
      </c>
      <c r="I236" s="147" t="s">
        <v>76</v>
      </c>
      <c r="J236" s="147" t="s">
        <v>76</v>
      </c>
      <c r="K236" s="135" t="s">
        <v>76</v>
      </c>
      <c r="L236" s="135" t="s">
        <v>76</v>
      </c>
      <c r="M236" s="135" t="s">
        <v>76</v>
      </c>
      <c r="N236" s="135" t="s">
        <v>76</v>
      </c>
      <c r="O236" s="135" t="s">
        <v>76</v>
      </c>
      <c r="P236" s="135" t="s">
        <v>76</v>
      </c>
      <c r="Q236" s="135">
        <v>44442</v>
      </c>
      <c r="R236" s="143" t="s">
        <v>1112</v>
      </c>
      <c r="S236" s="143"/>
      <c r="T236" s="143"/>
      <c r="U236" s="143">
        <v>6</v>
      </c>
      <c r="V236" s="143">
        <v>74035</v>
      </c>
      <c r="W236" s="143" t="str">
        <f ca="1">IF(H236="",IF(D236="","",IF(U236+V236&lt;15,"Données Nb pers ou RFR manquantes",IF(COUNTA(INDIRECT("TabRFR["&amp;YEAR(D236)&amp;"]"))&lt;&gt;COUNTA(TabRFR[Recherche RFR]),"Data RFR manquantes", IF(V236&lt;=INDEX(TabRFR[[2021]:[2025]],MATCH(BD!U236&amp;"-Très modestes",TabRFR[Recherche RFR],0),MATCH(TEXT(YEAR(BD!D236),"Standard"),TabRFR[[#Headers],[2021]:[2025]],0)),"Très Modeste",IF(V236&lt;=INDEX(TabRFR[[2021]:[2025]],MATCH(BD!U236&amp;"-modestes",TabRFR[Recherche RFR],0),MATCH(TEXT(YEAR(BD!D236),"Standard"),TabRFR[[#Headers],[2021]:[2025]],0)),"Modeste",IF(V236&lt;=INDEX(TabRFR[[2021]:[2025]],MATCH(BD!U236&amp;"-Intermédiaire",TabRFR[Recherche RFR],0),MATCH(TEXT(YEAR(BD!D236),"Standard"),TabRFR[[#Headers],[2021]:[2025]],0)),"Intermédiaire","Supérieur")))))),IF(D236="","",IF(U236+V236&lt;15,"Données Nb pers ou RFR manquantes",IF(COUNTA(INDIRECT("TabRFR["&amp;YEAR(H236)&amp;"]"))&lt;&gt;COUNTA(TabRFR[Recherche RFR]),"Data RFR manquantes", IF(V236&lt;=INDEX(TabRFR[[2021]:[2025]],MATCH(BD!U236&amp;"-Très modestes",TabRFR[Recherche RFR],0),MATCH(TEXT(YEAR(BD!H236),"Standard"),TabRFR[[#Headers],[2021]:[2025]],0)),"Très Modeste",IF(V236&lt;=INDEX(TabRFR[[2021]:[2025]],MATCH(BD!U236&amp;"-modestes",TabRFR[Recherche RFR],0),MATCH(TEXT(YEAR(BD!H236),"Standard"),TabRFR[[#Headers],[2021]:[2025]],0)),"Modeste",IF(V236&lt;=INDEX(TabRFR[[2021]:[2025]],MATCH(BD!U236&amp;"-Intermédiaire",TabRFR[Recherche RFR],0),MATCH(TEXT(YEAR(BD!H236),"Standard"),TabRFR[[#Headers],[2021]:[2025]],0)),"Intermédiaire","Supérieur")))))))</f>
        <v>Data RFR manquantes</v>
      </c>
      <c r="X236" s="143"/>
      <c r="Y236" s="143" t="s">
        <v>1113</v>
      </c>
      <c r="Z236" s="143">
        <v>38340</v>
      </c>
      <c r="AA236" s="143" t="s">
        <v>266</v>
      </c>
      <c r="AB236" s="148"/>
      <c r="AC236" s="149"/>
      <c r="AD236" s="143" t="s">
        <v>91</v>
      </c>
      <c r="AE236" s="143" t="s">
        <v>76</v>
      </c>
      <c r="AF236" s="143" t="s">
        <v>76</v>
      </c>
      <c r="AG236" s="143" t="s">
        <v>76</v>
      </c>
      <c r="AH236" s="143" t="s">
        <v>76</v>
      </c>
      <c r="AI236" s="135" t="s">
        <v>285</v>
      </c>
      <c r="AJ236" s="143" t="s">
        <v>108</v>
      </c>
      <c r="AK236" s="143" t="s">
        <v>286</v>
      </c>
      <c r="AL236" s="150" t="s">
        <v>287</v>
      </c>
      <c r="AM236" s="148">
        <v>476069938</v>
      </c>
      <c r="AN236" s="143" t="s">
        <v>76</v>
      </c>
      <c r="AO236" s="150" t="s">
        <v>102</v>
      </c>
      <c r="AP236" s="147">
        <v>44457</v>
      </c>
      <c r="AQ236" s="143" t="s">
        <v>3413</v>
      </c>
      <c r="AR236" s="143" t="s">
        <v>1114</v>
      </c>
      <c r="AS236" s="143" t="s">
        <v>3413</v>
      </c>
      <c r="AT236" s="138" t="s">
        <v>98</v>
      </c>
      <c r="AU236" s="143" t="s">
        <v>430</v>
      </c>
      <c r="AV236" s="143" t="s">
        <v>431</v>
      </c>
      <c r="AW236" s="143">
        <v>14.8</v>
      </c>
      <c r="AX236" s="143">
        <v>7.4</v>
      </c>
      <c r="AY236" s="143">
        <v>92.5</v>
      </c>
      <c r="AZ236" s="143">
        <v>1.2E-2</v>
      </c>
      <c r="BA236" s="143" t="s">
        <v>126</v>
      </c>
      <c r="BB236" s="143"/>
      <c r="BC236" s="143">
        <f>119.41+430+250+50+3180</f>
        <v>4029.41</v>
      </c>
      <c r="BD236" s="143"/>
      <c r="BE236" s="143">
        <f>450+390</f>
        <v>840</v>
      </c>
      <c r="BF236" s="143">
        <f t="shared" si="9"/>
        <v>4869.41</v>
      </c>
      <c r="BG236" s="143">
        <f t="shared" si="10"/>
        <v>267.81754999999998</v>
      </c>
      <c r="BH236" s="143">
        <f t="shared" si="11"/>
        <v>5137.2275499999996</v>
      </c>
      <c r="BI236" s="151">
        <v>5137.2299999999996</v>
      </c>
      <c r="BJ236" s="143" t="s">
        <v>115</v>
      </c>
      <c r="BK236" s="143"/>
      <c r="BL236" s="143"/>
      <c r="BM236" s="144">
        <v>0</v>
      </c>
      <c r="BN236" s="144" t="s">
        <v>103</v>
      </c>
      <c r="BO236" s="144" t="s">
        <v>103</v>
      </c>
      <c r="BP236" s="203" t="s">
        <v>3582</v>
      </c>
      <c r="BQ236" s="203" t="s">
        <v>3273</v>
      </c>
    </row>
    <row r="237" spans="1:69" ht="41.1" customHeight="1">
      <c r="A237" s="206" t="s">
        <v>86</v>
      </c>
      <c r="B237" s="206" t="s">
        <v>1115</v>
      </c>
      <c r="C237" s="143">
        <v>600</v>
      </c>
      <c r="D237" s="135">
        <v>44440</v>
      </c>
      <c r="E237" s="135">
        <v>44441</v>
      </c>
      <c r="F237" s="147" t="s">
        <v>76</v>
      </c>
      <c r="G237" s="135" t="s">
        <v>76</v>
      </c>
      <c r="H237" s="147">
        <v>44442</v>
      </c>
      <c r="I237" s="147">
        <v>44442</v>
      </c>
      <c r="J237" s="147">
        <v>44469</v>
      </c>
      <c r="K237" s="135">
        <v>44651</v>
      </c>
      <c r="L237" s="135">
        <v>44643</v>
      </c>
      <c r="M237" s="135"/>
      <c r="N237" s="135">
        <v>44658</v>
      </c>
      <c r="O237" s="135">
        <v>44658</v>
      </c>
      <c r="P237" s="135">
        <v>44662</v>
      </c>
      <c r="Q237" s="135"/>
      <c r="R237" s="143"/>
      <c r="S237" s="143"/>
      <c r="T237" s="143"/>
      <c r="U237" s="143">
        <v>2</v>
      </c>
      <c r="V237" s="143">
        <v>36283</v>
      </c>
      <c r="W237" s="143" t="str">
        <f ca="1">IF(H237="",IF(D237="","",IF(U237+V237&lt;15,"Données Nb pers ou RFR manquantes",IF(COUNTA(INDIRECT("TabRFR["&amp;YEAR(D237)&amp;"]"))&lt;&gt;COUNTA(TabRFR[Recherche RFR]),"Data RFR manquantes", IF(V237&lt;=INDEX(TabRFR[[2021]:[2025]],MATCH(BD!U237&amp;"-Très modestes",TabRFR[Recherche RFR],0),MATCH(TEXT(YEAR(BD!D237),"Standard"),TabRFR[[#Headers],[2021]:[2025]],0)),"Très Modeste",IF(V237&lt;=INDEX(TabRFR[[2021]:[2025]],MATCH(BD!U237&amp;"-modestes",TabRFR[Recherche RFR],0),MATCH(TEXT(YEAR(BD!D237),"Standard"),TabRFR[[#Headers],[2021]:[2025]],0)),"Modeste",IF(V237&lt;=INDEX(TabRFR[[2021]:[2025]],MATCH(BD!U237&amp;"-Intermédiaire",TabRFR[Recherche RFR],0),MATCH(TEXT(YEAR(BD!D237),"Standard"),TabRFR[[#Headers],[2021]:[2025]],0)),"Intermédiaire","Supérieur")))))),IF(D237="","",IF(U237+V237&lt;15,"Données Nb pers ou RFR manquantes",IF(COUNTA(INDIRECT("TabRFR["&amp;YEAR(H237)&amp;"]"))&lt;&gt;COUNTA(TabRFR[Recherche RFR]),"Data RFR manquantes", IF(V237&lt;=INDEX(TabRFR[[2021]:[2025]],MATCH(BD!U237&amp;"-Très modestes",TabRFR[Recherche RFR],0),MATCH(TEXT(YEAR(BD!H237),"Standard"),TabRFR[[#Headers],[2021]:[2025]],0)),"Très Modeste",IF(V237&lt;=INDEX(TabRFR[[2021]:[2025]],MATCH(BD!U237&amp;"-modestes",TabRFR[Recherche RFR],0),MATCH(TEXT(YEAR(BD!H237),"Standard"),TabRFR[[#Headers],[2021]:[2025]],0)),"Modeste",IF(V237&lt;=INDEX(TabRFR[[2021]:[2025]],MATCH(BD!U237&amp;"-Intermédiaire",TabRFR[Recherche RFR],0),MATCH(TEXT(YEAR(BD!H237),"Standard"),TabRFR[[#Headers],[2021]:[2025]],0)),"Intermédiaire","Supérieur")))))))</f>
        <v>Intermédiaire</v>
      </c>
      <c r="X237" s="143"/>
      <c r="Y237" s="143" t="s">
        <v>1116</v>
      </c>
      <c r="Z237" s="143">
        <v>38500</v>
      </c>
      <c r="AA237" s="143" t="s">
        <v>591</v>
      </c>
      <c r="AB237" s="148"/>
      <c r="AC237" s="149"/>
      <c r="AD237" s="143" t="s">
        <v>91</v>
      </c>
      <c r="AE237" s="143" t="s">
        <v>76</v>
      </c>
      <c r="AF237" s="143" t="s">
        <v>76</v>
      </c>
      <c r="AG237" s="143" t="s">
        <v>76</v>
      </c>
      <c r="AH237" s="143" t="s">
        <v>76</v>
      </c>
      <c r="AI237" s="143" t="s">
        <v>109</v>
      </c>
      <c r="AJ237" s="143" t="s">
        <v>108</v>
      </c>
      <c r="AK237" s="143" t="s">
        <v>110</v>
      </c>
      <c r="AL237" s="149" t="s">
        <v>111</v>
      </c>
      <c r="AM237" s="148" t="s">
        <v>112</v>
      </c>
      <c r="AN237" s="143" t="s">
        <v>76</v>
      </c>
      <c r="AO237" s="150" t="s">
        <v>102</v>
      </c>
      <c r="AP237" s="147">
        <v>44503</v>
      </c>
      <c r="AQ237" s="135" t="s">
        <v>3323</v>
      </c>
      <c r="AR237" s="143">
        <v>1980</v>
      </c>
      <c r="AS237" s="143" t="s">
        <v>2862</v>
      </c>
      <c r="AT237" s="135" t="s">
        <v>3446</v>
      </c>
      <c r="AU237" s="143" t="s">
        <v>1117</v>
      </c>
      <c r="AV237" s="143" t="s">
        <v>1118</v>
      </c>
      <c r="AW237" s="143">
        <v>13</v>
      </c>
      <c r="AX237" s="143">
        <v>5.2</v>
      </c>
      <c r="AY237" s="143">
        <v>87</v>
      </c>
      <c r="AZ237" s="143">
        <v>0.08</v>
      </c>
      <c r="BA237" s="143" t="s">
        <v>101</v>
      </c>
      <c r="BB237" s="143"/>
      <c r="BC237" s="143">
        <f>4262+60+60+90+45+22+83+25</f>
        <v>4647</v>
      </c>
      <c r="BD237" s="143"/>
      <c r="BE237" s="143">
        <f>220+98+35+450</f>
        <v>803</v>
      </c>
      <c r="BF237" s="143">
        <f t="shared" si="9"/>
        <v>5450</v>
      </c>
      <c r="BG237" s="151">
        <f t="shared" si="10"/>
        <v>299.75</v>
      </c>
      <c r="BH237" s="151">
        <f t="shared" si="11"/>
        <v>5749.75</v>
      </c>
      <c r="BI237" s="151">
        <v>5749.75</v>
      </c>
      <c r="BJ237" s="143" t="s">
        <v>102</v>
      </c>
      <c r="BK237" s="143"/>
      <c r="BL237" s="143"/>
      <c r="BM237" s="144" t="s">
        <v>3592</v>
      </c>
      <c r="BN237" s="144" t="s">
        <v>103</v>
      </c>
      <c r="BO237" s="144" t="s">
        <v>143</v>
      </c>
      <c r="BP237" s="143">
        <v>2021</v>
      </c>
      <c r="BQ237" s="203" t="s">
        <v>144</v>
      </c>
    </row>
    <row r="238" spans="1:69" ht="41.1" customHeight="1">
      <c r="A238" s="206" t="s">
        <v>86</v>
      </c>
      <c r="B238" s="206" t="s">
        <v>1119</v>
      </c>
      <c r="C238" s="143">
        <v>600</v>
      </c>
      <c r="D238" s="135">
        <v>44441</v>
      </c>
      <c r="E238" s="135">
        <v>44441</v>
      </c>
      <c r="F238" s="147" t="s">
        <v>76</v>
      </c>
      <c r="G238" s="135" t="s">
        <v>76</v>
      </c>
      <c r="H238" s="147">
        <v>44442</v>
      </c>
      <c r="I238" s="147">
        <v>44442</v>
      </c>
      <c r="J238" s="147">
        <v>44469</v>
      </c>
      <c r="K238" s="135">
        <v>44532</v>
      </c>
      <c r="L238" s="135">
        <v>44516</v>
      </c>
      <c r="M238" s="135" t="s">
        <v>1120</v>
      </c>
      <c r="N238" s="135">
        <v>44553</v>
      </c>
      <c r="O238" s="135">
        <v>44553</v>
      </c>
      <c r="P238" s="135">
        <v>44553</v>
      </c>
      <c r="Q238" s="135"/>
      <c r="R238" s="143"/>
      <c r="S238" s="143"/>
      <c r="T238" s="143"/>
      <c r="U238" s="143">
        <v>3</v>
      </c>
      <c r="V238" s="143">
        <v>52188</v>
      </c>
      <c r="W238" s="143" t="str">
        <f ca="1">IF(H238="",IF(D238="","",IF(U238+V238&lt;15,"Données Nb pers ou RFR manquantes",IF(COUNTA(INDIRECT("TabRFR["&amp;YEAR(D238)&amp;"]"))&lt;&gt;COUNTA(TabRFR[Recherche RFR]),"Data RFR manquantes", IF(V238&lt;=INDEX(TabRFR[[2021]:[2025]],MATCH(BD!U238&amp;"-Très modestes",TabRFR[Recherche RFR],0),MATCH(TEXT(YEAR(BD!D238),"Standard"),TabRFR[[#Headers],[2021]:[2025]],0)),"Très Modeste",IF(V238&lt;=INDEX(TabRFR[[2021]:[2025]],MATCH(BD!U238&amp;"-modestes",TabRFR[Recherche RFR],0),MATCH(TEXT(YEAR(BD!D238),"Standard"),TabRFR[[#Headers],[2021]:[2025]],0)),"Modeste",IF(V238&lt;=INDEX(TabRFR[[2021]:[2025]],MATCH(BD!U238&amp;"-Intermédiaire",TabRFR[Recherche RFR],0),MATCH(TEXT(YEAR(BD!D238),"Standard"),TabRFR[[#Headers],[2021]:[2025]],0)),"Intermédiaire","Supérieur")))))),IF(D238="","",IF(U238+V238&lt;15,"Données Nb pers ou RFR manquantes",IF(COUNTA(INDIRECT("TabRFR["&amp;YEAR(H238)&amp;"]"))&lt;&gt;COUNTA(TabRFR[Recherche RFR]),"Data RFR manquantes", IF(V238&lt;=INDEX(TabRFR[[2021]:[2025]],MATCH(BD!U238&amp;"-Très modestes",TabRFR[Recherche RFR],0),MATCH(TEXT(YEAR(BD!H238),"Standard"),TabRFR[[#Headers],[2021]:[2025]],0)),"Très Modeste",IF(V238&lt;=INDEX(TabRFR[[2021]:[2025]],MATCH(BD!U238&amp;"-modestes",TabRFR[Recherche RFR],0),MATCH(TEXT(YEAR(BD!H238),"Standard"),TabRFR[[#Headers],[2021]:[2025]],0)),"Modeste",IF(V238&lt;=INDEX(TabRFR[[2021]:[2025]],MATCH(BD!U238&amp;"-Intermédiaire",TabRFR[Recherche RFR],0),MATCH(TEXT(YEAR(BD!H238),"Standard"),TabRFR[[#Headers],[2021]:[2025]],0)),"Intermédiaire","Supérieur")))))))</f>
        <v>Supérieur</v>
      </c>
      <c r="X238" s="143"/>
      <c r="Y238" s="143" t="s">
        <v>1121</v>
      </c>
      <c r="Z238" s="143">
        <v>38730</v>
      </c>
      <c r="AA238" s="143" t="s">
        <v>148</v>
      </c>
      <c r="AB238" s="148"/>
      <c r="AC238" s="149"/>
      <c r="AD238" s="143" t="s">
        <v>91</v>
      </c>
      <c r="AE238" s="143" t="s">
        <v>76</v>
      </c>
      <c r="AF238" s="143" t="s">
        <v>76</v>
      </c>
      <c r="AG238" s="143" t="s">
        <v>76</v>
      </c>
      <c r="AH238" s="143" t="s">
        <v>76</v>
      </c>
      <c r="AI238" s="143" t="s">
        <v>210</v>
      </c>
      <c r="AJ238" s="143" t="s">
        <v>136</v>
      </c>
      <c r="AK238" s="143" t="s">
        <v>211</v>
      </c>
      <c r="AL238" s="150" t="s">
        <v>212</v>
      </c>
      <c r="AM238" s="148">
        <v>474432868</v>
      </c>
      <c r="AN238" s="143" t="s">
        <v>76</v>
      </c>
      <c r="AO238" s="150" t="s">
        <v>102</v>
      </c>
      <c r="AP238" s="147">
        <v>44514</v>
      </c>
      <c r="AQ238" s="135" t="s">
        <v>3496</v>
      </c>
      <c r="AR238" s="143">
        <v>1987</v>
      </c>
      <c r="AS238" s="143" t="s">
        <v>3413</v>
      </c>
      <c r="AT238" s="143" t="s">
        <v>98</v>
      </c>
      <c r="AU238" s="143" t="s">
        <v>214</v>
      </c>
      <c r="AV238" s="143" t="s">
        <v>1122</v>
      </c>
      <c r="AW238" s="143">
        <v>14</v>
      </c>
      <c r="AX238" s="143">
        <v>9.1</v>
      </c>
      <c r="AY238" s="143">
        <v>90.2</v>
      </c>
      <c r="AZ238" s="143">
        <v>2E-3</v>
      </c>
      <c r="BA238" s="143" t="s">
        <v>101</v>
      </c>
      <c r="BB238" s="143"/>
      <c r="BC238" s="143">
        <f>3950+216+721.02+324+62.78+53.52+75+164+107</f>
        <v>5673.3200000000006</v>
      </c>
      <c r="BD238" s="143"/>
      <c r="BE238" s="143">
        <v>1200</v>
      </c>
      <c r="BF238" s="143">
        <f t="shared" si="9"/>
        <v>6873.3200000000006</v>
      </c>
      <c r="BG238" s="151">
        <f t="shared" si="10"/>
        <v>378.03260000000006</v>
      </c>
      <c r="BH238" s="151">
        <f t="shared" si="11"/>
        <v>7251.3526000000011</v>
      </c>
      <c r="BI238" s="151">
        <v>7251.35</v>
      </c>
      <c r="BJ238" s="143" t="s">
        <v>102</v>
      </c>
      <c r="BK238" s="143"/>
      <c r="BL238" s="143"/>
      <c r="BM238" s="144" t="s">
        <v>3592</v>
      </c>
      <c r="BN238" s="144" t="s">
        <v>103</v>
      </c>
      <c r="BO238" s="144" t="s">
        <v>143</v>
      </c>
      <c r="BP238" s="143" t="s">
        <v>3583</v>
      </c>
      <c r="BQ238" s="203" t="s">
        <v>144</v>
      </c>
    </row>
    <row r="239" spans="1:69" ht="41.1" customHeight="1">
      <c r="A239" s="206" t="s">
        <v>86</v>
      </c>
      <c r="B239" s="206" t="s">
        <v>1123</v>
      </c>
      <c r="C239" s="143">
        <v>600</v>
      </c>
      <c r="D239" s="135">
        <v>44442</v>
      </c>
      <c r="E239" s="135">
        <v>44445</v>
      </c>
      <c r="F239" s="147">
        <v>44448</v>
      </c>
      <c r="G239" s="135" t="s">
        <v>1003</v>
      </c>
      <c r="H239" s="147">
        <v>44455</v>
      </c>
      <c r="I239" s="147">
        <v>44455</v>
      </c>
      <c r="J239" s="147">
        <v>44469</v>
      </c>
      <c r="K239" s="135">
        <v>44530</v>
      </c>
      <c r="L239" s="135">
        <v>44500</v>
      </c>
      <c r="M239" s="135" t="s">
        <v>76</v>
      </c>
      <c r="N239" s="135">
        <v>44539</v>
      </c>
      <c r="O239" s="135">
        <v>44539</v>
      </c>
      <c r="P239" s="135">
        <v>44540</v>
      </c>
      <c r="Q239" s="135"/>
      <c r="R239" s="143"/>
      <c r="S239" s="143"/>
      <c r="T239" s="143"/>
      <c r="U239" s="143">
        <v>4</v>
      </c>
      <c r="V239" s="143">
        <v>46807</v>
      </c>
      <c r="W239" s="143" t="str">
        <f ca="1">IF(H239="",IF(D239="","",IF(U239+V239&lt;15,"Données Nb pers ou RFR manquantes",IF(COUNTA(INDIRECT("TabRFR["&amp;YEAR(D239)&amp;"]"))&lt;&gt;COUNTA(TabRFR[Recherche RFR]),"Data RFR manquantes", IF(V239&lt;=INDEX(TabRFR[[2021]:[2025]],MATCH(BD!U239&amp;"-Très modestes",TabRFR[Recherche RFR],0),MATCH(TEXT(YEAR(BD!D239),"Standard"),TabRFR[[#Headers],[2021]:[2025]],0)),"Très Modeste",IF(V239&lt;=INDEX(TabRFR[[2021]:[2025]],MATCH(BD!U239&amp;"-modestes",TabRFR[Recherche RFR],0),MATCH(TEXT(YEAR(BD!D239),"Standard"),TabRFR[[#Headers],[2021]:[2025]],0)),"Modeste",IF(V239&lt;=INDEX(TabRFR[[2021]:[2025]],MATCH(BD!U239&amp;"-Intermédiaire",TabRFR[Recherche RFR],0),MATCH(TEXT(YEAR(BD!D239),"Standard"),TabRFR[[#Headers],[2021]:[2025]],0)),"Intermédiaire","Supérieur")))))),IF(D239="","",IF(U239+V239&lt;15,"Données Nb pers ou RFR manquantes",IF(COUNTA(INDIRECT("TabRFR["&amp;YEAR(H239)&amp;"]"))&lt;&gt;COUNTA(TabRFR[Recherche RFR]),"Data RFR manquantes", IF(V239&lt;=INDEX(TabRFR[[2021]:[2025]],MATCH(BD!U239&amp;"-Très modestes",TabRFR[Recherche RFR],0),MATCH(TEXT(YEAR(BD!H239),"Standard"),TabRFR[[#Headers],[2021]:[2025]],0)),"Très Modeste",IF(V239&lt;=INDEX(TabRFR[[2021]:[2025]],MATCH(BD!U239&amp;"-modestes",TabRFR[Recherche RFR],0),MATCH(TEXT(YEAR(BD!H239),"Standard"),TabRFR[[#Headers],[2021]:[2025]],0)),"Modeste",IF(V239&lt;=INDEX(TabRFR[[2021]:[2025]],MATCH(BD!U239&amp;"-Intermédiaire",TabRFR[Recherche RFR],0),MATCH(TEXT(YEAR(BD!H239),"Standard"),TabRFR[[#Headers],[2021]:[2025]],0)),"Intermédiaire","Supérieur")))))))</f>
        <v>Intermédiaire</v>
      </c>
      <c r="X239" s="143"/>
      <c r="Y239" s="143" t="s">
        <v>1124</v>
      </c>
      <c r="Z239" s="143">
        <v>38620</v>
      </c>
      <c r="AA239" s="143" t="s">
        <v>680</v>
      </c>
      <c r="AB239" s="148"/>
      <c r="AC239" s="149"/>
      <c r="AD239" s="143" t="s">
        <v>91</v>
      </c>
      <c r="AE239" s="143" t="s">
        <v>76</v>
      </c>
      <c r="AF239" s="143" t="s">
        <v>76</v>
      </c>
      <c r="AG239" s="143" t="s">
        <v>76</v>
      </c>
      <c r="AH239" s="143" t="s">
        <v>76</v>
      </c>
      <c r="AI239" s="143" t="s">
        <v>92</v>
      </c>
      <c r="AJ239" s="143" t="s">
        <v>93</v>
      </c>
      <c r="AK239" s="143" t="s">
        <v>94</v>
      </c>
      <c r="AL239" s="149" t="s">
        <v>95</v>
      </c>
      <c r="AM239" s="148" t="s">
        <v>96</v>
      </c>
      <c r="AN239" s="143" t="s">
        <v>76</v>
      </c>
      <c r="AO239" s="150" t="s">
        <v>97</v>
      </c>
      <c r="AP239" s="147">
        <v>44517</v>
      </c>
      <c r="AQ239" s="135" t="s">
        <v>3496</v>
      </c>
      <c r="AR239" s="143">
        <v>1992</v>
      </c>
      <c r="AS239" s="143" t="s">
        <v>3413</v>
      </c>
      <c r="AT239" s="135" t="s">
        <v>3446</v>
      </c>
      <c r="AU239" s="143" t="s">
        <v>532</v>
      </c>
      <c r="AV239" s="143" t="s">
        <v>714</v>
      </c>
      <c r="AW239" s="143">
        <v>17</v>
      </c>
      <c r="AX239" s="143">
        <v>9</v>
      </c>
      <c r="AY239" s="143">
        <v>79.5</v>
      </c>
      <c r="AZ239" s="143">
        <v>0.12</v>
      </c>
      <c r="BA239" s="143" t="s">
        <v>101</v>
      </c>
      <c r="BB239" s="143"/>
      <c r="BC239" s="143">
        <f>2690+896+185+116.4+45</f>
        <v>3932.4</v>
      </c>
      <c r="BD239" s="143"/>
      <c r="BE239" s="143">
        <f>490+310</f>
        <v>800</v>
      </c>
      <c r="BF239" s="143">
        <f t="shared" si="9"/>
        <v>4732.3999999999996</v>
      </c>
      <c r="BG239" s="151">
        <f t="shared" si="10"/>
        <v>260.28199999999998</v>
      </c>
      <c r="BH239" s="151">
        <f t="shared" si="11"/>
        <v>4992.6819999999998</v>
      </c>
      <c r="BI239" s="151">
        <v>4992.68</v>
      </c>
      <c r="BJ239" s="143" t="s">
        <v>102</v>
      </c>
      <c r="BK239" s="143"/>
      <c r="BL239" s="143"/>
      <c r="BM239" s="144" t="s">
        <v>3592</v>
      </c>
      <c r="BN239" s="144" t="s">
        <v>103</v>
      </c>
      <c r="BO239" s="144" t="s">
        <v>143</v>
      </c>
      <c r="BP239" s="144">
        <v>2021</v>
      </c>
      <c r="BQ239" s="203" t="s">
        <v>144</v>
      </c>
    </row>
    <row r="240" spans="1:69" ht="41.1" customHeight="1">
      <c r="A240" s="206" t="s">
        <v>86</v>
      </c>
      <c r="B240" s="206" t="s">
        <v>1125</v>
      </c>
      <c r="C240" s="143">
        <v>600</v>
      </c>
      <c r="D240" s="135">
        <v>44445</v>
      </c>
      <c r="E240" s="135">
        <v>44448</v>
      </c>
      <c r="F240" s="147" t="s">
        <v>76</v>
      </c>
      <c r="G240" s="135" t="s">
        <v>76</v>
      </c>
      <c r="H240" s="147">
        <v>44455</v>
      </c>
      <c r="I240" s="147">
        <v>44455</v>
      </c>
      <c r="J240" s="147">
        <v>44469</v>
      </c>
      <c r="K240" s="135">
        <v>44613</v>
      </c>
      <c r="L240" s="135">
        <v>44595</v>
      </c>
      <c r="M240" s="135"/>
      <c r="N240" s="135">
        <v>44616</v>
      </c>
      <c r="O240" s="135">
        <v>44616</v>
      </c>
      <c r="P240" s="135">
        <v>44617</v>
      </c>
      <c r="Q240" s="135"/>
      <c r="R240" s="143"/>
      <c r="S240" s="143"/>
      <c r="T240" s="143"/>
      <c r="U240" s="143">
        <v>4</v>
      </c>
      <c r="V240" s="143">
        <v>54957</v>
      </c>
      <c r="W240" s="143" t="str">
        <f ca="1">IF(H240="",IF(D240="","",IF(U240+V240&lt;15,"Données Nb pers ou RFR manquantes",IF(COUNTA(INDIRECT("TabRFR["&amp;YEAR(D240)&amp;"]"))&lt;&gt;COUNTA(TabRFR[Recherche RFR]),"Data RFR manquantes", IF(V240&lt;=INDEX(TabRFR[[2021]:[2025]],MATCH(BD!U240&amp;"-Très modestes",TabRFR[Recherche RFR],0),MATCH(TEXT(YEAR(BD!D240),"Standard"),TabRFR[[#Headers],[2021]:[2025]],0)),"Très Modeste",IF(V240&lt;=INDEX(TabRFR[[2021]:[2025]],MATCH(BD!U240&amp;"-modestes",TabRFR[Recherche RFR],0),MATCH(TEXT(YEAR(BD!D240),"Standard"),TabRFR[[#Headers],[2021]:[2025]],0)),"Modeste",IF(V240&lt;=INDEX(TabRFR[[2021]:[2025]],MATCH(BD!U240&amp;"-Intermédiaire",TabRFR[Recherche RFR],0),MATCH(TEXT(YEAR(BD!D240),"Standard"),TabRFR[[#Headers],[2021]:[2025]],0)),"Intermédiaire","Supérieur")))))),IF(D240="","",IF(U240+V240&lt;15,"Données Nb pers ou RFR manquantes",IF(COUNTA(INDIRECT("TabRFR["&amp;YEAR(H240)&amp;"]"))&lt;&gt;COUNTA(TabRFR[Recherche RFR]),"Data RFR manquantes", IF(V240&lt;=INDEX(TabRFR[[2021]:[2025]],MATCH(BD!U240&amp;"-Très modestes",TabRFR[Recherche RFR],0),MATCH(TEXT(YEAR(BD!H240),"Standard"),TabRFR[[#Headers],[2021]:[2025]],0)),"Très Modeste",IF(V240&lt;=INDEX(TabRFR[[2021]:[2025]],MATCH(BD!U240&amp;"-modestes",TabRFR[Recherche RFR],0),MATCH(TEXT(YEAR(BD!H240),"Standard"),TabRFR[[#Headers],[2021]:[2025]],0)),"Modeste",IF(V240&lt;=INDEX(TabRFR[[2021]:[2025]],MATCH(BD!U240&amp;"-Intermédiaire",TabRFR[Recherche RFR],0),MATCH(TEXT(YEAR(BD!H240),"Standard"),TabRFR[[#Headers],[2021]:[2025]],0)),"Intermédiaire","Supérieur")))))))</f>
        <v>Intermédiaire</v>
      </c>
      <c r="X240" s="143"/>
      <c r="Y240" s="143" t="s">
        <v>1126</v>
      </c>
      <c r="Z240" s="143">
        <v>38210</v>
      </c>
      <c r="AA240" s="143" t="s">
        <v>202</v>
      </c>
      <c r="AB240" s="148"/>
      <c r="AC240" s="149"/>
      <c r="AD240" s="143" t="s">
        <v>91</v>
      </c>
      <c r="AE240" s="143" t="s">
        <v>76</v>
      </c>
      <c r="AF240" s="143" t="s">
        <v>76</v>
      </c>
      <c r="AG240" s="143" t="s">
        <v>76</v>
      </c>
      <c r="AH240" s="143" t="s">
        <v>76</v>
      </c>
      <c r="AI240" s="143" t="s">
        <v>109</v>
      </c>
      <c r="AJ240" s="143" t="s">
        <v>108</v>
      </c>
      <c r="AK240" s="143" t="s">
        <v>110</v>
      </c>
      <c r="AL240" s="149" t="s">
        <v>111</v>
      </c>
      <c r="AM240" s="148" t="s">
        <v>112</v>
      </c>
      <c r="AN240" s="143" t="s">
        <v>76</v>
      </c>
      <c r="AO240" s="150" t="s">
        <v>102</v>
      </c>
      <c r="AP240" s="147">
        <v>44503</v>
      </c>
      <c r="AQ240" s="143" t="s">
        <v>3413</v>
      </c>
      <c r="AR240" s="143">
        <v>1999</v>
      </c>
      <c r="AS240" s="143" t="s">
        <v>3413</v>
      </c>
      <c r="AT240" s="143" t="s">
        <v>98</v>
      </c>
      <c r="AU240" s="143" t="s">
        <v>113</v>
      </c>
      <c r="AV240" s="143" t="s">
        <v>1127</v>
      </c>
      <c r="AW240" s="143">
        <v>17</v>
      </c>
      <c r="AX240" s="143">
        <v>8.1</v>
      </c>
      <c r="AY240" s="143">
        <v>90.9</v>
      </c>
      <c r="AZ240" s="143">
        <v>2E-3</v>
      </c>
      <c r="BA240" s="143" t="s">
        <v>101</v>
      </c>
      <c r="BB240" s="143"/>
      <c r="BC240" s="143">
        <f>3596+90+81+138+62+43+22+60+15</f>
        <v>4107</v>
      </c>
      <c r="BD240" s="143"/>
      <c r="BE240" s="143">
        <f>30+440</f>
        <v>470</v>
      </c>
      <c r="BF240" s="143">
        <f t="shared" si="9"/>
        <v>4577</v>
      </c>
      <c r="BG240" s="151">
        <f t="shared" si="10"/>
        <v>251.73500000000001</v>
      </c>
      <c r="BH240" s="151">
        <f t="shared" si="11"/>
        <v>4828.7349999999997</v>
      </c>
      <c r="BI240" s="151">
        <v>4828.74</v>
      </c>
      <c r="BJ240" s="143" t="s">
        <v>102</v>
      </c>
      <c r="BK240" s="143"/>
      <c r="BL240" s="143"/>
      <c r="BM240" s="144" t="s">
        <v>3592</v>
      </c>
      <c r="BN240" s="144" t="s">
        <v>103</v>
      </c>
      <c r="BO240" s="144" t="s">
        <v>143</v>
      </c>
      <c r="BP240" s="143" t="s">
        <v>3583</v>
      </c>
      <c r="BQ240" s="203" t="s">
        <v>144</v>
      </c>
    </row>
    <row r="241" spans="1:69" ht="41.1" customHeight="1">
      <c r="A241" s="143" t="s">
        <v>86</v>
      </c>
      <c r="B241" s="143" t="s">
        <v>1128</v>
      </c>
      <c r="C241" s="143">
        <v>1000</v>
      </c>
      <c r="D241" s="135">
        <v>44446</v>
      </c>
      <c r="E241" s="135">
        <v>44448</v>
      </c>
      <c r="F241" s="147" t="s">
        <v>76</v>
      </c>
      <c r="G241" s="135" t="s">
        <v>76</v>
      </c>
      <c r="H241" s="147">
        <v>44455</v>
      </c>
      <c r="I241" s="147">
        <v>44455</v>
      </c>
      <c r="J241" s="147">
        <v>44469</v>
      </c>
      <c r="K241" s="135"/>
      <c r="L241" s="135"/>
      <c r="M241" s="135" t="s">
        <v>1129</v>
      </c>
      <c r="N241" s="135"/>
      <c r="O241" s="135"/>
      <c r="P241" s="135"/>
      <c r="Q241" s="135"/>
      <c r="R241" s="143"/>
      <c r="S241" s="143"/>
      <c r="T241" s="143"/>
      <c r="U241" s="143">
        <v>2</v>
      </c>
      <c r="V241" s="143">
        <v>17226</v>
      </c>
      <c r="W241" s="143" t="str">
        <f ca="1">IF(H241="",IF(D241="","",IF(U241+V241&lt;15,"Données Nb pers ou RFR manquantes",IF(COUNTA(INDIRECT("TabRFR["&amp;YEAR(D241)&amp;"]"))&lt;&gt;COUNTA(TabRFR[Recherche RFR]),"Data RFR manquantes", IF(V241&lt;=INDEX(TabRFR[[2021]:[2025]],MATCH(BD!U241&amp;"-Très modestes",TabRFR[Recherche RFR],0),MATCH(TEXT(YEAR(BD!D241),"Standard"),TabRFR[[#Headers],[2021]:[2025]],0)),"Très Modeste",IF(V241&lt;=INDEX(TabRFR[[2021]:[2025]],MATCH(BD!U241&amp;"-modestes",TabRFR[Recherche RFR],0),MATCH(TEXT(YEAR(BD!D241),"Standard"),TabRFR[[#Headers],[2021]:[2025]],0)),"Modeste",IF(V241&lt;=INDEX(TabRFR[[2021]:[2025]],MATCH(BD!U241&amp;"-Intermédiaire",TabRFR[Recherche RFR],0),MATCH(TEXT(YEAR(BD!D241),"Standard"),TabRFR[[#Headers],[2021]:[2025]],0)),"Intermédiaire","Supérieur")))))),IF(D241="","",IF(U241+V241&lt;15,"Données Nb pers ou RFR manquantes",IF(COUNTA(INDIRECT("TabRFR["&amp;YEAR(H241)&amp;"]"))&lt;&gt;COUNTA(TabRFR[Recherche RFR]),"Data RFR manquantes", IF(V241&lt;=INDEX(TabRFR[[2021]:[2025]],MATCH(BD!U241&amp;"-Très modestes",TabRFR[Recherche RFR],0),MATCH(TEXT(YEAR(BD!H241),"Standard"),TabRFR[[#Headers],[2021]:[2025]],0)),"Très Modeste",IF(V241&lt;=INDEX(TabRFR[[2021]:[2025]],MATCH(BD!U241&amp;"-modestes",TabRFR[Recherche RFR],0),MATCH(TEXT(YEAR(BD!H241),"Standard"),TabRFR[[#Headers],[2021]:[2025]],0)),"Modeste",IF(V241&lt;=INDEX(TabRFR[[2021]:[2025]],MATCH(BD!U241&amp;"-Intermédiaire",TabRFR[Recherche RFR],0),MATCH(TEXT(YEAR(BD!H241),"Standard"),TabRFR[[#Headers],[2021]:[2025]],0)),"Intermédiaire","Supérieur")))))))</f>
        <v>Très Modeste</v>
      </c>
      <c r="X241" s="143"/>
      <c r="Y241" s="143" t="s">
        <v>1130</v>
      </c>
      <c r="Z241" s="143">
        <v>38500</v>
      </c>
      <c r="AA241" s="143" t="s">
        <v>108</v>
      </c>
      <c r="AB241" s="148"/>
      <c r="AC241" s="149"/>
      <c r="AD241" s="143" t="s">
        <v>91</v>
      </c>
      <c r="AE241" s="143" t="s">
        <v>76</v>
      </c>
      <c r="AF241" s="143" t="s">
        <v>76</v>
      </c>
      <c r="AG241" s="143" t="s">
        <v>76</v>
      </c>
      <c r="AH241" s="143" t="s">
        <v>76</v>
      </c>
      <c r="AI241" s="143" t="s">
        <v>1131</v>
      </c>
      <c r="AJ241" s="143" t="s">
        <v>1132</v>
      </c>
      <c r="AK241" s="143" t="s">
        <v>1133</v>
      </c>
      <c r="AL241" s="150" t="s">
        <v>1134</v>
      </c>
      <c r="AM241" s="148">
        <v>476725701</v>
      </c>
      <c r="AN241" s="143" t="s">
        <v>76</v>
      </c>
      <c r="AO241" s="150" t="s">
        <v>102</v>
      </c>
      <c r="AP241" s="147">
        <v>44593</v>
      </c>
      <c r="AQ241" s="135" t="s">
        <v>3323</v>
      </c>
      <c r="AR241" s="143">
        <v>1989</v>
      </c>
      <c r="AS241" s="143" t="s">
        <v>3413</v>
      </c>
      <c r="AT241" s="135" t="s">
        <v>3446</v>
      </c>
      <c r="AU241" s="143" t="s">
        <v>488</v>
      </c>
      <c r="AV241" s="143" t="s">
        <v>1135</v>
      </c>
      <c r="AW241" s="143">
        <v>30</v>
      </c>
      <c r="AX241" s="143">
        <v>8</v>
      </c>
      <c r="AY241" s="143">
        <v>77</v>
      </c>
      <c r="AZ241" s="143">
        <v>0.1</v>
      </c>
      <c r="BA241" s="143" t="s">
        <v>101</v>
      </c>
      <c r="BB241" s="143"/>
      <c r="BC241" s="143">
        <f>645+380+200+200+645</f>
        <v>2070</v>
      </c>
      <c r="BD241" s="143"/>
      <c r="BE241" s="143">
        <f>100+1200</f>
        <v>1300</v>
      </c>
      <c r="BF241" s="143">
        <f t="shared" si="9"/>
        <v>3370</v>
      </c>
      <c r="BG241" s="151">
        <f t="shared" si="10"/>
        <v>185.35</v>
      </c>
      <c r="BH241" s="151">
        <f t="shared" si="11"/>
        <v>3555.35</v>
      </c>
      <c r="BI241" s="151">
        <v>3555.35</v>
      </c>
      <c r="BJ241" s="143" t="s">
        <v>102</v>
      </c>
      <c r="BK241" s="143"/>
      <c r="BL241" s="143"/>
      <c r="BM241" s="144" t="s">
        <v>3592</v>
      </c>
      <c r="BN241" s="144" t="s">
        <v>103</v>
      </c>
      <c r="BO241" s="144" t="s">
        <v>103</v>
      </c>
      <c r="BP241" s="144">
        <v>2021</v>
      </c>
      <c r="BQ241" s="203"/>
    </row>
    <row r="242" spans="1:69" ht="41.1" customHeight="1">
      <c r="A242" s="143" t="s">
        <v>86</v>
      </c>
      <c r="B242" s="143" t="s">
        <v>1136</v>
      </c>
      <c r="C242" s="143">
        <v>1000</v>
      </c>
      <c r="D242" s="135">
        <v>44447</v>
      </c>
      <c r="E242" s="135">
        <v>44448</v>
      </c>
      <c r="F242" s="147" t="s">
        <v>76</v>
      </c>
      <c r="G242" s="135" t="s">
        <v>76</v>
      </c>
      <c r="H242" s="147">
        <v>44455</v>
      </c>
      <c r="I242" s="147">
        <v>44455</v>
      </c>
      <c r="J242" s="147">
        <v>44469</v>
      </c>
      <c r="K242" s="135"/>
      <c r="L242" s="135"/>
      <c r="M242" s="135" t="s">
        <v>1129</v>
      </c>
      <c r="N242" s="135"/>
      <c r="O242" s="135"/>
      <c r="P242" s="135"/>
      <c r="Q242" s="135"/>
      <c r="R242" s="143"/>
      <c r="S242" s="143"/>
      <c r="T242" s="143"/>
      <c r="U242" s="143">
        <v>2</v>
      </c>
      <c r="V242" s="143">
        <v>19670</v>
      </c>
      <c r="W242" s="143" t="str">
        <f ca="1">IF(H242="",IF(D242="","",IF(U242+V242&lt;15,"Données Nb pers ou RFR manquantes",IF(COUNTA(INDIRECT("TabRFR["&amp;YEAR(D242)&amp;"]"))&lt;&gt;COUNTA(TabRFR[Recherche RFR]),"Data RFR manquantes", IF(V242&lt;=INDEX(TabRFR[[2021]:[2025]],MATCH(BD!U242&amp;"-Très modestes",TabRFR[Recherche RFR],0),MATCH(TEXT(YEAR(BD!D242),"Standard"),TabRFR[[#Headers],[2021]:[2025]],0)),"Très Modeste",IF(V242&lt;=INDEX(TabRFR[[2021]:[2025]],MATCH(BD!U242&amp;"-modestes",TabRFR[Recherche RFR],0),MATCH(TEXT(YEAR(BD!D242),"Standard"),TabRFR[[#Headers],[2021]:[2025]],0)),"Modeste",IF(V242&lt;=INDEX(TabRFR[[2021]:[2025]],MATCH(BD!U242&amp;"-Intermédiaire",TabRFR[Recherche RFR],0),MATCH(TEXT(YEAR(BD!D242),"Standard"),TabRFR[[#Headers],[2021]:[2025]],0)),"Intermédiaire","Supérieur")))))),IF(D242="","",IF(U242+V242&lt;15,"Données Nb pers ou RFR manquantes",IF(COUNTA(INDIRECT("TabRFR["&amp;YEAR(H242)&amp;"]"))&lt;&gt;COUNTA(TabRFR[Recherche RFR]),"Data RFR manquantes", IF(V242&lt;=INDEX(TabRFR[[2021]:[2025]],MATCH(BD!U242&amp;"-Très modestes",TabRFR[Recherche RFR],0),MATCH(TEXT(YEAR(BD!H242),"Standard"),TabRFR[[#Headers],[2021]:[2025]],0)),"Très Modeste",IF(V242&lt;=INDEX(TabRFR[[2021]:[2025]],MATCH(BD!U242&amp;"-modestes",TabRFR[Recherche RFR],0),MATCH(TEXT(YEAR(BD!H242),"Standard"),TabRFR[[#Headers],[2021]:[2025]],0)),"Modeste",IF(V242&lt;=INDEX(TabRFR[[2021]:[2025]],MATCH(BD!U242&amp;"-Intermédiaire",TabRFR[Recherche RFR],0),MATCH(TEXT(YEAR(BD!H242),"Standard"),TabRFR[[#Headers],[2021]:[2025]],0)),"Intermédiaire","Supérieur")))))))</f>
        <v>Très Modeste</v>
      </c>
      <c r="X242" s="143"/>
      <c r="Y242" s="143" t="s">
        <v>622</v>
      </c>
      <c r="Z242" s="143">
        <v>38850</v>
      </c>
      <c r="AA242" s="143" t="s">
        <v>435</v>
      </c>
      <c r="AB242" s="148"/>
      <c r="AC242" s="149"/>
      <c r="AD242" s="143" t="s">
        <v>91</v>
      </c>
      <c r="AE242" s="143" t="s">
        <v>76</v>
      </c>
      <c r="AF242" s="143" t="s">
        <v>76</v>
      </c>
      <c r="AG242" s="143" t="s">
        <v>76</v>
      </c>
      <c r="AH242" s="143" t="s">
        <v>76</v>
      </c>
      <c r="AI242" s="143" t="s">
        <v>298</v>
      </c>
      <c r="AJ242" s="143" t="s">
        <v>299</v>
      </c>
      <c r="AK242" s="143" t="s">
        <v>300</v>
      </c>
      <c r="AL242" s="150" t="s">
        <v>301</v>
      </c>
      <c r="AM242" s="148">
        <v>479750979</v>
      </c>
      <c r="AN242" s="143" t="s">
        <v>76</v>
      </c>
      <c r="AO242" s="150" t="s">
        <v>102</v>
      </c>
      <c r="AP242" s="147">
        <v>44798</v>
      </c>
      <c r="AQ242" s="135" t="s">
        <v>3449</v>
      </c>
      <c r="AR242" s="143" t="s">
        <v>1137</v>
      </c>
      <c r="AS242" s="143" t="s">
        <v>3413</v>
      </c>
      <c r="AT242" s="143" t="s">
        <v>98</v>
      </c>
      <c r="AU242" s="143" t="s">
        <v>113</v>
      </c>
      <c r="AV242" s="143" t="s">
        <v>778</v>
      </c>
      <c r="AW242" s="143">
        <v>11</v>
      </c>
      <c r="AX242" s="143">
        <v>7.8</v>
      </c>
      <c r="AY242" s="143">
        <v>90.2</v>
      </c>
      <c r="AZ242" s="143">
        <v>6.0000000000000001E-3</v>
      </c>
      <c r="BA242" s="143" t="s">
        <v>101</v>
      </c>
      <c r="BB242" s="143"/>
      <c r="BC242" s="143">
        <f>55+35+455+85+150+85+285+110+3865</f>
        <v>5125</v>
      </c>
      <c r="BD242" s="143"/>
      <c r="BE242" s="143">
        <v>760</v>
      </c>
      <c r="BF242" s="143">
        <f t="shared" si="9"/>
        <v>5885</v>
      </c>
      <c r="BG242" s="151">
        <f t="shared" si="10"/>
        <v>323.67500000000001</v>
      </c>
      <c r="BH242" s="151">
        <f t="shared" si="11"/>
        <v>6208.6750000000002</v>
      </c>
      <c r="BI242" s="151">
        <v>6208.07</v>
      </c>
      <c r="BJ242" s="143" t="s">
        <v>102</v>
      </c>
      <c r="BK242" s="143"/>
      <c r="BL242" s="143"/>
      <c r="BM242" s="144" t="s">
        <v>3592</v>
      </c>
      <c r="BN242" s="144" t="s">
        <v>103</v>
      </c>
      <c r="BO242" s="144" t="s">
        <v>103</v>
      </c>
      <c r="BP242" s="143" t="s">
        <v>3583</v>
      </c>
      <c r="BQ242" s="203"/>
    </row>
    <row r="243" spans="1:69" ht="41.1" customHeight="1">
      <c r="A243" s="206" t="s">
        <v>86</v>
      </c>
      <c r="B243" s="206" t="s">
        <v>1138</v>
      </c>
      <c r="C243" s="143">
        <v>600</v>
      </c>
      <c r="D243" s="135">
        <v>44449</v>
      </c>
      <c r="E243" s="135">
        <v>44452</v>
      </c>
      <c r="F243" s="147" t="s">
        <v>76</v>
      </c>
      <c r="G243" s="135" t="s">
        <v>76</v>
      </c>
      <c r="H243" s="147">
        <v>44455</v>
      </c>
      <c r="I243" s="147">
        <v>44455</v>
      </c>
      <c r="J243" s="147">
        <v>44469</v>
      </c>
      <c r="K243" s="135">
        <v>44838</v>
      </c>
      <c r="L243" s="135">
        <v>44743</v>
      </c>
      <c r="M243" s="135" t="s">
        <v>1139</v>
      </c>
      <c r="N243" s="135" t="s">
        <v>76</v>
      </c>
      <c r="O243" s="135">
        <v>44874</v>
      </c>
      <c r="P243" s="135">
        <v>44879</v>
      </c>
      <c r="Q243" s="135"/>
      <c r="R243" s="143"/>
      <c r="S243" s="143"/>
      <c r="T243" s="143"/>
      <c r="U243" s="143">
        <v>1</v>
      </c>
      <c r="V243" s="143">
        <v>23163</v>
      </c>
      <c r="W243" s="143" t="str">
        <f ca="1">IF(H243="",IF(D243="","",IF(U243+V243&lt;15,"Données Nb pers ou RFR manquantes",IF(COUNTA(INDIRECT("TabRFR["&amp;YEAR(D243)&amp;"]"))&lt;&gt;COUNTA(TabRFR[Recherche RFR]),"Data RFR manquantes", IF(V243&lt;=INDEX(TabRFR[[2021]:[2025]],MATCH(BD!U243&amp;"-Très modestes",TabRFR[Recherche RFR],0),MATCH(TEXT(YEAR(BD!D243),"Standard"),TabRFR[[#Headers],[2021]:[2025]],0)),"Très Modeste",IF(V243&lt;=INDEX(TabRFR[[2021]:[2025]],MATCH(BD!U243&amp;"-modestes",TabRFR[Recherche RFR],0),MATCH(TEXT(YEAR(BD!D243),"Standard"),TabRFR[[#Headers],[2021]:[2025]],0)),"Modeste",IF(V243&lt;=INDEX(TabRFR[[2021]:[2025]],MATCH(BD!U243&amp;"-Intermédiaire",TabRFR[Recherche RFR],0),MATCH(TEXT(YEAR(BD!D243),"Standard"),TabRFR[[#Headers],[2021]:[2025]],0)),"Intermédiaire","Supérieur")))))),IF(D243="","",IF(U243+V243&lt;15,"Données Nb pers ou RFR manquantes",IF(COUNTA(INDIRECT("TabRFR["&amp;YEAR(H243)&amp;"]"))&lt;&gt;COUNTA(TabRFR[Recherche RFR]),"Data RFR manquantes", IF(V243&lt;=INDEX(TabRFR[[2021]:[2025]],MATCH(BD!U243&amp;"-Très modestes",TabRFR[Recherche RFR],0),MATCH(TEXT(YEAR(BD!H243),"Standard"),TabRFR[[#Headers],[2021]:[2025]],0)),"Très Modeste",IF(V243&lt;=INDEX(TabRFR[[2021]:[2025]],MATCH(BD!U243&amp;"-modestes",TabRFR[Recherche RFR],0),MATCH(TEXT(YEAR(BD!H243),"Standard"),TabRFR[[#Headers],[2021]:[2025]],0)),"Modeste",IF(V243&lt;=INDEX(TabRFR[[2021]:[2025]],MATCH(BD!U243&amp;"-Intermédiaire",TabRFR[Recherche RFR],0),MATCH(TEXT(YEAR(BD!H243),"Standard"),TabRFR[[#Headers],[2021]:[2025]],0)),"Intermédiaire","Supérieur")))))))</f>
        <v>Intermédiaire</v>
      </c>
      <c r="X243" s="143"/>
      <c r="Y243" s="143" t="s">
        <v>1140</v>
      </c>
      <c r="Z243" s="143">
        <v>38960</v>
      </c>
      <c r="AA243" s="143" t="s">
        <v>209</v>
      </c>
      <c r="AB243" s="148"/>
      <c r="AC243" s="143"/>
      <c r="AD243" s="143" t="s">
        <v>91</v>
      </c>
      <c r="AE243" s="143" t="s">
        <v>76</v>
      </c>
      <c r="AF243" s="143" t="s">
        <v>76</v>
      </c>
      <c r="AG243" s="143" t="s">
        <v>76</v>
      </c>
      <c r="AH243" s="143" t="s">
        <v>76</v>
      </c>
      <c r="AI243" s="143" t="s">
        <v>109</v>
      </c>
      <c r="AJ243" s="143" t="s">
        <v>108</v>
      </c>
      <c r="AK243" s="143" t="s">
        <v>110</v>
      </c>
      <c r="AL243" s="149" t="s">
        <v>111</v>
      </c>
      <c r="AM243" s="148" t="s">
        <v>112</v>
      </c>
      <c r="AN243" s="143" t="s">
        <v>76</v>
      </c>
      <c r="AO243" s="150" t="s">
        <v>102</v>
      </c>
      <c r="AP243" s="147">
        <v>44503</v>
      </c>
      <c r="AQ243" s="135" t="s">
        <v>3496</v>
      </c>
      <c r="AR243" s="143">
        <v>1990</v>
      </c>
      <c r="AS243" s="143" t="s">
        <v>3413</v>
      </c>
      <c r="AT243" s="135" t="s">
        <v>3446</v>
      </c>
      <c r="AU243" s="143" t="s">
        <v>173</v>
      </c>
      <c r="AV243" s="143" t="s">
        <v>717</v>
      </c>
      <c r="AW243" s="143">
        <v>14</v>
      </c>
      <c r="AX243" s="143">
        <v>7.8</v>
      </c>
      <c r="AY243" s="143">
        <v>81</v>
      </c>
      <c r="AZ243" s="143">
        <v>0.08</v>
      </c>
      <c r="BA243" s="143" t="s">
        <v>101</v>
      </c>
      <c r="BB243" s="143"/>
      <c r="BC243" s="143">
        <f>2476.73+68+90+120</f>
        <v>2754.73</v>
      </c>
      <c r="BD243" s="143"/>
      <c r="BE243" s="143">
        <f>30+150</f>
        <v>180</v>
      </c>
      <c r="BF243" s="143">
        <f t="shared" si="9"/>
        <v>2934.73</v>
      </c>
      <c r="BG243" s="151">
        <f t="shared" si="10"/>
        <v>161.41015000000002</v>
      </c>
      <c r="BH243" s="151">
        <f t="shared" si="11"/>
        <v>3096.1401500000002</v>
      </c>
      <c r="BI243" s="151">
        <v>2573.5500000000002</v>
      </c>
      <c r="BJ243" s="143" t="s">
        <v>102</v>
      </c>
      <c r="BK243" s="143"/>
      <c r="BL243" s="143"/>
      <c r="BM243" s="144" t="s">
        <v>3592</v>
      </c>
      <c r="BN243" s="144" t="s">
        <v>103</v>
      </c>
      <c r="BO243" s="144" t="s">
        <v>143</v>
      </c>
      <c r="BP243" s="143">
        <v>2021</v>
      </c>
      <c r="BQ243" s="203" t="s">
        <v>3275</v>
      </c>
    </row>
    <row r="244" spans="1:69" ht="41.1" customHeight="1">
      <c r="A244" s="206" t="s">
        <v>86</v>
      </c>
      <c r="B244" s="206" t="s">
        <v>1141</v>
      </c>
      <c r="C244" s="143">
        <v>1000</v>
      </c>
      <c r="D244" s="135">
        <v>44449</v>
      </c>
      <c r="E244" s="135">
        <v>44452</v>
      </c>
      <c r="F244" s="147" t="s">
        <v>76</v>
      </c>
      <c r="G244" s="135" t="s">
        <v>76</v>
      </c>
      <c r="H244" s="147">
        <v>44455</v>
      </c>
      <c r="I244" s="147">
        <v>44455</v>
      </c>
      <c r="J244" s="147">
        <v>44469</v>
      </c>
      <c r="K244" s="135">
        <v>44601</v>
      </c>
      <c r="L244" s="135">
        <v>44594</v>
      </c>
      <c r="M244" s="135" t="s">
        <v>76</v>
      </c>
      <c r="N244" s="135">
        <v>44606</v>
      </c>
      <c r="O244" s="135">
        <v>44606</v>
      </c>
      <c r="P244" s="135">
        <v>44607</v>
      </c>
      <c r="Q244" s="135"/>
      <c r="R244" s="143"/>
      <c r="S244" s="143"/>
      <c r="T244" s="143"/>
      <c r="U244" s="143">
        <v>4</v>
      </c>
      <c r="V244" s="143">
        <v>36623</v>
      </c>
      <c r="W244" s="143" t="str">
        <f ca="1">IF(H244="",IF(D244="","",IF(U244+V244&lt;15,"Données Nb pers ou RFR manquantes",IF(COUNTA(INDIRECT("TabRFR["&amp;YEAR(D244)&amp;"]"))&lt;&gt;COUNTA(TabRFR[Recherche RFR]),"Data RFR manquantes", IF(V244&lt;=INDEX(TabRFR[[2021]:[2025]],MATCH(BD!U244&amp;"-Très modestes",TabRFR[Recherche RFR],0),MATCH(TEXT(YEAR(BD!D244),"Standard"),TabRFR[[#Headers],[2021]:[2025]],0)),"Très Modeste",IF(V244&lt;=INDEX(TabRFR[[2021]:[2025]],MATCH(BD!U244&amp;"-modestes",TabRFR[Recherche RFR],0),MATCH(TEXT(YEAR(BD!D244),"Standard"),TabRFR[[#Headers],[2021]:[2025]],0)),"Modeste",IF(V244&lt;=INDEX(TabRFR[[2021]:[2025]],MATCH(BD!U244&amp;"-Intermédiaire",TabRFR[Recherche RFR],0),MATCH(TEXT(YEAR(BD!D244),"Standard"),TabRFR[[#Headers],[2021]:[2025]],0)),"Intermédiaire","Supérieur")))))),IF(D244="","",IF(U244+V244&lt;15,"Données Nb pers ou RFR manquantes",IF(COUNTA(INDIRECT("TabRFR["&amp;YEAR(H244)&amp;"]"))&lt;&gt;COUNTA(TabRFR[Recherche RFR]),"Data RFR manquantes", IF(V244&lt;=INDEX(TabRFR[[2021]:[2025]],MATCH(BD!U244&amp;"-Très modestes",TabRFR[Recherche RFR],0),MATCH(TEXT(YEAR(BD!H244),"Standard"),TabRFR[[#Headers],[2021]:[2025]],0)),"Très Modeste",IF(V244&lt;=INDEX(TabRFR[[2021]:[2025]],MATCH(BD!U244&amp;"-modestes",TabRFR[Recherche RFR],0),MATCH(TEXT(YEAR(BD!H244),"Standard"),TabRFR[[#Headers],[2021]:[2025]],0)),"Modeste",IF(V244&lt;=INDEX(TabRFR[[2021]:[2025]],MATCH(BD!U244&amp;"-Intermédiaire",TabRFR[Recherche RFR],0),MATCH(TEXT(YEAR(BD!H244),"Standard"),TabRFR[[#Headers],[2021]:[2025]],0)),"Intermédiaire","Supérieur")))))))</f>
        <v>Modeste</v>
      </c>
      <c r="X244" s="143"/>
      <c r="Y244" s="143" t="s">
        <v>1142</v>
      </c>
      <c r="Z244" s="143">
        <v>38210</v>
      </c>
      <c r="AA244" s="143" t="s">
        <v>202</v>
      </c>
      <c r="AB244" s="148"/>
      <c r="AC244" s="149"/>
      <c r="AD244" s="143" t="s">
        <v>91</v>
      </c>
      <c r="AE244" s="143" t="s">
        <v>76</v>
      </c>
      <c r="AF244" s="143" t="s">
        <v>76</v>
      </c>
      <c r="AG244" s="143" t="s">
        <v>76</v>
      </c>
      <c r="AH244" s="143" t="s">
        <v>76</v>
      </c>
      <c r="AI244" s="143" t="s">
        <v>331</v>
      </c>
      <c r="AJ244" s="143" t="s">
        <v>202</v>
      </c>
      <c r="AK244" s="143" t="s">
        <v>332</v>
      </c>
      <c r="AL244" s="150" t="s">
        <v>333</v>
      </c>
      <c r="AM244" s="148">
        <v>611953404</v>
      </c>
      <c r="AN244" s="143" t="s">
        <v>76</v>
      </c>
      <c r="AO244" s="150" t="s">
        <v>102</v>
      </c>
      <c r="AP244" s="147">
        <v>44734</v>
      </c>
      <c r="AQ244" s="143" t="s">
        <v>3413</v>
      </c>
      <c r="AR244" s="143">
        <v>1970</v>
      </c>
      <c r="AS244" s="143" t="s">
        <v>1955</v>
      </c>
      <c r="AT244" s="143" t="s">
        <v>98</v>
      </c>
      <c r="AU244" s="143" t="s">
        <v>933</v>
      </c>
      <c r="AV244" s="143" t="s">
        <v>1143</v>
      </c>
      <c r="AW244" s="143">
        <v>17</v>
      </c>
      <c r="AX244" s="143">
        <v>12</v>
      </c>
      <c r="AY244" s="143">
        <v>95</v>
      </c>
      <c r="AZ244" s="143">
        <v>3.1199999999999999E-3</v>
      </c>
      <c r="BA244" s="143" t="s">
        <v>101</v>
      </c>
      <c r="BB244" s="143"/>
      <c r="BC244" s="143">
        <f>14518+1480+369+308+887</f>
        <v>17562</v>
      </c>
      <c r="BD244" s="143"/>
      <c r="BE244" s="143">
        <f>950+1920+3780</f>
        <v>6650</v>
      </c>
      <c r="BF244" s="143">
        <f t="shared" si="9"/>
        <v>24212</v>
      </c>
      <c r="BG244" s="151">
        <f t="shared" si="10"/>
        <v>1331.66</v>
      </c>
      <c r="BH244" s="151">
        <f t="shared" si="11"/>
        <v>25543.66</v>
      </c>
      <c r="BI244" s="151">
        <v>22330.13</v>
      </c>
      <c r="BJ244" s="143" t="s">
        <v>102</v>
      </c>
      <c r="BK244" s="143"/>
      <c r="BL244" s="143"/>
      <c r="BM244" s="144" t="s">
        <v>3592</v>
      </c>
      <c r="BN244" s="144" t="s">
        <v>103</v>
      </c>
      <c r="BO244" s="135" t="s">
        <v>155</v>
      </c>
      <c r="BP244" s="143" t="s">
        <v>3583</v>
      </c>
      <c r="BQ244" s="203" t="s">
        <v>144</v>
      </c>
    </row>
    <row r="245" spans="1:69" ht="41.1" customHeight="1">
      <c r="A245" s="206" t="s">
        <v>86</v>
      </c>
      <c r="B245" s="206" t="s">
        <v>1144</v>
      </c>
      <c r="C245" s="143">
        <v>600</v>
      </c>
      <c r="D245" s="135">
        <v>44449</v>
      </c>
      <c r="E245" s="135">
        <v>44452</v>
      </c>
      <c r="F245" s="147" t="s">
        <v>76</v>
      </c>
      <c r="G245" s="135" t="s">
        <v>76</v>
      </c>
      <c r="H245" s="147">
        <v>44455</v>
      </c>
      <c r="I245" s="147">
        <v>44455</v>
      </c>
      <c r="J245" s="147">
        <v>44469</v>
      </c>
      <c r="K245" s="135">
        <v>44575</v>
      </c>
      <c r="L245" s="135">
        <v>44530</v>
      </c>
      <c r="M245" s="135" t="s">
        <v>76</v>
      </c>
      <c r="N245" s="135">
        <v>44580</v>
      </c>
      <c r="O245" s="135">
        <v>44580</v>
      </c>
      <c r="P245" s="135">
        <v>44581</v>
      </c>
      <c r="Q245" s="135"/>
      <c r="R245" s="143"/>
      <c r="S245" s="143"/>
      <c r="T245" s="143"/>
      <c r="U245" s="143">
        <v>4</v>
      </c>
      <c r="V245" s="143">
        <v>43399</v>
      </c>
      <c r="W245" s="143" t="str">
        <f ca="1">IF(H245="",IF(D245="","",IF(U245+V245&lt;15,"Données Nb pers ou RFR manquantes",IF(COUNTA(INDIRECT("TabRFR["&amp;YEAR(D245)&amp;"]"))&lt;&gt;COUNTA(TabRFR[Recherche RFR]),"Data RFR manquantes", IF(V245&lt;=INDEX(TabRFR[[2021]:[2025]],MATCH(BD!U245&amp;"-Très modestes",TabRFR[Recherche RFR],0),MATCH(TEXT(YEAR(BD!D245),"Standard"),TabRFR[[#Headers],[2021]:[2025]],0)),"Très Modeste",IF(V245&lt;=INDEX(TabRFR[[2021]:[2025]],MATCH(BD!U245&amp;"-modestes",TabRFR[Recherche RFR],0),MATCH(TEXT(YEAR(BD!D245),"Standard"),TabRFR[[#Headers],[2021]:[2025]],0)),"Modeste",IF(V245&lt;=INDEX(TabRFR[[2021]:[2025]],MATCH(BD!U245&amp;"-Intermédiaire",TabRFR[Recherche RFR],0),MATCH(TEXT(YEAR(BD!D245),"Standard"),TabRFR[[#Headers],[2021]:[2025]],0)),"Intermédiaire","Supérieur")))))),IF(D245="","",IF(U245+V245&lt;15,"Données Nb pers ou RFR manquantes",IF(COUNTA(INDIRECT("TabRFR["&amp;YEAR(H245)&amp;"]"))&lt;&gt;COUNTA(TabRFR[Recherche RFR]),"Data RFR manquantes", IF(V245&lt;=INDEX(TabRFR[[2021]:[2025]],MATCH(BD!U245&amp;"-Très modestes",TabRFR[Recherche RFR],0),MATCH(TEXT(YEAR(BD!H245),"Standard"),TabRFR[[#Headers],[2021]:[2025]],0)),"Très Modeste",IF(V245&lt;=INDEX(TabRFR[[2021]:[2025]],MATCH(BD!U245&amp;"-modestes",TabRFR[Recherche RFR],0),MATCH(TEXT(YEAR(BD!H245),"Standard"),TabRFR[[#Headers],[2021]:[2025]],0)),"Modeste",IF(V245&lt;=INDEX(TabRFR[[2021]:[2025]],MATCH(BD!U245&amp;"-Intermédiaire",TabRFR[Recherche RFR],0),MATCH(TEXT(YEAR(BD!H245),"Standard"),TabRFR[[#Headers],[2021]:[2025]],0)),"Intermédiaire","Supérieur")))))))</f>
        <v>Intermédiaire</v>
      </c>
      <c r="X245" s="143"/>
      <c r="Y245" s="143" t="s">
        <v>1145</v>
      </c>
      <c r="Z245" s="143">
        <v>38850</v>
      </c>
      <c r="AA245" s="143" t="s">
        <v>193</v>
      </c>
      <c r="AB245" s="148"/>
      <c r="AC245" s="149"/>
      <c r="AD245" s="143" t="s">
        <v>91</v>
      </c>
      <c r="AE245" s="143" t="s">
        <v>76</v>
      </c>
      <c r="AF245" s="143" t="s">
        <v>76</v>
      </c>
      <c r="AG245" s="143" t="s">
        <v>76</v>
      </c>
      <c r="AH245" s="143" t="s">
        <v>76</v>
      </c>
      <c r="AI245" s="143" t="s">
        <v>92</v>
      </c>
      <c r="AJ245" s="143" t="s">
        <v>93</v>
      </c>
      <c r="AK245" s="143" t="s">
        <v>94</v>
      </c>
      <c r="AL245" s="149" t="s">
        <v>95</v>
      </c>
      <c r="AM245" s="148" t="s">
        <v>96</v>
      </c>
      <c r="AN245" s="143" t="s">
        <v>76</v>
      </c>
      <c r="AO245" s="150" t="s">
        <v>97</v>
      </c>
      <c r="AP245" s="147">
        <v>44517</v>
      </c>
      <c r="AQ245" s="135" t="s">
        <v>3323</v>
      </c>
      <c r="AR245" s="143">
        <v>2000</v>
      </c>
      <c r="AS245" s="143" t="s">
        <v>3413</v>
      </c>
      <c r="AT245" s="143" t="s">
        <v>98</v>
      </c>
      <c r="AU245" s="143" t="s">
        <v>99</v>
      </c>
      <c r="AV245" s="143" t="s">
        <v>708</v>
      </c>
      <c r="AW245" s="143">
        <v>16</v>
      </c>
      <c r="AX245" s="143">
        <v>9.1</v>
      </c>
      <c r="AY245" s="143">
        <v>91.8</v>
      </c>
      <c r="AZ245" s="143">
        <v>3.7599999999999999E-3</v>
      </c>
      <c r="BA245" s="143" t="s">
        <v>101</v>
      </c>
      <c r="BB245" s="143"/>
      <c r="BC245" s="143">
        <f>4290+996+185+193</f>
        <v>5664</v>
      </c>
      <c r="BD245" s="143"/>
      <c r="BE245" s="143">
        <v>790</v>
      </c>
      <c r="BF245" s="143">
        <f t="shared" si="9"/>
        <v>6454</v>
      </c>
      <c r="BG245" s="151">
        <f t="shared" si="10"/>
        <v>354.97</v>
      </c>
      <c r="BH245" s="151">
        <f t="shared" si="11"/>
        <v>6808.97</v>
      </c>
      <c r="BI245" s="151">
        <v>6808.97</v>
      </c>
      <c r="BJ245" s="143" t="s">
        <v>102</v>
      </c>
      <c r="BK245" s="143"/>
      <c r="BL245" s="143"/>
      <c r="BM245" s="144" t="s">
        <v>3592</v>
      </c>
      <c r="BN245" s="144" t="s">
        <v>103</v>
      </c>
      <c r="BO245" s="144" t="s">
        <v>143</v>
      </c>
      <c r="BP245" s="143" t="s">
        <v>3583</v>
      </c>
      <c r="BQ245" s="203" t="s">
        <v>144</v>
      </c>
    </row>
    <row r="246" spans="1:69" ht="41.1" customHeight="1">
      <c r="A246" s="206" t="s">
        <v>86</v>
      </c>
      <c r="B246" s="206" t="s">
        <v>1146</v>
      </c>
      <c r="C246" s="143">
        <v>1000</v>
      </c>
      <c r="D246" s="135">
        <v>44451</v>
      </c>
      <c r="E246" s="135">
        <v>44452</v>
      </c>
      <c r="F246" s="147" t="s">
        <v>76</v>
      </c>
      <c r="G246" s="135" t="s">
        <v>76</v>
      </c>
      <c r="H246" s="147">
        <v>44455</v>
      </c>
      <c r="I246" s="147">
        <v>44455</v>
      </c>
      <c r="J246" s="147">
        <v>44469</v>
      </c>
      <c r="K246" s="135">
        <v>44607</v>
      </c>
      <c r="L246" s="135">
        <v>44546</v>
      </c>
      <c r="M246" s="135" t="s">
        <v>76</v>
      </c>
      <c r="N246" s="135">
        <v>44609</v>
      </c>
      <c r="O246" s="135">
        <v>44609</v>
      </c>
      <c r="P246" s="135">
        <v>44609</v>
      </c>
      <c r="Q246" s="135"/>
      <c r="R246" s="143"/>
      <c r="S246" s="143"/>
      <c r="T246" s="143"/>
      <c r="U246" s="143">
        <v>4</v>
      </c>
      <c r="V246" s="143">
        <v>32738</v>
      </c>
      <c r="W246" s="143" t="str">
        <f ca="1">IF(H246="",IF(D246="","",IF(U246+V246&lt;15,"Données Nb pers ou RFR manquantes",IF(COUNTA(INDIRECT("TabRFR["&amp;YEAR(D246)&amp;"]"))&lt;&gt;COUNTA(TabRFR[Recherche RFR]),"Data RFR manquantes", IF(V246&lt;=INDEX(TabRFR[[2021]:[2025]],MATCH(BD!U246&amp;"-Très modestes",TabRFR[Recherche RFR],0),MATCH(TEXT(YEAR(BD!D246),"Standard"),TabRFR[[#Headers],[2021]:[2025]],0)),"Très Modeste",IF(V246&lt;=INDEX(TabRFR[[2021]:[2025]],MATCH(BD!U246&amp;"-modestes",TabRFR[Recherche RFR],0),MATCH(TEXT(YEAR(BD!D246),"Standard"),TabRFR[[#Headers],[2021]:[2025]],0)),"Modeste",IF(V246&lt;=INDEX(TabRFR[[2021]:[2025]],MATCH(BD!U246&amp;"-Intermédiaire",TabRFR[Recherche RFR],0),MATCH(TEXT(YEAR(BD!D246),"Standard"),TabRFR[[#Headers],[2021]:[2025]],0)),"Intermédiaire","Supérieur")))))),IF(D246="","",IF(U246+V246&lt;15,"Données Nb pers ou RFR manquantes",IF(COUNTA(INDIRECT("TabRFR["&amp;YEAR(H246)&amp;"]"))&lt;&gt;COUNTA(TabRFR[Recherche RFR]),"Data RFR manquantes", IF(V246&lt;=INDEX(TabRFR[[2021]:[2025]],MATCH(BD!U246&amp;"-Très modestes",TabRFR[Recherche RFR],0),MATCH(TEXT(YEAR(BD!H246),"Standard"),TabRFR[[#Headers],[2021]:[2025]],0)),"Très Modeste",IF(V246&lt;=INDEX(TabRFR[[2021]:[2025]],MATCH(BD!U246&amp;"-modestes",TabRFR[Recherche RFR],0),MATCH(TEXT(YEAR(BD!H246),"Standard"),TabRFR[[#Headers],[2021]:[2025]],0)),"Modeste",IF(V246&lt;=INDEX(TabRFR[[2021]:[2025]],MATCH(BD!U246&amp;"-Intermédiaire",TabRFR[Recherche RFR],0),MATCH(TEXT(YEAR(BD!H246),"Standard"),TabRFR[[#Headers],[2021]:[2025]],0)),"Intermédiaire","Supérieur")))))))</f>
        <v>Modeste</v>
      </c>
      <c r="X246" s="143"/>
      <c r="Y246" s="143" t="s">
        <v>1147</v>
      </c>
      <c r="Z246" s="143">
        <v>38500</v>
      </c>
      <c r="AA246" s="143" t="s">
        <v>284</v>
      </c>
      <c r="AB246" s="148"/>
      <c r="AC246" s="149"/>
      <c r="AD246" s="143" t="s">
        <v>91</v>
      </c>
      <c r="AE246" s="143" t="s">
        <v>76</v>
      </c>
      <c r="AF246" s="143" t="s">
        <v>76</v>
      </c>
      <c r="AG246" s="143" t="s">
        <v>76</v>
      </c>
      <c r="AH246" s="143" t="s">
        <v>76</v>
      </c>
      <c r="AI246" s="143" t="s">
        <v>109</v>
      </c>
      <c r="AJ246" s="143" t="s">
        <v>108</v>
      </c>
      <c r="AK246" s="143" t="s">
        <v>110</v>
      </c>
      <c r="AL246" s="149" t="s">
        <v>111</v>
      </c>
      <c r="AM246" s="148" t="s">
        <v>112</v>
      </c>
      <c r="AN246" s="143" t="s">
        <v>76</v>
      </c>
      <c r="AO246" s="150" t="s">
        <v>102</v>
      </c>
      <c r="AP246" s="147">
        <v>44503</v>
      </c>
      <c r="AQ246" s="143" t="s">
        <v>3413</v>
      </c>
      <c r="AR246" s="143">
        <v>1990</v>
      </c>
      <c r="AS246" s="143" t="s">
        <v>3413</v>
      </c>
      <c r="AT246" s="143" t="s">
        <v>98</v>
      </c>
      <c r="AU246" s="143" t="s">
        <v>113</v>
      </c>
      <c r="AV246" s="143" t="s">
        <v>1148</v>
      </c>
      <c r="AW246" s="143">
        <v>17</v>
      </c>
      <c r="AX246" s="143">
        <v>8.1</v>
      </c>
      <c r="AY246" s="143">
        <v>90.9</v>
      </c>
      <c r="AZ246" s="143">
        <v>2E-3</v>
      </c>
      <c r="BA246" s="143" t="s">
        <v>101</v>
      </c>
      <c r="BB246" s="143"/>
      <c r="BC246" s="143">
        <f>3122+638+467.46+70+178+330+234+89+60+90+45+68+172+98+15</f>
        <v>5676.46</v>
      </c>
      <c r="BD246" s="143"/>
      <c r="BE246" s="143">
        <f>35+480</f>
        <v>515</v>
      </c>
      <c r="BF246" s="143">
        <f t="shared" si="9"/>
        <v>6191.46</v>
      </c>
      <c r="BG246" s="151">
        <f t="shared" si="10"/>
        <v>340.53030000000001</v>
      </c>
      <c r="BH246" s="151">
        <f t="shared" si="11"/>
        <v>6531.9903000000004</v>
      </c>
      <c r="BI246" s="151">
        <v>6531.99</v>
      </c>
      <c r="BJ246" s="143" t="s">
        <v>102</v>
      </c>
      <c r="BK246" s="143"/>
      <c r="BL246" s="143"/>
      <c r="BM246" s="144" t="s">
        <v>3592</v>
      </c>
      <c r="BN246" s="144" t="s">
        <v>103</v>
      </c>
      <c r="BO246" s="135" t="s">
        <v>155</v>
      </c>
      <c r="BP246" s="143" t="s">
        <v>3583</v>
      </c>
      <c r="BQ246" s="203" t="s">
        <v>144</v>
      </c>
    </row>
    <row r="247" spans="1:69" ht="41.1" customHeight="1">
      <c r="A247" s="206" t="s">
        <v>86</v>
      </c>
      <c r="B247" s="206" t="s">
        <v>1149</v>
      </c>
      <c r="C247" s="143">
        <v>600</v>
      </c>
      <c r="D247" s="135">
        <v>44449</v>
      </c>
      <c r="E247" s="135">
        <v>44452</v>
      </c>
      <c r="F247" s="147" t="s">
        <v>76</v>
      </c>
      <c r="G247" s="135" t="s">
        <v>76</v>
      </c>
      <c r="H247" s="147">
        <v>44455</v>
      </c>
      <c r="I247" s="147">
        <v>44455</v>
      </c>
      <c r="J247" s="147">
        <v>44469</v>
      </c>
      <c r="K247" s="135">
        <v>44575</v>
      </c>
      <c r="L247" s="135">
        <v>44530</v>
      </c>
      <c r="M247" s="135" t="s">
        <v>76</v>
      </c>
      <c r="N247" s="135">
        <v>44580</v>
      </c>
      <c r="O247" s="135">
        <v>44580</v>
      </c>
      <c r="P247" s="135">
        <v>44581</v>
      </c>
      <c r="Q247" s="135"/>
      <c r="R247" s="143"/>
      <c r="S247" s="143"/>
      <c r="T247" s="143"/>
      <c r="U247" s="143">
        <v>1</v>
      </c>
      <c r="V247" s="143">
        <v>31169</v>
      </c>
      <c r="W247" s="143" t="str">
        <f ca="1">IF(H247="",IF(D247="","",IF(U247+V247&lt;15,"Données Nb pers ou RFR manquantes",IF(COUNTA(INDIRECT("TabRFR["&amp;YEAR(D247)&amp;"]"))&lt;&gt;COUNTA(TabRFR[Recherche RFR]),"Data RFR manquantes", IF(V247&lt;=INDEX(TabRFR[[2021]:[2025]],MATCH(BD!U247&amp;"-Très modestes",TabRFR[Recherche RFR],0),MATCH(TEXT(YEAR(BD!D247),"Standard"),TabRFR[[#Headers],[2021]:[2025]],0)),"Très Modeste",IF(V247&lt;=INDEX(TabRFR[[2021]:[2025]],MATCH(BD!U247&amp;"-modestes",TabRFR[Recherche RFR],0),MATCH(TEXT(YEAR(BD!D247),"Standard"),TabRFR[[#Headers],[2021]:[2025]],0)),"Modeste",IF(V247&lt;=INDEX(TabRFR[[2021]:[2025]],MATCH(BD!U247&amp;"-Intermédiaire",TabRFR[Recherche RFR],0),MATCH(TEXT(YEAR(BD!D247),"Standard"),TabRFR[[#Headers],[2021]:[2025]],0)),"Intermédiaire","Supérieur")))))),IF(D247="","",IF(U247+V247&lt;15,"Données Nb pers ou RFR manquantes",IF(COUNTA(INDIRECT("TabRFR["&amp;YEAR(H247)&amp;"]"))&lt;&gt;COUNTA(TabRFR[Recherche RFR]),"Data RFR manquantes", IF(V247&lt;=INDEX(TabRFR[[2021]:[2025]],MATCH(BD!U247&amp;"-Très modestes",TabRFR[Recherche RFR],0),MATCH(TEXT(YEAR(BD!H247),"Standard"),TabRFR[[#Headers],[2021]:[2025]],0)),"Très Modeste",IF(V247&lt;=INDEX(TabRFR[[2021]:[2025]],MATCH(BD!U247&amp;"-modestes",TabRFR[Recherche RFR],0),MATCH(TEXT(YEAR(BD!H247),"Standard"),TabRFR[[#Headers],[2021]:[2025]],0)),"Modeste",IF(V247&lt;=INDEX(TabRFR[[2021]:[2025]],MATCH(BD!U247&amp;"-Intermédiaire",TabRFR[Recherche RFR],0),MATCH(TEXT(YEAR(BD!H247),"Standard"),TabRFR[[#Headers],[2021]:[2025]],0)),"Intermédiaire","Supérieur")))))))</f>
        <v>Supérieur</v>
      </c>
      <c r="X247" s="143"/>
      <c r="Y247" s="143" t="s">
        <v>167</v>
      </c>
      <c r="Z247" s="143">
        <v>38850</v>
      </c>
      <c r="AA247" s="143" t="s">
        <v>168</v>
      </c>
      <c r="AB247" s="148"/>
      <c r="AC247" s="149"/>
      <c r="AD247" s="143" t="s">
        <v>91</v>
      </c>
      <c r="AE247" s="143" t="s">
        <v>76</v>
      </c>
      <c r="AF247" s="143" t="s">
        <v>76</v>
      </c>
      <c r="AG247" s="143" t="s">
        <v>76</v>
      </c>
      <c r="AH247" s="143" t="s">
        <v>76</v>
      </c>
      <c r="AI247" s="143" t="s">
        <v>92</v>
      </c>
      <c r="AJ247" s="143" t="s">
        <v>93</v>
      </c>
      <c r="AK247" s="143" t="s">
        <v>94</v>
      </c>
      <c r="AL247" s="149" t="s">
        <v>95</v>
      </c>
      <c r="AM247" s="148" t="s">
        <v>96</v>
      </c>
      <c r="AN247" s="143" t="s">
        <v>76</v>
      </c>
      <c r="AO247" s="150" t="s">
        <v>97</v>
      </c>
      <c r="AP247" s="147">
        <v>44517</v>
      </c>
      <c r="AQ247" s="135" t="s">
        <v>3496</v>
      </c>
      <c r="AR247" s="143">
        <v>1999</v>
      </c>
      <c r="AS247" s="143" t="s">
        <v>3413</v>
      </c>
      <c r="AT247" s="135" t="s">
        <v>3446</v>
      </c>
      <c r="AU247" s="143" t="s">
        <v>532</v>
      </c>
      <c r="AV247" s="143" t="s">
        <v>1042</v>
      </c>
      <c r="AW247" s="143">
        <v>40</v>
      </c>
      <c r="AX247" s="143">
        <v>5.9</v>
      </c>
      <c r="AY247" s="143">
        <v>83.6</v>
      </c>
      <c r="AZ247" s="143">
        <v>7.0000000000000007E-2</v>
      </c>
      <c r="BA247" s="143" t="s">
        <v>101</v>
      </c>
      <c r="BB247" s="143"/>
      <c r="BC247" s="143">
        <f>2820+995+195+128+86.2+45+198</f>
        <v>4467.2</v>
      </c>
      <c r="BD247" s="143"/>
      <c r="BE247" s="143">
        <f>690+430</f>
        <v>1120</v>
      </c>
      <c r="BF247" s="143">
        <f t="shared" si="9"/>
        <v>5587.2</v>
      </c>
      <c r="BG247" s="151">
        <f t="shared" si="10"/>
        <v>307.29599999999999</v>
      </c>
      <c r="BH247" s="151">
        <f t="shared" si="11"/>
        <v>5894.4960000000001</v>
      </c>
      <c r="BI247" s="151">
        <v>5894.5</v>
      </c>
      <c r="BJ247" s="143" t="s">
        <v>102</v>
      </c>
      <c r="BK247" s="143"/>
      <c r="BL247" s="143"/>
      <c r="BM247" s="144" t="s">
        <v>3592</v>
      </c>
      <c r="BN247" s="144" t="s">
        <v>103</v>
      </c>
      <c r="BO247" s="144" t="s">
        <v>143</v>
      </c>
      <c r="BP247" s="144">
        <v>2021</v>
      </c>
      <c r="BQ247" s="203" t="s">
        <v>144</v>
      </c>
    </row>
    <row r="248" spans="1:69" ht="41.1" customHeight="1">
      <c r="A248" s="206" t="s">
        <v>86</v>
      </c>
      <c r="B248" s="206" t="s">
        <v>1150</v>
      </c>
      <c r="C248" s="143">
        <v>600</v>
      </c>
      <c r="D248" s="135">
        <v>44452</v>
      </c>
      <c r="E248" s="135">
        <v>44452</v>
      </c>
      <c r="F248" s="147" t="s">
        <v>76</v>
      </c>
      <c r="G248" s="135" t="s">
        <v>76</v>
      </c>
      <c r="H248" s="147">
        <v>44455</v>
      </c>
      <c r="I248" s="147">
        <v>44455</v>
      </c>
      <c r="J248" s="147">
        <v>44469</v>
      </c>
      <c r="K248" s="135">
        <v>44532</v>
      </c>
      <c r="L248" s="135">
        <v>44491</v>
      </c>
      <c r="M248" s="135" t="s">
        <v>76</v>
      </c>
      <c r="N248" s="135">
        <v>44539</v>
      </c>
      <c r="O248" s="135">
        <v>44539</v>
      </c>
      <c r="P248" s="135">
        <v>44540</v>
      </c>
      <c r="Q248" s="135"/>
      <c r="R248" s="143"/>
      <c r="S248" s="143"/>
      <c r="T248" s="143"/>
      <c r="U248" s="143">
        <v>2</v>
      </c>
      <c r="V248" s="143">
        <v>43933</v>
      </c>
      <c r="W248" s="143" t="str">
        <f ca="1">IF(H248="",IF(D248="","",IF(U248+V248&lt;15,"Données Nb pers ou RFR manquantes",IF(COUNTA(INDIRECT("TabRFR["&amp;YEAR(D248)&amp;"]"))&lt;&gt;COUNTA(TabRFR[Recherche RFR]),"Data RFR manquantes", IF(V248&lt;=INDEX(TabRFR[[2021]:[2025]],MATCH(BD!U248&amp;"-Très modestes",TabRFR[Recherche RFR],0),MATCH(TEXT(YEAR(BD!D248),"Standard"),TabRFR[[#Headers],[2021]:[2025]],0)),"Très Modeste",IF(V248&lt;=INDEX(TabRFR[[2021]:[2025]],MATCH(BD!U248&amp;"-modestes",TabRFR[Recherche RFR],0),MATCH(TEXT(YEAR(BD!D248),"Standard"),TabRFR[[#Headers],[2021]:[2025]],0)),"Modeste",IF(V248&lt;=INDEX(TabRFR[[2021]:[2025]],MATCH(BD!U248&amp;"-Intermédiaire",TabRFR[Recherche RFR],0),MATCH(TEXT(YEAR(BD!D248),"Standard"),TabRFR[[#Headers],[2021]:[2025]],0)),"Intermédiaire","Supérieur")))))),IF(D248="","",IF(U248+V248&lt;15,"Données Nb pers ou RFR manquantes",IF(COUNTA(INDIRECT("TabRFR["&amp;YEAR(H248)&amp;"]"))&lt;&gt;COUNTA(TabRFR[Recherche RFR]),"Data RFR manquantes", IF(V248&lt;=INDEX(TabRFR[[2021]:[2025]],MATCH(BD!U248&amp;"-Très modestes",TabRFR[Recherche RFR],0),MATCH(TEXT(YEAR(BD!H248),"Standard"),TabRFR[[#Headers],[2021]:[2025]],0)),"Très Modeste",IF(V248&lt;=INDEX(TabRFR[[2021]:[2025]],MATCH(BD!U248&amp;"-modestes",TabRFR[Recherche RFR],0),MATCH(TEXT(YEAR(BD!H248),"Standard"),TabRFR[[#Headers],[2021]:[2025]],0)),"Modeste",IF(V248&lt;=INDEX(TabRFR[[2021]:[2025]],MATCH(BD!U248&amp;"-Intermédiaire",TabRFR[Recherche RFR],0),MATCH(TEXT(YEAR(BD!H248),"Standard"),TabRFR[[#Headers],[2021]:[2025]],0)),"Intermédiaire","Supérieur")))))))</f>
        <v>Supérieur</v>
      </c>
      <c r="X248" s="143"/>
      <c r="Y248" s="143" t="s">
        <v>1151</v>
      </c>
      <c r="Z248" s="143">
        <v>38960</v>
      </c>
      <c r="AA248" s="143" t="s">
        <v>360</v>
      </c>
      <c r="AB248" s="148"/>
      <c r="AC248" s="149"/>
      <c r="AD248" s="143" t="s">
        <v>91</v>
      </c>
      <c r="AE248" s="143" t="s">
        <v>76</v>
      </c>
      <c r="AF248" s="143" t="s">
        <v>76</v>
      </c>
      <c r="AG248" s="143" t="s">
        <v>76</v>
      </c>
      <c r="AH248" s="143" t="s">
        <v>76</v>
      </c>
      <c r="AI248" s="135" t="s">
        <v>1152</v>
      </c>
      <c r="AJ248" s="143" t="s">
        <v>1153</v>
      </c>
      <c r="AK248" s="143" t="s">
        <v>1154</v>
      </c>
      <c r="AL248" s="150" t="s">
        <v>1155</v>
      </c>
      <c r="AM248" s="148">
        <v>474204758</v>
      </c>
      <c r="AN248" s="143" t="s">
        <v>76</v>
      </c>
      <c r="AO248" s="150" t="s">
        <v>102</v>
      </c>
      <c r="AP248" s="147">
        <v>44703</v>
      </c>
      <c r="AQ248" s="135" t="s">
        <v>3496</v>
      </c>
      <c r="AR248" s="143">
        <v>1996</v>
      </c>
      <c r="AS248" s="143" t="s">
        <v>3413</v>
      </c>
      <c r="AT248" s="143" t="s">
        <v>98</v>
      </c>
      <c r="AU248" s="143" t="s">
        <v>1156</v>
      </c>
      <c r="AV248" s="143" t="s">
        <v>1157</v>
      </c>
      <c r="AW248" s="143">
        <v>18</v>
      </c>
      <c r="AX248" s="143">
        <v>10.4</v>
      </c>
      <c r="AY248" s="143">
        <v>91.8</v>
      </c>
      <c r="AZ248" s="143">
        <v>0.01</v>
      </c>
      <c r="BA248" s="143" t="s">
        <v>101</v>
      </c>
      <c r="BB248" s="143"/>
      <c r="BC248" s="143">
        <f>30.25+23.44+66.18+478.3+85.86+88.56+350+30+4750</f>
        <v>5902.59</v>
      </c>
      <c r="BD248" s="143"/>
      <c r="BE248" s="143">
        <f>150+580</f>
        <v>730</v>
      </c>
      <c r="BF248" s="143">
        <f t="shared" si="9"/>
        <v>6632.59</v>
      </c>
      <c r="BG248" s="151">
        <f t="shared" si="10"/>
        <v>364.79245000000003</v>
      </c>
      <c r="BH248" s="151">
        <f t="shared" si="11"/>
        <v>6997.3824500000001</v>
      </c>
      <c r="BI248" s="151">
        <v>6997.38</v>
      </c>
      <c r="BJ248" s="143" t="s">
        <v>102</v>
      </c>
      <c r="BK248" s="143"/>
      <c r="BL248" s="143"/>
      <c r="BM248" s="144" t="s">
        <v>3592</v>
      </c>
      <c r="BN248" s="144" t="s">
        <v>103</v>
      </c>
      <c r="BO248" s="144" t="s">
        <v>143</v>
      </c>
      <c r="BP248" s="143" t="s">
        <v>3583</v>
      </c>
      <c r="BQ248" s="203" t="s">
        <v>144</v>
      </c>
    </row>
    <row r="249" spans="1:69" ht="41.1" customHeight="1">
      <c r="A249" s="206" t="s">
        <v>86</v>
      </c>
      <c r="B249" s="206" t="s">
        <v>1158</v>
      </c>
      <c r="C249" s="143">
        <v>600</v>
      </c>
      <c r="D249" s="135">
        <v>44453</v>
      </c>
      <c r="E249" s="135">
        <v>44455</v>
      </c>
      <c r="F249" s="147">
        <v>44455</v>
      </c>
      <c r="G249" s="135" t="s">
        <v>571</v>
      </c>
      <c r="H249" s="147">
        <v>44462</v>
      </c>
      <c r="I249" s="147">
        <v>44462</v>
      </c>
      <c r="J249" s="147">
        <v>44462</v>
      </c>
      <c r="K249" s="135">
        <v>44516</v>
      </c>
      <c r="L249" s="135">
        <v>44485</v>
      </c>
      <c r="M249" s="135" t="s">
        <v>76</v>
      </c>
      <c r="N249" s="135">
        <v>44525</v>
      </c>
      <c r="O249" s="135">
        <v>44525</v>
      </c>
      <c r="P249" s="135">
        <v>44539</v>
      </c>
      <c r="Q249" s="135"/>
      <c r="R249" s="143"/>
      <c r="S249" s="143"/>
      <c r="T249" s="143"/>
      <c r="U249" s="143">
        <v>3</v>
      </c>
      <c r="V249" s="143">
        <v>52570</v>
      </c>
      <c r="W249" s="143" t="str">
        <f ca="1">IF(H249="",IF(D249="","",IF(U249+V249&lt;15,"Données Nb pers ou RFR manquantes",IF(COUNTA(INDIRECT("TabRFR["&amp;YEAR(D249)&amp;"]"))&lt;&gt;COUNTA(TabRFR[Recherche RFR]),"Data RFR manquantes", IF(V249&lt;=INDEX(TabRFR[[2021]:[2025]],MATCH(BD!U249&amp;"-Très modestes",TabRFR[Recherche RFR],0),MATCH(TEXT(YEAR(BD!D249),"Standard"),TabRFR[[#Headers],[2021]:[2025]],0)),"Très Modeste",IF(V249&lt;=INDEX(TabRFR[[2021]:[2025]],MATCH(BD!U249&amp;"-modestes",TabRFR[Recherche RFR],0),MATCH(TEXT(YEAR(BD!D249),"Standard"),TabRFR[[#Headers],[2021]:[2025]],0)),"Modeste",IF(V249&lt;=INDEX(TabRFR[[2021]:[2025]],MATCH(BD!U249&amp;"-Intermédiaire",TabRFR[Recherche RFR],0),MATCH(TEXT(YEAR(BD!D249),"Standard"),TabRFR[[#Headers],[2021]:[2025]],0)),"Intermédiaire","Supérieur")))))),IF(D249="","",IF(U249+V249&lt;15,"Données Nb pers ou RFR manquantes",IF(COUNTA(INDIRECT("TabRFR["&amp;YEAR(H249)&amp;"]"))&lt;&gt;COUNTA(TabRFR[Recherche RFR]),"Data RFR manquantes", IF(V249&lt;=INDEX(TabRFR[[2021]:[2025]],MATCH(BD!U249&amp;"-Très modestes",TabRFR[Recherche RFR],0),MATCH(TEXT(YEAR(BD!H249),"Standard"),TabRFR[[#Headers],[2021]:[2025]],0)),"Très Modeste",IF(V249&lt;=INDEX(TabRFR[[2021]:[2025]],MATCH(BD!U249&amp;"-modestes",TabRFR[Recherche RFR],0),MATCH(TEXT(YEAR(BD!H249),"Standard"),TabRFR[[#Headers],[2021]:[2025]],0)),"Modeste",IF(V249&lt;=INDEX(TabRFR[[2021]:[2025]],MATCH(BD!U249&amp;"-Intermédiaire",TabRFR[Recherche RFR],0),MATCH(TEXT(YEAR(BD!H249),"Standard"),TabRFR[[#Headers],[2021]:[2025]],0)),"Intermédiaire","Supérieur")))))))</f>
        <v>Supérieur</v>
      </c>
      <c r="X249" s="143"/>
      <c r="Y249" s="143" t="s">
        <v>1159</v>
      </c>
      <c r="Z249" s="143">
        <v>38500</v>
      </c>
      <c r="AA249" s="143" t="s">
        <v>284</v>
      </c>
      <c r="AB249" s="148"/>
      <c r="AC249" s="149"/>
      <c r="AD249" s="143" t="s">
        <v>91</v>
      </c>
      <c r="AE249" s="143" t="s">
        <v>76</v>
      </c>
      <c r="AF249" s="143" t="s">
        <v>76</v>
      </c>
      <c r="AG249" s="143" t="s">
        <v>76</v>
      </c>
      <c r="AH249" s="143" t="s">
        <v>76</v>
      </c>
      <c r="AI249" s="143" t="s">
        <v>160</v>
      </c>
      <c r="AJ249" s="143" t="s">
        <v>161</v>
      </c>
      <c r="AK249" s="143" t="s">
        <v>227</v>
      </c>
      <c r="AL249" s="150" t="s">
        <v>228</v>
      </c>
      <c r="AM249" s="148">
        <v>438021901</v>
      </c>
      <c r="AN249" s="143" t="s">
        <v>76</v>
      </c>
      <c r="AO249" s="150" t="s">
        <v>102</v>
      </c>
      <c r="AP249" s="147">
        <v>44641</v>
      </c>
      <c r="AQ249" s="135" t="s">
        <v>3496</v>
      </c>
      <c r="AR249" s="143">
        <v>1984</v>
      </c>
      <c r="AS249" s="143" t="s">
        <v>3413</v>
      </c>
      <c r="AT249" s="143" t="s">
        <v>98</v>
      </c>
      <c r="AU249" s="143" t="s">
        <v>164</v>
      </c>
      <c r="AV249" s="143" t="s">
        <v>1160</v>
      </c>
      <c r="AW249" s="143">
        <v>18</v>
      </c>
      <c r="AX249" s="143">
        <v>9.1</v>
      </c>
      <c r="AY249" s="143">
        <v>93</v>
      </c>
      <c r="AZ249" s="143">
        <v>2.12E-2</v>
      </c>
      <c r="BA249" s="143" t="s">
        <v>101</v>
      </c>
      <c r="BB249" s="143"/>
      <c r="BC249" s="143">
        <f>3842+990+182</f>
        <v>5014</v>
      </c>
      <c r="BD249" s="143"/>
      <c r="BE249" s="143">
        <v>891</v>
      </c>
      <c r="BF249" s="143">
        <f t="shared" si="9"/>
        <v>5905</v>
      </c>
      <c r="BG249" s="151">
        <f t="shared" si="10"/>
        <v>324.77499999999998</v>
      </c>
      <c r="BH249" s="151">
        <f t="shared" si="11"/>
        <v>6229.7749999999996</v>
      </c>
      <c r="BI249" s="151">
        <v>5653</v>
      </c>
      <c r="BJ249" s="143" t="s">
        <v>102</v>
      </c>
      <c r="BK249" s="143"/>
      <c r="BL249" s="143"/>
      <c r="BM249" s="144" t="s">
        <v>3592</v>
      </c>
      <c r="BN249" s="144" t="s">
        <v>103</v>
      </c>
      <c r="BO249" s="144" t="s">
        <v>143</v>
      </c>
      <c r="BP249" s="143" t="s">
        <v>3583</v>
      </c>
      <c r="BQ249" s="203" t="s">
        <v>144</v>
      </c>
    </row>
    <row r="250" spans="1:69" ht="41.1" customHeight="1">
      <c r="A250" s="206" t="s">
        <v>86</v>
      </c>
      <c r="B250" s="206" t="s">
        <v>1161</v>
      </c>
      <c r="C250" s="143">
        <v>1000</v>
      </c>
      <c r="D250" s="135">
        <v>44453</v>
      </c>
      <c r="E250" s="135">
        <v>44455</v>
      </c>
      <c r="F250" s="147">
        <v>44455</v>
      </c>
      <c r="G250" s="135" t="s">
        <v>1162</v>
      </c>
      <c r="H250" s="147">
        <v>44469</v>
      </c>
      <c r="I250" s="147">
        <v>44469</v>
      </c>
      <c r="J250" s="147">
        <v>44494</v>
      </c>
      <c r="K250" s="135">
        <v>44518</v>
      </c>
      <c r="L250" s="135">
        <v>44498</v>
      </c>
      <c r="M250" s="135" t="s">
        <v>76</v>
      </c>
      <c r="N250" s="135">
        <v>44525</v>
      </c>
      <c r="O250" s="135">
        <v>44525</v>
      </c>
      <c r="P250" s="135">
        <v>44539</v>
      </c>
      <c r="Q250" s="135"/>
      <c r="R250" s="143"/>
      <c r="S250" s="143"/>
      <c r="T250" s="143"/>
      <c r="U250" s="143">
        <v>2</v>
      </c>
      <c r="V250" s="143">
        <v>16835</v>
      </c>
      <c r="W250" s="143" t="str">
        <f ca="1">IF(H250="",IF(D250="","",IF(U250+V250&lt;15,"Données Nb pers ou RFR manquantes",IF(COUNTA(INDIRECT("TabRFR["&amp;YEAR(D250)&amp;"]"))&lt;&gt;COUNTA(TabRFR[Recherche RFR]),"Data RFR manquantes", IF(V250&lt;=INDEX(TabRFR[[2021]:[2025]],MATCH(BD!U250&amp;"-Très modestes",TabRFR[Recherche RFR],0),MATCH(TEXT(YEAR(BD!D250),"Standard"),TabRFR[[#Headers],[2021]:[2025]],0)),"Très Modeste",IF(V250&lt;=INDEX(TabRFR[[2021]:[2025]],MATCH(BD!U250&amp;"-modestes",TabRFR[Recherche RFR],0),MATCH(TEXT(YEAR(BD!D250),"Standard"),TabRFR[[#Headers],[2021]:[2025]],0)),"Modeste",IF(V250&lt;=INDEX(TabRFR[[2021]:[2025]],MATCH(BD!U250&amp;"-Intermédiaire",TabRFR[Recherche RFR],0),MATCH(TEXT(YEAR(BD!D250),"Standard"),TabRFR[[#Headers],[2021]:[2025]],0)),"Intermédiaire","Supérieur")))))),IF(D250="","",IF(U250+V250&lt;15,"Données Nb pers ou RFR manquantes",IF(COUNTA(INDIRECT("TabRFR["&amp;YEAR(H250)&amp;"]"))&lt;&gt;COUNTA(TabRFR[Recherche RFR]),"Data RFR manquantes", IF(V250&lt;=INDEX(TabRFR[[2021]:[2025]],MATCH(BD!U250&amp;"-Très modestes",TabRFR[Recherche RFR],0),MATCH(TEXT(YEAR(BD!H250),"Standard"),TabRFR[[#Headers],[2021]:[2025]],0)),"Très Modeste",IF(V250&lt;=INDEX(TabRFR[[2021]:[2025]],MATCH(BD!U250&amp;"-modestes",TabRFR[Recherche RFR],0),MATCH(TEXT(YEAR(BD!H250),"Standard"),TabRFR[[#Headers],[2021]:[2025]],0)),"Modeste",IF(V250&lt;=INDEX(TabRFR[[2021]:[2025]],MATCH(BD!U250&amp;"-Intermédiaire",TabRFR[Recherche RFR],0),MATCH(TEXT(YEAR(BD!H250),"Standard"),TabRFR[[#Headers],[2021]:[2025]],0)),"Intermédiaire","Supérieur")))))))</f>
        <v>Très Modeste</v>
      </c>
      <c r="X250" s="143"/>
      <c r="Y250" s="143" t="s">
        <v>1163</v>
      </c>
      <c r="Z250" s="143">
        <v>38140</v>
      </c>
      <c r="AA250" s="143" t="s">
        <v>159</v>
      </c>
      <c r="AB250" s="148"/>
      <c r="AC250" s="149"/>
      <c r="AD250" s="143" t="s">
        <v>91</v>
      </c>
      <c r="AE250" s="143" t="s">
        <v>76</v>
      </c>
      <c r="AF250" s="143" t="s">
        <v>76</v>
      </c>
      <c r="AG250" s="143" t="s">
        <v>76</v>
      </c>
      <c r="AH250" s="143" t="s">
        <v>76</v>
      </c>
      <c r="AI250" s="143" t="s">
        <v>169</v>
      </c>
      <c r="AJ250" s="143" t="s">
        <v>119</v>
      </c>
      <c r="AK250" s="143" t="s">
        <v>170</v>
      </c>
      <c r="AL250" s="149" t="s">
        <v>171</v>
      </c>
      <c r="AM250" s="148">
        <v>476355605</v>
      </c>
      <c r="AN250" s="143" t="s">
        <v>76</v>
      </c>
      <c r="AO250" s="150" t="s">
        <v>102</v>
      </c>
      <c r="AP250" s="147">
        <v>44495</v>
      </c>
      <c r="AQ250" s="135" t="s">
        <v>3496</v>
      </c>
      <c r="AR250" s="143" t="s">
        <v>172</v>
      </c>
      <c r="AS250" s="143" t="s">
        <v>3413</v>
      </c>
      <c r="AT250" s="135" t="s">
        <v>3446</v>
      </c>
      <c r="AU250" s="143" t="s">
        <v>258</v>
      </c>
      <c r="AV250" s="143" t="s">
        <v>1164</v>
      </c>
      <c r="AW250" s="143">
        <v>18</v>
      </c>
      <c r="AX250" s="143">
        <v>10.6</v>
      </c>
      <c r="AY250" s="143">
        <v>88</v>
      </c>
      <c r="AZ250" s="143">
        <v>6.5000000000000002E-2</v>
      </c>
      <c r="BA250" s="143" t="s">
        <v>101</v>
      </c>
      <c r="BB250" s="143"/>
      <c r="BC250" s="143">
        <f>2900+178.5+89.6+33.54</f>
        <v>3201.64</v>
      </c>
      <c r="BD250" s="143"/>
      <c r="BE250" s="143">
        <f>382.94+365+425</f>
        <v>1172.94</v>
      </c>
      <c r="BF250" s="143">
        <f t="shared" si="9"/>
        <v>4374.58</v>
      </c>
      <c r="BG250" s="151">
        <f t="shared" si="10"/>
        <v>240.6019</v>
      </c>
      <c r="BH250" s="151">
        <f t="shared" si="11"/>
        <v>4615.1818999999996</v>
      </c>
      <c r="BI250" s="151">
        <v>4615.18</v>
      </c>
      <c r="BJ250" s="143" t="s">
        <v>102</v>
      </c>
      <c r="BK250" s="143"/>
      <c r="BL250" s="143"/>
      <c r="BM250" s="144" t="s">
        <v>3592</v>
      </c>
      <c r="BN250" s="144" t="s">
        <v>103</v>
      </c>
      <c r="BO250" s="135" t="s">
        <v>155</v>
      </c>
      <c r="BP250" s="144">
        <v>2021</v>
      </c>
      <c r="BQ250" s="203" t="s">
        <v>144</v>
      </c>
    </row>
    <row r="251" spans="1:69" ht="41.1" customHeight="1">
      <c r="A251" s="206" t="s">
        <v>86</v>
      </c>
      <c r="B251" s="206" t="s">
        <v>1165</v>
      </c>
      <c r="C251" s="143">
        <v>600</v>
      </c>
      <c r="D251" s="135">
        <v>44456</v>
      </c>
      <c r="E251" s="135">
        <v>44459</v>
      </c>
      <c r="F251" s="147">
        <v>44462</v>
      </c>
      <c r="G251" s="135" t="s">
        <v>1166</v>
      </c>
      <c r="H251" s="147">
        <v>44476</v>
      </c>
      <c r="I251" s="147">
        <v>44476</v>
      </c>
      <c r="J251" s="147">
        <v>44494</v>
      </c>
      <c r="K251" s="135">
        <v>44535</v>
      </c>
      <c r="L251" s="135">
        <v>44516</v>
      </c>
      <c r="M251" s="135" t="s">
        <v>1167</v>
      </c>
      <c r="N251" s="135">
        <v>44540</v>
      </c>
      <c r="O251" s="135">
        <v>44540</v>
      </c>
      <c r="P251" s="135">
        <v>44540</v>
      </c>
      <c r="Q251" s="135"/>
      <c r="R251" s="143"/>
      <c r="S251" s="143"/>
      <c r="T251" s="143"/>
      <c r="U251" s="143">
        <v>3</v>
      </c>
      <c r="V251" s="143">
        <v>38287</v>
      </c>
      <c r="W251" s="143" t="str">
        <f ca="1">IF(H251="",IF(D251="","",IF(U251+V251&lt;15,"Données Nb pers ou RFR manquantes",IF(COUNTA(INDIRECT("TabRFR["&amp;YEAR(D251)&amp;"]"))&lt;&gt;COUNTA(TabRFR[Recherche RFR]),"Data RFR manquantes", IF(V251&lt;=INDEX(TabRFR[[2021]:[2025]],MATCH(BD!U251&amp;"-Très modestes",TabRFR[Recherche RFR],0),MATCH(TEXT(YEAR(BD!D251),"Standard"),TabRFR[[#Headers],[2021]:[2025]],0)),"Très Modeste",IF(V251&lt;=INDEX(TabRFR[[2021]:[2025]],MATCH(BD!U251&amp;"-modestes",TabRFR[Recherche RFR],0),MATCH(TEXT(YEAR(BD!D251),"Standard"),TabRFR[[#Headers],[2021]:[2025]],0)),"Modeste",IF(V251&lt;=INDEX(TabRFR[[2021]:[2025]],MATCH(BD!U251&amp;"-Intermédiaire",TabRFR[Recherche RFR],0),MATCH(TEXT(YEAR(BD!D251),"Standard"),TabRFR[[#Headers],[2021]:[2025]],0)),"Intermédiaire","Supérieur")))))),IF(D251="","",IF(U251+V251&lt;15,"Données Nb pers ou RFR manquantes",IF(COUNTA(INDIRECT("TabRFR["&amp;YEAR(H251)&amp;"]"))&lt;&gt;COUNTA(TabRFR[Recherche RFR]),"Data RFR manquantes", IF(V251&lt;=INDEX(TabRFR[[2021]:[2025]],MATCH(BD!U251&amp;"-Très modestes",TabRFR[Recherche RFR],0),MATCH(TEXT(YEAR(BD!H251),"Standard"),TabRFR[[#Headers],[2021]:[2025]],0)),"Très Modeste",IF(V251&lt;=INDEX(TabRFR[[2021]:[2025]],MATCH(BD!U251&amp;"-modestes",TabRFR[Recherche RFR],0),MATCH(TEXT(YEAR(BD!H251),"Standard"),TabRFR[[#Headers],[2021]:[2025]],0)),"Modeste",IF(V251&lt;=INDEX(TabRFR[[2021]:[2025]],MATCH(BD!U251&amp;"-Intermédiaire",TabRFR[Recherche RFR],0),MATCH(TEXT(YEAR(BD!H251),"Standard"),TabRFR[[#Headers],[2021]:[2025]],0)),"Intermédiaire","Supérieur")))))))</f>
        <v>Intermédiaire</v>
      </c>
      <c r="X251" s="143"/>
      <c r="Y251" s="143" t="s">
        <v>1168</v>
      </c>
      <c r="Z251" s="143">
        <v>38210</v>
      </c>
      <c r="AA251" s="143" t="s">
        <v>202</v>
      </c>
      <c r="AB251" s="148"/>
      <c r="AC251" s="149"/>
      <c r="AD251" s="143" t="s">
        <v>91</v>
      </c>
      <c r="AE251" s="143" t="s">
        <v>76</v>
      </c>
      <c r="AF251" s="143" t="s">
        <v>76</v>
      </c>
      <c r="AG251" s="143" t="s">
        <v>76</v>
      </c>
      <c r="AH251" s="143" t="s">
        <v>76</v>
      </c>
      <c r="AI251" s="143" t="s">
        <v>826</v>
      </c>
      <c r="AJ251" s="143" t="s">
        <v>827</v>
      </c>
      <c r="AK251" s="143" t="s">
        <v>828</v>
      </c>
      <c r="AL251" s="150" t="s">
        <v>829</v>
      </c>
      <c r="AM251" s="148">
        <v>618630529</v>
      </c>
      <c r="AN251" s="143" t="s">
        <v>76</v>
      </c>
      <c r="AO251" s="150" t="s">
        <v>102</v>
      </c>
      <c r="AP251" s="147">
        <v>44514</v>
      </c>
      <c r="AQ251" s="143" t="s">
        <v>3413</v>
      </c>
      <c r="AR251" s="143">
        <v>1975</v>
      </c>
      <c r="AS251" s="143" t="s">
        <v>3413</v>
      </c>
      <c r="AT251" s="143" t="s">
        <v>98</v>
      </c>
      <c r="AU251" s="143" t="s">
        <v>99</v>
      </c>
      <c r="AV251" s="143" t="s">
        <v>1169</v>
      </c>
      <c r="AW251" s="143">
        <v>8</v>
      </c>
      <c r="AX251" s="143">
        <v>8.1999999999999993</v>
      </c>
      <c r="AY251" s="143">
        <v>87.7</v>
      </c>
      <c r="AZ251" s="143">
        <v>2.8E-3</v>
      </c>
      <c r="BA251" s="143" t="s">
        <v>101</v>
      </c>
      <c r="BB251" s="143"/>
      <c r="BC251" s="143">
        <f>3050+15+400+80+75+80+75+250+50</f>
        <v>4075</v>
      </c>
      <c r="BD251" s="143"/>
      <c r="BE251" s="143">
        <f>100+600</f>
        <v>700</v>
      </c>
      <c r="BF251" s="143">
        <f t="shared" si="9"/>
        <v>4775</v>
      </c>
      <c r="BG251" s="151">
        <f t="shared" si="10"/>
        <v>262.625</v>
      </c>
      <c r="BH251" s="151">
        <f t="shared" si="11"/>
        <v>5037.625</v>
      </c>
      <c r="BI251" s="151">
        <v>5037.63</v>
      </c>
      <c r="BJ251" s="143" t="s">
        <v>102</v>
      </c>
      <c r="BK251" s="143"/>
      <c r="BL251" s="143"/>
      <c r="BM251" s="144" t="s">
        <v>3592</v>
      </c>
      <c r="BN251" s="144" t="s">
        <v>103</v>
      </c>
      <c r="BO251" s="144" t="s">
        <v>143</v>
      </c>
      <c r="BP251" s="143" t="s">
        <v>3583</v>
      </c>
      <c r="BQ251" s="203" t="s">
        <v>144</v>
      </c>
    </row>
    <row r="252" spans="1:69" ht="41.1" customHeight="1">
      <c r="A252" s="206" t="s">
        <v>86</v>
      </c>
      <c r="B252" s="206" t="s">
        <v>1170</v>
      </c>
      <c r="C252" s="143">
        <v>1000</v>
      </c>
      <c r="D252" s="135">
        <v>44459</v>
      </c>
      <c r="E252" s="135">
        <v>44459</v>
      </c>
      <c r="F252" s="147" t="s">
        <v>76</v>
      </c>
      <c r="G252" s="135" t="s">
        <v>76</v>
      </c>
      <c r="H252" s="147">
        <v>44462</v>
      </c>
      <c r="I252" s="147">
        <v>44462</v>
      </c>
      <c r="J252" s="147">
        <v>44462</v>
      </c>
      <c r="K252" s="135">
        <v>44575</v>
      </c>
      <c r="L252" s="135">
        <v>44522</v>
      </c>
      <c r="M252" s="135" t="s">
        <v>76</v>
      </c>
      <c r="N252" s="135">
        <v>44580</v>
      </c>
      <c r="O252" s="135">
        <v>44580</v>
      </c>
      <c r="P252" s="135">
        <v>44581</v>
      </c>
      <c r="Q252" s="135"/>
      <c r="R252" s="143"/>
      <c r="S252" s="143"/>
      <c r="T252" s="143"/>
      <c r="U252" s="143">
        <v>4</v>
      </c>
      <c r="V252" s="143">
        <v>33988</v>
      </c>
      <c r="W252" s="143" t="str">
        <f ca="1">IF(H252="",IF(D252="","",IF(U252+V252&lt;15,"Données Nb pers ou RFR manquantes",IF(COUNTA(INDIRECT("TabRFR["&amp;YEAR(D252)&amp;"]"))&lt;&gt;COUNTA(TabRFR[Recherche RFR]),"Data RFR manquantes", IF(V252&lt;=INDEX(TabRFR[[2021]:[2025]],MATCH(BD!U252&amp;"-Très modestes",TabRFR[Recherche RFR],0),MATCH(TEXT(YEAR(BD!D252),"Standard"),TabRFR[[#Headers],[2021]:[2025]],0)),"Très Modeste",IF(V252&lt;=INDEX(TabRFR[[2021]:[2025]],MATCH(BD!U252&amp;"-modestes",TabRFR[Recherche RFR],0),MATCH(TEXT(YEAR(BD!D252),"Standard"),TabRFR[[#Headers],[2021]:[2025]],0)),"Modeste",IF(V252&lt;=INDEX(TabRFR[[2021]:[2025]],MATCH(BD!U252&amp;"-Intermédiaire",TabRFR[Recherche RFR],0),MATCH(TEXT(YEAR(BD!D252),"Standard"),TabRFR[[#Headers],[2021]:[2025]],0)),"Intermédiaire","Supérieur")))))),IF(D252="","",IF(U252+V252&lt;15,"Données Nb pers ou RFR manquantes",IF(COUNTA(INDIRECT("TabRFR["&amp;YEAR(H252)&amp;"]"))&lt;&gt;COUNTA(TabRFR[Recherche RFR]),"Data RFR manquantes", IF(V252&lt;=INDEX(TabRFR[[2021]:[2025]],MATCH(BD!U252&amp;"-Très modestes",TabRFR[Recherche RFR],0),MATCH(TEXT(YEAR(BD!H252),"Standard"),TabRFR[[#Headers],[2021]:[2025]],0)),"Très Modeste",IF(V252&lt;=INDEX(TabRFR[[2021]:[2025]],MATCH(BD!U252&amp;"-modestes",TabRFR[Recherche RFR],0),MATCH(TEXT(YEAR(BD!H252),"Standard"),TabRFR[[#Headers],[2021]:[2025]],0)),"Modeste",IF(V252&lt;=INDEX(TabRFR[[2021]:[2025]],MATCH(BD!U252&amp;"-Intermédiaire",TabRFR[Recherche RFR],0),MATCH(TEXT(YEAR(BD!H252),"Standard"),TabRFR[[#Headers],[2021]:[2025]],0)),"Intermédiaire","Supérieur")))))))</f>
        <v>Modeste</v>
      </c>
      <c r="X252" s="143"/>
      <c r="Y252" s="143" t="s">
        <v>833</v>
      </c>
      <c r="Z252" s="143">
        <v>38500</v>
      </c>
      <c r="AA252" s="143" t="s">
        <v>591</v>
      </c>
      <c r="AB252" s="148"/>
      <c r="AC252" s="149"/>
      <c r="AD252" s="143" t="s">
        <v>91</v>
      </c>
      <c r="AE252" s="143" t="s">
        <v>76</v>
      </c>
      <c r="AF252" s="143" t="s">
        <v>76</v>
      </c>
      <c r="AG252" s="143" t="s">
        <v>76</v>
      </c>
      <c r="AH252" s="143" t="s">
        <v>76</v>
      </c>
      <c r="AI252" s="135" t="s">
        <v>285</v>
      </c>
      <c r="AJ252" s="143" t="s">
        <v>108</v>
      </c>
      <c r="AK252" s="143" t="s">
        <v>286</v>
      </c>
      <c r="AL252" s="150" t="s">
        <v>287</v>
      </c>
      <c r="AM252" s="148">
        <v>476069938</v>
      </c>
      <c r="AN252" s="143" t="s">
        <v>76</v>
      </c>
      <c r="AO252" s="150" t="s">
        <v>102</v>
      </c>
      <c r="AP252" s="147">
        <v>44822</v>
      </c>
      <c r="AQ252" s="135" t="s">
        <v>3496</v>
      </c>
      <c r="AR252" s="143">
        <v>1985</v>
      </c>
      <c r="AS252" s="143" t="s">
        <v>3413</v>
      </c>
      <c r="AT252" s="143" t="s">
        <v>98</v>
      </c>
      <c r="AU252" s="143" t="s">
        <v>99</v>
      </c>
      <c r="AV252" s="143" t="s">
        <v>1171</v>
      </c>
      <c r="AW252" s="143">
        <v>16</v>
      </c>
      <c r="AX252" s="143">
        <v>9.1</v>
      </c>
      <c r="AY252" s="143">
        <v>91.8</v>
      </c>
      <c r="AZ252" s="143">
        <v>8.9999999999999993E-3</v>
      </c>
      <c r="BA252" s="143" t="s">
        <v>101</v>
      </c>
      <c r="BB252" s="143"/>
      <c r="BC252" s="143">
        <f>1390+350+207+3700</f>
        <v>5647</v>
      </c>
      <c r="BD252" s="143"/>
      <c r="BE252" s="143">
        <f>590+390</f>
        <v>980</v>
      </c>
      <c r="BF252" s="143">
        <f t="shared" si="9"/>
        <v>6627</v>
      </c>
      <c r="BG252" s="143">
        <f t="shared" si="10"/>
        <v>364.48500000000001</v>
      </c>
      <c r="BH252" s="143">
        <f t="shared" si="11"/>
        <v>6991.4849999999997</v>
      </c>
      <c r="BI252" s="151">
        <v>8120.34</v>
      </c>
      <c r="BJ252" s="143" t="s">
        <v>102</v>
      </c>
      <c r="BK252" s="143"/>
      <c r="BL252" s="143"/>
      <c r="BM252" s="144" t="s">
        <v>3592</v>
      </c>
      <c r="BN252" s="144" t="s">
        <v>103</v>
      </c>
      <c r="BO252" s="135" t="s">
        <v>155</v>
      </c>
      <c r="BP252" s="143" t="s">
        <v>3583</v>
      </c>
      <c r="BQ252" s="203" t="s">
        <v>144</v>
      </c>
    </row>
    <row r="253" spans="1:69" ht="41.1" customHeight="1">
      <c r="A253" s="206" t="s">
        <v>86</v>
      </c>
      <c r="B253" s="206" t="s">
        <v>1172</v>
      </c>
      <c r="C253" s="143">
        <v>600</v>
      </c>
      <c r="D253" s="135">
        <v>44459</v>
      </c>
      <c r="E253" s="135">
        <v>44459</v>
      </c>
      <c r="F253" s="147" t="s">
        <v>76</v>
      </c>
      <c r="G253" s="135" t="s">
        <v>76</v>
      </c>
      <c r="H253" s="147">
        <v>44462</v>
      </c>
      <c r="I253" s="147">
        <v>44462</v>
      </c>
      <c r="J253" s="147">
        <v>44462</v>
      </c>
      <c r="K253" s="135">
        <v>44533</v>
      </c>
      <c r="L253" s="135">
        <v>44523</v>
      </c>
      <c r="M253" s="135" t="s">
        <v>76</v>
      </c>
      <c r="N253" s="135">
        <v>44539</v>
      </c>
      <c r="O253" s="135">
        <v>44539</v>
      </c>
      <c r="P253" s="135">
        <v>44540</v>
      </c>
      <c r="Q253" s="135"/>
      <c r="R253" s="143"/>
      <c r="S253" s="143"/>
      <c r="T253" s="143"/>
      <c r="U253" s="143">
        <v>2</v>
      </c>
      <c r="V253" s="143">
        <v>41283</v>
      </c>
      <c r="W253" s="143" t="str">
        <f ca="1">IF(H253="",IF(D253="","",IF(U253+V253&lt;15,"Données Nb pers ou RFR manquantes",IF(COUNTA(INDIRECT("TabRFR["&amp;YEAR(D253)&amp;"]"))&lt;&gt;COUNTA(TabRFR[Recherche RFR]),"Data RFR manquantes", IF(V253&lt;=INDEX(TabRFR[[2021]:[2025]],MATCH(BD!U253&amp;"-Très modestes",TabRFR[Recherche RFR],0),MATCH(TEXT(YEAR(BD!D253),"Standard"),TabRFR[[#Headers],[2021]:[2025]],0)),"Très Modeste",IF(V253&lt;=INDEX(TabRFR[[2021]:[2025]],MATCH(BD!U253&amp;"-modestes",TabRFR[Recherche RFR],0),MATCH(TEXT(YEAR(BD!D253),"Standard"),TabRFR[[#Headers],[2021]:[2025]],0)),"Modeste",IF(V253&lt;=INDEX(TabRFR[[2021]:[2025]],MATCH(BD!U253&amp;"-Intermédiaire",TabRFR[Recherche RFR],0),MATCH(TEXT(YEAR(BD!D253),"Standard"),TabRFR[[#Headers],[2021]:[2025]],0)),"Intermédiaire","Supérieur")))))),IF(D253="","",IF(U253+V253&lt;15,"Données Nb pers ou RFR manquantes",IF(COUNTA(INDIRECT("TabRFR["&amp;YEAR(H253)&amp;"]"))&lt;&gt;COUNTA(TabRFR[Recherche RFR]),"Data RFR manquantes", IF(V253&lt;=INDEX(TabRFR[[2021]:[2025]],MATCH(BD!U253&amp;"-Très modestes",TabRFR[Recherche RFR],0),MATCH(TEXT(YEAR(BD!H253),"Standard"),TabRFR[[#Headers],[2021]:[2025]],0)),"Très Modeste",IF(V253&lt;=INDEX(TabRFR[[2021]:[2025]],MATCH(BD!U253&amp;"-modestes",TabRFR[Recherche RFR],0),MATCH(TEXT(YEAR(BD!H253),"Standard"),TabRFR[[#Headers],[2021]:[2025]],0)),"Modeste",IF(V253&lt;=INDEX(TabRFR[[2021]:[2025]],MATCH(BD!U253&amp;"-Intermédiaire",TabRFR[Recherche RFR],0),MATCH(TEXT(YEAR(BD!H253),"Standard"),TabRFR[[#Headers],[2021]:[2025]],0)),"Intermédiaire","Supérieur")))))))</f>
        <v>Intermédiaire</v>
      </c>
      <c r="X253" s="143"/>
      <c r="Y253" s="143" t="s">
        <v>1173</v>
      </c>
      <c r="Z253" s="143">
        <v>38430</v>
      </c>
      <c r="AA253" s="143" t="s">
        <v>119</v>
      </c>
      <c r="AB253" s="148"/>
      <c r="AC253" s="149"/>
      <c r="AD253" s="143" t="s">
        <v>91</v>
      </c>
      <c r="AE253" s="143" t="s">
        <v>76</v>
      </c>
      <c r="AF253" s="143" t="s">
        <v>76</v>
      </c>
      <c r="AG253" s="143" t="s">
        <v>76</v>
      </c>
      <c r="AH253" s="143" t="s">
        <v>76</v>
      </c>
      <c r="AI253" s="143" t="s">
        <v>169</v>
      </c>
      <c r="AJ253" s="143" t="s">
        <v>119</v>
      </c>
      <c r="AK253" s="143" t="s">
        <v>170</v>
      </c>
      <c r="AL253" s="149" t="s">
        <v>171</v>
      </c>
      <c r="AM253" s="148">
        <v>476355605</v>
      </c>
      <c r="AN253" s="143" t="s">
        <v>76</v>
      </c>
      <c r="AO253" s="150" t="s">
        <v>102</v>
      </c>
      <c r="AP253" s="147">
        <v>44495</v>
      </c>
      <c r="AQ253" s="135" t="s">
        <v>3496</v>
      </c>
      <c r="AR253" s="143">
        <v>1994</v>
      </c>
      <c r="AS253" s="135" t="s">
        <v>3496</v>
      </c>
      <c r="AT253" s="135" t="s">
        <v>3446</v>
      </c>
      <c r="AU253" s="143" t="s">
        <v>173</v>
      </c>
      <c r="AV253" s="143" t="s">
        <v>630</v>
      </c>
      <c r="AW253" s="143">
        <v>23</v>
      </c>
      <c r="AX253" s="143">
        <v>10</v>
      </c>
      <c r="AY253" s="143">
        <v>78</v>
      </c>
      <c r="AZ253" s="143">
        <v>7.0000000000000007E-2</v>
      </c>
      <c r="BA253" s="143" t="s">
        <v>101</v>
      </c>
      <c r="BB253" s="143"/>
      <c r="BC253" s="143">
        <f>480+32.45+48.5+99.09+94+465.75+1950+390.56+177.6+99.09</f>
        <v>3837.04</v>
      </c>
      <c r="BD253" s="143"/>
      <c r="BE253" s="143">
        <f>950+382.94</f>
        <v>1332.94</v>
      </c>
      <c r="BF253" s="143">
        <f t="shared" si="9"/>
        <v>5169.9799999999996</v>
      </c>
      <c r="BG253" s="151">
        <f t="shared" si="10"/>
        <v>284.34889999999996</v>
      </c>
      <c r="BH253" s="151">
        <f t="shared" si="11"/>
        <v>5454.3288999999995</v>
      </c>
      <c r="BI253" s="151">
        <v>5454.42</v>
      </c>
      <c r="BJ253" s="143" t="s">
        <v>102</v>
      </c>
      <c r="BK253" s="143"/>
      <c r="BL253" s="143"/>
      <c r="BM253" s="144" t="s">
        <v>3592</v>
      </c>
      <c r="BN253" s="144" t="s">
        <v>103</v>
      </c>
      <c r="BO253" s="144" t="s">
        <v>143</v>
      </c>
      <c r="BP253" s="144">
        <v>2021</v>
      </c>
      <c r="BQ253" s="203" t="s">
        <v>144</v>
      </c>
    </row>
    <row r="254" spans="1:69" ht="41.1" customHeight="1">
      <c r="A254" s="206" t="s">
        <v>86</v>
      </c>
      <c r="B254" s="206" t="s">
        <v>1174</v>
      </c>
      <c r="C254" s="143">
        <v>1000</v>
      </c>
      <c r="D254" s="135">
        <v>44455</v>
      </c>
      <c r="E254" s="135">
        <v>44459</v>
      </c>
      <c r="F254" s="147">
        <v>44462</v>
      </c>
      <c r="G254" s="135" t="s">
        <v>1175</v>
      </c>
      <c r="H254" s="147">
        <v>44476</v>
      </c>
      <c r="I254" s="147">
        <v>44476</v>
      </c>
      <c r="J254" s="147">
        <v>44494</v>
      </c>
      <c r="K254" s="135">
        <v>44545</v>
      </c>
      <c r="L254" s="135">
        <v>44531</v>
      </c>
      <c r="M254" s="135" t="s">
        <v>76</v>
      </c>
      <c r="N254" s="135">
        <v>44546</v>
      </c>
      <c r="O254" s="135">
        <v>44546</v>
      </c>
      <c r="P254" s="135">
        <v>44547</v>
      </c>
      <c r="Q254" s="135"/>
      <c r="R254" s="143"/>
      <c r="S254" s="143"/>
      <c r="T254" s="143"/>
      <c r="U254" s="143">
        <v>2</v>
      </c>
      <c r="V254" s="143">
        <v>23777</v>
      </c>
      <c r="W254" s="143" t="str">
        <f ca="1">IF(H254="",IF(D254="","",IF(U254+V254&lt;15,"Données Nb pers ou RFR manquantes",IF(COUNTA(INDIRECT("TabRFR["&amp;YEAR(D254)&amp;"]"))&lt;&gt;COUNTA(TabRFR[Recherche RFR]),"Data RFR manquantes", IF(V254&lt;=INDEX(TabRFR[[2021]:[2025]],MATCH(BD!U254&amp;"-Très modestes",TabRFR[Recherche RFR],0),MATCH(TEXT(YEAR(BD!D254),"Standard"),TabRFR[[#Headers],[2021]:[2025]],0)),"Très Modeste",IF(V254&lt;=INDEX(TabRFR[[2021]:[2025]],MATCH(BD!U254&amp;"-modestes",TabRFR[Recherche RFR],0),MATCH(TEXT(YEAR(BD!D254),"Standard"),TabRFR[[#Headers],[2021]:[2025]],0)),"Modeste",IF(V254&lt;=INDEX(TabRFR[[2021]:[2025]],MATCH(BD!U254&amp;"-Intermédiaire",TabRFR[Recherche RFR],0),MATCH(TEXT(YEAR(BD!D254),"Standard"),TabRFR[[#Headers],[2021]:[2025]],0)),"Intermédiaire","Supérieur")))))),IF(D254="","",IF(U254+V254&lt;15,"Données Nb pers ou RFR manquantes",IF(COUNTA(INDIRECT("TabRFR["&amp;YEAR(H254)&amp;"]"))&lt;&gt;COUNTA(TabRFR[Recherche RFR]),"Data RFR manquantes", IF(V254&lt;=INDEX(TabRFR[[2021]:[2025]],MATCH(BD!U254&amp;"-Très modestes",TabRFR[Recherche RFR],0),MATCH(TEXT(YEAR(BD!H254),"Standard"),TabRFR[[#Headers],[2021]:[2025]],0)),"Très Modeste",IF(V254&lt;=INDEX(TabRFR[[2021]:[2025]],MATCH(BD!U254&amp;"-modestes",TabRFR[Recherche RFR],0),MATCH(TEXT(YEAR(BD!H254),"Standard"),TabRFR[[#Headers],[2021]:[2025]],0)),"Modeste",IF(V254&lt;=INDEX(TabRFR[[2021]:[2025]],MATCH(BD!U254&amp;"-Intermédiaire",TabRFR[Recherche RFR],0),MATCH(TEXT(YEAR(BD!H254),"Standard"),TabRFR[[#Headers],[2021]:[2025]],0)),"Intermédiaire","Supérieur")))))))</f>
        <v>Modeste</v>
      </c>
      <c r="X254" s="143"/>
      <c r="Y254" s="143" t="s">
        <v>1176</v>
      </c>
      <c r="Z254" s="143">
        <v>38210</v>
      </c>
      <c r="AA254" s="143" t="s">
        <v>202</v>
      </c>
      <c r="AB254" s="148"/>
      <c r="AC254" s="149"/>
      <c r="AD254" s="143" t="s">
        <v>91</v>
      </c>
      <c r="AE254" s="143" t="s">
        <v>76</v>
      </c>
      <c r="AF254" s="143" t="s">
        <v>76</v>
      </c>
      <c r="AG254" s="143" t="s">
        <v>76</v>
      </c>
      <c r="AH254" s="143" t="s">
        <v>76</v>
      </c>
      <c r="AI254" s="143" t="s">
        <v>267</v>
      </c>
      <c r="AJ254" s="143" t="s">
        <v>268</v>
      </c>
      <c r="AK254" s="143" t="s">
        <v>269</v>
      </c>
      <c r="AL254" s="150" t="s">
        <v>270</v>
      </c>
      <c r="AM254" s="148">
        <v>437064566</v>
      </c>
      <c r="AN254" s="143" t="s">
        <v>76</v>
      </c>
      <c r="AO254" s="150" t="s">
        <v>102</v>
      </c>
      <c r="AP254" s="147">
        <v>44633</v>
      </c>
      <c r="AQ254" s="135" t="s">
        <v>3449</v>
      </c>
      <c r="AR254" s="143" t="s">
        <v>172</v>
      </c>
      <c r="AS254" s="143" t="s">
        <v>3413</v>
      </c>
      <c r="AT254" s="135" t="s">
        <v>3446</v>
      </c>
      <c r="AU254" s="143" t="s">
        <v>1177</v>
      </c>
      <c r="AV254" s="143" t="s">
        <v>1178</v>
      </c>
      <c r="AW254" s="143">
        <v>25</v>
      </c>
      <c r="AX254" s="143">
        <v>6</v>
      </c>
      <c r="AY254" s="143">
        <v>80.3</v>
      </c>
      <c r="AZ254" s="143">
        <v>7.0000000000000007E-2</v>
      </c>
      <c r="BA254" s="143" t="s">
        <v>101</v>
      </c>
      <c r="BB254" s="143"/>
      <c r="BC254" s="143">
        <f>1450.62+112.59+162.07+125.26+54.77+13.62+5.36+165.66+81.4+8+19.78+17.58+36.04+22.77+72.09+55.04</f>
        <v>2402.6499999999996</v>
      </c>
      <c r="BD254" s="143"/>
      <c r="BE254" s="143">
        <f>1093.74+0.01</f>
        <v>1093.75</v>
      </c>
      <c r="BF254" s="143">
        <f t="shared" si="9"/>
        <v>3496.3999999999996</v>
      </c>
      <c r="BG254" s="151">
        <f t="shared" si="10"/>
        <v>192.30199999999999</v>
      </c>
      <c r="BH254" s="151">
        <f t="shared" si="11"/>
        <v>3688.7019999999998</v>
      </c>
      <c r="BI254" s="151">
        <v>3496.4</v>
      </c>
      <c r="BJ254" s="143" t="s">
        <v>115</v>
      </c>
      <c r="BK254" s="143"/>
      <c r="BL254" s="143"/>
      <c r="BM254" s="144" t="s">
        <v>3592</v>
      </c>
      <c r="BN254" s="144" t="s">
        <v>103</v>
      </c>
      <c r="BO254" s="135" t="s">
        <v>155</v>
      </c>
      <c r="BP254" s="144">
        <v>2021</v>
      </c>
      <c r="BQ254" s="203" t="s">
        <v>3274</v>
      </c>
    </row>
    <row r="255" spans="1:69" ht="41.1" customHeight="1">
      <c r="A255" s="206" t="s">
        <v>86</v>
      </c>
      <c r="B255" s="206" t="s">
        <v>1179</v>
      </c>
      <c r="C255" s="143">
        <v>600</v>
      </c>
      <c r="D255" s="135">
        <v>44459</v>
      </c>
      <c r="E255" s="135">
        <v>44460</v>
      </c>
      <c r="F255" s="147">
        <v>44462</v>
      </c>
      <c r="G255" s="135" t="s">
        <v>1180</v>
      </c>
      <c r="H255" s="147">
        <v>44469</v>
      </c>
      <c r="I255" s="147">
        <v>44469</v>
      </c>
      <c r="J255" s="147">
        <v>44494</v>
      </c>
      <c r="K255" s="135">
        <v>44634</v>
      </c>
      <c r="L255" s="135">
        <v>44883</v>
      </c>
      <c r="M255" s="135" t="s">
        <v>1181</v>
      </c>
      <c r="N255" s="135">
        <v>44665</v>
      </c>
      <c r="O255" s="135">
        <v>44665</v>
      </c>
      <c r="P255" s="135">
        <v>44666</v>
      </c>
      <c r="Q255" s="135"/>
      <c r="R255" s="143"/>
      <c r="S255" s="143"/>
      <c r="T255" s="143"/>
      <c r="U255" s="143">
        <v>2</v>
      </c>
      <c r="V255" s="143">
        <f>17200+22740</f>
        <v>39940</v>
      </c>
      <c r="W255" s="143" t="str">
        <f ca="1">IF(H255="",IF(D255="","",IF(U255+V255&lt;15,"Données Nb pers ou RFR manquantes",IF(COUNTA(INDIRECT("TabRFR["&amp;YEAR(D255)&amp;"]"))&lt;&gt;COUNTA(TabRFR[Recherche RFR]),"Data RFR manquantes", IF(V255&lt;=INDEX(TabRFR[[2021]:[2025]],MATCH(BD!U255&amp;"-Très modestes",TabRFR[Recherche RFR],0),MATCH(TEXT(YEAR(BD!D255),"Standard"),TabRFR[[#Headers],[2021]:[2025]],0)),"Très Modeste",IF(V255&lt;=INDEX(TabRFR[[2021]:[2025]],MATCH(BD!U255&amp;"-modestes",TabRFR[Recherche RFR],0),MATCH(TEXT(YEAR(BD!D255),"Standard"),TabRFR[[#Headers],[2021]:[2025]],0)),"Modeste",IF(V255&lt;=INDEX(TabRFR[[2021]:[2025]],MATCH(BD!U255&amp;"-Intermédiaire",TabRFR[Recherche RFR],0),MATCH(TEXT(YEAR(BD!D255),"Standard"),TabRFR[[#Headers],[2021]:[2025]],0)),"Intermédiaire","Supérieur")))))),IF(D255="","",IF(U255+V255&lt;15,"Données Nb pers ou RFR manquantes",IF(COUNTA(INDIRECT("TabRFR["&amp;YEAR(H255)&amp;"]"))&lt;&gt;COUNTA(TabRFR[Recherche RFR]),"Data RFR manquantes", IF(V255&lt;=INDEX(TabRFR[[2021]:[2025]],MATCH(BD!U255&amp;"-Très modestes",TabRFR[Recherche RFR],0),MATCH(TEXT(YEAR(BD!H255),"Standard"),TabRFR[[#Headers],[2021]:[2025]],0)),"Très Modeste",IF(V255&lt;=INDEX(TabRFR[[2021]:[2025]],MATCH(BD!U255&amp;"-modestes",TabRFR[Recherche RFR],0),MATCH(TEXT(YEAR(BD!H255),"Standard"),TabRFR[[#Headers],[2021]:[2025]],0)),"Modeste",IF(V255&lt;=INDEX(TabRFR[[2021]:[2025]],MATCH(BD!U255&amp;"-Intermédiaire",TabRFR[Recherche RFR],0),MATCH(TEXT(YEAR(BD!H255),"Standard"),TabRFR[[#Headers],[2021]:[2025]],0)),"Intermédiaire","Supérieur")))))))</f>
        <v>Intermédiaire</v>
      </c>
      <c r="X255" s="143"/>
      <c r="Y255" s="143" t="s">
        <v>1182</v>
      </c>
      <c r="Z255" s="143">
        <v>38500</v>
      </c>
      <c r="AA255" s="143" t="s">
        <v>219</v>
      </c>
      <c r="AB255" s="148"/>
      <c r="AC255" s="149"/>
      <c r="AD255" s="143" t="s">
        <v>91</v>
      </c>
      <c r="AE255" s="143" t="s">
        <v>76</v>
      </c>
      <c r="AF255" s="143" t="s">
        <v>76</v>
      </c>
      <c r="AG255" s="143" t="s">
        <v>76</v>
      </c>
      <c r="AH255" s="143" t="s">
        <v>76</v>
      </c>
      <c r="AI255" s="135" t="s">
        <v>285</v>
      </c>
      <c r="AJ255" s="143" t="s">
        <v>108</v>
      </c>
      <c r="AK255" s="143" t="s">
        <v>286</v>
      </c>
      <c r="AL255" s="150" t="s">
        <v>287</v>
      </c>
      <c r="AM255" s="148">
        <v>476069938</v>
      </c>
      <c r="AN255" s="143" t="s">
        <v>76</v>
      </c>
      <c r="AO255" s="150" t="s">
        <v>102</v>
      </c>
      <c r="AP255" s="147">
        <v>44822</v>
      </c>
      <c r="AQ255" s="143" t="s">
        <v>3413</v>
      </c>
      <c r="AR255" s="143">
        <v>1975</v>
      </c>
      <c r="AS255" s="143" t="s">
        <v>3413</v>
      </c>
      <c r="AT255" s="143" t="s">
        <v>98</v>
      </c>
      <c r="AU255" s="143" t="s">
        <v>430</v>
      </c>
      <c r="AV255" s="143" t="s">
        <v>1183</v>
      </c>
      <c r="AW255" s="143">
        <v>14.7</v>
      </c>
      <c r="AX255" s="143">
        <v>9.6</v>
      </c>
      <c r="AY255" s="143">
        <v>92.5</v>
      </c>
      <c r="AZ255" s="143">
        <v>8.0000000000000002E-3</v>
      </c>
      <c r="BA255" s="143" t="s">
        <v>101</v>
      </c>
      <c r="BB255" s="143"/>
      <c r="BC255" s="143">
        <f>3260+1590+207</f>
        <v>5057</v>
      </c>
      <c r="BD255" s="143"/>
      <c r="BE255" s="143">
        <f>390+590+50</f>
        <v>1030</v>
      </c>
      <c r="BF255" s="143">
        <f t="shared" si="9"/>
        <v>6087</v>
      </c>
      <c r="BG255" s="143">
        <f t="shared" si="10"/>
        <v>334.78500000000003</v>
      </c>
      <c r="BH255" s="143">
        <f t="shared" si="11"/>
        <v>6421.7849999999999</v>
      </c>
      <c r="BI255" s="151">
        <v>6369.04</v>
      </c>
      <c r="BJ255" s="143" t="s">
        <v>102</v>
      </c>
      <c r="BK255" s="143"/>
      <c r="BL255" s="143"/>
      <c r="BM255" s="144" t="s">
        <v>3592</v>
      </c>
      <c r="BN255" s="144" t="s">
        <v>103</v>
      </c>
      <c r="BO255" s="144" t="s">
        <v>143</v>
      </c>
      <c r="BP255" s="143" t="s">
        <v>3583</v>
      </c>
      <c r="BQ255" s="203" t="s">
        <v>144</v>
      </c>
    </row>
    <row r="256" spans="1:69" ht="41.1" customHeight="1">
      <c r="A256" s="206" t="s">
        <v>86</v>
      </c>
      <c r="B256" s="206" t="s">
        <v>1184</v>
      </c>
      <c r="C256" s="143">
        <v>1000</v>
      </c>
      <c r="D256" s="135">
        <v>44461</v>
      </c>
      <c r="E256" s="135">
        <v>44463</v>
      </c>
      <c r="F256" s="147" t="s">
        <v>76</v>
      </c>
      <c r="G256" s="135" t="s">
        <v>76</v>
      </c>
      <c r="H256" s="147">
        <v>44469</v>
      </c>
      <c r="I256" s="147">
        <v>44469</v>
      </c>
      <c r="J256" s="147">
        <v>44494</v>
      </c>
      <c r="K256" s="135">
        <v>44572</v>
      </c>
      <c r="L256" s="135">
        <v>44532</v>
      </c>
      <c r="M256" s="135" t="s">
        <v>76</v>
      </c>
      <c r="N256" s="135">
        <v>44580</v>
      </c>
      <c r="O256" s="135">
        <v>44580</v>
      </c>
      <c r="P256" s="135">
        <v>44581</v>
      </c>
      <c r="Q256" s="135"/>
      <c r="R256" s="143"/>
      <c r="S256" s="143"/>
      <c r="T256" s="143"/>
      <c r="U256" s="143">
        <v>2</v>
      </c>
      <c r="V256" s="143">
        <v>19261</v>
      </c>
      <c r="W256" s="143" t="str">
        <f ca="1">IF(H256="",IF(D256="","",IF(U256+V256&lt;15,"Données Nb pers ou RFR manquantes",IF(COUNTA(INDIRECT("TabRFR["&amp;YEAR(D256)&amp;"]"))&lt;&gt;COUNTA(TabRFR[Recherche RFR]),"Data RFR manquantes", IF(V256&lt;=INDEX(TabRFR[[2021]:[2025]],MATCH(BD!U256&amp;"-Très modestes",TabRFR[Recherche RFR],0),MATCH(TEXT(YEAR(BD!D256),"Standard"),TabRFR[[#Headers],[2021]:[2025]],0)),"Très Modeste",IF(V256&lt;=INDEX(TabRFR[[2021]:[2025]],MATCH(BD!U256&amp;"-modestes",TabRFR[Recherche RFR],0),MATCH(TEXT(YEAR(BD!D256),"Standard"),TabRFR[[#Headers],[2021]:[2025]],0)),"Modeste",IF(V256&lt;=INDEX(TabRFR[[2021]:[2025]],MATCH(BD!U256&amp;"-Intermédiaire",TabRFR[Recherche RFR],0),MATCH(TEXT(YEAR(BD!D256),"Standard"),TabRFR[[#Headers],[2021]:[2025]],0)),"Intermédiaire","Supérieur")))))),IF(D256="","",IF(U256+V256&lt;15,"Données Nb pers ou RFR manquantes",IF(COUNTA(INDIRECT("TabRFR["&amp;YEAR(H256)&amp;"]"))&lt;&gt;COUNTA(TabRFR[Recherche RFR]),"Data RFR manquantes", IF(V256&lt;=INDEX(TabRFR[[2021]:[2025]],MATCH(BD!U256&amp;"-Très modestes",TabRFR[Recherche RFR],0),MATCH(TEXT(YEAR(BD!H256),"Standard"),TabRFR[[#Headers],[2021]:[2025]],0)),"Très Modeste",IF(V256&lt;=INDEX(TabRFR[[2021]:[2025]],MATCH(BD!U256&amp;"-modestes",TabRFR[Recherche RFR],0),MATCH(TEXT(YEAR(BD!H256),"Standard"),TabRFR[[#Headers],[2021]:[2025]],0)),"Modeste",IF(V256&lt;=INDEX(TabRFR[[2021]:[2025]],MATCH(BD!U256&amp;"-Intermédiaire",TabRFR[Recherche RFR],0),MATCH(TEXT(YEAR(BD!H256),"Standard"),TabRFR[[#Headers],[2021]:[2025]],0)),"Intermédiaire","Supérieur")))))))</f>
        <v>Très Modeste</v>
      </c>
      <c r="X256" s="143"/>
      <c r="Y256" s="143" t="s">
        <v>825</v>
      </c>
      <c r="Z256" s="143">
        <v>38850</v>
      </c>
      <c r="AA256" s="143" t="s">
        <v>435</v>
      </c>
      <c r="AB256" s="148"/>
      <c r="AC256" s="149"/>
      <c r="AD256" s="143" t="s">
        <v>91</v>
      </c>
      <c r="AE256" s="143" t="s">
        <v>76</v>
      </c>
      <c r="AF256" s="143" t="s">
        <v>76</v>
      </c>
      <c r="AG256" s="143" t="s">
        <v>76</v>
      </c>
      <c r="AH256" s="143" t="s">
        <v>76</v>
      </c>
      <c r="AI256" s="143" t="s">
        <v>185</v>
      </c>
      <c r="AJ256" s="143" t="s">
        <v>108</v>
      </c>
      <c r="AK256" s="143" t="s">
        <v>186</v>
      </c>
      <c r="AL256" s="150" t="s">
        <v>187</v>
      </c>
      <c r="AM256" s="148">
        <v>951096343</v>
      </c>
      <c r="AN256" s="143" t="s">
        <v>76</v>
      </c>
      <c r="AO256" s="150" t="s">
        <v>102</v>
      </c>
      <c r="AP256" s="147">
        <v>44798</v>
      </c>
      <c r="AQ256" s="143" t="s">
        <v>3413</v>
      </c>
      <c r="AR256" s="143">
        <v>2001</v>
      </c>
      <c r="AS256" s="143" t="s">
        <v>3413</v>
      </c>
      <c r="AT256" s="143" t="s">
        <v>98</v>
      </c>
      <c r="AU256" s="143" t="s">
        <v>188</v>
      </c>
      <c r="AV256" s="143" t="s">
        <v>189</v>
      </c>
      <c r="AW256" s="143">
        <v>20</v>
      </c>
      <c r="AX256" s="143">
        <v>8.3000000000000007</v>
      </c>
      <c r="AY256" s="143">
        <v>87</v>
      </c>
      <c r="AZ256" s="143">
        <v>1.7999999999999999E-2</v>
      </c>
      <c r="BA256" s="143" t="s">
        <v>126</v>
      </c>
      <c r="BB256" s="143"/>
      <c r="BC256" s="143">
        <f>4390+269+340.5+271.35+1035+35</f>
        <v>6340.85</v>
      </c>
      <c r="BD256" s="143"/>
      <c r="BE256" s="143">
        <v>630</v>
      </c>
      <c r="BF256" s="143">
        <f t="shared" si="9"/>
        <v>6970.85</v>
      </c>
      <c r="BG256" s="151">
        <f t="shared" si="10"/>
        <v>383.39675</v>
      </c>
      <c r="BH256" s="151">
        <f t="shared" si="11"/>
        <v>7354.2467500000002</v>
      </c>
      <c r="BI256" s="151">
        <v>7000</v>
      </c>
      <c r="BJ256" s="143" t="s">
        <v>115</v>
      </c>
      <c r="BK256" s="143"/>
      <c r="BL256" s="143"/>
      <c r="BM256" s="144" t="s">
        <v>3592</v>
      </c>
      <c r="BN256" s="144" t="s">
        <v>103</v>
      </c>
      <c r="BO256" s="135" t="s">
        <v>155</v>
      </c>
      <c r="BP256" s="143" t="s">
        <v>3583</v>
      </c>
      <c r="BQ256" s="203" t="s">
        <v>3274</v>
      </c>
    </row>
    <row r="257" spans="1:69" ht="41.1" customHeight="1">
      <c r="A257" s="206" t="s">
        <v>86</v>
      </c>
      <c r="B257" s="206" t="s">
        <v>1185</v>
      </c>
      <c r="C257" s="143">
        <v>1000</v>
      </c>
      <c r="D257" s="135">
        <v>44463</v>
      </c>
      <c r="E257" s="135">
        <v>44463</v>
      </c>
      <c r="F257" s="147">
        <v>44469</v>
      </c>
      <c r="G257" s="135" t="s">
        <v>379</v>
      </c>
      <c r="H257" s="147">
        <v>44476</v>
      </c>
      <c r="I257" s="147">
        <v>44476</v>
      </c>
      <c r="J257" s="147">
        <v>44494</v>
      </c>
      <c r="K257" s="135">
        <v>44602</v>
      </c>
      <c r="L257" s="135">
        <v>44546</v>
      </c>
      <c r="M257" s="135" t="s">
        <v>1186</v>
      </c>
      <c r="N257" s="135">
        <v>44662</v>
      </c>
      <c r="O257" s="135">
        <v>44662</v>
      </c>
      <c r="P257" s="135">
        <v>44662</v>
      </c>
      <c r="Q257" s="135"/>
      <c r="R257" s="143"/>
      <c r="S257" s="143"/>
      <c r="T257" s="143"/>
      <c r="U257" s="143">
        <v>5</v>
      </c>
      <c r="V257" s="143">
        <v>32534</v>
      </c>
      <c r="W257" s="143" t="str">
        <f ca="1">IF(H257="",IF(D257="","",IF(U257+V257&lt;15,"Données Nb pers ou RFR manquantes",IF(COUNTA(INDIRECT("TabRFR["&amp;YEAR(D257)&amp;"]"))&lt;&gt;COUNTA(TabRFR[Recherche RFR]),"Data RFR manquantes", IF(V257&lt;=INDEX(TabRFR[[2021]:[2025]],MATCH(BD!U257&amp;"-Très modestes",TabRFR[Recherche RFR],0),MATCH(TEXT(YEAR(BD!D257),"Standard"),TabRFR[[#Headers],[2021]:[2025]],0)),"Très Modeste",IF(V257&lt;=INDEX(TabRFR[[2021]:[2025]],MATCH(BD!U257&amp;"-modestes",TabRFR[Recherche RFR],0),MATCH(TEXT(YEAR(BD!D257),"Standard"),TabRFR[[#Headers],[2021]:[2025]],0)),"Modeste",IF(V257&lt;=INDEX(TabRFR[[2021]:[2025]],MATCH(BD!U257&amp;"-Intermédiaire",TabRFR[Recherche RFR],0),MATCH(TEXT(YEAR(BD!D257),"Standard"),TabRFR[[#Headers],[2021]:[2025]],0)),"Intermédiaire","Supérieur")))))),IF(D257="","",IF(U257+V257&lt;15,"Données Nb pers ou RFR manquantes",IF(COUNTA(INDIRECT("TabRFR["&amp;YEAR(H257)&amp;"]"))&lt;&gt;COUNTA(TabRFR[Recherche RFR]),"Data RFR manquantes", IF(V257&lt;=INDEX(TabRFR[[2021]:[2025]],MATCH(BD!U257&amp;"-Très modestes",TabRFR[Recherche RFR],0),MATCH(TEXT(YEAR(BD!H257),"Standard"),TabRFR[[#Headers],[2021]:[2025]],0)),"Très Modeste",IF(V257&lt;=INDEX(TabRFR[[2021]:[2025]],MATCH(BD!U257&amp;"-modestes",TabRFR[Recherche RFR],0),MATCH(TEXT(YEAR(BD!H257),"Standard"),TabRFR[[#Headers],[2021]:[2025]],0)),"Modeste",IF(V257&lt;=INDEX(TabRFR[[2021]:[2025]],MATCH(BD!U257&amp;"-Intermédiaire",TabRFR[Recherche RFR],0),MATCH(TEXT(YEAR(BD!H257),"Standard"),TabRFR[[#Headers],[2021]:[2025]],0)),"Intermédiaire","Supérieur")))))))</f>
        <v>Très Modeste</v>
      </c>
      <c r="X257" s="143"/>
      <c r="Y257" s="143" t="s">
        <v>1187</v>
      </c>
      <c r="Z257" s="143">
        <v>38620</v>
      </c>
      <c r="AA257" s="143" t="s">
        <v>537</v>
      </c>
      <c r="AB257" s="148"/>
      <c r="AC257" s="149"/>
      <c r="AD257" s="143" t="s">
        <v>91</v>
      </c>
      <c r="AE257" s="143" t="s">
        <v>76</v>
      </c>
      <c r="AF257" s="143" t="s">
        <v>76</v>
      </c>
      <c r="AG257" s="143" t="s">
        <v>76</v>
      </c>
      <c r="AH257" s="143" t="s">
        <v>76</v>
      </c>
      <c r="AI257" s="143" t="s">
        <v>886</v>
      </c>
      <c r="AJ257" s="143" t="s">
        <v>887</v>
      </c>
      <c r="AK257" s="143" t="s">
        <v>888</v>
      </c>
      <c r="AL257" s="150" t="s">
        <v>889</v>
      </c>
      <c r="AM257" s="148">
        <v>476042368</v>
      </c>
      <c r="AN257" s="143" t="s">
        <v>76</v>
      </c>
      <c r="AO257" s="150" t="s">
        <v>102</v>
      </c>
      <c r="AP257" s="147">
        <v>44524</v>
      </c>
      <c r="AQ257" s="143" t="s">
        <v>3413</v>
      </c>
      <c r="AR257" s="143">
        <v>2002</v>
      </c>
      <c r="AS257" s="143" t="s">
        <v>3413</v>
      </c>
      <c r="AT257" s="135" t="s">
        <v>3446</v>
      </c>
      <c r="AU257" s="143" t="s">
        <v>1177</v>
      </c>
      <c r="AV257" s="143" t="s">
        <v>1188</v>
      </c>
      <c r="AW257" s="143">
        <v>40</v>
      </c>
      <c r="AX257" s="143">
        <v>7</v>
      </c>
      <c r="AY257" s="143">
        <v>78</v>
      </c>
      <c r="AZ257" s="143">
        <v>0.12</v>
      </c>
      <c r="BA257" s="143" t="s">
        <v>101</v>
      </c>
      <c r="BB257" s="143"/>
      <c r="BC257" s="143">
        <f>690+27.2+33.5+51+78.9+64.6+49.5+855.6+22.5+49.5+85</f>
        <v>2007.3000000000002</v>
      </c>
      <c r="BD257" s="143"/>
      <c r="BE257" s="143">
        <f>450+450</f>
        <v>900</v>
      </c>
      <c r="BF257" s="143">
        <f t="shared" si="9"/>
        <v>2907.3</v>
      </c>
      <c r="BG257" s="151">
        <f t="shared" si="10"/>
        <v>159.9015</v>
      </c>
      <c r="BH257" s="151">
        <f t="shared" si="11"/>
        <v>3067.2015000000001</v>
      </c>
      <c r="BI257" s="151">
        <f>(872.19*1.055)+2147.05</f>
        <v>3067.21045</v>
      </c>
      <c r="BJ257" s="143" t="s">
        <v>102</v>
      </c>
      <c r="BK257" s="143"/>
      <c r="BL257" s="143"/>
      <c r="BM257" s="144" t="s">
        <v>3592</v>
      </c>
      <c r="BN257" s="144" t="s">
        <v>103</v>
      </c>
      <c r="BO257" s="135" t="s">
        <v>155</v>
      </c>
      <c r="BP257" s="144">
        <v>2021</v>
      </c>
      <c r="BQ257" s="203" t="s">
        <v>144</v>
      </c>
    </row>
    <row r="258" spans="1:69" ht="41.1" customHeight="1">
      <c r="A258" s="206" t="s">
        <v>86</v>
      </c>
      <c r="B258" s="206" t="s">
        <v>1189</v>
      </c>
      <c r="C258" s="143">
        <v>600</v>
      </c>
      <c r="D258" s="135">
        <v>44463</v>
      </c>
      <c r="E258" s="135">
        <v>44467</v>
      </c>
      <c r="F258" s="147">
        <v>44469</v>
      </c>
      <c r="G258" s="135" t="s">
        <v>1190</v>
      </c>
      <c r="H258" s="147">
        <v>44491</v>
      </c>
      <c r="I258" s="147">
        <v>44491</v>
      </c>
      <c r="J258" s="147">
        <v>44495</v>
      </c>
      <c r="K258" s="135">
        <v>44525</v>
      </c>
      <c r="L258" s="135">
        <v>44530</v>
      </c>
      <c r="M258" s="135" t="s">
        <v>1191</v>
      </c>
      <c r="N258" s="135">
        <v>44650</v>
      </c>
      <c r="O258" s="135">
        <v>44650</v>
      </c>
      <c r="P258" s="135">
        <v>44652</v>
      </c>
      <c r="Q258" s="135"/>
      <c r="R258" s="143"/>
      <c r="S258" s="143"/>
      <c r="T258" s="143"/>
      <c r="U258" s="143">
        <v>2</v>
      </c>
      <c r="V258" s="143">
        <v>30147</v>
      </c>
      <c r="W258" s="143" t="str">
        <f ca="1">IF(H258="",IF(D258="","",IF(U258+V258&lt;15,"Données Nb pers ou RFR manquantes",IF(COUNTA(INDIRECT("TabRFR["&amp;YEAR(D258)&amp;"]"))&lt;&gt;COUNTA(TabRFR[Recherche RFR]),"Data RFR manquantes", IF(V258&lt;=INDEX(TabRFR[[2021]:[2025]],MATCH(BD!U258&amp;"-Très modestes",TabRFR[Recherche RFR],0),MATCH(TEXT(YEAR(BD!D258),"Standard"),TabRFR[[#Headers],[2021]:[2025]],0)),"Très Modeste",IF(V258&lt;=INDEX(TabRFR[[2021]:[2025]],MATCH(BD!U258&amp;"-modestes",TabRFR[Recherche RFR],0),MATCH(TEXT(YEAR(BD!D258),"Standard"),TabRFR[[#Headers],[2021]:[2025]],0)),"Modeste",IF(V258&lt;=INDEX(TabRFR[[2021]:[2025]],MATCH(BD!U258&amp;"-Intermédiaire",TabRFR[Recherche RFR],0),MATCH(TEXT(YEAR(BD!D258),"Standard"),TabRFR[[#Headers],[2021]:[2025]],0)),"Intermédiaire","Supérieur")))))),IF(D258="","",IF(U258+V258&lt;15,"Données Nb pers ou RFR manquantes",IF(COUNTA(INDIRECT("TabRFR["&amp;YEAR(H258)&amp;"]"))&lt;&gt;COUNTA(TabRFR[Recherche RFR]),"Data RFR manquantes", IF(V258&lt;=INDEX(TabRFR[[2021]:[2025]],MATCH(BD!U258&amp;"-Très modestes",TabRFR[Recherche RFR],0),MATCH(TEXT(YEAR(BD!H258),"Standard"),TabRFR[[#Headers],[2021]:[2025]],0)),"Très Modeste",IF(V258&lt;=INDEX(TabRFR[[2021]:[2025]],MATCH(BD!U258&amp;"-modestes",TabRFR[Recherche RFR],0),MATCH(TEXT(YEAR(BD!H258),"Standard"),TabRFR[[#Headers],[2021]:[2025]],0)),"Modeste",IF(V258&lt;=INDEX(TabRFR[[2021]:[2025]],MATCH(BD!U258&amp;"-Intermédiaire",TabRFR[Recherche RFR],0),MATCH(TEXT(YEAR(BD!H258),"Standard"),TabRFR[[#Headers],[2021]:[2025]],0)),"Intermédiaire","Supérieur")))))))</f>
        <v>Intermédiaire</v>
      </c>
      <c r="X258" s="143"/>
      <c r="Y258" s="143" t="s">
        <v>928</v>
      </c>
      <c r="Z258" s="143">
        <v>38490</v>
      </c>
      <c r="AA258" s="143" t="s">
        <v>1075</v>
      </c>
      <c r="AB258" s="148"/>
      <c r="AC258" s="149"/>
      <c r="AD258" s="143" t="s">
        <v>91</v>
      </c>
      <c r="AE258" s="143" t="s">
        <v>76</v>
      </c>
      <c r="AF258" s="143" t="s">
        <v>76</v>
      </c>
      <c r="AG258" s="143" t="s">
        <v>76</v>
      </c>
      <c r="AH258" s="143" t="s">
        <v>76</v>
      </c>
      <c r="AI258" s="143" t="s">
        <v>1106</v>
      </c>
      <c r="AJ258" s="143" t="s">
        <v>1075</v>
      </c>
      <c r="AK258" s="143" t="s">
        <v>1107</v>
      </c>
      <c r="AL258" s="150" t="s">
        <v>1108</v>
      </c>
      <c r="AM258" s="148">
        <v>476663386</v>
      </c>
      <c r="AN258" s="143" t="s">
        <v>76</v>
      </c>
      <c r="AO258" s="150" t="s">
        <v>102</v>
      </c>
      <c r="AP258" s="147">
        <v>44731</v>
      </c>
      <c r="AQ258" s="135" t="s">
        <v>3496</v>
      </c>
      <c r="AR258" s="143">
        <v>1992</v>
      </c>
      <c r="AS258" s="135" t="s">
        <v>3496</v>
      </c>
      <c r="AT258" s="135" t="s">
        <v>3446</v>
      </c>
      <c r="AU258" s="143" t="s">
        <v>1109</v>
      </c>
      <c r="AV258" s="143" t="s">
        <v>1192</v>
      </c>
      <c r="AW258" s="151">
        <v>34</v>
      </c>
      <c r="AX258" s="151">
        <v>7.8</v>
      </c>
      <c r="AY258" s="151">
        <v>76.5</v>
      </c>
      <c r="AZ258" s="151">
        <v>0.1</v>
      </c>
      <c r="BA258" s="151" t="s">
        <v>101</v>
      </c>
      <c r="BB258" s="143"/>
      <c r="BC258" s="151">
        <f>1806+40+266.61+300.44+17.11+178+467+295+110.86</f>
        <v>3481.0200000000004</v>
      </c>
      <c r="BD258" s="143"/>
      <c r="BE258" s="151">
        <v>500</v>
      </c>
      <c r="BF258" s="151">
        <f t="shared" si="9"/>
        <v>3981.0200000000004</v>
      </c>
      <c r="BG258" s="151">
        <f t="shared" si="10"/>
        <v>218.95610000000002</v>
      </c>
      <c r="BH258" s="151">
        <f t="shared" si="11"/>
        <v>4199.9761000000008</v>
      </c>
      <c r="BI258" s="151">
        <v>4199.9799999999996</v>
      </c>
      <c r="BJ258" s="143" t="s">
        <v>115</v>
      </c>
      <c r="BK258" s="143"/>
      <c r="BL258" s="143"/>
      <c r="BM258" s="144" t="s">
        <v>3592</v>
      </c>
      <c r="BN258" s="144" t="s">
        <v>103</v>
      </c>
      <c r="BO258" s="144" t="s">
        <v>143</v>
      </c>
      <c r="BP258" s="144">
        <v>2021</v>
      </c>
      <c r="BQ258" s="203" t="s">
        <v>3274</v>
      </c>
    </row>
    <row r="259" spans="1:69" ht="41.1" customHeight="1">
      <c r="A259" s="206" t="s">
        <v>86</v>
      </c>
      <c r="B259" s="206" t="s">
        <v>1193</v>
      </c>
      <c r="C259" s="143">
        <v>600</v>
      </c>
      <c r="D259" s="135">
        <v>44463</v>
      </c>
      <c r="E259" s="135">
        <v>44467</v>
      </c>
      <c r="F259" s="147" t="s">
        <v>76</v>
      </c>
      <c r="G259" s="135" t="s">
        <v>76</v>
      </c>
      <c r="H259" s="147">
        <v>44469</v>
      </c>
      <c r="I259" s="147">
        <v>44469</v>
      </c>
      <c r="J259" s="147">
        <v>44494</v>
      </c>
      <c r="K259" s="135">
        <v>44739</v>
      </c>
      <c r="L259" s="135">
        <v>44645</v>
      </c>
      <c r="M259" s="135" t="s">
        <v>76</v>
      </c>
      <c r="N259" s="135">
        <v>44769</v>
      </c>
      <c r="O259" s="135">
        <v>44769</v>
      </c>
      <c r="P259" s="135">
        <v>44770</v>
      </c>
      <c r="Q259" s="135"/>
      <c r="R259" s="143"/>
      <c r="S259" s="143"/>
      <c r="T259" s="143"/>
      <c r="U259" s="143">
        <v>2</v>
      </c>
      <c r="V259" s="143">
        <f>57442+25478</f>
        <v>82920</v>
      </c>
      <c r="W259" s="143" t="str">
        <f ca="1">IF(H259="",IF(D259="","",IF(U259+V259&lt;15,"Données Nb pers ou RFR manquantes",IF(COUNTA(INDIRECT("TabRFR["&amp;YEAR(D259)&amp;"]"))&lt;&gt;COUNTA(TabRFR[Recherche RFR]),"Data RFR manquantes", IF(V259&lt;=INDEX(TabRFR[[2021]:[2025]],MATCH(BD!U259&amp;"-Très modestes",TabRFR[Recherche RFR],0),MATCH(TEXT(YEAR(BD!D259),"Standard"),TabRFR[[#Headers],[2021]:[2025]],0)),"Très Modeste",IF(V259&lt;=INDEX(TabRFR[[2021]:[2025]],MATCH(BD!U259&amp;"-modestes",TabRFR[Recherche RFR],0),MATCH(TEXT(YEAR(BD!D259),"Standard"),TabRFR[[#Headers],[2021]:[2025]],0)),"Modeste",IF(V259&lt;=INDEX(TabRFR[[2021]:[2025]],MATCH(BD!U259&amp;"-Intermédiaire",TabRFR[Recherche RFR],0),MATCH(TEXT(YEAR(BD!D259),"Standard"),TabRFR[[#Headers],[2021]:[2025]],0)),"Intermédiaire","Supérieur")))))),IF(D259="","",IF(U259+V259&lt;15,"Données Nb pers ou RFR manquantes",IF(COUNTA(INDIRECT("TabRFR["&amp;YEAR(H259)&amp;"]"))&lt;&gt;COUNTA(TabRFR[Recherche RFR]),"Data RFR manquantes", IF(V259&lt;=INDEX(TabRFR[[2021]:[2025]],MATCH(BD!U259&amp;"-Très modestes",TabRFR[Recherche RFR],0),MATCH(TEXT(YEAR(BD!H259),"Standard"),TabRFR[[#Headers],[2021]:[2025]],0)),"Très Modeste",IF(V259&lt;=INDEX(TabRFR[[2021]:[2025]],MATCH(BD!U259&amp;"-modestes",TabRFR[Recherche RFR],0),MATCH(TEXT(YEAR(BD!H259),"Standard"),TabRFR[[#Headers],[2021]:[2025]],0)),"Modeste",IF(V259&lt;=INDEX(TabRFR[[2021]:[2025]],MATCH(BD!U259&amp;"-Intermédiaire",TabRFR[Recherche RFR],0),MATCH(TEXT(YEAR(BD!H259),"Standard"),TabRFR[[#Headers],[2021]:[2025]],0)),"Intermédiaire","Supérieur")))))))</f>
        <v>Supérieur</v>
      </c>
      <c r="X259" s="143"/>
      <c r="Y259" s="143" t="s">
        <v>1194</v>
      </c>
      <c r="Z259" s="143">
        <v>38850</v>
      </c>
      <c r="AA259" s="143" t="s">
        <v>148</v>
      </c>
      <c r="AB259" s="148"/>
      <c r="AC259" s="149"/>
      <c r="AD259" s="143" t="s">
        <v>91</v>
      </c>
      <c r="AE259" s="143" t="s">
        <v>76</v>
      </c>
      <c r="AF259" s="143" t="s">
        <v>76</v>
      </c>
      <c r="AG259" s="143" t="s">
        <v>76</v>
      </c>
      <c r="AH259" s="143" t="s">
        <v>76</v>
      </c>
      <c r="AI259" s="135" t="s">
        <v>220</v>
      </c>
      <c r="AJ259" s="143" t="s">
        <v>108</v>
      </c>
      <c r="AK259" s="143" t="s">
        <v>221</v>
      </c>
      <c r="AL259" s="150" t="s">
        <v>222</v>
      </c>
      <c r="AM259" s="148">
        <v>476323235</v>
      </c>
      <c r="AN259" s="143" t="s">
        <v>76</v>
      </c>
      <c r="AO259" s="150" t="s">
        <v>102</v>
      </c>
      <c r="AP259" s="147">
        <v>44794</v>
      </c>
      <c r="AQ259" s="135" t="s">
        <v>3449</v>
      </c>
      <c r="AR259" s="143">
        <v>1995</v>
      </c>
      <c r="AS259" s="143" t="s">
        <v>3413</v>
      </c>
      <c r="AT259" s="135" t="s">
        <v>3446</v>
      </c>
      <c r="AU259" s="143" t="s">
        <v>369</v>
      </c>
      <c r="AV259" s="143" t="s">
        <v>612</v>
      </c>
      <c r="AW259" s="143">
        <v>6</v>
      </c>
      <c r="AX259" s="143">
        <v>7</v>
      </c>
      <c r="AY259" s="143">
        <v>83</v>
      </c>
      <c r="AZ259" s="143">
        <v>5.8000000000000003E-2</v>
      </c>
      <c r="BA259" s="143" t="s">
        <v>101</v>
      </c>
      <c r="BB259" s="143"/>
      <c r="BC259" s="143">
        <f>2906.2+66+2099.45+168.8+68.58+100.23+31.65+15.83</f>
        <v>5456.7399999999989</v>
      </c>
      <c r="BD259" s="143"/>
      <c r="BE259" s="143">
        <f>379.8+79.13+698.5+41.8+115.5+33+423.5+49.5</f>
        <v>1820.73</v>
      </c>
      <c r="BF259" s="143">
        <f t="shared" si="9"/>
        <v>7277.4699999999993</v>
      </c>
      <c r="BG259" s="151">
        <f t="shared" si="10"/>
        <v>400.26084999999995</v>
      </c>
      <c r="BH259" s="151">
        <f t="shared" si="11"/>
        <v>7677.730849999999</v>
      </c>
      <c r="BI259" s="151">
        <f>3712.5+2681.81</f>
        <v>6394.3099999999995</v>
      </c>
      <c r="BJ259" s="143" t="s">
        <v>115</v>
      </c>
      <c r="BK259" s="143"/>
      <c r="BL259" s="143"/>
      <c r="BM259" s="144" t="s">
        <v>3592</v>
      </c>
      <c r="BN259" s="144" t="s">
        <v>103</v>
      </c>
      <c r="BO259" s="144" t="s">
        <v>143</v>
      </c>
      <c r="BP259" s="144">
        <v>2021</v>
      </c>
      <c r="BQ259" s="203" t="s">
        <v>3274</v>
      </c>
    </row>
    <row r="260" spans="1:69" ht="41.1" customHeight="1">
      <c r="A260" s="206" t="s">
        <v>86</v>
      </c>
      <c r="B260" s="206" t="s">
        <v>1195</v>
      </c>
      <c r="C260" s="143">
        <v>600</v>
      </c>
      <c r="D260" s="135">
        <v>44465</v>
      </c>
      <c r="E260" s="135">
        <v>44467</v>
      </c>
      <c r="F260" s="147">
        <v>44469</v>
      </c>
      <c r="G260" s="135" t="s">
        <v>379</v>
      </c>
      <c r="H260" s="147">
        <v>44491</v>
      </c>
      <c r="I260" s="147">
        <v>44491</v>
      </c>
      <c r="J260" s="147">
        <v>44495</v>
      </c>
      <c r="K260" s="135">
        <v>44495</v>
      </c>
      <c r="L260" s="135">
        <v>44492</v>
      </c>
      <c r="M260" s="135" t="s">
        <v>76</v>
      </c>
      <c r="N260" s="135">
        <v>44497</v>
      </c>
      <c r="O260" s="135">
        <v>44497</v>
      </c>
      <c r="P260" s="135">
        <v>44498</v>
      </c>
      <c r="Q260" s="135"/>
      <c r="R260" s="143"/>
      <c r="S260" s="143"/>
      <c r="T260" s="143"/>
      <c r="U260" s="143">
        <v>2</v>
      </c>
      <c r="V260" s="143">
        <v>30549</v>
      </c>
      <c r="W260" s="143" t="str">
        <f ca="1">IF(H260="",IF(D260="","",IF(U260+V260&lt;15,"Données Nb pers ou RFR manquantes",IF(COUNTA(INDIRECT("TabRFR["&amp;YEAR(D260)&amp;"]"))&lt;&gt;COUNTA(TabRFR[Recherche RFR]),"Data RFR manquantes", IF(V260&lt;=INDEX(TabRFR[[2021]:[2025]],MATCH(BD!U260&amp;"-Très modestes",TabRFR[Recherche RFR],0),MATCH(TEXT(YEAR(BD!D260),"Standard"),TabRFR[[#Headers],[2021]:[2025]],0)),"Très Modeste",IF(V260&lt;=INDEX(TabRFR[[2021]:[2025]],MATCH(BD!U260&amp;"-modestes",TabRFR[Recherche RFR],0),MATCH(TEXT(YEAR(BD!D260),"Standard"),TabRFR[[#Headers],[2021]:[2025]],0)),"Modeste",IF(V260&lt;=INDEX(TabRFR[[2021]:[2025]],MATCH(BD!U260&amp;"-Intermédiaire",TabRFR[Recherche RFR],0),MATCH(TEXT(YEAR(BD!D260),"Standard"),TabRFR[[#Headers],[2021]:[2025]],0)),"Intermédiaire","Supérieur")))))),IF(D260="","",IF(U260+V260&lt;15,"Données Nb pers ou RFR manquantes",IF(COUNTA(INDIRECT("TabRFR["&amp;YEAR(H260)&amp;"]"))&lt;&gt;COUNTA(TabRFR[Recherche RFR]),"Data RFR manquantes", IF(V260&lt;=INDEX(TabRFR[[2021]:[2025]],MATCH(BD!U260&amp;"-Très modestes",TabRFR[Recherche RFR],0),MATCH(TEXT(YEAR(BD!H260),"Standard"),TabRFR[[#Headers],[2021]:[2025]],0)),"Très Modeste",IF(V260&lt;=INDEX(TabRFR[[2021]:[2025]],MATCH(BD!U260&amp;"-modestes",TabRFR[Recherche RFR],0),MATCH(TEXT(YEAR(BD!H260),"Standard"),TabRFR[[#Headers],[2021]:[2025]],0)),"Modeste",IF(V260&lt;=INDEX(TabRFR[[2021]:[2025]],MATCH(BD!U260&amp;"-Intermédiaire",TabRFR[Recherche RFR],0),MATCH(TEXT(YEAR(BD!H260),"Standard"),TabRFR[[#Headers],[2021]:[2025]],0)),"Intermédiaire","Supérieur")))))))</f>
        <v>Intermédiaire</v>
      </c>
      <c r="X260" s="143"/>
      <c r="Y260" s="143" t="s">
        <v>1196</v>
      </c>
      <c r="Z260" s="143">
        <v>38430</v>
      </c>
      <c r="AA260" s="143" t="s">
        <v>351</v>
      </c>
      <c r="AB260" s="148"/>
      <c r="AC260" s="149"/>
      <c r="AD260" s="143" t="s">
        <v>91</v>
      </c>
      <c r="AE260" s="143" t="s">
        <v>76</v>
      </c>
      <c r="AF260" s="143" t="s">
        <v>76</v>
      </c>
      <c r="AG260" s="143" t="s">
        <v>76</v>
      </c>
      <c r="AH260" s="143" t="s">
        <v>76</v>
      </c>
      <c r="AI260" s="143" t="s">
        <v>886</v>
      </c>
      <c r="AJ260" s="143" t="s">
        <v>887</v>
      </c>
      <c r="AK260" s="143" t="s">
        <v>888</v>
      </c>
      <c r="AL260" s="150" t="s">
        <v>889</v>
      </c>
      <c r="AM260" s="148">
        <v>476042368</v>
      </c>
      <c r="AN260" s="143" t="s">
        <v>76</v>
      </c>
      <c r="AO260" s="150" t="s">
        <v>102</v>
      </c>
      <c r="AP260" s="147">
        <v>44524</v>
      </c>
      <c r="AQ260" s="135" t="s">
        <v>3449</v>
      </c>
      <c r="AR260" s="143" t="s">
        <v>172</v>
      </c>
      <c r="AS260" s="143" t="s">
        <v>3413</v>
      </c>
      <c r="AT260" s="143" t="s">
        <v>98</v>
      </c>
      <c r="AU260" s="143" t="s">
        <v>1066</v>
      </c>
      <c r="AV260" s="143" t="s">
        <v>1197</v>
      </c>
      <c r="AW260" s="143">
        <v>17</v>
      </c>
      <c r="AX260" s="143">
        <v>7.22</v>
      </c>
      <c r="AY260" s="143">
        <v>89.24</v>
      </c>
      <c r="AZ260" s="143">
        <v>1.9E-2</v>
      </c>
      <c r="BA260" s="143" t="s">
        <v>126</v>
      </c>
      <c r="BB260" s="143"/>
      <c r="BC260" s="143">
        <f>2277.04+44.75+35.08+46.5+62.33+81.3+15.74+33.32+28.92+100+5.63+70.33+182.87</f>
        <v>2983.81</v>
      </c>
      <c r="BD260" s="143"/>
      <c r="BE260" s="143">
        <v>940</v>
      </c>
      <c r="BF260" s="143">
        <f t="shared" si="9"/>
        <v>3923.81</v>
      </c>
      <c r="BG260" s="151">
        <f t="shared" si="10"/>
        <v>215.80955</v>
      </c>
      <c r="BH260" s="151">
        <f t="shared" si="11"/>
        <v>4139.6195500000003</v>
      </c>
      <c r="BI260" s="151">
        <v>3923.81</v>
      </c>
      <c r="BJ260" s="143" t="s">
        <v>115</v>
      </c>
      <c r="BK260" s="143"/>
      <c r="BL260" s="143"/>
      <c r="BM260" s="144" t="s">
        <v>3592</v>
      </c>
      <c r="BN260" s="144" t="s">
        <v>103</v>
      </c>
      <c r="BO260" s="144" t="s">
        <v>143</v>
      </c>
      <c r="BP260" s="143" t="s">
        <v>3583</v>
      </c>
      <c r="BQ260" s="203" t="s">
        <v>3274</v>
      </c>
    </row>
    <row r="261" spans="1:69" ht="41.1" customHeight="1">
      <c r="A261" s="206" t="s">
        <v>86</v>
      </c>
      <c r="B261" s="206" t="s">
        <v>1198</v>
      </c>
      <c r="C261" s="143">
        <v>1000</v>
      </c>
      <c r="D261" s="135">
        <v>44467</v>
      </c>
      <c r="E261" s="135">
        <v>44467</v>
      </c>
      <c r="F261" s="147">
        <v>44469</v>
      </c>
      <c r="G261" s="135" t="s">
        <v>1190</v>
      </c>
      <c r="H261" s="147">
        <v>44491</v>
      </c>
      <c r="I261" s="147">
        <v>44491</v>
      </c>
      <c r="J261" s="147">
        <v>44495</v>
      </c>
      <c r="K261" s="135">
        <v>44615</v>
      </c>
      <c r="L261" s="135">
        <v>44567</v>
      </c>
      <c r="M261" s="135"/>
      <c r="N261" s="135">
        <v>44616</v>
      </c>
      <c r="O261" s="135">
        <v>44616</v>
      </c>
      <c r="P261" s="135">
        <v>44617</v>
      </c>
      <c r="Q261" s="135"/>
      <c r="R261" s="143"/>
      <c r="S261" s="143"/>
      <c r="T261" s="143"/>
      <c r="U261" s="143">
        <v>1</v>
      </c>
      <c r="V261" s="143">
        <v>16280</v>
      </c>
      <c r="W261" s="143" t="str">
        <f ca="1">IF(H261="",IF(D261="","",IF(U261+V261&lt;15,"Données Nb pers ou RFR manquantes",IF(COUNTA(INDIRECT("TabRFR["&amp;YEAR(D261)&amp;"]"))&lt;&gt;COUNTA(TabRFR[Recherche RFR]),"Data RFR manquantes", IF(V261&lt;=INDEX(TabRFR[[2021]:[2025]],MATCH(BD!U261&amp;"-Très modestes",TabRFR[Recherche RFR],0),MATCH(TEXT(YEAR(BD!D261),"Standard"),TabRFR[[#Headers],[2021]:[2025]],0)),"Très Modeste",IF(V261&lt;=INDEX(TabRFR[[2021]:[2025]],MATCH(BD!U261&amp;"-modestes",TabRFR[Recherche RFR],0),MATCH(TEXT(YEAR(BD!D261),"Standard"),TabRFR[[#Headers],[2021]:[2025]],0)),"Modeste",IF(V261&lt;=INDEX(TabRFR[[2021]:[2025]],MATCH(BD!U261&amp;"-Intermédiaire",TabRFR[Recherche RFR],0),MATCH(TEXT(YEAR(BD!D261),"Standard"),TabRFR[[#Headers],[2021]:[2025]],0)),"Intermédiaire","Supérieur")))))),IF(D261="","",IF(U261+V261&lt;15,"Données Nb pers ou RFR manquantes",IF(COUNTA(INDIRECT("TabRFR["&amp;YEAR(H261)&amp;"]"))&lt;&gt;COUNTA(TabRFR[Recherche RFR]),"Data RFR manquantes", IF(V261&lt;=INDEX(TabRFR[[2021]:[2025]],MATCH(BD!U261&amp;"-Très modestes",TabRFR[Recherche RFR],0),MATCH(TEXT(YEAR(BD!H261),"Standard"),TabRFR[[#Headers],[2021]:[2025]],0)),"Très Modeste",IF(V261&lt;=INDEX(TabRFR[[2021]:[2025]],MATCH(BD!U261&amp;"-modestes",TabRFR[Recherche RFR],0),MATCH(TEXT(YEAR(BD!H261),"Standard"),TabRFR[[#Headers],[2021]:[2025]],0)),"Modeste",IF(V261&lt;=INDEX(TabRFR[[2021]:[2025]],MATCH(BD!U261&amp;"-Intermédiaire",TabRFR[Recherche RFR],0),MATCH(TEXT(YEAR(BD!H261),"Standard"),TabRFR[[#Headers],[2021]:[2025]],0)),"Intermédiaire","Supérieur")))))))</f>
        <v>Modeste</v>
      </c>
      <c r="X261" s="143"/>
      <c r="Y261" s="143" t="s">
        <v>1199</v>
      </c>
      <c r="Z261" s="143">
        <v>38500</v>
      </c>
      <c r="AA261" s="143" t="s">
        <v>284</v>
      </c>
      <c r="AB261" s="148"/>
      <c r="AC261" s="149"/>
      <c r="AD261" s="143" t="s">
        <v>91</v>
      </c>
      <c r="AE261" s="143" t="s">
        <v>76</v>
      </c>
      <c r="AF261" s="143" t="s">
        <v>76</v>
      </c>
      <c r="AG261" s="143" t="s">
        <v>76</v>
      </c>
      <c r="AH261" s="143" t="s">
        <v>76</v>
      </c>
      <c r="AI261" s="143" t="s">
        <v>1106</v>
      </c>
      <c r="AJ261" s="143" t="s">
        <v>1075</v>
      </c>
      <c r="AK261" s="143" t="s">
        <v>1107</v>
      </c>
      <c r="AL261" s="150" t="s">
        <v>1108</v>
      </c>
      <c r="AM261" s="148">
        <v>476663386</v>
      </c>
      <c r="AN261" s="143" t="s">
        <v>76</v>
      </c>
      <c r="AO261" s="150" t="s">
        <v>102</v>
      </c>
      <c r="AP261" s="147">
        <v>44731</v>
      </c>
      <c r="AQ261" s="135" t="s">
        <v>3496</v>
      </c>
      <c r="AR261" s="143">
        <v>1990</v>
      </c>
      <c r="AS261" s="143" t="s">
        <v>3413</v>
      </c>
      <c r="AT261" s="143" t="s">
        <v>98</v>
      </c>
      <c r="AU261" s="143" t="s">
        <v>1109</v>
      </c>
      <c r="AV261" s="143" t="s">
        <v>1200</v>
      </c>
      <c r="AW261" s="151">
        <v>16</v>
      </c>
      <c r="AX261" s="151">
        <v>9</v>
      </c>
      <c r="AY261" s="151">
        <v>93</v>
      </c>
      <c r="AZ261" s="151">
        <v>2.1000000000000001E-2</v>
      </c>
      <c r="BA261" s="151" t="s">
        <v>101</v>
      </c>
      <c r="BB261" s="143"/>
      <c r="BC261" s="151">
        <f>3682.03+121.42+118+138.5+404.92+15.48+115.17+102.73+96+85+232.06+298</f>
        <v>5409.3099999999995</v>
      </c>
      <c r="BD261" s="143"/>
      <c r="BE261" s="151">
        <f>500+300</f>
        <v>800</v>
      </c>
      <c r="BF261" s="151">
        <f t="shared" ref="BF261:BF324" si="12">BC261+BE261</f>
        <v>6209.3099999999995</v>
      </c>
      <c r="BG261" s="151">
        <f t="shared" ref="BG261:BG319" si="13">BF261*0.055</f>
        <v>341.51204999999999</v>
      </c>
      <c r="BH261" s="151">
        <f t="shared" ref="BH261:BH324" si="14">BF261+BG261</f>
        <v>6550.8220499999998</v>
      </c>
      <c r="BI261" s="151">
        <v>5968</v>
      </c>
      <c r="BJ261" s="143" t="s">
        <v>115</v>
      </c>
      <c r="BK261" s="143"/>
      <c r="BL261" s="143"/>
      <c r="BM261" s="144" t="s">
        <v>3592</v>
      </c>
      <c r="BN261" s="144" t="s">
        <v>103</v>
      </c>
      <c r="BO261" s="135" t="s">
        <v>155</v>
      </c>
      <c r="BP261" s="143" t="s">
        <v>3583</v>
      </c>
      <c r="BQ261" s="203" t="s">
        <v>3274</v>
      </c>
    </row>
    <row r="262" spans="1:69" ht="41.1" customHeight="1">
      <c r="A262" s="206" t="s">
        <v>86</v>
      </c>
      <c r="B262" s="206" t="s">
        <v>1201</v>
      </c>
      <c r="C262" s="143">
        <v>600</v>
      </c>
      <c r="D262" s="135">
        <v>44467</v>
      </c>
      <c r="E262" s="135">
        <v>44467</v>
      </c>
      <c r="F262" s="147" t="s">
        <v>76</v>
      </c>
      <c r="G262" s="135" t="s">
        <v>76</v>
      </c>
      <c r="H262" s="147">
        <v>44469</v>
      </c>
      <c r="I262" s="147">
        <v>44469</v>
      </c>
      <c r="J262" s="147">
        <v>44494</v>
      </c>
      <c r="K262" s="135">
        <v>44550</v>
      </c>
      <c r="L262" s="135">
        <v>44517</v>
      </c>
      <c r="M262" s="135" t="s">
        <v>76</v>
      </c>
      <c r="N262" s="135">
        <v>44553</v>
      </c>
      <c r="O262" s="135">
        <v>44553</v>
      </c>
      <c r="P262" s="135">
        <v>44553</v>
      </c>
      <c r="Q262" s="135"/>
      <c r="R262" s="143"/>
      <c r="S262" s="143"/>
      <c r="T262" s="143"/>
      <c r="U262" s="143">
        <v>1</v>
      </c>
      <c r="V262" s="143">
        <v>20315</v>
      </c>
      <c r="W262" s="143" t="str">
        <f ca="1">IF(H262="",IF(D262="","",IF(U262+V262&lt;15,"Données Nb pers ou RFR manquantes",IF(COUNTA(INDIRECT("TabRFR["&amp;YEAR(D262)&amp;"]"))&lt;&gt;COUNTA(TabRFR[Recherche RFR]),"Data RFR manquantes", IF(V262&lt;=INDEX(TabRFR[[2021]:[2025]],MATCH(BD!U262&amp;"-Très modestes",TabRFR[Recherche RFR],0),MATCH(TEXT(YEAR(BD!D262),"Standard"),TabRFR[[#Headers],[2021]:[2025]],0)),"Très Modeste",IF(V262&lt;=INDEX(TabRFR[[2021]:[2025]],MATCH(BD!U262&amp;"-modestes",TabRFR[Recherche RFR],0),MATCH(TEXT(YEAR(BD!D262),"Standard"),TabRFR[[#Headers],[2021]:[2025]],0)),"Modeste",IF(V262&lt;=INDEX(TabRFR[[2021]:[2025]],MATCH(BD!U262&amp;"-Intermédiaire",TabRFR[Recherche RFR],0),MATCH(TEXT(YEAR(BD!D262),"Standard"),TabRFR[[#Headers],[2021]:[2025]],0)),"Intermédiaire","Supérieur")))))),IF(D262="","",IF(U262+V262&lt;15,"Données Nb pers ou RFR manquantes",IF(COUNTA(INDIRECT("TabRFR["&amp;YEAR(H262)&amp;"]"))&lt;&gt;COUNTA(TabRFR[Recherche RFR]),"Data RFR manquantes", IF(V262&lt;=INDEX(TabRFR[[2021]:[2025]],MATCH(BD!U262&amp;"-Très modestes",TabRFR[Recherche RFR],0),MATCH(TEXT(YEAR(BD!H262),"Standard"),TabRFR[[#Headers],[2021]:[2025]],0)),"Très Modeste",IF(V262&lt;=INDEX(TabRFR[[2021]:[2025]],MATCH(BD!U262&amp;"-modestes",TabRFR[Recherche RFR],0),MATCH(TEXT(YEAR(BD!H262),"Standard"),TabRFR[[#Headers],[2021]:[2025]],0)),"Modeste",IF(V262&lt;=INDEX(TabRFR[[2021]:[2025]],MATCH(BD!U262&amp;"-Intermédiaire",TabRFR[Recherche RFR],0),MATCH(TEXT(YEAR(BD!H262),"Standard"),TabRFR[[#Headers],[2021]:[2025]],0)),"Intermédiaire","Supérieur")))))))</f>
        <v>Intermédiaire</v>
      </c>
      <c r="X262" s="143"/>
      <c r="Y262" s="143" t="s">
        <v>1202</v>
      </c>
      <c r="Z262" s="143">
        <v>38430</v>
      </c>
      <c r="AA262" s="143" t="s">
        <v>351</v>
      </c>
      <c r="AB262" s="148"/>
      <c r="AC262" s="149"/>
      <c r="AD262" s="143" t="s">
        <v>91</v>
      </c>
      <c r="AE262" s="143" t="s">
        <v>76</v>
      </c>
      <c r="AF262" s="143" t="s">
        <v>76</v>
      </c>
      <c r="AG262" s="143" t="s">
        <v>76</v>
      </c>
      <c r="AH262" s="143" t="s">
        <v>76</v>
      </c>
      <c r="AI262" s="143" t="s">
        <v>169</v>
      </c>
      <c r="AJ262" s="143" t="s">
        <v>119</v>
      </c>
      <c r="AK262" s="143" t="s">
        <v>170</v>
      </c>
      <c r="AL262" s="149" t="s">
        <v>171</v>
      </c>
      <c r="AM262" s="148">
        <v>476355605</v>
      </c>
      <c r="AN262" s="143" t="s">
        <v>76</v>
      </c>
      <c r="AO262" s="150" t="s">
        <v>102</v>
      </c>
      <c r="AP262" s="147">
        <v>44495</v>
      </c>
      <c r="AQ262" s="135" t="s">
        <v>3449</v>
      </c>
      <c r="AR262" s="143">
        <v>1977</v>
      </c>
      <c r="AS262" s="135" t="s">
        <v>3496</v>
      </c>
      <c r="AT262" s="135" t="s">
        <v>3446</v>
      </c>
      <c r="AU262" s="143" t="s">
        <v>173</v>
      </c>
      <c r="AV262" s="143" t="s">
        <v>526</v>
      </c>
      <c r="AW262" s="143">
        <v>26</v>
      </c>
      <c r="AX262" s="143">
        <v>8</v>
      </c>
      <c r="AY262" s="143">
        <v>81</v>
      </c>
      <c r="AZ262" s="143">
        <v>7.0000000000000007E-2</v>
      </c>
      <c r="BA262" s="143" t="s">
        <v>101</v>
      </c>
      <c r="BB262" s="143"/>
      <c r="BC262" s="143">
        <f>360+24.5+48.5+365.75+1645+229+490.56+177.6</f>
        <v>3340.91</v>
      </c>
      <c r="BD262" s="143"/>
      <c r="BE262" s="143">
        <f>482.94+99.09+118.25+950</f>
        <v>1650.28</v>
      </c>
      <c r="BF262" s="143">
        <f t="shared" si="12"/>
        <v>4991.1899999999996</v>
      </c>
      <c r="BG262" s="151">
        <f t="shared" si="13"/>
        <v>274.51544999999999</v>
      </c>
      <c r="BH262" s="151">
        <f t="shared" si="14"/>
        <v>5265.7054499999995</v>
      </c>
      <c r="BI262" s="151">
        <v>5265.71</v>
      </c>
      <c r="BJ262" s="143" t="s">
        <v>115</v>
      </c>
      <c r="BK262" s="143"/>
      <c r="BL262" s="143"/>
      <c r="BM262" s="144" t="s">
        <v>3592</v>
      </c>
      <c r="BN262" s="144" t="s">
        <v>103</v>
      </c>
      <c r="BO262" s="144" t="s">
        <v>143</v>
      </c>
      <c r="BP262" s="144">
        <v>2021</v>
      </c>
      <c r="BQ262" s="203" t="s">
        <v>3274</v>
      </c>
    </row>
    <row r="263" spans="1:69" ht="41.1" customHeight="1">
      <c r="A263" s="206" t="s">
        <v>86</v>
      </c>
      <c r="B263" s="206" t="s">
        <v>1203</v>
      </c>
      <c r="C263" s="143">
        <v>600</v>
      </c>
      <c r="D263" s="135">
        <v>44467</v>
      </c>
      <c r="E263" s="135">
        <v>44467</v>
      </c>
      <c r="F263" s="147" t="s">
        <v>76</v>
      </c>
      <c r="G263" s="135" t="s">
        <v>76</v>
      </c>
      <c r="H263" s="147">
        <v>44469</v>
      </c>
      <c r="I263" s="147">
        <v>44469</v>
      </c>
      <c r="J263" s="147">
        <v>44494</v>
      </c>
      <c r="K263" s="135">
        <v>44525</v>
      </c>
      <c r="L263" s="135">
        <v>44500</v>
      </c>
      <c r="M263" s="135" t="s">
        <v>76</v>
      </c>
      <c r="N263" s="135">
        <v>44539</v>
      </c>
      <c r="O263" s="135">
        <v>44539</v>
      </c>
      <c r="P263" s="135">
        <v>44540</v>
      </c>
      <c r="Q263" s="135"/>
      <c r="R263" s="143"/>
      <c r="S263" s="143"/>
      <c r="T263" s="143"/>
      <c r="U263" s="143">
        <v>2</v>
      </c>
      <c r="V263" s="143">
        <v>91645</v>
      </c>
      <c r="W263" s="143" t="str">
        <f ca="1">IF(H263="",IF(D263="","",IF(U263+V263&lt;15,"Données Nb pers ou RFR manquantes",IF(COUNTA(INDIRECT("TabRFR["&amp;YEAR(D263)&amp;"]"))&lt;&gt;COUNTA(TabRFR[Recherche RFR]),"Data RFR manquantes", IF(V263&lt;=INDEX(TabRFR[[2021]:[2025]],MATCH(BD!U263&amp;"-Très modestes",TabRFR[Recherche RFR],0),MATCH(TEXT(YEAR(BD!D263),"Standard"),TabRFR[[#Headers],[2021]:[2025]],0)),"Très Modeste",IF(V263&lt;=INDEX(TabRFR[[2021]:[2025]],MATCH(BD!U263&amp;"-modestes",TabRFR[Recherche RFR],0),MATCH(TEXT(YEAR(BD!D263),"Standard"),TabRFR[[#Headers],[2021]:[2025]],0)),"Modeste",IF(V263&lt;=INDEX(TabRFR[[2021]:[2025]],MATCH(BD!U263&amp;"-Intermédiaire",TabRFR[Recherche RFR],0),MATCH(TEXT(YEAR(BD!D263),"Standard"),TabRFR[[#Headers],[2021]:[2025]],0)),"Intermédiaire","Supérieur")))))),IF(D263="","",IF(U263+V263&lt;15,"Données Nb pers ou RFR manquantes",IF(COUNTA(INDIRECT("TabRFR["&amp;YEAR(H263)&amp;"]"))&lt;&gt;COUNTA(TabRFR[Recherche RFR]),"Data RFR manquantes", IF(V263&lt;=INDEX(TabRFR[[2021]:[2025]],MATCH(BD!U263&amp;"-Très modestes",TabRFR[Recherche RFR],0),MATCH(TEXT(YEAR(BD!H263),"Standard"),TabRFR[[#Headers],[2021]:[2025]],0)),"Très Modeste",IF(V263&lt;=INDEX(TabRFR[[2021]:[2025]],MATCH(BD!U263&amp;"-modestes",TabRFR[Recherche RFR],0),MATCH(TEXT(YEAR(BD!H263),"Standard"),TabRFR[[#Headers],[2021]:[2025]],0)),"Modeste",IF(V263&lt;=INDEX(TabRFR[[2021]:[2025]],MATCH(BD!U263&amp;"-Intermédiaire",TabRFR[Recherche RFR],0),MATCH(TEXT(YEAR(BD!H263),"Standard"),TabRFR[[#Headers],[2021]:[2025]],0)),"Intermédiaire","Supérieur")))))))</f>
        <v>Supérieur</v>
      </c>
      <c r="X263" s="143"/>
      <c r="Y263" s="143" t="s">
        <v>1204</v>
      </c>
      <c r="Z263" s="143">
        <v>38620</v>
      </c>
      <c r="AA263" s="143" t="s">
        <v>241</v>
      </c>
      <c r="AB263" s="148"/>
      <c r="AC263" s="149"/>
      <c r="AD263" s="143" t="s">
        <v>91</v>
      </c>
      <c r="AE263" s="143" t="s">
        <v>76</v>
      </c>
      <c r="AF263" s="143" t="s">
        <v>76</v>
      </c>
      <c r="AG263" s="143" t="s">
        <v>76</v>
      </c>
      <c r="AH263" s="143" t="s">
        <v>76</v>
      </c>
      <c r="AI263" s="143" t="s">
        <v>92</v>
      </c>
      <c r="AJ263" s="143" t="s">
        <v>93</v>
      </c>
      <c r="AK263" s="143" t="s">
        <v>94</v>
      </c>
      <c r="AL263" s="149" t="s">
        <v>95</v>
      </c>
      <c r="AM263" s="148" t="s">
        <v>96</v>
      </c>
      <c r="AN263" s="143" t="s">
        <v>76</v>
      </c>
      <c r="AO263" s="150" t="s">
        <v>97</v>
      </c>
      <c r="AP263" s="147">
        <v>44517</v>
      </c>
      <c r="AQ263" s="143" t="s">
        <v>3413</v>
      </c>
      <c r="AR263" s="143">
        <v>1980</v>
      </c>
      <c r="AS263" s="143" t="s">
        <v>3413</v>
      </c>
      <c r="AT263" s="143" t="s">
        <v>98</v>
      </c>
      <c r="AU263" s="143" t="s">
        <v>99</v>
      </c>
      <c r="AV263" s="143" t="s">
        <v>979</v>
      </c>
      <c r="AW263" s="143">
        <v>8</v>
      </c>
      <c r="AX263" s="143">
        <v>9</v>
      </c>
      <c r="AY263" s="143">
        <v>90.5</v>
      </c>
      <c r="AZ263" s="143">
        <v>3.0000000000000001E-3</v>
      </c>
      <c r="BA263" s="143" t="s">
        <v>101</v>
      </c>
      <c r="BB263" s="143"/>
      <c r="BC263" s="143">
        <f>2850+566+163+150</f>
        <v>3729</v>
      </c>
      <c r="BD263" s="143"/>
      <c r="BE263" s="143">
        <v>790</v>
      </c>
      <c r="BF263" s="143">
        <f t="shared" si="12"/>
        <v>4519</v>
      </c>
      <c r="BG263" s="151">
        <f t="shared" si="13"/>
        <v>248.54499999999999</v>
      </c>
      <c r="BH263" s="151">
        <f t="shared" si="14"/>
        <v>4767.5450000000001</v>
      </c>
      <c r="BI263" s="151">
        <v>4767.54</v>
      </c>
      <c r="BJ263" s="143" t="s">
        <v>102</v>
      </c>
      <c r="BK263" s="143"/>
      <c r="BL263" s="143"/>
      <c r="BM263" s="144" t="s">
        <v>3592</v>
      </c>
      <c r="BN263" s="144" t="s">
        <v>103</v>
      </c>
      <c r="BO263" s="144" t="s">
        <v>143</v>
      </c>
      <c r="BP263" s="143" t="s">
        <v>3583</v>
      </c>
      <c r="BQ263" s="203" t="s">
        <v>144</v>
      </c>
    </row>
    <row r="264" spans="1:69" ht="41.1" customHeight="1">
      <c r="A264" s="206" t="s">
        <v>86</v>
      </c>
      <c r="B264" s="206" t="s">
        <v>1205</v>
      </c>
      <c r="C264" s="143">
        <v>600</v>
      </c>
      <c r="D264" s="135">
        <v>44468</v>
      </c>
      <c r="E264" s="135">
        <v>44469</v>
      </c>
      <c r="F264" s="147">
        <v>44469</v>
      </c>
      <c r="G264" s="135" t="s">
        <v>1206</v>
      </c>
      <c r="H264" s="147">
        <v>44476</v>
      </c>
      <c r="I264" s="147">
        <v>44476</v>
      </c>
      <c r="J264" s="147">
        <v>44494</v>
      </c>
      <c r="K264" s="135">
        <v>44582</v>
      </c>
      <c r="L264" s="135">
        <v>44572</v>
      </c>
      <c r="M264" s="135" t="s">
        <v>76</v>
      </c>
      <c r="N264" s="135">
        <v>44606</v>
      </c>
      <c r="O264" s="135">
        <v>44606</v>
      </c>
      <c r="P264" s="135">
        <v>44607</v>
      </c>
      <c r="Q264" s="135"/>
      <c r="R264" s="143"/>
      <c r="S264" s="143"/>
      <c r="T264" s="143"/>
      <c r="U264" s="143">
        <v>2</v>
      </c>
      <c r="V264" s="143">
        <v>52943</v>
      </c>
      <c r="W264" s="143" t="str">
        <f ca="1">IF(H264="",IF(D264="","",IF(U264+V264&lt;15,"Données Nb pers ou RFR manquantes",IF(COUNTA(INDIRECT("TabRFR["&amp;YEAR(D264)&amp;"]"))&lt;&gt;COUNTA(TabRFR[Recherche RFR]),"Data RFR manquantes", IF(V264&lt;=INDEX(TabRFR[[2021]:[2025]],MATCH(BD!U264&amp;"-Très modestes",TabRFR[Recherche RFR],0),MATCH(TEXT(YEAR(BD!D264),"Standard"),TabRFR[[#Headers],[2021]:[2025]],0)),"Très Modeste",IF(V264&lt;=INDEX(TabRFR[[2021]:[2025]],MATCH(BD!U264&amp;"-modestes",TabRFR[Recherche RFR],0),MATCH(TEXT(YEAR(BD!D264),"Standard"),TabRFR[[#Headers],[2021]:[2025]],0)),"Modeste",IF(V264&lt;=INDEX(TabRFR[[2021]:[2025]],MATCH(BD!U264&amp;"-Intermédiaire",TabRFR[Recherche RFR],0),MATCH(TEXT(YEAR(BD!D264),"Standard"),TabRFR[[#Headers],[2021]:[2025]],0)),"Intermédiaire","Supérieur")))))),IF(D264="","",IF(U264+V264&lt;15,"Données Nb pers ou RFR manquantes",IF(COUNTA(INDIRECT("TabRFR["&amp;YEAR(H264)&amp;"]"))&lt;&gt;COUNTA(TabRFR[Recherche RFR]),"Data RFR manquantes", IF(V264&lt;=INDEX(TabRFR[[2021]:[2025]],MATCH(BD!U264&amp;"-Très modestes",TabRFR[Recherche RFR],0),MATCH(TEXT(YEAR(BD!H264),"Standard"),TabRFR[[#Headers],[2021]:[2025]],0)),"Très Modeste",IF(V264&lt;=INDEX(TabRFR[[2021]:[2025]],MATCH(BD!U264&amp;"-modestes",TabRFR[Recherche RFR],0),MATCH(TEXT(YEAR(BD!H264),"Standard"),TabRFR[[#Headers],[2021]:[2025]],0)),"Modeste",IF(V264&lt;=INDEX(TabRFR[[2021]:[2025]],MATCH(BD!U264&amp;"-Intermédiaire",TabRFR[Recherche RFR],0),MATCH(TEXT(YEAR(BD!H264),"Standard"),TabRFR[[#Headers],[2021]:[2025]],0)),"Intermédiaire","Supérieur")))))))</f>
        <v>Supérieur</v>
      </c>
      <c r="X264" s="143"/>
      <c r="Y264" s="143" t="s">
        <v>825</v>
      </c>
      <c r="Z264" s="143">
        <v>38850</v>
      </c>
      <c r="AA264" s="143" t="s">
        <v>435</v>
      </c>
      <c r="AB264" s="148"/>
      <c r="AC264" s="149"/>
      <c r="AD264" s="143" t="s">
        <v>91</v>
      </c>
      <c r="AE264" s="143" t="s">
        <v>76</v>
      </c>
      <c r="AF264" s="143" t="s">
        <v>76</v>
      </c>
      <c r="AG264" s="143" t="s">
        <v>76</v>
      </c>
      <c r="AH264" s="143" t="s">
        <v>76</v>
      </c>
      <c r="AI264" s="135" t="s">
        <v>2703</v>
      </c>
      <c r="AJ264" s="143" t="s">
        <v>266</v>
      </c>
      <c r="AK264" s="143" t="s">
        <v>317</v>
      </c>
      <c r="AL264" s="150" t="s">
        <v>318</v>
      </c>
      <c r="AM264" s="148">
        <v>476500550</v>
      </c>
      <c r="AN264" s="143" t="s">
        <v>76</v>
      </c>
      <c r="AO264" s="150" t="s">
        <v>102</v>
      </c>
      <c r="AP264" s="147">
        <v>44740</v>
      </c>
      <c r="AQ264" s="135" t="s">
        <v>3496</v>
      </c>
      <c r="AR264" s="143" t="s">
        <v>172</v>
      </c>
      <c r="AS264" s="143" t="s">
        <v>3413</v>
      </c>
      <c r="AT264" s="143" t="s">
        <v>98</v>
      </c>
      <c r="AU264" s="143" t="s">
        <v>319</v>
      </c>
      <c r="AV264" s="143" t="s">
        <v>1207</v>
      </c>
      <c r="AW264" s="143">
        <v>12</v>
      </c>
      <c r="AX264" s="143">
        <v>12</v>
      </c>
      <c r="AY264" s="143">
        <v>88.5</v>
      </c>
      <c r="AZ264" s="143">
        <v>7.0000000000000001E-3</v>
      </c>
      <c r="BA264" s="143" t="s">
        <v>101</v>
      </c>
      <c r="BB264" s="143"/>
      <c r="BC264" s="143">
        <f>88.8+519.61+51.1+4266.66+185.1+195.1+58.21</f>
        <v>5364.5800000000008</v>
      </c>
      <c r="BD264" s="143"/>
      <c r="BE264" s="143">
        <v>900</v>
      </c>
      <c r="BF264" s="143">
        <f t="shared" si="12"/>
        <v>6264.5800000000008</v>
      </c>
      <c r="BG264" s="151">
        <f t="shared" si="13"/>
        <v>344.55190000000005</v>
      </c>
      <c r="BH264" s="151">
        <f t="shared" si="14"/>
        <v>6609.1319000000012</v>
      </c>
      <c r="BI264" s="151">
        <v>6562.29</v>
      </c>
      <c r="BJ264" s="143" t="s">
        <v>102</v>
      </c>
      <c r="BK264" s="143"/>
      <c r="BL264" s="143"/>
      <c r="BM264" s="144" t="s">
        <v>3592</v>
      </c>
      <c r="BN264" s="144" t="s">
        <v>103</v>
      </c>
      <c r="BO264" s="144" t="s">
        <v>143</v>
      </c>
      <c r="BP264" s="143" t="s">
        <v>3583</v>
      </c>
      <c r="BQ264" s="203" t="s">
        <v>144</v>
      </c>
    </row>
    <row r="265" spans="1:69" ht="41.1" customHeight="1">
      <c r="A265" s="206" t="s">
        <v>86</v>
      </c>
      <c r="B265" s="206" t="s">
        <v>1208</v>
      </c>
      <c r="C265" s="143">
        <v>600</v>
      </c>
      <c r="D265" s="135">
        <v>44468</v>
      </c>
      <c r="E265" s="135">
        <v>44469</v>
      </c>
      <c r="F265" s="147">
        <v>44469</v>
      </c>
      <c r="G265" s="135" t="s">
        <v>1209</v>
      </c>
      <c r="H265" s="147">
        <v>44476</v>
      </c>
      <c r="I265" s="147">
        <v>44476</v>
      </c>
      <c r="J265" s="147">
        <v>44494</v>
      </c>
      <c r="K265" s="135">
        <v>44530</v>
      </c>
      <c r="L265" s="135">
        <v>44496</v>
      </c>
      <c r="M265" s="135" t="s">
        <v>76</v>
      </c>
      <c r="N265" s="135">
        <v>44539</v>
      </c>
      <c r="O265" s="135">
        <v>44539</v>
      </c>
      <c r="P265" s="135">
        <v>44540</v>
      </c>
      <c r="Q265" s="135"/>
      <c r="R265" s="143"/>
      <c r="S265" s="143"/>
      <c r="T265" s="143"/>
      <c r="U265" s="143">
        <v>2</v>
      </c>
      <c r="V265" s="143">
        <f>16062+23524</f>
        <v>39586</v>
      </c>
      <c r="W265" s="143" t="str">
        <f ca="1">IF(H265="",IF(D265="","",IF(U265+V265&lt;15,"Données Nb pers ou RFR manquantes",IF(COUNTA(INDIRECT("TabRFR["&amp;YEAR(D265)&amp;"]"))&lt;&gt;COUNTA(TabRFR[Recherche RFR]),"Data RFR manquantes", IF(V265&lt;=INDEX(TabRFR[[2021]:[2025]],MATCH(BD!U265&amp;"-Très modestes",TabRFR[Recherche RFR],0),MATCH(TEXT(YEAR(BD!D265),"Standard"),TabRFR[[#Headers],[2021]:[2025]],0)),"Très Modeste",IF(V265&lt;=INDEX(TabRFR[[2021]:[2025]],MATCH(BD!U265&amp;"-modestes",TabRFR[Recherche RFR],0),MATCH(TEXT(YEAR(BD!D265),"Standard"),TabRFR[[#Headers],[2021]:[2025]],0)),"Modeste",IF(V265&lt;=INDEX(TabRFR[[2021]:[2025]],MATCH(BD!U265&amp;"-Intermédiaire",TabRFR[Recherche RFR],0),MATCH(TEXT(YEAR(BD!D265),"Standard"),TabRFR[[#Headers],[2021]:[2025]],0)),"Intermédiaire","Supérieur")))))),IF(D265="","",IF(U265+V265&lt;15,"Données Nb pers ou RFR manquantes",IF(COUNTA(INDIRECT("TabRFR["&amp;YEAR(H265)&amp;"]"))&lt;&gt;COUNTA(TabRFR[Recherche RFR]),"Data RFR manquantes", IF(V265&lt;=INDEX(TabRFR[[2021]:[2025]],MATCH(BD!U265&amp;"-Très modestes",TabRFR[Recherche RFR],0),MATCH(TEXT(YEAR(BD!H265),"Standard"),TabRFR[[#Headers],[2021]:[2025]],0)),"Très Modeste",IF(V265&lt;=INDEX(TabRFR[[2021]:[2025]],MATCH(BD!U265&amp;"-modestes",TabRFR[Recherche RFR],0),MATCH(TEXT(YEAR(BD!H265),"Standard"),TabRFR[[#Headers],[2021]:[2025]],0)),"Modeste",IF(V265&lt;=INDEX(TabRFR[[2021]:[2025]],MATCH(BD!U265&amp;"-Intermédiaire",TabRFR[Recherche RFR],0),MATCH(TEXT(YEAR(BD!H265),"Standard"),TabRFR[[#Headers],[2021]:[2025]],0)),"Intermédiaire","Supérieur")))))))</f>
        <v>Intermédiaire</v>
      </c>
      <c r="X265" s="143"/>
      <c r="Y265" s="143" t="s">
        <v>1210</v>
      </c>
      <c r="Z265" s="143">
        <v>38210</v>
      </c>
      <c r="AA265" s="143" t="s">
        <v>202</v>
      </c>
      <c r="AB265" s="148"/>
      <c r="AC265" s="149"/>
      <c r="AD265" s="143" t="s">
        <v>91</v>
      </c>
      <c r="AE265" s="143" t="s">
        <v>76</v>
      </c>
      <c r="AF265" s="143" t="s">
        <v>76</v>
      </c>
      <c r="AG265" s="143" t="s">
        <v>76</v>
      </c>
      <c r="AH265" s="143" t="s">
        <v>76</v>
      </c>
      <c r="AI265" s="143" t="s">
        <v>267</v>
      </c>
      <c r="AJ265" s="143" t="s">
        <v>268</v>
      </c>
      <c r="AK265" s="143" t="s">
        <v>269</v>
      </c>
      <c r="AL265" s="150" t="s">
        <v>270</v>
      </c>
      <c r="AM265" s="148">
        <v>437064566</v>
      </c>
      <c r="AN265" s="143" t="s">
        <v>76</v>
      </c>
      <c r="AO265" s="150" t="s">
        <v>102</v>
      </c>
      <c r="AP265" s="147">
        <v>44633</v>
      </c>
      <c r="AQ265" s="135" t="s">
        <v>3496</v>
      </c>
      <c r="AR265" s="143">
        <v>1980</v>
      </c>
      <c r="AS265" s="143" t="s">
        <v>3413</v>
      </c>
      <c r="AT265" s="135" t="s">
        <v>3446</v>
      </c>
      <c r="AU265" s="143" t="s">
        <v>1177</v>
      </c>
      <c r="AV265" s="143" t="s">
        <v>1211</v>
      </c>
      <c r="AW265" s="143">
        <v>40</v>
      </c>
      <c r="AX265" s="143">
        <v>7</v>
      </c>
      <c r="AY265" s="143">
        <v>78</v>
      </c>
      <c r="AZ265" s="143">
        <v>0.12</v>
      </c>
      <c r="BA265" s="143" t="s">
        <v>101</v>
      </c>
      <c r="BB265" s="143"/>
      <c r="BC265" s="143">
        <f>782.46+0.01+0.01+18.02+64.54+55.04+66.46+18.02+9.58+77.36+114.2</f>
        <v>1205.7</v>
      </c>
      <c r="BD265" s="143"/>
      <c r="BE265" s="143">
        <v>799.01</v>
      </c>
      <c r="BF265" s="143">
        <f t="shared" si="12"/>
        <v>2004.71</v>
      </c>
      <c r="BG265" s="151">
        <f t="shared" si="13"/>
        <v>110.25905</v>
      </c>
      <c r="BH265" s="151">
        <f t="shared" si="14"/>
        <v>2114.9690500000002</v>
      </c>
      <c r="BI265" s="151">
        <v>1880.93</v>
      </c>
      <c r="BJ265" s="143" t="s">
        <v>115</v>
      </c>
      <c r="BK265" s="143"/>
      <c r="BL265" s="143"/>
      <c r="BM265" s="144" t="s">
        <v>3592</v>
      </c>
      <c r="BN265" s="144" t="s">
        <v>103</v>
      </c>
      <c r="BO265" s="144" t="s">
        <v>143</v>
      </c>
      <c r="BP265" s="144">
        <v>2021</v>
      </c>
      <c r="BQ265" s="203" t="s">
        <v>3274</v>
      </c>
    </row>
    <row r="266" spans="1:69" ht="41.1" customHeight="1">
      <c r="A266" s="206" t="s">
        <v>86</v>
      </c>
      <c r="B266" s="206" t="s">
        <v>1212</v>
      </c>
      <c r="C266" s="143">
        <v>600</v>
      </c>
      <c r="D266" s="135">
        <v>44469</v>
      </c>
      <c r="E266" s="135">
        <v>44473</v>
      </c>
      <c r="F266" s="147" t="s">
        <v>76</v>
      </c>
      <c r="G266" s="135" t="s">
        <v>76</v>
      </c>
      <c r="H266" s="147">
        <v>44476</v>
      </c>
      <c r="I266" s="147">
        <v>44476</v>
      </c>
      <c r="J266" s="147">
        <v>44494</v>
      </c>
      <c r="K266" s="135">
        <v>44533</v>
      </c>
      <c r="L266" s="135">
        <v>44496</v>
      </c>
      <c r="M266" s="135" t="s">
        <v>76</v>
      </c>
      <c r="N266" s="135">
        <v>44539</v>
      </c>
      <c r="O266" s="135">
        <v>44539</v>
      </c>
      <c r="P266" s="135">
        <v>44540</v>
      </c>
      <c r="Q266" s="135"/>
      <c r="R266" s="143"/>
      <c r="S266" s="143"/>
      <c r="T266" s="143"/>
      <c r="U266" s="143">
        <v>4</v>
      </c>
      <c r="V266" s="143">
        <v>52925</v>
      </c>
      <c r="W266" s="143" t="str">
        <f ca="1">IF(H266="",IF(D266="","",IF(U266+V266&lt;15,"Données Nb pers ou RFR manquantes",IF(COUNTA(INDIRECT("TabRFR["&amp;YEAR(D266)&amp;"]"))&lt;&gt;COUNTA(TabRFR[Recherche RFR]),"Data RFR manquantes", IF(V266&lt;=INDEX(TabRFR[[2021]:[2025]],MATCH(BD!U266&amp;"-Très modestes",TabRFR[Recherche RFR],0),MATCH(TEXT(YEAR(BD!D266),"Standard"),TabRFR[[#Headers],[2021]:[2025]],0)),"Très Modeste",IF(V266&lt;=INDEX(TabRFR[[2021]:[2025]],MATCH(BD!U266&amp;"-modestes",TabRFR[Recherche RFR],0),MATCH(TEXT(YEAR(BD!D266),"Standard"),TabRFR[[#Headers],[2021]:[2025]],0)),"Modeste",IF(V266&lt;=INDEX(TabRFR[[2021]:[2025]],MATCH(BD!U266&amp;"-Intermédiaire",TabRFR[Recherche RFR],0),MATCH(TEXT(YEAR(BD!D266),"Standard"),TabRFR[[#Headers],[2021]:[2025]],0)),"Intermédiaire","Supérieur")))))),IF(D266="","",IF(U266+V266&lt;15,"Données Nb pers ou RFR manquantes",IF(COUNTA(INDIRECT("TabRFR["&amp;YEAR(H266)&amp;"]"))&lt;&gt;COUNTA(TabRFR[Recherche RFR]),"Data RFR manquantes", IF(V266&lt;=INDEX(TabRFR[[2021]:[2025]],MATCH(BD!U266&amp;"-Très modestes",TabRFR[Recherche RFR],0),MATCH(TEXT(YEAR(BD!H266),"Standard"),TabRFR[[#Headers],[2021]:[2025]],0)),"Très Modeste",IF(V266&lt;=INDEX(TabRFR[[2021]:[2025]],MATCH(BD!U266&amp;"-modestes",TabRFR[Recherche RFR],0),MATCH(TEXT(YEAR(BD!H266),"Standard"),TabRFR[[#Headers],[2021]:[2025]],0)),"Modeste",IF(V266&lt;=INDEX(TabRFR[[2021]:[2025]],MATCH(BD!U266&amp;"-Intermédiaire",TabRFR[Recherche RFR],0),MATCH(TEXT(YEAR(BD!H266),"Standard"),TabRFR[[#Headers],[2021]:[2025]],0)),"Intermédiaire","Supérieur")))))))</f>
        <v>Intermédiaire</v>
      </c>
      <c r="X266" s="143"/>
      <c r="Y266" s="143" t="s">
        <v>1213</v>
      </c>
      <c r="Z266" s="143">
        <v>38730</v>
      </c>
      <c r="AA266" s="143" t="s">
        <v>148</v>
      </c>
      <c r="AB266" s="148"/>
      <c r="AC266" s="149"/>
      <c r="AD266" s="143" t="s">
        <v>91</v>
      </c>
      <c r="AE266" s="143" t="s">
        <v>76</v>
      </c>
      <c r="AF266" s="143" t="s">
        <v>76</v>
      </c>
      <c r="AG266" s="143" t="s">
        <v>76</v>
      </c>
      <c r="AH266" s="143" t="s">
        <v>76</v>
      </c>
      <c r="AI266" s="143" t="s">
        <v>120</v>
      </c>
      <c r="AJ266" s="143" t="s">
        <v>121</v>
      </c>
      <c r="AK266" s="143" t="s">
        <v>122</v>
      </c>
      <c r="AL266" s="150" t="s">
        <v>123</v>
      </c>
      <c r="AM266" s="148">
        <v>608287337</v>
      </c>
      <c r="AN266" s="143" t="s">
        <v>76</v>
      </c>
      <c r="AO266" s="150" t="s">
        <v>102</v>
      </c>
      <c r="AP266" s="147">
        <v>44782</v>
      </c>
      <c r="AQ266" s="143" t="s">
        <v>3413</v>
      </c>
      <c r="AR266" s="143" t="s">
        <v>172</v>
      </c>
      <c r="AS266" s="143" t="s">
        <v>3413</v>
      </c>
      <c r="AT266" s="143" t="s">
        <v>98</v>
      </c>
      <c r="AU266" s="143" t="s">
        <v>124</v>
      </c>
      <c r="AV266" s="143" t="s">
        <v>1214</v>
      </c>
      <c r="AW266" s="143">
        <v>22.8</v>
      </c>
      <c r="AX266" s="143">
        <v>6.5</v>
      </c>
      <c r="AY266" s="143">
        <v>93.1</v>
      </c>
      <c r="AZ266" s="143">
        <v>8.0000000000000002E-3</v>
      </c>
      <c r="BA266" s="143" t="s">
        <v>126</v>
      </c>
      <c r="BB266" s="143"/>
      <c r="BC266" s="143">
        <f>3317+200+85+105</f>
        <v>3707</v>
      </c>
      <c r="BD266" s="143"/>
      <c r="BE266" s="143">
        <v>400</v>
      </c>
      <c r="BF266" s="143">
        <f t="shared" si="12"/>
        <v>4107</v>
      </c>
      <c r="BG266" s="151">
        <f t="shared" si="13"/>
        <v>225.88499999999999</v>
      </c>
      <c r="BH266" s="151">
        <f t="shared" si="14"/>
        <v>4332.8850000000002</v>
      </c>
      <c r="BI266" s="151">
        <v>4000</v>
      </c>
      <c r="BJ266" s="143" t="s">
        <v>102</v>
      </c>
      <c r="BK266" s="143"/>
      <c r="BL266" s="143"/>
      <c r="BM266" s="144" t="s">
        <v>3592</v>
      </c>
      <c r="BN266" s="144" t="s">
        <v>103</v>
      </c>
      <c r="BO266" s="144" t="s">
        <v>143</v>
      </c>
      <c r="BP266" s="143" t="s">
        <v>3583</v>
      </c>
      <c r="BQ266" s="203" t="s">
        <v>144</v>
      </c>
    </row>
    <row r="267" spans="1:69" ht="41.1" customHeight="1">
      <c r="A267" s="143" t="s">
        <v>86</v>
      </c>
      <c r="B267" s="143" t="s">
        <v>1215</v>
      </c>
      <c r="C267" s="143">
        <v>1000</v>
      </c>
      <c r="D267" s="135">
        <v>44473</v>
      </c>
      <c r="E267" s="135">
        <v>44474</v>
      </c>
      <c r="F267" s="147">
        <v>44476</v>
      </c>
      <c r="G267" s="135" t="s">
        <v>379</v>
      </c>
      <c r="H267" s="147">
        <v>44481</v>
      </c>
      <c r="I267" s="147">
        <v>44481</v>
      </c>
      <c r="J267" s="147">
        <v>44498</v>
      </c>
      <c r="K267" s="135"/>
      <c r="L267" s="135"/>
      <c r="M267" s="135" t="s">
        <v>1129</v>
      </c>
      <c r="N267" s="135"/>
      <c r="O267" s="135"/>
      <c r="P267" s="135"/>
      <c r="Q267" s="135"/>
      <c r="R267" s="143"/>
      <c r="S267" s="143"/>
      <c r="T267" s="143"/>
      <c r="U267" s="143">
        <v>1</v>
      </c>
      <c r="V267" s="143">
        <v>15652</v>
      </c>
      <c r="W267" s="143" t="str">
        <f ca="1">IF(H267="",IF(D267="","",IF(U267+V267&lt;15,"Données Nb pers ou RFR manquantes",IF(COUNTA(INDIRECT("TabRFR["&amp;YEAR(D267)&amp;"]"))&lt;&gt;COUNTA(TabRFR[Recherche RFR]),"Data RFR manquantes", IF(V267&lt;=INDEX(TabRFR[[2021]:[2025]],MATCH(BD!U267&amp;"-Très modestes",TabRFR[Recherche RFR],0),MATCH(TEXT(YEAR(BD!D267),"Standard"),TabRFR[[#Headers],[2021]:[2025]],0)),"Très Modeste",IF(V267&lt;=INDEX(TabRFR[[2021]:[2025]],MATCH(BD!U267&amp;"-modestes",TabRFR[Recherche RFR],0),MATCH(TEXT(YEAR(BD!D267),"Standard"),TabRFR[[#Headers],[2021]:[2025]],0)),"Modeste",IF(V267&lt;=INDEX(TabRFR[[2021]:[2025]],MATCH(BD!U267&amp;"-Intermédiaire",TabRFR[Recherche RFR],0),MATCH(TEXT(YEAR(BD!D267),"Standard"),TabRFR[[#Headers],[2021]:[2025]],0)),"Intermédiaire","Supérieur")))))),IF(D267="","",IF(U267+V267&lt;15,"Données Nb pers ou RFR manquantes",IF(COUNTA(INDIRECT("TabRFR["&amp;YEAR(H267)&amp;"]"))&lt;&gt;COUNTA(TabRFR[Recherche RFR]),"Data RFR manquantes", IF(V267&lt;=INDEX(TabRFR[[2021]:[2025]],MATCH(BD!U267&amp;"-Très modestes",TabRFR[Recherche RFR],0),MATCH(TEXT(YEAR(BD!H267),"Standard"),TabRFR[[#Headers],[2021]:[2025]],0)),"Très Modeste",IF(V267&lt;=INDEX(TabRFR[[2021]:[2025]],MATCH(BD!U267&amp;"-modestes",TabRFR[Recherche RFR],0),MATCH(TEXT(YEAR(BD!H267),"Standard"),TabRFR[[#Headers],[2021]:[2025]],0)),"Modeste",IF(V267&lt;=INDEX(TabRFR[[2021]:[2025]],MATCH(BD!U267&amp;"-Intermédiaire",TabRFR[Recherche RFR],0),MATCH(TEXT(YEAR(BD!H267),"Standard"),TabRFR[[#Headers],[2021]:[2025]],0)),"Intermédiaire","Supérieur")))))))</f>
        <v>Modeste</v>
      </c>
      <c r="X267" s="143"/>
      <c r="Y267" s="143" t="s">
        <v>1216</v>
      </c>
      <c r="Z267" s="143">
        <v>38730</v>
      </c>
      <c r="AA267" s="143" t="s">
        <v>148</v>
      </c>
      <c r="AB267" s="148"/>
      <c r="AC267" s="149"/>
      <c r="AD267" s="143" t="s">
        <v>91</v>
      </c>
      <c r="AE267" s="143" t="s">
        <v>76</v>
      </c>
      <c r="AF267" s="143" t="s">
        <v>76</v>
      </c>
      <c r="AG267" s="143" t="s">
        <v>76</v>
      </c>
      <c r="AH267" s="143" t="s">
        <v>76</v>
      </c>
      <c r="AI267" s="143" t="s">
        <v>267</v>
      </c>
      <c r="AJ267" s="143" t="s">
        <v>268</v>
      </c>
      <c r="AK267" s="143" t="s">
        <v>269</v>
      </c>
      <c r="AL267" s="150" t="s">
        <v>270</v>
      </c>
      <c r="AM267" s="148">
        <v>437064566</v>
      </c>
      <c r="AN267" s="143" t="s">
        <v>76</v>
      </c>
      <c r="AO267" s="150" t="s">
        <v>102</v>
      </c>
      <c r="AP267" s="147">
        <v>44633</v>
      </c>
      <c r="AQ267" s="143" t="s">
        <v>3413</v>
      </c>
      <c r="AR267" s="143">
        <v>2000</v>
      </c>
      <c r="AS267" s="143" t="s">
        <v>3413</v>
      </c>
      <c r="AT267" s="135" t="s">
        <v>3446</v>
      </c>
      <c r="AU267" s="143" t="s">
        <v>488</v>
      </c>
      <c r="AV267" s="143" t="s">
        <v>1217</v>
      </c>
      <c r="AW267" s="143">
        <v>31</v>
      </c>
      <c r="AX267" s="143">
        <v>10</v>
      </c>
      <c r="AY267" s="143">
        <v>76</v>
      </c>
      <c r="AZ267" s="143">
        <v>0.08</v>
      </c>
      <c r="BA267" s="143" t="s">
        <v>101</v>
      </c>
      <c r="BB267" s="143"/>
      <c r="BC267" s="143">
        <f>13.98+1397.88+123.08+153.85+100.23+433.82+121.61+129+55.39+830.81+72.09+36.05+18.02</f>
        <v>3485.8100000000004</v>
      </c>
      <c r="BD267" s="143"/>
      <c r="BE267" s="143">
        <v>1083.1300000000001</v>
      </c>
      <c r="BF267" s="143">
        <f t="shared" si="12"/>
        <v>4568.9400000000005</v>
      </c>
      <c r="BG267" s="151">
        <f t="shared" si="13"/>
        <v>251.29170000000002</v>
      </c>
      <c r="BH267" s="151">
        <f t="shared" si="14"/>
        <v>4820.2317000000003</v>
      </c>
      <c r="BI267" s="151">
        <v>4568.9399999999996</v>
      </c>
      <c r="BJ267" s="143" t="s">
        <v>102</v>
      </c>
      <c r="BK267" s="143"/>
      <c r="BL267" s="143"/>
      <c r="BM267" s="144" t="s">
        <v>3592</v>
      </c>
      <c r="BN267" s="144" t="s">
        <v>103</v>
      </c>
      <c r="BO267" s="144" t="s">
        <v>103</v>
      </c>
      <c r="BP267" s="144">
        <v>2021</v>
      </c>
      <c r="BQ267" s="203"/>
    </row>
    <row r="268" spans="1:69" ht="41.1" customHeight="1">
      <c r="A268" s="133" t="s">
        <v>86</v>
      </c>
      <c r="B268" s="133" t="s">
        <v>1218</v>
      </c>
      <c r="C268" s="143">
        <v>1000</v>
      </c>
      <c r="D268" s="135">
        <v>44476</v>
      </c>
      <c r="E268" s="135">
        <v>44476</v>
      </c>
      <c r="F268" s="147" t="s">
        <v>76</v>
      </c>
      <c r="G268" s="135" t="s">
        <v>76</v>
      </c>
      <c r="H268" s="147">
        <v>44481</v>
      </c>
      <c r="I268" s="147">
        <v>44481</v>
      </c>
      <c r="J268" s="147">
        <v>44503</v>
      </c>
      <c r="K268" s="135">
        <v>44552</v>
      </c>
      <c r="L268" s="135">
        <v>44541</v>
      </c>
      <c r="M268" s="135" t="s">
        <v>76</v>
      </c>
      <c r="N268" s="135">
        <v>44553</v>
      </c>
      <c r="O268" s="135">
        <v>44553</v>
      </c>
      <c r="P268" s="135">
        <v>44553</v>
      </c>
      <c r="Q268" s="135"/>
      <c r="R268" s="143"/>
      <c r="S268" s="143"/>
      <c r="T268" s="143"/>
      <c r="U268" s="143">
        <v>3</v>
      </c>
      <c r="V268" s="143">
        <v>31145</v>
      </c>
      <c r="W268" s="143" t="str">
        <f ca="1">IF(H268="",IF(D268="","",IF(U268+V268&lt;15,"Données Nb pers ou RFR manquantes",IF(COUNTA(INDIRECT("TabRFR["&amp;YEAR(D268)&amp;"]"))&lt;&gt;COUNTA(TabRFR[Recherche RFR]),"Data RFR manquantes", IF(V268&lt;=INDEX(TabRFR[[2021]:[2025]],MATCH(BD!U268&amp;"-Très modestes",TabRFR[Recherche RFR],0),MATCH(TEXT(YEAR(BD!D268),"Standard"),TabRFR[[#Headers],[2021]:[2025]],0)),"Très Modeste",IF(V268&lt;=INDEX(TabRFR[[2021]:[2025]],MATCH(BD!U268&amp;"-modestes",TabRFR[Recherche RFR],0),MATCH(TEXT(YEAR(BD!D268),"Standard"),TabRFR[[#Headers],[2021]:[2025]],0)),"Modeste",IF(V268&lt;=INDEX(TabRFR[[2021]:[2025]],MATCH(BD!U268&amp;"-Intermédiaire",TabRFR[Recherche RFR],0),MATCH(TEXT(YEAR(BD!D268),"Standard"),TabRFR[[#Headers],[2021]:[2025]],0)),"Intermédiaire","Supérieur")))))),IF(D268="","",IF(U268+V268&lt;15,"Données Nb pers ou RFR manquantes",IF(COUNTA(INDIRECT("TabRFR["&amp;YEAR(H268)&amp;"]"))&lt;&gt;COUNTA(TabRFR[Recherche RFR]),"Data RFR manquantes", IF(V268&lt;=INDEX(TabRFR[[2021]:[2025]],MATCH(BD!U268&amp;"-Très modestes",TabRFR[Recherche RFR],0),MATCH(TEXT(YEAR(BD!H268),"Standard"),TabRFR[[#Headers],[2021]:[2025]],0)),"Très Modeste",IF(V268&lt;=INDEX(TabRFR[[2021]:[2025]],MATCH(BD!U268&amp;"-modestes",TabRFR[Recherche RFR],0),MATCH(TEXT(YEAR(BD!H268),"Standard"),TabRFR[[#Headers],[2021]:[2025]],0)),"Modeste",IF(V268&lt;=INDEX(TabRFR[[2021]:[2025]],MATCH(BD!U268&amp;"-Intermédiaire",TabRFR[Recherche RFR],0),MATCH(TEXT(YEAR(BD!H268),"Standard"),TabRFR[[#Headers],[2021]:[2025]],0)),"Intermédiaire","Supérieur")))))))</f>
        <v>Modeste</v>
      </c>
      <c r="X268" s="143"/>
      <c r="Y268" s="143" t="s">
        <v>245</v>
      </c>
      <c r="Z268" s="143">
        <v>38210</v>
      </c>
      <c r="AA268" s="143" t="s">
        <v>130</v>
      </c>
      <c r="AB268" s="148"/>
      <c r="AC268" s="149"/>
      <c r="AD268" s="143" t="s">
        <v>91</v>
      </c>
      <c r="AE268" s="143" t="s">
        <v>76</v>
      </c>
      <c r="AF268" s="143" t="s">
        <v>76</v>
      </c>
      <c r="AG268" s="143" t="s">
        <v>76</v>
      </c>
      <c r="AH268" s="143" t="s">
        <v>76</v>
      </c>
      <c r="AI268" s="143" t="s">
        <v>169</v>
      </c>
      <c r="AJ268" s="143" t="s">
        <v>119</v>
      </c>
      <c r="AK268" s="143" t="s">
        <v>170</v>
      </c>
      <c r="AL268" s="149" t="s">
        <v>171</v>
      </c>
      <c r="AM268" s="148">
        <v>476355605</v>
      </c>
      <c r="AN268" s="143" t="s">
        <v>76</v>
      </c>
      <c r="AO268" s="150" t="s">
        <v>102</v>
      </c>
      <c r="AP268" s="147">
        <v>44495</v>
      </c>
      <c r="AQ268" s="135" t="s">
        <v>3496</v>
      </c>
      <c r="AR268" s="143" t="s">
        <v>213</v>
      </c>
      <c r="AS268" s="135" t="s">
        <v>3496</v>
      </c>
      <c r="AT268" s="135" t="s">
        <v>3446</v>
      </c>
      <c r="AU268" s="143" t="s">
        <v>173</v>
      </c>
      <c r="AV268" s="143" t="s">
        <v>400</v>
      </c>
      <c r="AW268" s="143">
        <v>23</v>
      </c>
      <c r="AX268" s="143">
        <v>10</v>
      </c>
      <c r="AY268" s="143">
        <v>78</v>
      </c>
      <c r="AZ268" s="143">
        <v>7.0000000000000007E-2</v>
      </c>
      <c r="BA268" s="143" t="s">
        <v>101</v>
      </c>
      <c r="BB268" s="143"/>
      <c r="BC268" s="143">
        <f>360+27.5+48+114+365.75+1900+665+524+266.4+525+65.35</f>
        <v>4861</v>
      </c>
      <c r="BD268" s="143"/>
      <c r="BE268" s="143">
        <f>382.94+99.09+118.35+1080</f>
        <v>1680.38</v>
      </c>
      <c r="BF268" s="143">
        <f t="shared" si="12"/>
        <v>6541.38</v>
      </c>
      <c r="BG268" s="151">
        <f t="shared" si="13"/>
        <v>359.77590000000004</v>
      </c>
      <c r="BH268" s="151">
        <f t="shared" si="14"/>
        <v>6901.1558999999997</v>
      </c>
      <c r="BI268" s="151">
        <v>6901.16</v>
      </c>
      <c r="BJ268" s="143" t="s">
        <v>115</v>
      </c>
      <c r="BK268" s="143"/>
      <c r="BL268" s="143"/>
      <c r="BM268" s="144" t="s">
        <v>3592</v>
      </c>
      <c r="BN268" s="144" t="s">
        <v>103</v>
      </c>
      <c r="BO268" s="135" t="s">
        <v>155</v>
      </c>
      <c r="BP268" s="144">
        <v>2021</v>
      </c>
      <c r="BQ268" s="203" t="s">
        <v>3274</v>
      </c>
    </row>
    <row r="269" spans="1:69" ht="41.1" customHeight="1">
      <c r="A269" s="133" t="s">
        <v>86</v>
      </c>
      <c r="B269" s="133" t="s">
        <v>1219</v>
      </c>
      <c r="C269" s="143">
        <v>600</v>
      </c>
      <c r="D269" s="135">
        <v>44476</v>
      </c>
      <c r="E269" s="135">
        <v>44476</v>
      </c>
      <c r="F269" s="147" t="s">
        <v>76</v>
      </c>
      <c r="G269" s="135" t="s">
        <v>76</v>
      </c>
      <c r="H269" s="147">
        <v>44116</v>
      </c>
      <c r="I269" s="147">
        <v>44481</v>
      </c>
      <c r="J269" s="147">
        <v>44503</v>
      </c>
      <c r="K269" s="135">
        <v>44551</v>
      </c>
      <c r="L269" s="135">
        <v>44532</v>
      </c>
      <c r="M269" s="135" t="s">
        <v>76</v>
      </c>
      <c r="N269" s="135">
        <v>44553</v>
      </c>
      <c r="O269" s="135">
        <v>44553</v>
      </c>
      <c r="P269" s="135">
        <v>44553</v>
      </c>
      <c r="Q269" s="135"/>
      <c r="R269" s="143"/>
      <c r="S269" s="143"/>
      <c r="T269" s="143"/>
      <c r="U269" s="143">
        <v>2</v>
      </c>
      <c r="V269" s="143">
        <v>35390</v>
      </c>
      <c r="W269" s="143" t="str">
        <f ca="1">IF(H269="",IF(D269="","",IF(U269+V269&lt;15,"Données Nb pers ou RFR manquantes",IF(COUNTA(INDIRECT("TabRFR["&amp;YEAR(D269)&amp;"]"))&lt;&gt;COUNTA(TabRFR[Recherche RFR]),"Data RFR manquantes", IF(V269&lt;=INDEX(TabRFR[[2021]:[2025]],MATCH(BD!U269&amp;"-Très modestes",TabRFR[Recherche RFR],0),MATCH(TEXT(YEAR(BD!D269),"Standard"),TabRFR[[#Headers],[2021]:[2025]],0)),"Très Modeste",IF(V269&lt;=INDEX(TabRFR[[2021]:[2025]],MATCH(BD!U269&amp;"-modestes",TabRFR[Recherche RFR],0),MATCH(TEXT(YEAR(BD!D269),"Standard"),TabRFR[[#Headers],[2021]:[2025]],0)),"Modeste",IF(V269&lt;=INDEX(TabRFR[[2021]:[2025]],MATCH(BD!U269&amp;"-Intermédiaire",TabRFR[Recherche RFR],0),MATCH(TEXT(YEAR(BD!D269),"Standard"),TabRFR[[#Headers],[2021]:[2025]],0)),"Intermédiaire","Supérieur")))))),IF(D269="","",IF(U269+V269&lt;15,"Données Nb pers ou RFR manquantes",IF(COUNTA(INDIRECT("TabRFR["&amp;YEAR(H269)&amp;"]"))&lt;&gt;COUNTA(TabRFR[Recherche RFR]),"Data RFR manquantes", IF(V269&lt;=INDEX(TabRFR[[2021]:[2025]],MATCH(BD!U269&amp;"-Très modestes",TabRFR[Recherche RFR],0),MATCH(TEXT(YEAR(BD!H269),"Standard"),TabRFR[[#Headers],[2021]:[2025]],0)),"Très Modeste",IF(V269&lt;=INDEX(TabRFR[[2021]:[2025]],MATCH(BD!U269&amp;"-modestes",TabRFR[Recherche RFR],0),MATCH(TEXT(YEAR(BD!H269),"Standard"),TabRFR[[#Headers],[2021]:[2025]],0)),"Modeste",IF(V269&lt;=INDEX(TabRFR[[2021]:[2025]],MATCH(BD!U269&amp;"-Intermédiaire",TabRFR[Recherche RFR],0),MATCH(TEXT(YEAR(BD!H269),"Standard"),TabRFR[[#Headers],[2021]:[2025]],0)),"Intermédiaire","Supérieur")))))))</f>
        <v>Data RFR manquantes</v>
      </c>
      <c r="X269" s="143"/>
      <c r="Y269" s="143" t="s">
        <v>1220</v>
      </c>
      <c r="Z269" s="143">
        <v>38210</v>
      </c>
      <c r="AA269" s="143" t="s">
        <v>202</v>
      </c>
      <c r="AB269" s="148"/>
      <c r="AC269" s="149"/>
      <c r="AD269" s="143" t="s">
        <v>91</v>
      </c>
      <c r="AE269" s="143" t="s">
        <v>76</v>
      </c>
      <c r="AF269" s="143" t="s">
        <v>76</v>
      </c>
      <c r="AG269" s="143" t="s">
        <v>76</v>
      </c>
      <c r="AH269" s="143" t="s">
        <v>76</v>
      </c>
      <c r="AI269" s="143" t="s">
        <v>185</v>
      </c>
      <c r="AJ269" s="143" t="s">
        <v>108</v>
      </c>
      <c r="AK269" s="143" t="s">
        <v>186</v>
      </c>
      <c r="AL269" s="150" t="s">
        <v>187</v>
      </c>
      <c r="AM269" s="148">
        <v>951096343</v>
      </c>
      <c r="AN269" s="143" t="s">
        <v>76</v>
      </c>
      <c r="AO269" s="150" t="s">
        <v>102</v>
      </c>
      <c r="AP269" s="147">
        <v>44798</v>
      </c>
      <c r="AQ269" s="135" t="s">
        <v>3496</v>
      </c>
      <c r="AR269" s="143">
        <v>1993</v>
      </c>
      <c r="AS269" s="143" t="s">
        <v>3413</v>
      </c>
      <c r="AT269" s="143" t="s">
        <v>98</v>
      </c>
      <c r="AU269" s="143" t="s">
        <v>188</v>
      </c>
      <c r="AV269" s="143" t="s">
        <v>189</v>
      </c>
      <c r="AW269" s="143">
        <v>20</v>
      </c>
      <c r="AX269" s="143">
        <v>8.3000000000000007</v>
      </c>
      <c r="AY269" s="143">
        <v>87</v>
      </c>
      <c r="AZ269" s="143">
        <v>1.7999999999999999E-2</v>
      </c>
      <c r="BA269" s="143" t="s">
        <v>126</v>
      </c>
      <c r="BB269" s="143"/>
      <c r="BC269" s="143">
        <f>4890+340+271.35+920</f>
        <v>6421.35</v>
      </c>
      <c r="BD269" s="143"/>
      <c r="BE269" s="143">
        <v>630</v>
      </c>
      <c r="BF269" s="143">
        <f t="shared" si="12"/>
        <v>7051.35</v>
      </c>
      <c r="BG269" s="151">
        <f t="shared" si="13"/>
        <v>387.82425000000001</v>
      </c>
      <c r="BH269" s="151">
        <f t="shared" si="14"/>
        <v>7439.17425</v>
      </c>
      <c r="BI269" s="151">
        <v>7100</v>
      </c>
      <c r="BJ269" s="143" t="s">
        <v>102</v>
      </c>
      <c r="BK269" s="143"/>
      <c r="BL269" s="143"/>
      <c r="BM269" s="144" t="s">
        <v>3592</v>
      </c>
      <c r="BN269" s="144" t="s">
        <v>103</v>
      </c>
      <c r="BO269" s="144" t="s">
        <v>143</v>
      </c>
      <c r="BP269" s="143" t="s">
        <v>3583</v>
      </c>
      <c r="BQ269" s="203" t="s">
        <v>144</v>
      </c>
    </row>
    <row r="270" spans="1:69" ht="41.1" customHeight="1">
      <c r="A270" s="145" t="s">
        <v>86</v>
      </c>
      <c r="B270" s="145" t="s">
        <v>1221</v>
      </c>
      <c r="C270" s="143" t="s">
        <v>76</v>
      </c>
      <c r="D270" s="135">
        <v>44477</v>
      </c>
      <c r="E270" s="135">
        <v>44477</v>
      </c>
      <c r="F270" s="147">
        <v>44481</v>
      </c>
      <c r="G270" s="135" t="s">
        <v>1222</v>
      </c>
      <c r="H270" s="147"/>
      <c r="I270" s="147"/>
      <c r="J270" s="147"/>
      <c r="K270" s="135"/>
      <c r="L270" s="135"/>
      <c r="M270" s="135"/>
      <c r="N270" s="135"/>
      <c r="O270" s="135"/>
      <c r="P270" s="135"/>
      <c r="Q270" s="135">
        <v>44930</v>
      </c>
      <c r="R270" s="143" t="s">
        <v>927</v>
      </c>
      <c r="S270" s="143"/>
      <c r="T270" s="143"/>
      <c r="U270" s="143">
        <v>2</v>
      </c>
      <c r="V270" s="143">
        <v>27034</v>
      </c>
      <c r="W270" s="143" t="str">
        <f ca="1">IF(H270="",IF(D270="","",IF(U270+V270&lt;15,"Données Nb pers ou RFR manquantes",IF(COUNTA(INDIRECT("TabRFR["&amp;YEAR(D270)&amp;"]"))&lt;&gt;COUNTA(TabRFR[Recherche RFR]),"Data RFR manquantes", IF(V270&lt;=INDEX(TabRFR[[2021]:[2025]],MATCH(BD!U270&amp;"-Très modestes",TabRFR[Recherche RFR],0),MATCH(TEXT(YEAR(BD!D270),"Standard"),TabRFR[[#Headers],[2021]:[2025]],0)),"Très Modeste",IF(V270&lt;=INDEX(TabRFR[[2021]:[2025]],MATCH(BD!U270&amp;"-modestes",TabRFR[Recherche RFR],0),MATCH(TEXT(YEAR(BD!D270),"Standard"),TabRFR[[#Headers],[2021]:[2025]],0)),"Modeste",IF(V270&lt;=INDEX(TabRFR[[2021]:[2025]],MATCH(BD!U270&amp;"-Intermédiaire",TabRFR[Recherche RFR],0),MATCH(TEXT(YEAR(BD!D270),"Standard"),TabRFR[[#Headers],[2021]:[2025]],0)),"Intermédiaire","Supérieur")))))),IF(D270="","",IF(U270+V270&lt;15,"Données Nb pers ou RFR manquantes",IF(COUNTA(INDIRECT("TabRFR["&amp;YEAR(H270)&amp;"]"))&lt;&gt;COUNTA(TabRFR[Recherche RFR]),"Data RFR manquantes", IF(V270&lt;=INDEX(TabRFR[[2021]:[2025]],MATCH(BD!U270&amp;"-Très modestes",TabRFR[Recherche RFR],0),MATCH(TEXT(YEAR(BD!H270),"Standard"),TabRFR[[#Headers],[2021]:[2025]],0)),"Très Modeste",IF(V270&lt;=INDEX(TabRFR[[2021]:[2025]],MATCH(BD!U270&amp;"-modestes",TabRFR[Recherche RFR],0),MATCH(TEXT(YEAR(BD!H270),"Standard"),TabRFR[[#Headers],[2021]:[2025]],0)),"Modeste",IF(V270&lt;=INDEX(TabRFR[[2021]:[2025]],MATCH(BD!U270&amp;"-Intermédiaire",TabRFR[Recherche RFR],0),MATCH(TEXT(YEAR(BD!H270),"Standard"),TabRFR[[#Headers],[2021]:[2025]],0)),"Intermédiaire","Supérieur")))))))</f>
        <v>Modeste</v>
      </c>
      <c r="X270" s="143"/>
      <c r="Y270" s="143" t="s">
        <v>1223</v>
      </c>
      <c r="Z270" s="143">
        <v>38620</v>
      </c>
      <c r="AA270" s="143" t="s">
        <v>90</v>
      </c>
      <c r="AB270" s="148"/>
      <c r="AC270" s="149"/>
      <c r="AD270" s="143" t="s">
        <v>91</v>
      </c>
      <c r="AE270" s="143" t="s">
        <v>76</v>
      </c>
      <c r="AF270" s="143" t="s">
        <v>76</v>
      </c>
      <c r="AG270" s="143" t="s">
        <v>76</v>
      </c>
      <c r="AH270" s="143" t="s">
        <v>76</v>
      </c>
      <c r="AI270" s="143" t="s">
        <v>160</v>
      </c>
      <c r="AJ270" s="143" t="s">
        <v>161</v>
      </c>
      <c r="AK270" s="143" t="s">
        <v>227</v>
      </c>
      <c r="AL270" s="150" t="s">
        <v>228</v>
      </c>
      <c r="AM270" s="148">
        <v>438021901</v>
      </c>
      <c r="AN270" s="143" t="s">
        <v>76</v>
      </c>
      <c r="AO270" s="150" t="s">
        <v>102</v>
      </c>
      <c r="AP270" s="147">
        <v>44641</v>
      </c>
      <c r="AQ270" s="135" t="s">
        <v>3496</v>
      </c>
      <c r="AR270" s="143">
        <v>1980</v>
      </c>
      <c r="AS270" s="143" t="s">
        <v>3413</v>
      </c>
      <c r="AT270" s="135" t="s">
        <v>3446</v>
      </c>
      <c r="AU270" s="143" t="s">
        <v>164</v>
      </c>
      <c r="AV270" s="143" t="s">
        <v>1224</v>
      </c>
      <c r="AW270" s="143">
        <v>20</v>
      </c>
      <c r="AX270" s="143">
        <v>8.5</v>
      </c>
      <c r="AY270" s="143">
        <v>75</v>
      </c>
      <c r="AZ270" s="143">
        <v>0.02</v>
      </c>
      <c r="BA270" s="143" t="s">
        <v>101</v>
      </c>
      <c r="BB270" s="143"/>
      <c r="BC270" s="143">
        <f>5259+1132+437</f>
        <v>6828</v>
      </c>
      <c r="BD270" s="143"/>
      <c r="BE270" s="143">
        <v>1182</v>
      </c>
      <c r="BF270" s="143">
        <f t="shared" si="12"/>
        <v>8010</v>
      </c>
      <c r="BG270" s="151">
        <f t="shared" si="13"/>
        <v>440.55</v>
      </c>
      <c r="BH270" s="151">
        <f t="shared" si="14"/>
        <v>8450.5499999999993</v>
      </c>
      <c r="BI270" s="151">
        <v>7135</v>
      </c>
      <c r="BJ270" s="143" t="s">
        <v>102</v>
      </c>
      <c r="BK270" s="143"/>
      <c r="BL270" s="143"/>
      <c r="BM270" s="144">
        <v>0</v>
      </c>
      <c r="BN270" s="144" t="s">
        <v>103</v>
      </c>
      <c r="BO270" s="144" t="s">
        <v>103</v>
      </c>
      <c r="BP270" s="144">
        <v>2022</v>
      </c>
      <c r="BQ270" s="203" t="s">
        <v>3273</v>
      </c>
    </row>
    <row r="271" spans="1:69" ht="41.1" customHeight="1">
      <c r="A271" s="133" t="s">
        <v>86</v>
      </c>
      <c r="B271" s="133" t="s">
        <v>1225</v>
      </c>
      <c r="C271" s="143">
        <v>600</v>
      </c>
      <c r="D271" s="135">
        <v>44481</v>
      </c>
      <c r="E271" s="135">
        <v>44481</v>
      </c>
      <c r="F271" s="147" t="s">
        <v>76</v>
      </c>
      <c r="G271" s="135" t="s">
        <v>76</v>
      </c>
      <c r="H271" s="147">
        <v>44481</v>
      </c>
      <c r="I271" s="147">
        <v>44481</v>
      </c>
      <c r="J271" s="147">
        <v>44503</v>
      </c>
      <c r="K271" s="135">
        <v>44601</v>
      </c>
      <c r="L271" s="135">
        <v>44571</v>
      </c>
      <c r="M271" s="135" t="s">
        <v>76</v>
      </c>
      <c r="N271" s="135">
        <v>44606</v>
      </c>
      <c r="O271" s="135">
        <v>44606</v>
      </c>
      <c r="P271" s="135">
        <v>44607</v>
      </c>
      <c r="Q271" s="135"/>
      <c r="R271" s="143"/>
      <c r="S271" s="143"/>
      <c r="T271" s="143"/>
      <c r="U271" s="143">
        <v>4</v>
      </c>
      <c r="V271" s="143">
        <v>39493</v>
      </c>
      <c r="W271" s="143" t="str">
        <f ca="1">IF(H271="",IF(D271="","",IF(U271+V271&lt;15,"Données Nb pers ou RFR manquantes",IF(COUNTA(INDIRECT("TabRFR["&amp;YEAR(D271)&amp;"]"))&lt;&gt;COUNTA(TabRFR[Recherche RFR]),"Data RFR manquantes", IF(V271&lt;=INDEX(TabRFR[[2021]:[2025]],MATCH(BD!U271&amp;"-Très modestes",TabRFR[Recherche RFR],0),MATCH(TEXT(YEAR(BD!D271),"Standard"),TabRFR[[#Headers],[2021]:[2025]],0)),"Très Modeste",IF(V271&lt;=INDEX(TabRFR[[2021]:[2025]],MATCH(BD!U271&amp;"-modestes",TabRFR[Recherche RFR],0),MATCH(TEXT(YEAR(BD!D271),"Standard"),TabRFR[[#Headers],[2021]:[2025]],0)),"Modeste",IF(V271&lt;=INDEX(TabRFR[[2021]:[2025]],MATCH(BD!U271&amp;"-Intermédiaire",TabRFR[Recherche RFR],0),MATCH(TEXT(YEAR(BD!D271),"Standard"),TabRFR[[#Headers],[2021]:[2025]],0)),"Intermédiaire","Supérieur")))))),IF(D271="","",IF(U271+V271&lt;15,"Données Nb pers ou RFR manquantes",IF(COUNTA(INDIRECT("TabRFR["&amp;YEAR(H271)&amp;"]"))&lt;&gt;COUNTA(TabRFR[Recherche RFR]),"Data RFR manquantes", IF(V271&lt;=INDEX(TabRFR[[2021]:[2025]],MATCH(BD!U271&amp;"-Très modestes",TabRFR[Recherche RFR],0),MATCH(TEXT(YEAR(BD!H271),"Standard"),TabRFR[[#Headers],[2021]:[2025]],0)),"Très Modeste",IF(V271&lt;=INDEX(TabRFR[[2021]:[2025]],MATCH(BD!U271&amp;"-modestes",TabRFR[Recherche RFR],0),MATCH(TEXT(YEAR(BD!H271),"Standard"),TabRFR[[#Headers],[2021]:[2025]],0)),"Modeste",IF(V271&lt;=INDEX(TabRFR[[2021]:[2025]],MATCH(BD!U271&amp;"-Intermédiaire",TabRFR[Recherche RFR],0),MATCH(TEXT(YEAR(BD!H271),"Standard"),TabRFR[[#Headers],[2021]:[2025]],0)),"Intermédiaire","Supérieur")))))))</f>
        <v>Intermédiaire</v>
      </c>
      <c r="X271" s="143"/>
      <c r="Y271" s="143" t="s">
        <v>1226</v>
      </c>
      <c r="Z271" s="143">
        <v>38730</v>
      </c>
      <c r="AA271" s="143" t="s">
        <v>293</v>
      </c>
      <c r="AB271" s="148"/>
      <c r="AC271" s="149"/>
      <c r="AD271" s="143" t="s">
        <v>91</v>
      </c>
      <c r="AE271" s="143" t="s">
        <v>76</v>
      </c>
      <c r="AF271" s="143" t="s">
        <v>76</v>
      </c>
      <c r="AG271" s="143" t="s">
        <v>76</v>
      </c>
      <c r="AH271" s="143" t="s">
        <v>76</v>
      </c>
      <c r="AI271" s="143" t="s">
        <v>1106</v>
      </c>
      <c r="AJ271" s="143" t="s">
        <v>1075</v>
      </c>
      <c r="AK271" s="143" t="s">
        <v>1107</v>
      </c>
      <c r="AL271" s="150" t="s">
        <v>1108</v>
      </c>
      <c r="AM271" s="148">
        <v>476663386</v>
      </c>
      <c r="AN271" s="143" t="s">
        <v>76</v>
      </c>
      <c r="AO271" s="150" t="s">
        <v>102</v>
      </c>
      <c r="AP271" s="147">
        <v>44731</v>
      </c>
      <c r="AQ271" s="135" t="s">
        <v>3496</v>
      </c>
      <c r="AR271" s="143">
        <v>1989</v>
      </c>
      <c r="AS271" s="135" t="s">
        <v>3496</v>
      </c>
      <c r="AT271" s="135" t="s">
        <v>3446</v>
      </c>
      <c r="AU271" s="143" t="s">
        <v>1109</v>
      </c>
      <c r="AV271" s="143" t="s">
        <v>1227</v>
      </c>
      <c r="AW271" s="151">
        <v>24</v>
      </c>
      <c r="AX271" s="151">
        <v>13.2</v>
      </c>
      <c r="AY271" s="151">
        <v>75.900000000000006</v>
      </c>
      <c r="AZ271" s="151">
        <v>0.09</v>
      </c>
      <c r="BA271" s="151" t="s">
        <v>101</v>
      </c>
      <c r="BB271" s="143"/>
      <c r="BC271" s="151">
        <f>2143.22+259.65+529.76+300.44+89+17.11+58.23+295+467+121</f>
        <v>4280.41</v>
      </c>
      <c r="BD271" s="143"/>
      <c r="BE271" s="151">
        <v>600</v>
      </c>
      <c r="BF271" s="151">
        <f t="shared" si="12"/>
        <v>4880.41</v>
      </c>
      <c r="BG271" s="151">
        <f t="shared" si="13"/>
        <v>268.42255</v>
      </c>
      <c r="BH271" s="151">
        <f t="shared" si="14"/>
        <v>5148.8325500000001</v>
      </c>
      <c r="BI271" s="151">
        <v>4500</v>
      </c>
      <c r="BJ271" s="143" t="s">
        <v>102</v>
      </c>
      <c r="BK271" s="143"/>
      <c r="BL271" s="143"/>
      <c r="BM271" s="144" t="s">
        <v>3592</v>
      </c>
      <c r="BN271" s="144" t="s">
        <v>103</v>
      </c>
      <c r="BO271" s="144" t="s">
        <v>143</v>
      </c>
      <c r="BP271" s="144">
        <v>2021</v>
      </c>
      <c r="BQ271" s="203" t="s">
        <v>144</v>
      </c>
    </row>
    <row r="272" spans="1:69" ht="41.1" customHeight="1">
      <c r="A272" s="135" t="s">
        <v>86</v>
      </c>
      <c r="B272" s="135" t="s">
        <v>1228</v>
      </c>
      <c r="C272" s="143">
        <v>1000</v>
      </c>
      <c r="D272" s="135">
        <v>44482</v>
      </c>
      <c r="E272" s="135">
        <v>44483</v>
      </c>
      <c r="F272" s="147" t="s">
        <v>76</v>
      </c>
      <c r="G272" s="135" t="s">
        <v>76</v>
      </c>
      <c r="H272" s="147">
        <v>44491</v>
      </c>
      <c r="I272" s="147">
        <v>44491</v>
      </c>
      <c r="J272" s="147">
        <v>44495</v>
      </c>
      <c r="K272" s="135">
        <v>45370</v>
      </c>
      <c r="L272" s="135">
        <v>45349</v>
      </c>
      <c r="M272" s="135" t="s">
        <v>3387</v>
      </c>
      <c r="N272" s="135">
        <v>45373</v>
      </c>
      <c r="O272" s="135">
        <v>45373</v>
      </c>
      <c r="P272" s="135">
        <v>45376</v>
      </c>
      <c r="Q272" s="135"/>
      <c r="R272" s="143"/>
      <c r="S272" s="143"/>
      <c r="T272" s="143"/>
      <c r="U272" s="143">
        <v>3</v>
      </c>
      <c r="V272" s="143">
        <v>28006</v>
      </c>
      <c r="W272" s="143" t="str">
        <f ca="1">IF(H272="",IF(D272="","",IF(U272+V272&lt;15,"Données Nb pers ou RFR manquantes",IF(COUNTA(INDIRECT("TabRFR["&amp;YEAR(D272)&amp;"]"))&lt;&gt;COUNTA(TabRFR[Recherche RFR]),"Data RFR manquantes", IF(V272&lt;=INDEX(TabRFR[[2021]:[2025]],MATCH(BD!U272&amp;"-Très modestes",TabRFR[Recherche RFR],0),MATCH(TEXT(YEAR(BD!D272),"Standard"),TabRFR[[#Headers],[2021]:[2025]],0)),"Très Modeste",IF(V272&lt;=INDEX(TabRFR[[2021]:[2025]],MATCH(BD!U272&amp;"-modestes",TabRFR[Recherche RFR],0),MATCH(TEXT(YEAR(BD!D272),"Standard"),TabRFR[[#Headers],[2021]:[2025]],0)),"Modeste",IF(V272&lt;=INDEX(TabRFR[[2021]:[2025]],MATCH(BD!U272&amp;"-Intermédiaire",TabRFR[Recherche RFR],0),MATCH(TEXT(YEAR(BD!D272),"Standard"),TabRFR[[#Headers],[2021]:[2025]],0)),"Intermédiaire","Supérieur")))))),IF(D272="","",IF(U272+V272&lt;15,"Données Nb pers ou RFR manquantes",IF(COUNTA(INDIRECT("TabRFR["&amp;YEAR(H272)&amp;"]"))&lt;&gt;COUNTA(TabRFR[Recherche RFR]),"Data RFR manquantes", IF(V272&lt;=INDEX(TabRFR[[2021]:[2025]],MATCH(BD!U272&amp;"-Très modestes",TabRFR[Recherche RFR],0),MATCH(TEXT(YEAR(BD!H272),"Standard"),TabRFR[[#Headers],[2021]:[2025]],0)),"Très Modeste",IF(V272&lt;=INDEX(TabRFR[[2021]:[2025]],MATCH(BD!U272&amp;"-modestes",TabRFR[Recherche RFR],0),MATCH(TEXT(YEAR(BD!H272),"Standard"),TabRFR[[#Headers],[2021]:[2025]],0)),"Modeste",IF(V272&lt;=INDEX(TabRFR[[2021]:[2025]],MATCH(BD!U272&amp;"-Intermédiaire",TabRFR[Recherche RFR],0),MATCH(TEXT(YEAR(BD!H272),"Standard"),TabRFR[[#Headers],[2021]:[2025]],0)),"Intermédiaire","Supérieur")))))))</f>
        <v>Modeste</v>
      </c>
      <c r="X272" s="143"/>
      <c r="Y272" s="143" t="s">
        <v>1229</v>
      </c>
      <c r="Z272" s="143">
        <v>38730</v>
      </c>
      <c r="AA272" s="143" t="s">
        <v>148</v>
      </c>
      <c r="AB272" s="148"/>
      <c r="AC272" s="149"/>
      <c r="AD272" s="143" t="s">
        <v>91</v>
      </c>
      <c r="AE272" s="143" t="s">
        <v>76</v>
      </c>
      <c r="AF272" s="143" t="s">
        <v>76</v>
      </c>
      <c r="AG272" s="143" t="s">
        <v>76</v>
      </c>
      <c r="AH272" s="143" t="s">
        <v>76</v>
      </c>
      <c r="AI272" s="143" t="s">
        <v>210</v>
      </c>
      <c r="AJ272" s="143" t="s">
        <v>136</v>
      </c>
      <c r="AK272" s="143" t="s">
        <v>211</v>
      </c>
      <c r="AL272" s="150" t="s">
        <v>212</v>
      </c>
      <c r="AM272" s="148">
        <v>474432868</v>
      </c>
      <c r="AN272" s="143" t="s">
        <v>76</v>
      </c>
      <c r="AO272" s="150" t="s">
        <v>102</v>
      </c>
      <c r="AP272" s="147">
        <v>44514</v>
      </c>
      <c r="AQ272" s="135" t="s">
        <v>3449</v>
      </c>
      <c r="AR272" s="143">
        <v>1968</v>
      </c>
      <c r="AS272" s="143" t="s">
        <v>3413</v>
      </c>
      <c r="AT272" s="135" t="s">
        <v>3446</v>
      </c>
      <c r="AU272" s="143" t="s">
        <v>852</v>
      </c>
      <c r="AV272" s="143" t="s">
        <v>1230</v>
      </c>
      <c r="AW272" s="143">
        <v>36</v>
      </c>
      <c r="AX272" s="143">
        <v>9</v>
      </c>
      <c r="AY272" s="143">
        <v>79</v>
      </c>
      <c r="AZ272" s="143">
        <v>0.09</v>
      </c>
      <c r="BA272" s="143" t="s">
        <v>101</v>
      </c>
      <c r="BB272" s="143"/>
      <c r="BC272" s="143">
        <f>2100+274+1668.85+600+61+156.8</f>
        <v>4860.6500000000005</v>
      </c>
      <c r="BD272" s="143"/>
      <c r="BE272" s="143">
        <v>730</v>
      </c>
      <c r="BF272" s="143">
        <f t="shared" si="12"/>
        <v>5590.6500000000005</v>
      </c>
      <c r="BG272" s="151">
        <f t="shared" si="13"/>
        <v>307.48575000000005</v>
      </c>
      <c r="BH272" s="151">
        <f t="shared" si="14"/>
        <v>5898.1357500000004</v>
      </c>
      <c r="BI272" s="151">
        <v>3538.89</v>
      </c>
      <c r="BJ272" s="143" t="s">
        <v>102</v>
      </c>
      <c r="BK272" s="143"/>
      <c r="BL272" s="143"/>
      <c r="BM272" s="144" t="s">
        <v>3592</v>
      </c>
      <c r="BN272" s="144" t="s">
        <v>103</v>
      </c>
      <c r="BO272" s="144" t="s">
        <v>103</v>
      </c>
      <c r="BP272" s="144">
        <v>2021</v>
      </c>
      <c r="BQ272" s="203"/>
    </row>
    <row r="273" spans="1:69" ht="41.1" customHeight="1">
      <c r="A273" s="133" t="s">
        <v>86</v>
      </c>
      <c r="B273" s="133" t="s">
        <v>1231</v>
      </c>
      <c r="C273" s="143">
        <v>600</v>
      </c>
      <c r="D273" s="135">
        <v>44482</v>
      </c>
      <c r="E273" s="135">
        <v>44483</v>
      </c>
      <c r="F273" s="147" t="s">
        <v>76</v>
      </c>
      <c r="G273" s="135" t="s">
        <v>76</v>
      </c>
      <c r="H273" s="147">
        <v>44491</v>
      </c>
      <c r="I273" s="147">
        <v>44491</v>
      </c>
      <c r="J273" s="147">
        <v>44495</v>
      </c>
      <c r="K273" s="135">
        <v>44536</v>
      </c>
      <c r="L273" s="135">
        <v>44530</v>
      </c>
      <c r="M273" s="135" t="s">
        <v>76</v>
      </c>
      <c r="N273" s="135">
        <v>44539</v>
      </c>
      <c r="O273" s="135">
        <v>44539</v>
      </c>
      <c r="P273" s="135">
        <v>44540</v>
      </c>
      <c r="Q273" s="135"/>
      <c r="R273" s="143"/>
      <c r="S273" s="143"/>
      <c r="T273" s="143"/>
      <c r="U273" s="143">
        <v>2</v>
      </c>
      <c r="V273" s="143">
        <v>53016</v>
      </c>
      <c r="W273" s="143" t="str">
        <f ca="1">IF(H273="",IF(D273="","",IF(U273+V273&lt;15,"Données Nb pers ou RFR manquantes",IF(COUNTA(INDIRECT("TabRFR["&amp;YEAR(D273)&amp;"]"))&lt;&gt;COUNTA(TabRFR[Recherche RFR]),"Data RFR manquantes", IF(V273&lt;=INDEX(TabRFR[[2021]:[2025]],MATCH(BD!U273&amp;"-Très modestes",TabRFR[Recherche RFR],0),MATCH(TEXT(YEAR(BD!D273),"Standard"),TabRFR[[#Headers],[2021]:[2025]],0)),"Très Modeste",IF(V273&lt;=INDEX(TabRFR[[2021]:[2025]],MATCH(BD!U273&amp;"-modestes",TabRFR[Recherche RFR],0),MATCH(TEXT(YEAR(BD!D273),"Standard"),TabRFR[[#Headers],[2021]:[2025]],0)),"Modeste",IF(V273&lt;=INDEX(TabRFR[[2021]:[2025]],MATCH(BD!U273&amp;"-Intermédiaire",TabRFR[Recherche RFR],0),MATCH(TEXT(YEAR(BD!D273),"Standard"),TabRFR[[#Headers],[2021]:[2025]],0)),"Intermédiaire","Supérieur")))))),IF(D273="","",IF(U273+V273&lt;15,"Données Nb pers ou RFR manquantes",IF(COUNTA(INDIRECT("TabRFR["&amp;YEAR(H273)&amp;"]"))&lt;&gt;COUNTA(TabRFR[Recherche RFR]),"Data RFR manquantes", IF(V273&lt;=INDEX(TabRFR[[2021]:[2025]],MATCH(BD!U273&amp;"-Très modestes",TabRFR[Recherche RFR],0),MATCH(TEXT(YEAR(BD!H273),"Standard"),TabRFR[[#Headers],[2021]:[2025]],0)),"Très Modeste",IF(V273&lt;=INDEX(TabRFR[[2021]:[2025]],MATCH(BD!U273&amp;"-modestes",TabRFR[Recherche RFR],0),MATCH(TEXT(YEAR(BD!H273),"Standard"),TabRFR[[#Headers],[2021]:[2025]],0)),"Modeste",IF(V273&lt;=INDEX(TabRFR[[2021]:[2025]],MATCH(BD!U273&amp;"-Intermédiaire",TabRFR[Recherche RFR],0),MATCH(TEXT(YEAR(BD!H273),"Standard"),TabRFR[[#Headers],[2021]:[2025]],0)),"Intermédiaire","Supérieur")))))))</f>
        <v>Supérieur</v>
      </c>
      <c r="X273" s="143"/>
      <c r="Y273" s="143" t="s">
        <v>1232</v>
      </c>
      <c r="Z273" s="143">
        <v>38340</v>
      </c>
      <c r="AA273" s="143" t="s">
        <v>266</v>
      </c>
      <c r="AB273" s="148"/>
      <c r="AC273" s="149"/>
      <c r="AD273" s="143" t="s">
        <v>91</v>
      </c>
      <c r="AE273" s="143" t="s">
        <v>76</v>
      </c>
      <c r="AF273" s="143" t="s">
        <v>76</v>
      </c>
      <c r="AG273" s="143" t="s">
        <v>76</v>
      </c>
      <c r="AH273" s="143" t="s">
        <v>76</v>
      </c>
      <c r="AI273" s="143" t="s">
        <v>160</v>
      </c>
      <c r="AJ273" s="143" t="s">
        <v>161</v>
      </c>
      <c r="AK273" s="143" t="s">
        <v>227</v>
      </c>
      <c r="AL273" s="150" t="s">
        <v>228</v>
      </c>
      <c r="AM273" s="148">
        <v>438021901</v>
      </c>
      <c r="AN273" s="143" t="s">
        <v>76</v>
      </c>
      <c r="AO273" s="150" t="s">
        <v>102</v>
      </c>
      <c r="AP273" s="147">
        <v>44641</v>
      </c>
      <c r="AQ273" s="135" t="s">
        <v>3449</v>
      </c>
      <c r="AR273" s="143" t="s">
        <v>213</v>
      </c>
      <c r="AS273" s="135" t="s">
        <v>3496</v>
      </c>
      <c r="AT273" s="135" t="s">
        <v>3446</v>
      </c>
      <c r="AU273" s="143" t="s">
        <v>164</v>
      </c>
      <c r="AV273" s="143" t="s">
        <v>975</v>
      </c>
      <c r="AW273" s="143">
        <v>24</v>
      </c>
      <c r="AX273" s="143">
        <v>13.2</v>
      </c>
      <c r="AY273" s="143">
        <v>76</v>
      </c>
      <c r="AZ273" s="143">
        <v>0.09</v>
      </c>
      <c r="BA273" s="143" t="s">
        <v>101</v>
      </c>
      <c r="BB273" s="143"/>
      <c r="BC273" s="143">
        <f>208+2302+1658+904</f>
        <v>5072</v>
      </c>
      <c r="BD273" s="143"/>
      <c r="BE273" s="143">
        <v>1200</v>
      </c>
      <c r="BF273" s="143">
        <f t="shared" si="12"/>
        <v>6272</v>
      </c>
      <c r="BG273" s="151">
        <f t="shared" si="13"/>
        <v>344.96</v>
      </c>
      <c r="BH273" s="151">
        <f t="shared" si="14"/>
        <v>6616.96</v>
      </c>
      <c r="BI273" s="151">
        <v>6200</v>
      </c>
      <c r="BJ273" s="143" t="s">
        <v>102</v>
      </c>
      <c r="BK273" s="143"/>
      <c r="BL273" s="143"/>
      <c r="BM273" s="144" t="s">
        <v>3592</v>
      </c>
      <c r="BN273" s="144" t="s">
        <v>103</v>
      </c>
      <c r="BO273" s="144" t="s">
        <v>143</v>
      </c>
      <c r="BP273" s="144">
        <v>2021</v>
      </c>
      <c r="BQ273" s="203" t="s">
        <v>144</v>
      </c>
    </row>
    <row r="274" spans="1:69" ht="41.1" customHeight="1">
      <c r="A274" s="133" t="s">
        <v>86</v>
      </c>
      <c r="B274" s="133" t="s">
        <v>1233</v>
      </c>
      <c r="C274" s="143">
        <v>600</v>
      </c>
      <c r="D274" s="135">
        <v>44482</v>
      </c>
      <c r="E274" s="135">
        <v>44483</v>
      </c>
      <c r="F274" s="147" t="s">
        <v>76</v>
      </c>
      <c r="G274" s="135" t="s">
        <v>76</v>
      </c>
      <c r="H274" s="147">
        <v>44491</v>
      </c>
      <c r="I274" s="147">
        <v>44491</v>
      </c>
      <c r="J274" s="147">
        <v>44495</v>
      </c>
      <c r="K274" s="135">
        <v>44743</v>
      </c>
      <c r="L274" s="135">
        <v>44701</v>
      </c>
      <c r="M274" s="135" t="s">
        <v>76</v>
      </c>
      <c r="N274" s="135">
        <v>44769</v>
      </c>
      <c r="O274" s="135">
        <v>44769</v>
      </c>
      <c r="P274" s="135">
        <v>44770</v>
      </c>
      <c r="Q274" s="135"/>
      <c r="R274" s="143"/>
      <c r="S274" s="143"/>
      <c r="T274" s="143"/>
      <c r="U274" s="143">
        <v>4</v>
      </c>
      <c r="V274" s="143">
        <v>46366</v>
      </c>
      <c r="W274" s="143" t="str">
        <f ca="1">IF(H274="",IF(D274="","",IF(U274+V274&lt;15,"Données Nb pers ou RFR manquantes",IF(COUNTA(INDIRECT("TabRFR["&amp;YEAR(D274)&amp;"]"))&lt;&gt;COUNTA(TabRFR[Recherche RFR]),"Data RFR manquantes", IF(V274&lt;=INDEX(TabRFR[[2021]:[2025]],MATCH(BD!U274&amp;"-Très modestes",TabRFR[Recherche RFR],0),MATCH(TEXT(YEAR(BD!D274),"Standard"),TabRFR[[#Headers],[2021]:[2025]],0)),"Très Modeste",IF(V274&lt;=INDEX(TabRFR[[2021]:[2025]],MATCH(BD!U274&amp;"-modestes",TabRFR[Recherche RFR],0),MATCH(TEXT(YEAR(BD!D274),"Standard"),TabRFR[[#Headers],[2021]:[2025]],0)),"Modeste",IF(V274&lt;=INDEX(TabRFR[[2021]:[2025]],MATCH(BD!U274&amp;"-Intermédiaire",TabRFR[Recherche RFR],0),MATCH(TEXT(YEAR(BD!D274),"Standard"),TabRFR[[#Headers],[2021]:[2025]],0)),"Intermédiaire","Supérieur")))))),IF(D274="","",IF(U274+V274&lt;15,"Données Nb pers ou RFR manquantes",IF(COUNTA(INDIRECT("TabRFR["&amp;YEAR(H274)&amp;"]"))&lt;&gt;COUNTA(TabRFR[Recherche RFR]),"Data RFR manquantes", IF(V274&lt;=INDEX(TabRFR[[2021]:[2025]],MATCH(BD!U274&amp;"-Très modestes",TabRFR[Recherche RFR],0),MATCH(TEXT(YEAR(BD!H274),"Standard"),TabRFR[[#Headers],[2021]:[2025]],0)),"Très Modeste",IF(V274&lt;=INDEX(TabRFR[[2021]:[2025]],MATCH(BD!U274&amp;"-modestes",TabRFR[Recherche RFR],0),MATCH(TEXT(YEAR(BD!H274),"Standard"),TabRFR[[#Headers],[2021]:[2025]],0)),"Modeste",IF(V274&lt;=INDEX(TabRFR[[2021]:[2025]],MATCH(BD!U274&amp;"-Intermédiaire",TabRFR[Recherche RFR],0),MATCH(TEXT(YEAR(BD!H274),"Standard"),TabRFR[[#Headers],[2021]:[2025]],0)),"Intermédiaire","Supérieur")))))))</f>
        <v>Intermédiaire</v>
      </c>
      <c r="X274" s="143"/>
      <c r="Y274" s="143" t="s">
        <v>707</v>
      </c>
      <c r="Z274" s="143">
        <v>38850</v>
      </c>
      <c r="AA274" s="143" t="s">
        <v>148</v>
      </c>
      <c r="AB274" s="148"/>
      <c r="AC274" s="149"/>
      <c r="AD274" s="143" t="s">
        <v>91</v>
      </c>
      <c r="AE274" s="143" t="s">
        <v>76</v>
      </c>
      <c r="AF274" s="143" t="s">
        <v>76</v>
      </c>
      <c r="AG274" s="143" t="s">
        <v>76</v>
      </c>
      <c r="AH274" s="143" t="s">
        <v>76</v>
      </c>
      <c r="AI274" s="143" t="s">
        <v>109</v>
      </c>
      <c r="AJ274" s="143" t="s">
        <v>108</v>
      </c>
      <c r="AK274" s="143" t="s">
        <v>110</v>
      </c>
      <c r="AL274" s="149" t="s">
        <v>111</v>
      </c>
      <c r="AM274" s="148" t="s">
        <v>112</v>
      </c>
      <c r="AN274" s="143" t="s">
        <v>76</v>
      </c>
      <c r="AO274" s="150" t="s">
        <v>102</v>
      </c>
      <c r="AP274" s="147">
        <v>44503</v>
      </c>
      <c r="AQ274" s="135" t="s">
        <v>3449</v>
      </c>
      <c r="AR274" s="143" t="s">
        <v>172</v>
      </c>
      <c r="AS274" s="143" t="s">
        <v>3413</v>
      </c>
      <c r="AT274" s="135" t="s">
        <v>3446</v>
      </c>
      <c r="AU274" s="143" t="s">
        <v>258</v>
      </c>
      <c r="AV274" s="143" t="s">
        <v>259</v>
      </c>
      <c r="AW274" s="143">
        <v>34</v>
      </c>
      <c r="AX274" s="143">
        <v>7.3</v>
      </c>
      <c r="AY274" s="143">
        <v>76.599999999999994</v>
      </c>
      <c r="AZ274" s="143">
        <v>0.04</v>
      </c>
      <c r="BA274" s="143" t="s">
        <v>101</v>
      </c>
      <c r="BB274" s="143"/>
      <c r="BC274" s="143">
        <f>1876.78+600+101+83+88+86+68+135+43+142+35+20</f>
        <v>3277.7799999999997</v>
      </c>
      <c r="BD274" s="143"/>
      <c r="BE274" s="143">
        <v>420</v>
      </c>
      <c r="BF274" s="143">
        <f t="shared" si="12"/>
        <v>3697.7799999999997</v>
      </c>
      <c r="BG274" s="151">
        <f t="shared" si="13"/>
        <v>203.37789999999998</v>
      </c>
      <c r="BH274" s="151">
        <f t="shared" si="14"/>
        <v>3901.1578999999997</v>
      </c>
      <c r="BI274" s="151">
        <v>3901.16</v>
      </c>
      <c r="BJ274" s="143" t="s">
        <v>102</v>
      </c>
      <c r="BK274" s="143"/>
      <c r="BL274" s="143"/>
      <c r="BM274" s="144" t="s">
        <v>3592</v>
      </c>
      <c r="BN274" s="144" t="s">
        <v>103</v>
      </c>
      <c r="BO274" s="144" t="s">
        <v>143</v>
      </c>
      <c r="BP274" s="143">
        <v>2021</v>
      </c>
      <c r="BQ274" s="203" t="s">
        <v>144</v>
      </c>
    </row>
    <row r="275" spans="1:69" ht="41.1" customHeight="1">
      <c r="A275" s="133" t="s">
        <v>86</v>
      </c>
      <c r="B275" s="133" t="s">
        <v>1234</v>
      </c>
      <c r="C275" s="143">
        <v>600</v>
      </c>
      <c r="D275" s="135">
        <v>44484</v>
      </c>
      <c r="E275" s="135">
        <v>44484</v>
      </c>
      <c r="F275" s="147">
        <v>44491</v>
      </c>
      <c r="G275" s="135" t="s">
        <v>1235</v>
      </c>
      <c r="H275" s="147">
        <v>44601</v>
      </c>
      <c r="I275" s="147">
        <v>44601</v>
      </c>
      <c r="J275" s="147">
        <v>44606</v>
      </c>
      <c r="K275" s="135">
        <v>44713</v>
      </c>
      <c r="L275" s="135">
        <v>44657</v>
      </c>
      <c r="M275" s="135" t="s">
        <v>76</v>
      </c>
      <c r="N275" s="135">
        <v>44768</v>
      </c>
      <c r="O275" s="135">
        <v>44768</v>
      </c>
      <c r="P275" s="135">
        <v>44769</v>
      </c>
      <c r="Q275" s="135"/>
      <c r="R275" s="143"/>
      <c r="S275" s="143"/>
      <c r="T275" s="143"/>
      <c r="U275" s="143">
        <v>2</v>
      </c>
      <c r="V275" s="143">
        <v>64838</v>
      </c>
      <c r="W275" s="143" t="str">
        <f ca="1">IF(H275="",IF(D275="","",IF(U275+V275&lt;15,"Données Nb pers ou RFR manquantes",IF(COUNTA(INDIRECT("TabRFR["&amp;YEAR(D275)&amp;"]"))&lt;&gt;COUNTA(TabRFR[Recherche RFR]),"Data RFR manquantes", IF(V275&lt;=INDEX(TabRFR[[2021]:[2025]],MATCH(BD!U275&amp;"-Très modestes",TabRFR[Recherche RFR],0),MATCH(TEXT(YEAR(BD!D275),"Standard"),TabRFR[[#Headers],[2021]:[2025]],0)),"Très Modeste",IF(V275&lt;=INDEX(TabRFR[[2021]:[2025]],MATCH(BD!U275&amp;"-modestes",TabRFR[Recherche RFR],0),MATCH(TEXT(YEAR(BD!D275),"Standard"),TabRFR[[#Headers],[2021]:[2025]],0)),"Modeste",IF(V275&lt;=INDEX(TabRFR[[2021]:[2025]],MATCH(BD!U275&amp;"-Intermédiaire",TabRFR[Recherche RFR],0),MATCH(TEXT(YEAR(BD!D275),"Standard"),TabRFR[[#Headers],[2021]:[2025]],0)),"Intermédiaire","Supérieur")))))),IF(D275="","",IF(U275+V275&lt;15,"Données Nb pers ou RFR manquantes",IF(COUNTA(INDIRECT("TabRFR["&amp;YEAR(H275)&amp;"]"))&lt;&gt;COUNTA(TabRFR[Recherche RFR]),"Data RFR manquantes", IF(V275&lt;=INDEX(TabRFR[[2021]:[2025]],MATCH(BD!U275&amp;"-Très modestes",TabRFR[Recherche RFR],0),MATCH(TEXT(YEAR(BD!H275),"Standard"),TabRFR[[#Headers],[2021]:[2025]],0)),"Très Modeste",IF(V275&lt;=INDEX(TabRFR[[2021]:[2025]],MATCH(BD!U275&amp;"-modestes",TabRFR[Recherche RFR],0),MATCH(TEXT(YEAR(BD!H275),"Standard"),TabRFR[[#Headers],[2021]:[2025]],0)),"Modeste",IF(V275&lt;=INDEX(TabRFR[[2021]:[2025]],MATCH(BD!U275&amp;"-Intermédiaire",TabRFR[Recherche RFR],0),MATCH(TEXT(YEAR(BD!H275),"Standard"),TabRFR[[#Headers],[2021]:[2025]],0)),"Intermédiaire","Supérieur")))))))</f>
        <v>Supérieur</v>
      </c>
      <c r="X275" s="143"/>
      <c r="Y275" s="143" t="s">
        <v>1236</v>
      </c>
      <c r="Z275" s="143">
        <v>38210</v>
      </c>
      <c r="AA275" s="143" t="s">
        <v>130</v>
      </c>
      <c r="AB275" s="148"/>
      <c r="AC275" s="149"/>
      <c r="AD275" s="143" t="s">
        <v>91</v>
      </c>
      <c r="AE275" s="143" t="s">
        <v>76</v>
      </c>
      <c r="AF275" s="143" t="s">
        <v>76</v>
      </c>
      <c r="AG275" s="143" t="s">
        <v>76</v>
      </c>
      <c r="AH275" s="143" t="s">
        <v>76</v>
      </c>
      <c r="AI275" s="135" t="s">
        <v>2703</v>
      </c>
      <c r="AJ275" s="143" t="s">
        <v>266</v>
      </c>
      <c r="AK275" s="143" t="s">
        <v>317</v>
      </c>
      <c r="AL275" s="150" t="s">
        <v>318</v>
      </c>
      <c r="AM275" s="148">
        <v>476500550</v>
      </c>
      <c r="AN275" s="143" t="s">
        <v>76</v>
      </c>
      <c r="AO275" s="150" t="s">
        <v>102</v>
      </c>
      <c r="AP275" s="147">
        <v>44740</v>
      </c>
      <c r="AQ275" s="135" t="s">
        <v>3449</v>
      </c>
      <c r="AR275" s="143" t="s">
        <v>213</v>
      </c>
      <c r="AS275" s="135" t="s">
        <v>3496</v>
      </c>
      <c r="AT275" s="135" t="s">
        <v>3446</v>
      </c>
      <c r="AU275" s="143" t="s">
        <v>319</v>
      </c>
      <c r="AV275" s="143" t="s">
        <v>1237</v>
      </c>
      <c r="AW275" s="143">
        <v>30</v>
      </c>
      <c r="AX275" s="143">
        <v>13</v>
      </c>
      <c r="AY275" s="143">
        <v>84</v>
      </c>
      <c r="AZ275" s="143">
        <v>0.04</v>
      </c>
      <c r="BA275" s="143" t="s">
        <v>101</v>
      </c>
      <c r="BB275" s="143"/>
      <c r="BC275" s="143">
        <f>681.5+584.3+71.09+2850.33+179.48+209.08+34.6+137.19+114.14+142.2+248.18</f>
        <v>5252.0899999999992</v>
      </c>
      <c r="BD275" s="143"/>
      <c r="BE275" s="143">
        <v>1900</v>
      </c>
      <c r="BF275" s="143">
        <f t="shared" si="12"/>
        <v>7152.0899999999992</v>
      </c>
      <c r="BG275" s="151">
        <f t="shared" si="13"/>
        <v>393.36494999999996</v>
      </c>
      <c r="BH275" s="151">
        <f t="shared" si="14"/>
        <v>7545.4549499999994</v>
      </c>
      <c r="BI275" s="151">
        <v>7096.73</v>
      </c>
      <c r="BJ275" s="143" t="s">
        <v>115</v>
      </c>
      <c r="BK275" s="143"/>
      <c r="BL275" s="143"/>
      <c r="BM275" s="144" t="s">
        <v>3592</v>
      </c>
      <c r="BN275" s="143">
        <v>2022</v>
      </c>
      <c r="BO275" s="144" t="s">
        <v>143</v>
      </c>
      <c r="BP275" s="144">
        <v>2022</v>
      </c>
      <c r="BQ275" s="203" t="s">
        <v>3274</v>
      </c>
    </row>
    <row r="276" spans="1:69" ht="41.1" customHeight="1">
      <c r="A276" s="133" t="s">
        <v>86</v>
      </c>
      <c r="B276" s="133" t="s">
        <v>1238</v>
      </c>
      <c r="C276" s="143">
        <v>600</v>
      </c>
      <c r="D276" s="135">
        <v>44484</v>
      </c>
      <c r="E276" s="135">
        <v>44487</v>
      </c>
      <c r="F276" s="147" t="s">
        <v>76</v>
      </c>
      <c r="G276" s="135" t="s">
        <v>76</v>
      </c>
      <c r="H276" s="147">
        <v>44491</v>
      </c>
      <c r="I276" s="147">
        <v>44491</v>
      </c>
      <c r="J276" s="147">
        <v>44495</v>
      </c>
      <c r="K276" s="135">
        <v>44594</v>
      </c>
      <c r="L276" s="135">
        <v>44568</v>
      </c>
      <c r="M276" s="135" t="s">
        <v>76</v>
      </c>
      <c r="N276" s="135">
        <v>44606</v>
      </c>
      <c r="O276" s="135">
        <v>44606</v>
      </c>
      <c r="P276" s="135">
        <v>44607</v>
      </c>
      <c r="Q276" s="135"/>
      <c r="R276" s="143"/>
      <c r="S276" s="143"/>
      <c r="T276" s="143"/>
      <c r="U276" s="143">
        <v>2</v>
      </c>
      <c r="V276" s="143">
        <v>34973</v>
      </c>
      <c r="W276" s="143" t="str">
        <f ca="1">IF(H276="",IF(D276="","",IF(U276+V276&lt;15,"Données Nb pers ou RFR manquantes",IF(COUNTA(INDIRECT("TabRFR["&amp;YEAR(D276)&amp;"]"))&lt;&gt;COUNTA(TabRFR[Recherche RFR]),"Data RFR manquantes", IF(V276&lt;=INDEX(TabRFR[[2021]:[2025]],MATCH(BD!U276&amp;"-Très modestes",TabRFR[Recherche RFR],0),MATCH(TEXT(YEAR(BD!D276),"Standard"),TabRFR[[#Headers],[2021]:[2025]],0)),"Très Modeste",IF(V276&lt;=INDEX(TabRFR[[2021]:[2025]],MATCH(BD!U276&amp;"-modestes",TabRFR[Recherche RFR],0),MATCH(TEXT(YEAR(BD!D276),"Standard"),TabRFR[[#Headers],[2021]:[2025]],0)),"Modeste",IF(V276&lt;=INDEX(TabRFR[[2021]:[2025]],MATCH(BD!U276&amp;"-Intermédiaire",TabRFR[Recherche RFR],0),MATCH(TEXT(YEAR(BD!D276),"Standard"),TabRFR[[#Headers],[2021]:[2025]],0)),"Intermédiaire","Supérieur")))))),IF(D276="","",IF(U276+V276&lt;15,"Données Nb pers ou RFR manquantes",IF(COUNTA(INDIRECT("TabRFR["&amp;YEAR(H276)&amp;"]"))&lt;&gt;COUNTA(TabRFR[Recherche RFR]),"Data RFR manquantes", IF(V276&lt;=INDEX(TabRFR[[2021]:[2025]],MATCH(BD!U276&amp;"-Très modestes",TabRFR[Recherche RFR],0),MATCH(TEXT(YEAR(BD!H276),"Standard"),TabRFR[[#Headers],[2021]:[2025]],0)),"Très Modeste",IF(V276&lt;=INDEX(TabRFR[[2021]:[2025]],MATCH(BD!U276&amp;"-modestes",TabRFR[Recherche RFR],0),MATCH(TEXT(YEAR(BD!H276),"Standard"),TabRFR[[#Headers],[2021]:[2025]],0)),"Modeste",IF(V276&lt;=INDEX(TabRFR[[2021]:[2025]],MATCH(BD!U276&amp;"-Intermédiaire",TabRFR[Recherche RFR],0),MATCH(TEXT(YEAR(BD!H276),"Standard"),TabRFR[[#Headers],[2021]:[2025]],0)),"Intermédiaire","Supérieur")))))))</f>
        <v>Intermédiaire</v>
      </c>
      <c r="X276" s="143"/>
      <c r="Y276" s="143" t="s">
        <v>626</v>
      </c>
      <c r="Z276" s="143">
        <v>38620</v>
      </c>
      <c r="AA276" s="143" t="s">
        <v>1239</v>
      </c>
      <c r="AB276" s="148"/>
      <c r="AC276" s="149"/>
      <c r="AD276" s="143" t="s">
        <v>91</v>
      </c>
      <c r="AE276" s="143" t="s">
        <v>76</v>
      </c>
      <c r="AF276" s="143" t="s">
        <v>76</v>
      </c>
      <c r="AG276" s="143" t="s">
        <v>76</v>
      </c>
      <c r="AH276" s="143" t="s">
        <v>76</v>
      </c>
      <c r="AI276" s="143" t="s">
        <v>210</v>
      </c>
      <c r="AJ276" s="143" t="s">
        <v>136</v>
      </c>
      <c r="AK276" s="143" t="s">
        <v>211</v>
      </c>
      <c r="AL276" s="150" t="s">
        <v>212</v>
      </c>
      <c r="AM276" s="148">
        <v>474432868</v>
      </c>
      <c r="AN276" s="143" t="s">
        <v>76</v>
      </c>
      <c r="AO276" s="150" t="s">
        <v>102</v>
      </c>
      <c r="AP276" s="147">
        <v>44514</v>
      </c>
      <c r="AQ276" s="143" t="s">
        <v>3413</v>
      </c>
      <c r="AR276" s="143">
        <v>1975</v>
      </c>
      <c r="AS276" s="143" t="s">
        <v>3413</v>
      </c>
      <c r="AT276" s="135" t="s">
        <v>3446</v>
      </c>
      <c r="AU276" s="143" t="s">
        <v>852</v>
      </c>
      <c r="AV276" s="143" t="s">
        <v>1240</v>
      </c>
      <c r="AW276" s="143">
        <v>36</v>
      </c>
      <c r="AX276" s="143">
        <v>9</v>
      </c>
      <c r="AY276" s="143">
        <v>79</v>
      </c>
      <c r="AZ276" s="143">
        <v>0.09</v>
      </c>
      <c r="BA276" s="143" t="s">
        <v>101</v>
      </c>
      <c r="BB276" s="143"/>
      <c r="BC276" s="143">
        <f>1680+256+1392.14+46+98</f>
        <v>3472.1400000000003</v>
      </c>
      <c r="BD276" s="143"/>
      <c r="BE276" s="143">
        <v>750</v>
      </c>
      <c r="BF276" s="143">
        <f t="shared" si="12"/>
        <v>4222.1400000000003</v>
      </c>
      <c r="BG276" s="151">
        <f t="shared" si="13"/>
        <v>232.21770000000001</v>
      </c>
      <c r="BH276" s="151">
        <f t="shared" si="14"/>
        <v>4454.3577000000005</v>
      </c>
      <c r="BI276" s="151">
        <v>4454.3599999999997</v>
      </c>
      <c r="BJ276" s="143" t="s">
        <v>102</v>
      </c>
      <c r="BK276" s="143"/>
      <c r="BL276" s="143"/>
      <c r="BM276" s="144" t="s">
        <v>3592</v>
      </c>
      <c r="BN276" s="144" t="s">
        <v>103</v>
      </c>
      <c r="BO276" s="144" t="s">
        <v>143</v>
      </c>
      <c r="BP276" s="144">
        <v>2021</v>
      </c>
      <c r="BQ276" s="203" t="s">
        <v>144</v>
      </c>
    </row>
    <row r="277" spans="1:69" ht="41.1" customHeight="1">
      <c r="A277" s="133" t="s">
        <v>86</v>
      </c>
      <c r="B277" s="133" t="s">
        <v>1241</v>
      </c>
      <c r="C277" s="143">
        <v>600</v>
      </c>
      <c r="D277" s="135">
        <v>44484</v>
      </c>
      <c r="E277" s="135">
        <v>44487</v>
      </c>
      <c r="F277" s="147">
        <v>44491</v>
      </c>
      <c r="G277" s="135" t="s">
        <v>571</v>
      </c>
      <c r="H277" s="147">
        <v>44497</v>
      </c>
      <c r="I277" s="147">
        <v>44497</v>
      </c>
      <c r="J277" s="147">
        <v>44503</v>
      </c>
      <c r="K277" s="135">
        <v>44582</v>
      </c>
      <c r="L277" s="135">
        <v>44574</v>
      </c>
      <c r="M277" s="135" t="s">
        <v>76</v>
      </c>
      <c r="N277" s="135">
        <v>44606</v>
      </c>
      <c r="O277" s="135">
        <v>44606</v>
      </c>
      <c r="P277" s="135">
        <v>44607</v>
      </c>
      <c r="Q277" s="135"/>
      <c r="R277" s="143"/>
      <c r="S277" s="143"/>
      <c r="T277" s="143"/>
      <c r="U277" s="143">
        <v>2</v>
      </c>
      <c r="V277" s="143">
        <v>49200</v>
      </c>
      <c r="W277" s="143" t="str">
        <f ca="1">IF(H277="",IF(D277="","",IF(U277+V277&lt;15,"Données Nb pers ou RFR manquantes",IF(COUNTA(INDIRECT("TabRFR["&amp;YEAR(D277)&amp;"]"))&lt;&gt;COUNTA(TabRFR[Recherche RFR]),"Data RFR manquantes", IF(V277&lt;=INDEX(TabRFR[[2021]:[2025]],MATCH(BD!U277&amp;"-Très modestes",TabRFR[Recherche RFR],0),MATCH(TEXT(YEAR(BD!D277),"Standard"),TabRFR[[#Headers],[2021]:[2025]],0)),"Très Modeste",IF(V277&lt;=INDEX(TabRFR[[2021]:[2025]],MATCH(BD!U277&amp;"-modestes",TabRFR[Recherche RFR],0),MATCH(TEXT(YEAR(BD!D277),"Standard"),TabRFR[[#Headers],[2021]:[2025]],0)),"Modeste",IF(V277&lt;=INDEX(TabRFR[[2021]:[2025]],MATCH(BD!U277&amp;"-Intermédiaire",TabRFR[Recherche RFR],0),MATCH(TEXT(YEAR(BD!D277),"Standard"),TabRFR[[#Headers],[2021]:[2025]],0)),"Intermédiaire","Supérieur")))))),IF(D277="","",IF(U277+V277&lt;15,"Données Nb pers ou RFR manquantes",IF(COUNTA(INDIRECT("TabRFR["&amp;YEAR(H277)&amp;"]"))&lt;&gt;COUNTA(TabRFR[Recherche RFR]),"Data RFR manquantes", IF(V277&lt;=INDEX(TabRFR[[2021]:[2025]],MATCH(BD!U277&amp;"-Très modestes",TabRFR[Recherche RFR],0),MATCH(TEXT(YEAR(BD!H277),"Standard"),TabRFR[[#Headers],[2021]:[2025]],0)),"Très Modeste",IF(V277&lt;=INDEX(TabRFR[[2021]:[2025]],MATCH(BD!U277&amp;"-modestes",TabRFR[Recherche RFR],0),MATCH(TEXT(YEAR(BD!H277),"Standard"),TabRFR[[#Headers],[2021]:[2025]],0)),"Modeste",IF(V277&lt;=INDEX(TabRFR[[2021]:[2025]],MATCH(BD!U277&amp;"-Intermédiaire",TabRFR[Recherche RFR],0),MATCH(TEXT(YEAR(BD!H277),"Standard"),TabRFR[[#Headers],[2021]:[2025]],0)),"Intermédiaire","Supérieur")))))))</f>
        <v>Supérieur</v>
      </c>
      <c r="X277" s="143"/>
      <c r="Y277" s="143" t="s">
        <v>1242</v>
      </c>
      <c r="Z277" s="143">
        <v>38960</v>
      </c>
      <c r="AA277" s="143" t="s">
        <v>360</v>
      </c>
      <c r="AB277" s="148"/>
      <c r="AC277" s="149"/>
      <c r="AD277" s="143" t="s">
        <v>91</v>
      </c>
      <c r="AE277" s="143" t="s">
        <v>76</v>
      </c>
      <c r="AF277" s="143" t="s">
        <v>76</v>
      </c>
      <c r="AG277" s="143" t="s">
        <v>76</v>
      </c>
      <c r="AH277" s="143" t="s">
        <v>76</v>
      </c>
      <c r="AI277" s="135" t="s">
        <v>285</v>
      </c>
      <c r="AJ277" s="143" t="s">
        <v>108</v>
      </c>
      <c r="AK277" s="143" t="s">
        <v>286</v>
      </c>
      <c r="AL277" s="150" t="s">
        <v>287</v>
      </c>
      <c r="AM277" s="148">
        <v>476069938</v>
      </c>
      <c r="AN277" s="143" t="s">
        <v>76</v>
      </c>
      <c r="AO277" s="150" t="s">
        <v>102</v>
      </c>
      <c r="AP277" s="147">
        <v>44822</v>
      </c>
      <c r="AQ277" s="135" t="s">
        <v>3449</v>
      </c>
      <c r="AR277" s="143">
        <v>1980</v>
      </c>
      <c r="AS277" s="143" t="s">
        <v>3413</v>
      </c>
      <c r="AT277" s="135" t="s">
        <v>3446</v>
      </c>
      <c r="AU277" s="143" t="s">
        <v>532</v>
      </c>
      <c r="AV277" s="143" t="s">
        <v>785</v>
      </c>
      <c r="AW277" s="143">
        <v>35</v>
      </c>
      <c r="AX277" s="143">
        <v>5.9</v>
      </c>
      <c r="AY277" s="143">
        <v>80.2</v>
      </c>
      <c r="AZ277" s="143">
        <v>0.09</v>
      </c>
      <c r="BA277" s="143" t="s">
        <v>101</v>
      </c>
      <c r="BB277" s="143"/>
      <c r="BC277" s="143">
        <f>89+2650+2930+370</f>
        <v>6039</v>
      </c>
      <c r="BD277" s="143"/>
      <c r="BE277" s="143">
        <f>300+450</f>
        <v>750</v>
      </c>
      <c r="BF277" s="143">
        <f t="shared" si="12"/>
        <v>6789</v>
      </c>
      <c r="BG277" s="143">
        <f t="shared" si="13"/>
        <v>373.39499999999998</v>
      </c>
      <c r="BH277" s="143">
        <f t="shared" si="14"/>
        <v>7162.3950000000004</v>
      </c>
      <c r="BI277" s="151">
        <v>7162.45</v>
      </c>
      <c r="BJ277" s="143" t="s">
        <v>115</v>
      </c>
      <c r="BK277" s="143"/>
      <c r="BL277" s="143"/>
      <c r="BM277" s="144" t="s">
        <v>3592</v>
      </c>
      <c r="BN277" s="144" t="s">
        <v>103</v>
      </c>
      <c r="BO277" s="144" t="s">
        <v>143</v>
      </c>
      <c r="BP277" s="144">
        <v>2021</v>
      </c>
      <c r="BQ277" s="203" t="s">
        <v>3274</v>
      </c>
    </row>
    <row r="278" spans="1:69" ht="41.1" customHeight="1">
      <c r="A278" s="133" t="s">
        <v>86</v>
      </c>
      <c r="B278" s="133" t="s">
        <v>1243</v>
      </c>
      <c r="C278" s="143">
        <v>600</v>
      </c>
      <c r="D278" s="135">
        <v>44489</v>
      </c>
      <c r="E278" s="135">
        <v>44490</v>
      </c>
      <c r="F278" s="147" t="s">
        <v>76</v>
      </c>
      <c r="G278" s="135" t="s">
        <v>76</v>
      </c>
      <c r="H278" s="147">
        <v>44491</v>
      </c>
      <c r="I278" s="147">
        <v>44491</v>
      </c>
      <c r="J278" s="147">
        <v>44495</v>
      </c>
      <c r="K278" s="135">
        <v>44893</v>
      </c>
      <c r="L278" s="135">
        <v>44889</v>
      </c>
      <c r="M278" s="135" t="s">
        <v>1244</v>
      </c>
      <c r="N278" s="135">
        <v>44915</v>
      </c>
      <c r="O278" s="135">
        <v>44915</v>
      </c>
      <c r="P278" s="135">
        <v>44932</v>
      </c>
      <c r="Q278" s="135"/>
      <c r="R278" s="143"/>
      <c r="S278" s="143"/>
      <c r="T278" s="143"/>
      <c r="U278" s="143">
        <v>2</v>
      </c>
      <c r="V278" s="143">
        <v>48212</v>
      </c>
      <c r="W278" s="143" t="str">
        <f ca="1">IF(H278="",IF(D278="","",IF(U278+V278&lt;15,"Données Nb pers ou RFR manquantes",IF(COUNTA(INDIRECT("TabRFR["&amp;YEAR(D278)&amp;"]"))&lt;&gt;COUNTA(TabRFR[Recherche RFR]),"Data RFR manquantes", IF(V278&lt;=INDEX(TabRFR[[2021]:[2025]],MATCH(BD!U278&amp;"-Très modestes",TabRFR[Recherche RFR],0),MATCH(TEXT(YEAR(BD!D278),"Standard"),TabRFR[[#Headers],[2021]:[2025]],0)),"Très Modeste",IF(V278&lt;=INDEX(TabRFR[[2021]:[2025]],MATCH(BD!U278&amp;"-modestes",TabRFR[Recherche RFR],0),MATCH(TEXT(YEAR(BD!D278),"Standard"),TabRFR[[#Headers],[2021]:[2025]],0)),"Modeste",IF(V278&lt;=INDEX(TabRFR[[2021]:[2025]],MATCH(BD!U278&amp;"-Intermédiaire",TabRFR[Recherche RFR],0),MATCH(TEXT(YEAR(BD!D278),"Standard"),TabRFR[[#Headers],[2021]:[2025]],0)),"Intermédiaire","Supérieur")))))),IF(D278="","",IF(U278+V278&lt;15,"Données Nb pers ou RFR manquantes",IF(COUNTA(INDIRECT("TabRFR["&amp;YEAR(H278)&amp;"]"))&lt;&gt;COUNTA(TabRFR[Recherche RFR]),"Data RFR manquantes", IF(V278&lt;=INDEX(TabRFR[[2021]:[2025]],MATCH(BD!U278&amp;"-Très modestes",TabRFR[Recherche RFR],0),MATCH(TEXT(YEAR(BD!H278),"Standard"),TabRFR[[#Headers],[2021]:[2025]],0)),"Très Modeste",IF(V278&lt;=INDEX(TabRFR[[2021]:[2025]],MATCH(BD!U278&amp;"-modestes",TabRFR[Recherche RFR],0),MATCH(TEXT(YEAR(BD!H278),"Standard"),TabRFR[[#Headers],[2021]:[2025]],0)),"Modeste",IF(V278&lt;=INDEX(TabRFR[[2021]:[2025]],MATCH(BD!U278&amp;"-Intermédiaire",TabRFR[Recherche RFR],0),MATCH(TEXT(YEAR(BD!H278),"Standard"),TabRFR[[#Headers],[2021]:[2025]],0)),"Intermédiaire","Supérieur")))))))</f>
        <v>Supérieur</v>
      </c>
      <c r="X278" s="143"/>
      <c r="Y278" s="143" t="s">
        <v>1245</v>
      </c>
      <c r="Z278" s="143">
        <v>38850</v>
      </c>
      <c r="AA278" s="143" t="s">
        <v>193</v>
      </c>
      <c r="AB278" s="148"/>
      <c r="AC278" s="149"/>
      <c r="AD278" s="143" t="s">
        <v>91</v>
      </c>
      <c r="AE278" s="143" t="s">
        <v>76</v>
      </c>
      <c r="AF278" s="143" t="s">
        <v>76</v>
      </c>
      <c r="AG278" s="143" t="s">
        <v>76</v>
      </c>
      <c r="AH278" s="143" t="s">
        <v>76</v>
      </c>
      <c r="AI278" s="143" t="s">
        <v>1246</v>
      </c>
      <c r="AJ278" s="143" t="s">
        <v>108</v>
      </c>
      <c r="AK278" s="143" t="s">
        <v>1247</v>
      </c>
      <c r="AL278" s="150" t="s">
        <v>1248</v>
      </c>
      <c r="AM278" s="148">
        <v>685231565</v>
      </c>
      <c r="AN278" s="143" t="s">
        <v>76</v>
      </c>
      <c r="AO278" s="150" t="s">
        <v>102</v>
      </c>
      <c r="AP278" s="147">
        <v>44641</v>
      </c>
      <c r="AQ278" s="143" t="s">
        <v>3413</v>
      </c>
      <c r="AR278" s="143" t="s">
        <v>172</v>
      </c>
      <c r="AS278" s="143" t="s">
        <v>3413</v>
      </c>
      <c r="AT278" s="135" t="s">
        <v>3446</v>
      </c>
      <c r="AU278" s="143" t="s">
        <v>164</v>
      </c>
      <c r="AV278" s="143" t="s">
        <v>1249</v>
      </c>
      <c r="AW278" s="143">
        <v>31</v>
      </c>
      <c r="AX278" s="143">
        <v>10</v>
      </c>
      <c r="AY278" s="143">
        <v>78.099999999999994</v>
      </c>
      <c r="AZ278" s="143">
        <v>0.08</v>
      </c>
      <c r="BA278" s="143" t="s">
        <v>101</v>
      </c>
      <c r="BB278" s="143"/>
      <c r="BC278" s="143">
        <f>25+65+50+350+145+235+62+34+48+47+106+35+300+215+80+1800</f>
        <v>3597</v>
      </c>
      <c r="BD278" s="143"/>
      <c r="BE278" s="143">
        <v>450</v>
      </c>
      <c r="BF278" s="143">
        <f t="shared" si="12"/>
        <v>4047</v>
      </c>
      <c r="BG278" s="151">
        <f t="shared" si="13"/>
        <v>222.58500000000001</v>
      </c>
      <c r="BH278" s="151">
        <f t="shared" si="14"/>
        <v>4269.585</v>
      </c>
      <c r="BI278" s="151">
        <v>4000.56</v>
      </c>
      <c r="BJ278" s="143" t="s">
        <v>102</v>
      </c>
      <c r="BK278" s="143"/>
      <c r="BL278" s="143"/>
      <c r="BM278" s="144" t="s">
        <v>3592</v>
      </c>
      <c r="BN278" s="144" t="s">
        <v>103</v>
      </c>
      <c r="BO278" s="144" t="s">
        <v>143</v>
      </c>
      <c r="BP278" s="144">
        <v>2021</v>
      </c>
      <c r="BQ278" s="203" t="s">
        <v>144</v>
      </c>
    </row>
    <row r="279" spans="1:69" ht="41.1" customHeight="1">
      <c r="A279" s="133" t="s">
        <v>86</v>
      </c>
      <c r="B279" s="133" t="s">
        <v>1250</v>
      </c>
      <c r="C279" s="143">
        <v>600</v>
      </c>
      <c r="D279" s="135">
        <v>44489</v>
      </c>
      <c r="E279" s="135">
        <v>44490</v>
      </c>
      <c r="F279" s="147" t="s">
        <v>76</v>
      </c>
      <c r="G279" s="135" t="s">
        <v>76</v>
      </c>
      <c r="H279" s="147">
        <v>44491</v>
      </c>
      <c r="I279" s="147">
        <v>44491</v>
      </c>
      <c r="J279" s="147">
        <v>44495</v>
      </c>
      <c r="K279" s="135">
        <v>44582</v>
      </c>
      <c r="L279" s="135">
        <v>44580</v>
      </c>
      <c r="M279" s="135" t="s">
        <v>76</v>
      </c>
      <c r="N279" s="135">
        <v>44594</v>
      </c>
      <c r="O279" s="135">
        <v>44595</v>
      </c>
      <c r="P279" s="135">
        <v>44600</v>
      </c>
      <c r="Q279" s="135"/>
      <c r="R279" s="143"/>
      <c r="S279" s="143"/>
      <c r="T279" s="143"/>
      <c r="U279" s="143">
        <v>2</v>
      </c>
      <c r="V279" s="143">
        <v>54687</v>
      </c>
      <c r="W279" s="143" t="str">
        <f ca="1">IF(H279="",IF(D279="","",IF(U279+V279&lt;15,"Données Nb pers ou RFR manquantes",IF(COUNTA(INDIRECT("TabRFR["&amp;YEAR(D279)&amp;"]"))&lt;&gt;COUNTA(TabRFR[Recherche RFR]),"Data RFR manquantes", IF(V279&lt;=INDEX(TabRFR[[2021]:[2025]],MATCH(BD!U279&amp;"-Très modestes",TabRFR[Recherche RFR],0),MATCH(TEXT(YEAR(BD!D279),"Standard"),TabRFR[[#Headers],[2021]:[2025]],0)),"Très Modeste",IF(V279&lt;=INDEX(TabRFR[[2021]:[2025]],MATCH(BD!U279&amp;"-modestes",TabRFR[Recherche RFR],0),MATCH(TEXT(YEAR(BD!D279),"Standard"),TabRFR[[#Headers],[2021]:[2025]],0)),"Modeste",IF(V279&lt;=INDEX(TabRFR[[2021]:[2025]],MATCH(BD!U279&amp;"-Intermédiaire",TabRFR[Recherche RFR],0),MATCH(TEXT(YEAR(BD!D279),"Standard"),TabRFR[[#Headers],[2021]:[2025]],0)),"Intermédiaire","Supérieur")))))),IF(D279="","",IF(U279+V279&lt;15,"Données Nb pers ou RFR manquantes",IF(COUNTA(INDIRECT("TabRFR["&amp;YEAR(H279)&amp;"]"))&lt;&gt;COUNTA(TabRFR[Recherche RFR]),"Data RFR manquantes", IF(V279&lt;=INDEX(TabRFR[[2021]:[2025]],MATCH(BD!U279&amp;"-Très modestes",TabRFR[Recherche RFR],0),MATCH(TEXT(YEAR(BD!H279),"Standard"),TabRFR[[#Headers],[2021]:[2025]],0)),"Très Modeste",IF(V279&lt;=INDEX(TabRFR[[2021]:[2025]],MATCH(BD!U279&amp;"-modestes",TabRFR[Recherche RFR],0),MATCH(TEXT(YEAR(BD!H279),"Standard"),TabRFR[[#Headers],[2021]:[2025]],0)),"Modeste",IF(V279&lt;=INDEX(TabRFR[[2021]:[2025]],MATCH(BD!U279&amp;"-Intermédiaire",TabRFR[Recherche RFR],0),MATCH(TEXT(YEAR(BD!H279),"Standard"),TabRFR[[#Headers],[2021]:[2025]],0)),"Intermédiaire","Supérieur")))))))</f>
        <v>Supérieur</v>
      </c>
      <c r="X279" s="143"/>
      <c r="Y279" s="143" t="s">
        <v>1251</v>
      </c>
      <c r="Z279" s="143">
        <v>38340</v>
      </c>
      <c r="AA279" s="143" t="s">
        <v>266</v>
      </c>
      <c r="AB279" s="148"/>
      <c r="AC279" s="132"/>
      <c r="AD279" s="143" t="s">
        <v>91</v>
      </c>
      <c r="AE279" s="143" t="s">
        <v>76</v>
      </c>
      <c r="AF279" s="143" t="s">
        <v>76</v>
      </c>
      <c r="AG279" s="143" t="s">
        <v>76</v>
      </c>
      <c r="AH279" s="143" t="s">
        <v>76</v>
      </c>
      <c r="AI279" s="143" t="s">
        <v>250</v>
      </c>
      <c r="AJ279" s="143" t="s">
        <v>121</v>
      </c>
      <c r="AK279" s="143" t="s">
        <v>251</v>
      </c>
      <c r="AL279" s="150" t="s">
        <v>252</v>
      </c>
      <c r="AM279" s="148">
        <v>476452433</v>
      </c>
      <c r="AN279" s="143" t="s">
        <v>76</v>
      </c>
      <c r="AO279" s="150" t="s">
        <v>102</v>
      </c>
      <c r="AP279" s="147">
        <v>44620</v>
      </c>
      <c r="AQ279" s="135" t="s">
        <v>3323</v>
      </c>
      <c r="AR279" s="143" t="s">
        <v>213</v>
      </c>
      <c r="AS279" s="143" t="s">
        <v>2862</v>
      </c>
      <c r="AT279" s="135" t="s">
        <v>3446</v>
      </c>
      <c r="AU279" s="143" t="s">
        <v>311</v>
      </c>
      <c r="AV279" s="143" t="s">
        <v>641</v>
      </c>
      <c r="AW279" s="143">
        <v>14.4</v>
      </c>
      <c r="AX279" s="143">
        <v>8.25</v>
      </c>
      <c r="AY279" s="143">
        <v>92</v>
      </c>
      <c r="AZ279" s="143">
        <v>4.0000000000000001E-3</v>
      </c>
      <c r="BA279" s="143" t="s">
        <v>126</v>
      </c>
      <c r="BB279" s="143"/>
      <c r="BC279" s="143">
        <f>3782+112+1222.01+215.78+87.66</f>
        <v>5419.45</v>
      </c>
      <c r="BD279" s="143"/>
      <c r="BE279" s="143">
        <f>420+380+85</f>
        <v>885</v>
      </c>
      <c r="BF279" s="143">
        <f t="shared" si="12"/>
        <v>6304.45</v>
      </c>
      <c r="BG279" s="151">
        <f t="shared" si="13"/>
        <v>346.74475000000001</v>
      </c>
      <c r="BH279" s="151">
        <f t="shared" si="14"/>
        <v>6651.1947499999997</v>
      </c>
      <c r="BI279" s="151">
        <v>6651.19</v>
      </c>
      <c r="BJ279" s="143" t="s">
        <v>115</v>
      </c>
      <c r="BK279" s="143"/>
      <c r="BL279" s="143"/>
      <c r="BM279" s="144" t="s">
        <v>3592</v>
      </c>
      <c r="BN279" s="144" t="s">
        <v>103</v>
      </c>
      <c r="BO279" s="144" t="s">
        <v>143</v>
      </c>
      <c r="BP279" s="144">
        <v>2021</v>
      </c>
      <c r="BQ279" s="203" t="s">
        <v>3274</v>
      </c>
    </row>
    <row r="280" spans="1:69" ht="41.1" customHeight="1">
      <c r="A280" s="133" t="s">
        <v>86</v>
      </c>
      <c r="B280" s="133" t="s">
        <v>1252</v>
      </c>
      <c r="C280" s="143">
        <v>600</v>
      </c>
      <c r="D280" s="135">
        <v>44489</v>
      </c>
      <c r="E280" s="135">
        <v>44490</v>
      </c>
      <c r="F280" s="147">
        <v>44491</v>
      </c>
      <c r="G280" s="135" t="s">
        <v>1253</v>
      </c>
      <c r="H280" s="147">
        <v>44497</v>
      </c>
      <c r="I280" s="147">
        <v>44497</v>
      </c>
      <c r="J280" s="147">
        <v>44503</v>
      </c>
      <c r="K280" s="135">
        <v>44651</v>
      </c>
      <c r="L280" s="135">
        <v>44620</v>
      </c>
      <c r="M280" s="135"/>
      <c r="N280" s="135">
        <v>44658</v>
      </c>
      <c r="O280" s="135">
        <v>44658</v>
      </c>
      <c r="P280" s="135">
        <v>44662</v>
      </c>
      <c r="Q280" s="135"/>
      <c r="R280" s="143"/>
      <c r="S280" s="143"/>
      <c r="T280" s="143"/>
      <c r="U280" s="143">
        <v>4</v>
      </c>
      <c r="V280" s="143">
        <v>59347</v>
      </c>
      <c r="W280" s="143" t="str">
        <f ca="1">IF(H280="",IF(D280="","",IF(U280+V280&lt;15,"Données Nb pers ou RFR manquantes",IF(COUNTA(INDIRECT("TabRFR["&amp;YEAR(D280)&amp;"]"))&lt;&gt;COUNTA(TabRFR[Recherche RFR]),"Data RFR manquantes", IF(V280&lt;=INDEX(TabRFR[[2021]:[2025]],MATCH(BD!U280&amp;"-Très modestes",TabRFR[Recherche RFR],0),MATCH(TEXT(YEAR(BD!D280),"Standard"),TabRFR[[#Headers],[2021]:[2025]],0)),"Très Modeste",IF(V280&lt;=INDEX(TabRFR[[2021]:[2025]],MATCH(BD!U280&amp;"-modestes",TabRFR[Recherche RFR],0),MATCH(TEXT(YEAR(BD!D280),"Standard"),TabRFR[[#Headers],[2021]:[2025]],0)),"Modeste",IF(V280&lt;=INDEX(TabRFR[[2021]:[2025]],MATCH(BD!U280&amp;"-Intermédiaire",TabRFR[Recherche RFR],0),MATCH(TEXT(YEAR(BD!D280),"Standard"),TabRFR[[#Headers],[2021]:[2025]],0)),"Intermédiaire","Supérieur")))))),IF(D280="","",IF(U280+V280&lt;15,"Données Nb pers ou RFR manquantes",IF(COUNTA(INDIRECT("TabRFR["&amp;YEAR(H280)&amp;"]"))&lt;&gt;COUNTA(TabRFR[Recherche RFR]),"Data RFR manquantes", IF(V280&lt;=INDEX(TabRFR[[2021]:[2025]],MATCH(BD!U280&amp;"-Très modestes",TabRFR[Recherche RFR],0),MATCH(TEXT(YEAR(BD!H280),"Standard"),TabRFR[[#Headers],[2021]:[2025]],0)),"Très Modeste",IF(V280&lt;=INDEX(TabRFR[[2021]:[2025]],MATCH(BD!U280&amp;"-modestes",TabRFR[Recherche RFR],0),MATCH(TEXT(YEAR(BD!H280),"Standard"),TabRFR[[#Headers],[2021]:[2025]],0)),"Modeste",IF(V280&lt;=INDEX(TabRFR[[2021]:[2025]],MATCH(BD!U280&amp;"-Intermédiaire",TabRFR[Recherche RFR],0),MATCH(TEXT(YEAR(BD!H280),"Standard"),TabRFR[[#Headers],[2021]:[2025]],0)),"Intermédiaire","Supérieur")))))))</f>
        <v>Intermédiaire</v>
      </c>
      <c r="X280" s="143"/>
      <c r="Y280" s="143" t="s">
        <v>1254</v>
      </c>
      <c r="Z280" s="143">
        <v>38620</v>
      </c>
      <c r="AA280" s="143" t="s">
        <v>262</v>
      </c>
      <c r="AB280" s="148"/>
      <c r="AC280" s="154"/>
      <c r="AD280" s="143" t="s">
        <v>91</v>
      </c>
      <c r="AE280" s="143" t="s">
        <v>76</v>
      </c>
      <c r="AF280" s="143" t="s">
        <v>76</v>
      </c>
      <c r="AG280" s="143" t="s">
        <v>76</v>
      </c>
      <c r="AH280" s="143" t="s">
        <v>76</v>
      </c>
      <c r="AI280" s="143" t="s">
        <v>1106</v>
      </c>
      <c r="AJ280" s="143" t="s">
        <v>1075</v>
      </c>
      <c r="AK280" s="143" t="s">
        <v>1107</v>
      </c>
      <c r="AL280" s="150" t="s">
        <v>1108</v>
      </c>
      <c r="AM280" s="148">
        <v>476663386</v>
      </c>
      <c r="AN280" s="143" t="s">
        <v>76</v>
      </c>
      <c r="AO280" s="150" t="s">
        <v>102</v>
      </c>
      <c r="AP280" s="147">
        <v>44731</v>
      </c>
      <c r="AQ280" s="143" t="s">
        <v>3413</v>
      </c>
      <c r="AR280" s="143">
        <v>2000</v>
      </c>
      <c r="AS280" s="135" t="s">
        <v>3496</v>
      </c>
      <c r="AT280" s="135" t="s">
        <v>3446</v>
      </c>
      <c r="AU280" s="143" t="s">
        <v>1109</v>
      </c>
      <c r="AV280" s="143" t="s">
        <v>1255</v>
      </c>
      <c r="AW280" s="151">
        <v>10</v>
      </c>
      <c r="AX280" s="151">
        <v>15.5</v>
      </c>
      <c r="AY280" s="151">
        <v>77.400000000000006</v>
      </c>
      <c r="AZ280" s="151">
        <v>7.0000000000000007E-2</v>
      </c>
      <c r="BA280" s="151" t="s">
        <v>101</v>
      </c>
      <c r="BB280" s="143"/>
      <c r="BC280" s="151">
        <f>5090+925+344</f>
        <v>6359</v>
      </c>
      <c r="BD280" s="143"/>
      <c r="BE280" s="151">
        <v>650</v>
      </c>
      <c r="BF280" s="151">
        <f t="shared" si="12"/>
        <v>7009</v>
      </c>
      <c r="BG280" s="151">
        <f t="shared" si="13"/>
        <v>385.495</v>
      </c>
      <c r="BH280" s="151">
        <f t="shared" si="14"/>
        <v>7394.4949999999999</v>
      </c>
      <c r="BI280" s="151">
        <v>5223</v>
      </c>
      <c r="BJ280" s="143" t="s">
        <v>102</v>
      </c>
      <c r="BK280" s="143"/>
      <c r="BL280" s="143"/>
      <c r="BM280" s="144" t="s">
        <v>3592</v>
      </c>
      <c r="BN280" s="144" t="s">
        <v>103</v>
      </c>
      <c r="BO280" s="144" t="s">
        <v>143</v>
      </c>
      <c r="BP280" s="144">
        <v>2021</v>
      </c>
      <c r="BQ280" s="203" t="s">
        <v>144</v>
      </c>
    </row>
    <row r="281" spans="1:69" ht="41.1" customHeight="1">
      <c r="A281" s="133" t="s">
        <v>86</v>
      </c>
      <c r="B281" s="133" t="s">
        <v>1256</v>
      </c>
      <c r="C281" s="143">
        <v>1000</v>
      </c>
      <c r="D281" s="135">
        <v>44489</v>
      </c>
      <c r="E281" s="135">
        <v>44490</v>
      </c>
      <c r="F281" s="147" t="s">
        <v>76</v>
      </c>
      <c r="G281" s="135" t="s">
        <v>76</v>
      </c>
      <c r="H281" s="147">
        <v>44491</v>
      </c>
      <c r="I281" s="147">
        <v>44491</v>
      </c>
      <c r="J281" s="147">
        <v>44495</v>
      </c>
      <c r="K281" s="135">
        <v>44602</v>
      </c>
      <c r="L281" s="135">
        <v>44533</v>
      </c>
      <c r="M281" s="135" t="s">
        <v>76</v>
      </c>
      <c r="N281" s="135">
        <v>44606</v>
      </c>
      <c r="O281" s="135">
        <v>44606</v>
      </c>
      <c r="P281" s="135">
        <v>44607</v>
      </c>
      <c r="Q281" s="135"/>
      <c r="R281" s="143"/>
      <c r="S281" s="143"/>
      <c r="T281" s="143"/>
      <c r="U281" s="143">
        <v>1</v>
      </c>
      <c r="V281" s="143">
        <v>9686</v>
      </c>
      <c r="W281" s="143" t="str">
        <f ca="1">IF(H281="",IF(D281="","",IF(U281+V281&lt;15,"Données Nb pers ou RFR manquantes",IF(COUNTA(INDIRECT("TabRFR["&amp;YEAR(D281)&amp;"]"))&lt;&gt;COUNTA(TabRFR[Recherche RFR]),"Data RFR manquantes", IF(V281&lt;=INDEX(TabRFR[[2021]:[2025]],MATCH(BD!U281&amp;"-Très modestes",TabRFR[Recherche RFR],0),MATCH(TEXT(YEAR(BD!D281),"Standard"),TabRFR[[#Headers],[2021]:[2025]],0)),"Très Modeste",IF(V281&lt;=INDEX(TabRFR[[2021]:[2025]],MATCH(BD!U281&amp;"-modestes",TabRFR[Recherche RFR],0),MATCH(TEXT(YEAR(BD!D281),"Standard"),TabRFR[[#Headers],[2021]:[2025]],0)),"Modeste",IF(V281&lt;=INDEX(TabRFR[[2021]:[2025]],MATCH(BD!U281&amp;"-Intermédiaire",TabRFR[Recherche RFR],0),MATCH(TEXT(YEAR(BD!D281),"Standard"),TabRFR[[#Headers],[2021]:[2025]],0)),"Intermédiaire","Supérieur")))))),IF(D281="","",IF(U281+V281&lt;15,"Données Nb pers ou RFR manquantes",IF(COUNTA(INDIRECT("TabRFR["&amp;YEAR(H281)&amp;"]"))&lt;&gt;COUNTA(TabRFR[Recherche RFR]),"Data RFR manquantes", IF(V281&lt;=INDEX(TabRFR[[2021]:[2025]],MATCH(BD!U281&amp;"-Très modestes",TabRFR[Recherche RFR],0),MATCH(TEXT(YEAR(BD!H281),"Standard"),TabRFR[[#Headers],[2021]:[2025]],0)),"Très Modeste",IF(V281&lt;=INDEX(TabRFR[[2021]:[2025]],MATCH(BD!U281&amp;"-modestes",TabRFR[Recherche RFR],0),MATCH(TEXT(YEAR(BD!H281),"Standard"),TabRFR[[#Headers],[2021]:[2025]],0)),"Modeste",IF(V281&lt;=INDEX(TabRFR[[2021]:[2025]],MATCH(BD!U281&amp;"-Intermédiaire",TabRFR[Recherche RFR],0),MATCH(TEXT(YEAR(BD!H281),"Standard"),TabRFR[[#Headers],[2021]:[2025]],0)),"Intermédiaire","Supérieur")))))))</f>
        <v>Très Modeste</v>
      </c>
      <c r="X281" s="143"/>
      <c r="Y281" s="143" t="s">
        <v>1257</v>
      </c>
      <c r="Z281" s="143">
        <v>38620</v>
      </c>
      <c r="AA281" s="143" t="s">
        <v>1239</v>
      </c>
      <c r="AB281" s="148"/>
      <c r="AC281" s="149"/>
      <c r="AD281" s="143" t="s">
        <v>91</v>
      </c>
      <c r="AE281" s="143" t="s">
        <v>76</v>
      </c>
      <c r="AF281" s="143" t="s">
        <v>76</v>
      </c>
      <c r="AG281" s="143" t="s">
        <v>76</v>
      </c>
      <c r="AH281" s="143" t="s">
        <v>76</v>
      </c>
      <c r="AI281" s="143" t="s">
        <v>1106</v>
      </c>
      <c r="AJ281" s="143" t="s">
        <v>1075</v>
      </c>
      <c r="AK281" s="143" t="s">
        <v>1107</v>
      </c>
      <c r="AL281" s="150" t="s">
        <v>1108</v>
      </c>
      <c r="AM281" s="148">
        <v>476663386</v>
      </c>
      <c r="AN281" s="143" t="s">
        <v>76</v>
      </c>
      <c r="AO281" s="150" t="s">
        <v>102</v>
      </c>
      <c r="AP281" s="147">
        <v>44731</v>
      </c>
      <c r="AQ281" s="143" t="s">
        <v>3413</v>
      </c>
      <c r="AR281" s="143">
        <v>1999</v>
      </c>
      <c r="AS281" s="143" t="s">
        <v>3413</v>
      </c>
      <c r="AT281" s="135" t="s">
        <v>3446</v>
      </c>
      <c r="AU281" s="143" t="s">
        <v>1109</v>
      </c>
      <c r="AV281" s="143" t="s">
        <v>1258</v>
      </c>
      <c r="AW281" s="151">
        <v>29</v>
      </c>
      <c r="AX281" s="151">
        <v>8</v>
      </c>
      <c r="AY281" s="151">
        <v>77</v>
      </c>
      <c r="AZ281" s="151">
        <v>0.05</v>
      </c>
      <c r="BA281" s="151" t="s">
        <v>101</v>
      </c>
      <c r="BB281" s="143"/>
      <c r="BC281" s="151">
        <f>1792.23+465+103.26+245.24+94.25+150+285+120</f>
        <v>3254.9800000000005</v>
      </c>
      <c r="BD281" s="143"/>
      <c r="BE281" s="151">
        <v>600</v>
      </c>
      <c r="BF281" s="151">
        <f t="shared" si="12"/>
        <v>3854.9800000000005</v>
      </c>
      <c r="BG281" s="151">
        <f t="shared" si="13"/>
        <v>212.02390000000003</v>
      </c>
      <c r="BH281" s="151">
        <f t="shared" si="14"/>
        <v>4067.0039000000006</v>
      </c>
      <c r="BI281" s="151">
        <v>4067</v>
      </c>
      <c r="BJ281" s="143" t="s">
        <v>102</v>
      </c>
      <c r="BK281" s="143"/>
      <c r="BL281" s="143"/>
      <c r="BM281" s="144" t="s">
        <v>3592</v>
      </c>
      <c r="BN281" s="144" t="s">
        <v>103</v>
      </c>
      <c r="BO281" s="135" t="s">
        <v>155</v>
      </c>
      <c r="BP281" s="144">
        <v>2021</v>
      </c>
      <c r="BQ281" s="203" t="s">
        <v>144</v>
      </c>
    </row>
    <row r="282" spans="1:69" ht="41.1" customHeight="1">
      <c r="A282" s="133" t="s">
        <v>86</v>
      </c>
      <c r="B282" s="133" t="s">
        <v>1259</v>
      </c>
      <c r="C282" s="143">
        <v>600</v>
      </c>
      <c r="D282" s="135">
        <v>44491</v>
      </c>
      <c r="E282" s="135">
        <v>44494</v>
      </c>
      <c r="F282" s="147">
        <v>44497</v>
      </c>
      <c r="G282" s="135" t="s">
        <v>1260</v>
      </c>
      <c r="H282" s="147">
        <v>44512</v>
      </c>
      <c r="I282" s="147">
        <v>44512</v>
      </c>
      <c r="J282" s="147">
        <v>44519</v>
      </c>
      <c r="K282" s="135">
        <v>44574</v>
      </c>
      <c r="L282" s="135">
        <v>44530</v>
      </c>
      <c r="M282" s="135" t="s">
        <v>76</v>
      </c>
      <c r="N282" s="135">
        <v>44580</v>
      </c>
      <c r="O282" s="135">
        <v>44580</v>
      </c>
      <c r="P282" s="135">
        <v>44581</v>
      </c>
      <c r="Q282" s="135"/>
      <c r="R282" s="143"/>
      <c r="S282" s="143"/>
      <c r="T282" s="143"/>
      <c r="U282" s="143">
        <v>2</v>
      </c>
      <c r="V282" s="143">
        <v>65816</v>
      </c>
      <c r="W282" s="143" t="str">
        <f ca="1">IF(H282="",IF(D282="","",IF(U282+V282&lt;15,"Données Nb pers ou RFR manquantes",IF(COUNTA(INDIRECT("TabRFR["&amp;YEAR(D282)&amp;"]"))&lt;&gt;COUNTA(TabRFR[Recherche RFR]),"Data RFR manquantes", IF(V282&lt;=INDEX(TabRFR[[2021]:[2025]],MATCH(BD!U282&amp;"-Très modestes",TabRFR[Recherche RFR],0),MATCH(TEXT(YEAR(BD!D282),"Standard"),TabRFR[[#Headers],[2021]:[2025]],0)),"Très Modeste",IF(V282&lt;=INDEX(TabRFR[[2021]:[2025]],MATCH(BD!U282&amp;"-modestes",TabRFR[Recherche RFR],0),MATCH(TEXT(YEAR(BD!D282),"Standard"),TabRFR[[#Headers],[2021]:[2025]],0)),"Modeste",IF(V282&lt;=INDEX(TabRFR[[2021]:[2025]],MATCH(BD!U282&amp;"-Intermédiaire",TabRFR[Recherche RFR],0),MATCH(TEXT(YEAR(BD!D282),"Standard"),TabRFR[[#Headers],[2021]:[2025]],0)),"Intermédiaire","Supérieur")))))),IF(D282="","",IF(U282+V282&lt;15,"Données Nb pers ou RFR manquantes",IF(COUNTA(INDIRECT("TabRFR["&amp;YEAR(H282)&amp;"]"))&lt;&gt;COUNTA(TabRFR[Recherche RFR]),"Data RFR manquantes", IF(V282&lt;=INDEX(TabRFR[[2021]:[2025]],MATCH(BD!U282&amp;"-Très modestes",TabRFR[Recherche RFR],0),MATCH(TEXT(YEAR(BD!H282),"Standard"),TabRFR[[#Headers],[2021]:[2025]],0)),"Très Modeste",IF(V282&lt;=INDEX(TabRFR[[2021]:[2025]],MATCH(BD!U282&amp;"-modestes",TabRFR[Recherche RFR],0),MATCH(TEXT(YEAR(BD!H282),"Standard"),TabRFR[[#Headers],[2021]:[2025]],0)),"Modeste",IF(V282&lt;=INDEX(TabRFR[[2021]:[2025]],MATCH(BD!U282&amp;"-Intermédiaire",TabRFR[Recherche RFR],0),MATCH(TEXT(YEAR(BD!H282),"Standard"),TabRFR[[#Headers],[2021]:[2025]],0)),"Intermédiaire","Supérieur")))))))</f>
        <v>Supérieur</v>
      </c>
      <c r="X282" s="143"/>
      <c r="Y282" s="143" t="s">
        <v>1261</v>
      </c>
      <c r="Z282" s="143">
        <v>38340</v>
      </c>
      <c r="AA282" s="143" t="s">
        <v>266</v>
      </c>
      <c r="AB282" s="148"/>
      <c r="AC282" s="149"/>
      <c r="AD282" s="143" t="s">
        <v>91</v>
      </c>
      <c r="AE282" s="143" t="s">
        <v>76</v>
      </c>
      <c r="AF282" s="143" t="s">
        <v>76</v>
      </c>
      <c r="AG282" s="143" t="s">
        <v>76</v>
      </c>
      <c r="AH282" s="143" t="s">
        <v>76</v>
      </c>
      <c r="AI282" s="143" t="s">
        <v>120</v>
      </c>
      <c r="AJ282" s="143" t="s">
        <v>121</v>
      </c>
      <c r="AK282" s="143" t="s">
        <v>122</v>
      </c>
      <c r="AL282" s="150" t="s">
        <v>123</v>
      </c>
      <c r="AM282" s="148">
        <v>608287337</v>
      </c>
      <c r="AN282" s="143" t="s">
        <v>76</v>
      </c>
      <c r="AO282" s="150" t="s">
        <v>102</v>
      </c>
      <c r="AP282" s="147">
        <v>44417</v>
      </c>
      <c r="AQ282" s="135" t="s">
        <v>3496</v>
      </c>
      <c r="AR282" s="143" t="s">
        <v>172</v>
      </c>
      <c r="AS282" s="143" t="s">
        <v>3413</v>
      </c>
      <c r="AT282" s="135" t="s">
        <v>3446</v>
      </c>
      <c r="AU282" s="143" t="s">
        <v>1045</v>
      </c>
      <c r="AV282" s="143" t="s">
        <v>1262</v>
      </c>
      <c r="AW282" s="143">
        <v>30.5</v>
      </c>
      <c r="AX282" s="143">
        <v>6.5</v>
      </c>
      <c r="AY282" s="143">
        <v>83.3</v>
      </c>
      <c r="AZ282" s="143">
        <v>8.5000000000000006E-2</v>
      </c>
      <c r="BA282" s="143" t="s">
        <v>126</v>
      </c>
      <c r="BB282" s="143"/>
      <c r="BC282" s="143">
        <f>3946+280+65+35</f>
        <v>4326</v>
      </c>
      <c r="BD282" s="143"/>
      <c r="BE282" s="143">
        <v>650</v>
      </c>
      <c r="BF282" s="143">
        <f t="shared" si="12"/>
        <v>4976</v>
      </c>
      <c r="BG282" s="151">
        <f t="shared" si="13"/>
        <v>273.68</v>
      </c>
      <c r="BH282" s="151">
        <f t="shared" si="14"/>
        <v>5249.68</v>
      </c>
      <c r="BI282" s="151">
        <v>6000</v>
      </c>
      <c r="BJ282" s="143" t="s">
        <v>115</v>
      </c>
      <c r="BK282" s="143"/>
      <c r="BL282" s="143"/>
      <c r="BM282" s="144" t="s">
        <v>3592</v>
      </c>
      <c r="BN282" s="144" t="s">
        <v>103</v>
      </c>
      <c r="BO282" s="144" t="s">
        <v>143</v>
      </c>
      <c r="BP282" s="144">
        <v>2021</v>
      </c>
      <c r="BQ282" s="203" t="s">
        <v>3274</v>
      </c>
    </row>
    <row r="283" spans="1:69" ht="41.1" customHeight="1">
      <c r="A283" s="133" t="s">
        <v>86</v>
      </c>
      <c r="B283" s="133" t="s">
        <v>1263</v>
      </c>
      <c r="C283" s="143">
        <v>600</v>
      </c>
      <c r="D283" s="135">
        <v>44494</v>
      </c>
      <c r="E283" s="135">
        <v>44495</v>
      </c>
      <c r="F283" s="147" t="s">
        <v>76</v>
      </c>
      <c r="G283" s="135" t="s">
        <v>76</v>
      </c>
      <c r="H283" s="147">
        <v>44497</v>
      </c>
      <c r="I283" s="147">
        <v>44497</v>
      </c>
      <c r="J283" s="147">
        <v>44606</v>
      </c>
      <c r="K283" s="135">
        <v>44683</v>
      </c>
      <c r="L283" s="135">
        <v>44670</v>
      </c>
      <c r="M283" s="135"/>
      <c r="N283" s="135">
        <v>44685</v>
      </c>
      <c r="O283" s="135">
        <v>44685</v>
      </c>
      <c r="P283" s="135">
        <v>44687</v>
      </c>
      <c r="Q283" s="135"/>
      <c r="R283" s="143"/>
      <c r="S283" s="143"/>
      <c r="T283" s="143"/>
      <c r="U283" s="143">
        <v>2</v>
      </c>
      <c r="V283" s="143">
        <v>30719</v>
      </c>
      <c r="W283" s="143" t="str">
        <f ca="1">IF(H283="",IF(D283="","",IF(U283+V283&lt;15,"Données Nb pers ou RFR manquantes",IF(COUNTA(INDIRECT("TabRFR["&amp;YEAR(D283)&amp;"]"))&lt;&gt;COUNTA(TabRFR[Recherche RFR]),"Data RFR manquantes", IF(V283&lt;=INDEX(TabRFR[[2021]:[2025]],MATCH(BD!U283&amp;"-Très modestes",TabRFR[Recherche RFR],0),MATCH(TEXT(YEAR(BD!D283),"Standard"),TabRFR[[#Headers],[2021]:[2025]],0)),"Très Modeste",IF(V283&lt;=INDEX(TabRFR[[2021]:[2025]],MATCH(BD!U283&amp;"-modestes",TabRFR[Recherche RFR],0),MATCH(TEXT(YEAR(BD!D283),"Standard"),TabRFR[[#Headers],[2021]:[2025]],0)),"Modeste",IF(V283&lt;=INDEX(TabRFR[[2021]:[2025]],MATCH(BD!U283&amp;"-Intermédiaire",TabRFR[Recherche RFR],0),MATCH(TEXT(YEAR(BD!D283),"Standard"),TabRFR[[#Headers],[2021]:[2025]],0)),"Intermédiaire","Supérieur")))))),IF(D283="","",IF(U283+V283&lt;15,"Données Nb pers ou RFR manquantes",IF(COUNTA(INDIRECT("TabRFR["&amp;YEAR(H283)&amp;"]"))&lt;&gt;COUNTA(TabRFR[Recherche RFR]),"Data RFR manquantes", IF(V283&lt;=INDEX(TabRFR[[2021]:[2025]],MATCH(BD!U283&amp;"-Très modestes",TabRFR[Recherche RFR],0),MATCH(TEXT(YEAR(BD!H283),"Standard"),TabRFR[[#Headers],[2021]:[2025]],0)),"Très Modeste",IF(V283&lt;=INDEX(TabRFR[[2021]:[2025]],MATCH(BD!U283&amp;"-modestes",TabRFR[Recherche RFR],0),MATCH(TEXT(YEAR(BD!H283),"Standard"),TabRFR[[#Headers],[2021]:[2025]],0)),"Modeste",IF(V283&lt;=INDEX(TabRFR[[2021]:[2025]],MATCH(BD!U283&amp;"-Intermédiaire",TabRFR[Recherche RFR],0),MATCH(TEXT(YEAR(BD!H283),"Standard"),TabRFR[[#Headers],[2021]:[2025]],0)),"Intermédiaire","Supérieur")))))))</f>
        <v>Intermédiaire</v>
      </c>
      <c r="X283" s="143"/>
      <c r="Y283" s="143" t="s">
        <v>1264</v>
      </c>
      <c r="Z283" s="143">
        <v>38500</v>
      </c>
      <c r="AA283" s="143" t="s">
        <v>219</v>
      </c>
      <c r="AB283" s="148"/>
      <c r="AC283" s="149"/>
      <c r="AD283" s="143" t="s">
        <v>91</v>
      </c>
      <c r="AE283" s="143" t="s">
        <v>76</v>
      </c>
      <c r="AF283" s="143" t="s">
        <v>76</v>
      </c>
      <c r="AG283" s="143" t="s">
        <v>76</v>
      </c>
      <c r="AH283" s="143" t="s">
        <v>76</v>
      </c>
      <c r="AI283" s="143" t="s">
        <v>210</v>
      </c>
      <c r="AJ283" s="143" t="s">
        <v>136</v>
      </c>
      <c r="AK283" s="143" t="s">
        <v>211</v>
      </c>
      <c r="AL283" s="150" t="s">
        <v>212</v>
      </c>
      <c r="AM283" s="148">
        <v>474432868</v>
      </c>
      <c r="AN283" s="143" t="s">
        <v>76</v>
      </c>
      <c r="AO283" s="150" t="s">
        <v>102</v>
      </c>
      <c r="AP283" s="147">
        <v>44514</v>
      </c>
      <c r="AQ283" s="135" t="s">
        <v>3496</v>
      </c>
      <c r="AR283" s="143" t="s">
        <v>213</v>
      </c>
      <c r="AS283" s="143" t="s">
        <v>3413</v>
      </c>
      <c r="AT283" s="143" t="s">
        <v>98</v>
      </c>
      <c r="AU283" s="143" t="s">
        <v>214</v>
      </c>
      <c r="AV283" s="143" t="s">
        <v>1265</v>
      </c>
      <c r="AW283" s="143">
        <v>15</v>
      </c>
      <c r="AX283" s="143">
        <v>10.199999999999999</v>
      </c>
      <c r="AY283" s="143">
        <v>91.5</v>
      </c>
      <c r="AZ283" s="143">
        <v>1.1999999999999999E-3</v>
      </c>
      <c r="BA283" s="143" t="s">
        <v>101</v>
      </c>
      <c r="BB283" s="143"/>
      <c r="BC283" s="143">
        <f>3590+170+216+396.28</f>
        <v>4372.28</v>
      </c>
      <c r="BD283" s="143"/>
      <c r="BE283" s="143">
        <v>675</v>
      </c>
      <c r="BF283" s="143">
        <f t="shared" si="12"/>
        <v>5047.28</v>
      </c>
      <c r="BG283" s="151">
        <f t="shared" si="13"/>
        <v>277.60039999999998</v>
      </c>
      <c r="BH283" s="151">
        <f t="shared" si="14"/>
        <v>5324.8804</v>
      </c>
      <c r="BI283" s="151">
        <v>5324.88</v>
      </c>
      <c r="BJ283" s="143" t="s">
        <v>102</v>
      </c>
      <c r="BK283" s="143"/>
      <c r="BL283" s="143"/>
      <c r="BM283" s="144" t="s">
        <v>3592</v>
      </c>
      <c r="BN283" s="143" t="s">
        <v>1266</v>
      </c>
      <c r="BO283" s="144" t="s">
        <v>143</v>
      </c>
      <c r="BP283" s="143" t="s">
        <v>3583</v>
      </c>
      <c r="BQ283" s="203" t="s">
        <v>144</v>
      </c>
    </row>
    <row r="284" spans="1:69" ht="41.1" customHeight="1">
      <c r="A284" s="133" t="s">
        <v>86</v>
      </c>
      <c r="B284" s="133" t="s">
        <v>1267</v>
      </c>
      <c r="C284" s="143">
        <v>600</v>
      </c>
      <c r="D284" s="135">
        <v>44496</v>
      </c>
      <c r="E284" s="135">
        <v>44497</v>
      </c>
      <c r="F284" s="147" t="s">
        <v>76</v>
      </c>
      <c r="G284" s="135" t="s">
        <v>76</v>
      </c>
      <c r="H284" s="147">
        <v>44497</v>
      </c>
      <c r="I284" s="147">
        <v>44497</v>
      </c>
      <c r="J284" s="147">
        <v>44503</v>
      </c>
      <c r="K284" s="135">
        <v>44553</v>
      </c>
      <c r="L284" s="135">
        <v>44545</v>
      </c>
      <c r="M284" s="135" t="s">
        <v>76</v>
      </c>
      <c r="N284" s="135">
        <v>44580</v>
      </c>
      <c r="O284" s="135">
        <v>44580</v>
      </c>
      <c r="P284" s="135">
        <v>44581</v>
      </c>
      <c r="Q284" s="135"/>
      <c r="R284" s="143"/>
      <c r="S284" s="143"/>
      <c r="T284" s="143"/>
      <c r="U284" s="143">
        <v>5</v>
      </c>
      <c r="V284" s="143">
        <v>49889</v>
      </c>
      <c r="W284" s="143" t="str">
        <f ca="1">IF(H284="",IF(D284="","",IF(U284+V284&lt;15,"Données Nb pers ou RFR manquantes",IF(COUNTA(INDIRECT("TabRFR["&amp;YEAR(D284)&amp;"]"))&lt;&gt;COUNTA(TabRFR[Recherche RFR]),"Data RFR manquantes", IF(V284&lt;=INDEX(TabRFR[[2021]:[2025]],MATCH(BD!U284&amp;"-Très modestes",TabRFR[Recherche RFR],0),MATCH(TEXT(YEAR(BD!D284),"Standard"),TabRFR[[#Headers],[2021]:[2025]],0)),"Très Modeste",IF(V284&lt;=INDEX(TabRFR[[2021]:[2025]],MATCH(BD!U284&amp;"-modestes",TabRFR[Recherche RFR],0),MATCH(TEXT(YEAR(BD!D284),"Standard"),TabRFR[[#Headers],[2021]:[2025]],0)),"Modeste",IF(V284&lt;=INDEX(TabRFR[[2021]:[2025]],MATCH(BD!U284&amp;"-Intermédiaire",TabRFR[Recherche RFR],0),MATCH(TEXT(YEAR(BD!D284),"Standard"),TabRFR[[#Headers],[2021]:[2025]],0)),"Intermédiaire","Supérieur")))))),IF(D284="","",IF(U284+V284&lt;15,"Données Nb pers ou RFR manquantes",IF(COUNTA(INDIRECT("TabRFR["&amp;YEAR(H284)&amp;"]"))&lt;&gt;COUNTA(TabRFR[Recherche RFR]),"Data RFR manquantes", IF(V284&lt;=INDEX(TabRFR[[2021]:[2025]],MATCH(BD!U284&amp;"-Très modestes",TabRFR[Recherche RFR],0),MATCH(TEXT(YEAR(BD!H284),"Standard"),TabRFR[[#Headers],[2021]:[2025]],0)),"Très Modeste",IF(V284&lt;=INDEX(TabRFR[[2021]:[2025]],MATCH(BD!U284&amp;"-modestes",TabRFR[Recherche RFR],0),MATCH(TEXT(YEAR(BD!H284),"Standard"),TabRFR[[#Headers],[2021]:[2025]],0)),"Modeste",IF(V284&lt;=INDEX(TabRFR[[2021]:[2025]],MATCH(BD!U284&amp;"-Intermédiaire",TabRFR[Recherche RFR],0),MATCH(TEXT(YEAR(BD!H284),"Standard"),TabRFR[[#Headers],[2021]:[2025]],0)),"Intermédiaire","Supérieur")))))))</f>
        <v>Intermédiaire</v>
      </c>
      <c r="X284" s="143"/>
      <c r="Y284" s="143" t="s">
        <v>1140</v>
      </c>
      <c r="Z284" s="143">
        <v>38960</v>
      </c>
      <c r="AA284" s="143" t="s">
        <v>209</v>
      </c>
      <c r="AB284" s="148"/>
      <c r="AC284" s="149"/>
      <c r="AD284" s="143" t="s">
        <v>91</v>
      </c>
      <c r="AE284" s="143" t="s">
        <v>76</v>
      </c>
      <c r="AF284" s="143" t="s">
        <v>76</v>
      </c>
      <c r="AG284" s="143" t="s">
        <v>76</v>
      </c>
      <c r="AH284" s="143" t="s">
        <v>76</v>
      </c>
      <c r="AI284" s="143" t="s">
        <v>169</v>
      </c>
      <c r="AJ284" s="143" t="s">
        <v>119</v>
      </c>
      <c r="AK284" s="143" t="s">
        <v>170</v>
      </c>
      <c r="AL284" s="149" t="s">
        <v>171</v>
      </c>
      <c r="AM284" s="148">
        <v>476355605</v>
      </c>
      <c r="AN284" s="143" t="s">
        <v>76</v>
      </c>
      <c r="AO284" s="150" t="s">
        <v>102</v>
      </c>
      <c r="AP284" s="147">
        <v>44495</v>
      </c>
      <c r="AQ284" s="135" t="s">
        <v>3496</v>
      </c>
      <c r="AR284" s="143">
        <v>1998</v>
      </c>
      <c r="AS284" s="143" t="s">
        <v>3413</v>
      </c>
      <c r="AT284" s="135" t="s">
        <v>3446</v>
      </c>
      <c r="AU284" s="143" t="s">
        <v>173</v>
      </c>
      <c r="AV284" s="143" t="s">
        <v>1268</v>
      </c>
      <c r="AW284" s="143">
        <v>22</v>
      </c>
      <c r="AX284" s="143">
        <v>7</v>
      </c>
      <c r="AY284" s="143">
        <v>80</v>
      </c>
      <c r="AZ284" s="143">
        <v>0.08</v>
      </c>
      <c r="BA284" s="143" t="s">
        <v>101</v>
      </c>
      <c r="BB284" s="143"/>
      <c r="BC284" s="143">
        <f>420+38.5+64.5+47.65+74.56+94+3100+218+89.6+45.35</f>
        <v>4192.1600000000008</v>
      </c>
      <c r="BD284" s="143"/>
      <c r="BE284" s="143">
        <f>99.09+450+425</f>
        <v>974.09</v>
      </c>
      <c r="BF284" s="143">
        <f t="shared" si="12"/>
        <v>5166.2500000000009</v>
      </c>
      <c r="BG284" s="151">
        <f t="shared" si="13"/>
        <v>284.14375000000007</v>
      </c>
      <c r="BH284" s="151">
        <f t="shared" si="14"/>
        <v>5450.3937500000011</v>
      </c>
      <c r="BI284" s="151">
        <v>5450.39</v>
      </c>
      <c r="BJ284" s="143" t="s">
        <v>102</v>
      </c>
      <c r="BK284" s="143"/>
      <c r="BL284" s="143"/>
      <c r="BM284" s="144" t="s">
        <v>3592</v>
      </c>
      <c r="BN284" s="144" t="s">
        <v>103</v>
      </c>
      <c r="BO284" s="144" t="s">
        <v>143</v>
      </c>
      <c r="BP284" s="144">
        <v>2021</v>
      </c>
      <c r="BQ284" s="203" t="s">
        <v>144</v>
      </c>
    </row>
    <row r="285" spans="1:69" ht="41.1" customHeight="1">
      <c r="A285" s="133" t="s">
        <v>86</v>
      </c>
      <c r="B285" s="133" t="s">
        <v>1269</v>
      </c>
      <c r="C285" s="143">
        <v>600</v>
      </c>
      <c r="D285" s="135">
        <v>44498</v>
      </c>
      <c r="E285" s="135">
        <v>44498</v>
      </c>
      <c r="F285" s="147" t="s">
        <v>76</v>
      </c>
      <c r="G285" s="135" t="s">
        <v>76</v>
      </c>
      <c r="H285" s="147">
        <v>44512</v>
      </c>
      <c r="I285" s="147">
        <v>44512</v>
      </c>
      <c r="J285" s="147">
        <v>44519</v>
      </c>
      <c r="K285" s="135">
        <v>44816</v>
      </c>
      <c r="L285" s="135">
        <v>44797</v>
      </c>
      <c r="M285" s="135" t="s">
        <v>76</v>
      </c>
      <c r="N285" s="135">
        <v>44833</v>
      </c>
      <c r="O285" s="135">
        <v>44833</v>
      </c>
      <c r="P285" s="135">
        <v>44833</v>
      </c>
      <c r="Q285" s="135"/>
      <c r="R285" s="143"/>
      <c r="S285" s="143"/>
      <c r="T285" s="143"/>
      <c r="U285" s="143">
        <v>2</v>
      </c>
      <c r="V285" s="143">
        <v>38396</v>
      </c>
      <c r="W285" s="143" t="str">
        <f ca="1">IF(H285="",IF(D285="","",IF(U285+V285&lt;15,"Données Nb pers ou RFR manquantes",IF(COUNTA(INDIRECT("TabRFR["&amp;YEAR(D285)&amp;"]"))&lt;&gt;COUNTA(TabRFR[Recherche RFR]),"Data RFR manquantes", IF(V285&lt;=INDEX(TabRFR[[2021]:[2025]],MATCH(BD!U285&amp;"-Très modestes",TabRFR[Recherche RFR],0),MATCH(TEXT(YEAR(BD!D285),"Standard"),TabRFR[[#Headers],[2021]:[2025]],0)),"Très Modeste",IF(V285&lt;=INDEX(TabRFR[[2021]:[2025]],MATCH(BD!U285&amp;"-modestes",TabRFR[Recherche RFR],0),MATCH(TEXT(YEAR(BD!D285),"Standard"),TabRFR[[#Headers],[2021]:[2025]],0)),"Modeste",IF(V285&lt;=INDEX(TabRFR[[2021]:[2025]],MATCH(BD!U285&amp;"-Intermédiaire",TabRFR[Recherche RFR],0),MATCH(TEXT(YEAR(BD!D285),"Standard"),TabRFR[[#Headers],[2021]:[2025]],0)),"Intermédiaire","Supérieur")))))),IF(D285="","",IF(U285+V285&lt;15,"Données Nb pers ou RFR manquantes",IF(COUNTA(INDIRECT("TabRFR["&amp;YEAR(H285)&amp;"]"))&lt;&gt;COUNTA(TabRFR[Recherche RFR]),"Data RFR manquantes", IF(V285&lt;=INDEX(TabRFR[[2021]:[2025]],MATCH(BD!U285&amp;"-Très modestes",TabRFR[Recherche RFR],0),MATCH(TEXT(YEAR(BD!H285),"Standard"),TabRFR[[#Headers],[2021]:[2025]],0)),"Très Modeste",IF(V285&lt;=INDEX(TabRFR[[2021]:[2025]],MATCH(BD!U285&amp;"-modestes",TabRFR[Recherche RFR],0),MATCH(TEXT(YEAR(BD!H285),"Standard"),TabRFR[[#Headers],[2021]:[2025]],0)),"Modeste",IF(V285&lt;=INDEX(TabRFR[[2021]:[2025]],MATCH(BD!U285&amp;"-Intermédiaire",TabRFR[Recherche RFR],0),MATCH(TEXT(YEAR(BD!H285),"Standard"),TabRFR[[#Headers],[2021]:[2025]],0)),"Intermédiaire","Supérieur")))))))</f>
        <v>Intermédiaire</v>
      </c>
      <c r="X285" s="143"/>
      <c r="Y285" s="143" t="s">
        <v>939</v>
      </c>
      <c r="Z285" s="143">
        <v>38620</v>
      </c>
      <c r="AA285" s="143" t="s">
        <v>90</v>
      </c>
      <c r="AB285" s="148"/>
      <c r="AC285" s="149"/>
      <c r="AD285" s="143" t="s">
        <v>91</v>
      </c>
      <c r="AE285" s="143" t="s">
        <v>76</v>
      </c>
      <c r="AF285" s="143" t="s">
        <v>76</v>
      </c>
      <c r="AG285" s="143" t="s">
        <v>76</v>
      </c>
      <c r="AH285" s="143" t="s">
        <v>76</v>
      </c>
      <c r="AI285" s="143" t="s">
        <v>92</v>
      </c>
      <c r="AJ285" s="143" t="s">
        <v>93</v>
      </c>
      <c r="AK285" s="143" t="s">
        <v>94</v>
      </c>
      <c r="AL285" s="149" t="s">
        <v>95</v>
      </c>
      <c r="AM285" s="148" t="s">
        <v>96</v>
      </c>
      <c r="AN285" s="143" t="s">
        <v>76</v>
      </c>
      <c r="AO285" s="150" t="s">
        <v>97</v>
      </c>
      <c r="AP285" s="147">
        <v>44517</v>
      </c>
      <c r="AQ285" s="143" t="s">
        <v>3413</v>
      </c>
      <c r="AR285" s="143">
        <v>1995</v>
      </c>
      <c r="AS285" s="143" t="s">
        <v>3413</v>
      </c>
      <c r="AT285" s="143" t="s">
        <v>98</v>
      </c>
      <c r="AU285" s="143" t="s">
        <v>99</v>
      </c>
      <c r="AV285" s="143" t="s">
        <v>1270</v>
      </c>
      <c r="AW285" s="143">
        <v>11</v>
      </c>
      <c r="AX285" s="143">
        <v>12</v>
      </c>
      <c r="AY285" s="143">
        <v>88.5</v>
      </c>
      <c r="AZ285" s="143">
        <v>7.0000000000000001E-3</v>
      </c>
      <c r="BA285" s="143" t="s">
        <v>101</v>
      </c>
      <c r="BB285" s="143"/>
      <c r="BC285" s="143">
        <f>3700+185+193+185</f>
        <v>4263</v>
      </c>
      <c r="BD285" s="143"/>
      <c r="BE285" s="143">
        <f>790+695</f>
        <v>1485</v>
      </c>
      <c r="BF285" s="143">
        <f t="shared" si="12"/>
        <v>5748</v>
      </c>
      <c r="BG285" s="151">
        <f t="shared" si="13"/>
        <v>316.14</v>
      </c>
      <c r="BH285" s="151">
        <f t="shared" si="14"/>
        <v>6064.14</v>
      </c>
      <c r="BI285" s="151">
        <v>6064.14</v>
      </c>
      <c r="BJ285" s="143" t="s">
        <v>102</v>
      </c>
      <c r="BK285" s="143"/>
      <c r="BL285" s="143"/>
      <c r="BM285" s="144" t="s">
        <v>3592</v>
      </c>
      <c r="BN285" s="144" t="s">
        <v>103</v>
      </c>
      <c r="BO285" s="144" t="s">
        <v>143</v>
      </c>
      <c r="BP285" s="143" t="s">
        <v>3583</v>
      </c>
      <c r="BQ285" s="203" t="s">
        <v>144</v>
      </c>
    </row>
    <row r="286" spans="1:69" ht="41.1" customHeight="1">
      <c r="A286" s="133" t="s">
        <v>86</v>
      </c>
      <c r="B286" s="133" t="s">
        <v>1271</v>
      </c>
      <c r="C286" s="143">
        <v>600</v>
      </c>
      <c r="D286" s="135">
        <v>44499</v>
      </c>
      <c r="E286" s="135">
        <v>44508</v>
      </c>
      <c r="F286" s="147" t="s">
        <v>76</v>
      </c>
      <c r="G286" s="135" t="s">
        <v>76</v>
      </c>
      <c r="H286" s="147">
        <v>44512</v>
      </c>
      <c r="I286" s="147">
        <v>44512</v>
      </c>
      <c r="J286" s="147">
        <v>44519</v>
      </c>
      <c r="K286" s="135">
        <v>44585</v>
      </c>
      <c r="L286" s="135">
        <v>44581</v>
      </c>
      <c r="M286" s="135" t="s">
        <v>76</v>
      </c>
      <c r="N286" s="135">
        <v>44594</v>
      </c>
      <c r="O286" s="135">
        <v>44595</v>
      </c>
      <c r="P286" s="135">
        <v>44600</v>
      </c>
      <c r="Q286" s="135"/>
      <c r="R286" s="143"/>
      <c r="S286" s="143"/>
      <c r="T286" s="143"/>
      <c r="U286" s="143">
        <v>4</v>
      </c>
      <c r="V286" s="143">
        <v>55290</v>
      </c>
      <c r="W286" s="143" t="str">
        <f ca="1">IF(H286="",IF(D286="","",IF(U286+V286&lt;15,"Données Nb pers ou RFR manquantes",IF(COUNTA(INDIRECT("TabRFR["&amp;YEAR(D286)&amp;"]"))&lt;&gt;COUNTA(TabRFR[Recherche RFR]),"Data RFR manquantes", IF(V286&lt;=INDEX(TabRFR[[2021]:[2025]],MATCH(BD!U286&amp;"-Très modestes",TabRFR[Recherche RFR],0),MATCH(TEXT(YEAR(BD!D286),"Standard"),TabRFR[[#Headers],[2021]:[2025]],0)),"Très Modeste",IF(V286&lt;=INDEX(TabRFR[[2021]:[2025]],MATCH(BD!U286&amp;"-modestes",TabRFR[Recherche RFR],0),MATCH(TEXT(YEAR(BD!D286),"Standard"),TabRFR[[#Headers],[2021]:[2025]],0)),"Modeste",IF(V286&lt;=INDEX(TabRFR[[2021]:[2025]],MATCH(BD!U286&amp;"-Intermédiaire",TabRFR[Recherche RFR],0),MATCH(TEXT(YEAR(BD!D286),"Standard"),TabRFR[[#Headers],[2021]:[2025]],0)),"Intermédiaire","Supérieur")))))),IF(D286="","",IF(U286+V286&lt;15,"Données Nb pers ou RFR manquantes",IF(COUNTA(INDIRECT("TabRFR["&amp;YEAR(H286)&amp;"]"))&lt;&gt;COUNTA(TabRFR[Recherche RFR]),"Data RFR manquantes", IF(V286&lt;=INDEX(TabRFR[[2021]:[2025]],MATCH(BD!U286&amp;"-Très modestes",TabRFR[Recherche RFR],0),MATCH(TEXT(YEAR(BD!H286),"Standard"),TabRFR[[#Headers],[2021]:[2025]],0)),"Très Modeste",IF(V286&lt;=INDEX(TabRFR[[2021]:[2025]],MATCH(BD!U286&amp;"-modestes",TabRFR[Recherche RFR],0),MATCH(TEXT(YEAR(BD!H286),"Standard"),TabRFR[[#Headers],[2021]:[2025]],0)),"Modeste",IF(V286&lt;=INDEX(TabRFR[[2021]:[2025]],MATCH(BD!U286&amp;"-Intermédiaire",TabRFR[Recherche RFR],0),MATCH(TEXT(YEAR(BD!H286),"Standard"),TabRFR[[#Headers],[2021]:[2025]],0)),"Intermédiaire","Supérieur")))))))</f>
        <v>Intermédiaire</v>
      </c>
      <c r="X286" s="143"/>
      <c r="Y286" s="143" t="s">
        <v>1272</v>
      </c>
      <c r="Z286" s="143">
        <v>38500</v>
      </c>
      <c r="AA286" s="143" t="s">
        <v>284</v>
      </c>
      <c r="AB286" s="148"/>
      <c r="AC286" s="149"/>
      <c r="AD286" s="143" t="s">
        <v>91</v>
      </c>
      <c r="AE286" s="143" t="s">
        <v>76</v>
      </c>
      <c r="AF286" s="143" t="s">
        <v>76</v>
      </c>
      <c r="AG286" s="143" t="s">
        <v>76</v>
      </c>
      <c r="AH286" s="143" t="s">
        <v>76</v>
      </c>
      <c r="AI286" s="135" t="s">
        <v>2703</v>
      </c>
      <c r="AJ286" s="143" t="s">
        <v>266</v>
      </c>
      <c r="AK286" s="143" t="s">
        <v>317</v>
      </c>
      <c r="AL286" s="150" t="s">
        <v>318</v>
      </c>
      <c r="AM286" s="148">
        <v>476500550</v>
      </c>
      <c r="AN286" s="143" t="s">
        <v>76</v>
      </c>
      <c r="AO286" s="150" t="s">
        <v>102</v>
      </c>
      <c r="AP286" s="147">
        <v>44740</v>
      </c>
      <c r="AQ286" s="143" t="s">
        <v>3413</v>
      </c>
      <c r="AR286" s="143">
        <v>2001</v>
      </c>
      <c r="AS286" s="143" t="s">
        <v>3413</v>
      </c>
      <c r="AT286" s="135" t="s">
        <v>3446</v>
      </c>
      <c r="AU286" s="143" t="s">
        <v>319</v>
      </c>
      <c r="AV286" s="143" t="s">
        <v>1273</v>
      </c>
      <c r="AW286" s="143">
        <v>32</v>
      </c>
      <c r="AX286" s="143">
        <v>7</v>
      </c>
      <c r="AY286" s="143">
        <v>77.8</v>
      </c>
      <c r="AZ286" s="143">
        <v>0.08</v>
      </c>
      <c r="BA286" s="143" t="s">
        <v>101</v>
      </c>
      <c r="BB286" s="143"/>
      <c r="BC286" s="143">
        <f>3816.66+34.25+215.2</f>
        <v>4066.1099999999997</v>
      </c>
      <c r="BD286" s="143"/>
      <c r="BE286" s="143">
        <v>650</v>
      </c>
      <c r="BF286" s="143">
        <f t="shared" si="12"/>
        <v>4716.1099999999997</v>
      </c>
      <c r="BG286" s="151">
        <f t="shared" si="13"/>
        <v>259.38605000000001</v>
      </c>
      <c r="BH286" s="151">
        <f t="shared" si="14"/>
        <v>4975.4960499999997</v>
      </c>
      <c r="BI286" s="151">
        <v>4975.5</v>
      </c>
      <c r="BJ286" s="143" t="s">
        <v>115</v>
      </c>
      <c r="BK286" s="143"/>
      <c r="BL286" s="143"/>
      <c r="BM286" s="144" t="s">
        <v>3592</v>
      </c>
      <c r="BN286" s="144" t="s">
        <v>103</v>
      </c>
      <c r="BO286" s="144" t="s">
        <v>143</v>
      </c>
      <c r="BP286" s="144">
        <v>2021</v>
      </c>
      <c r="BQ286" s="203" t="s">
        <v>3274</v>
      </c>
    </row>
    <row r="287" spans="1:69" ht="41.1" customHeight="1">
      <c r="A287" s="133" t="s">
        <v>86</v>
      </c>
      <c r="B287" s="133" t="s">
        <v>1274</v>
      </c>
      <c r="C287" s="143">
        <v>1000</v>
      </c>
      <c r="D287" s="135">
        <v>44502</v>
      </c>
      <c r="E287" s="135">
        <v>44508</v>
      </c>
      <c r="F287" s="147" t="s">
        <v>76</v>
      </c>
      <c r="G287" s="135" t="s">
        <v>76</v>
      </c>
      <c r="H287" s="147">
        <v>44512</v>
      </c>
      <c r="I287" s="147">
        <v>44512</v>
      </c>
      <c r="J287" s="147">
        <v>44519</v>
      </c>
      <c r="K287" s="135">
        <v>44700</v>
      </c>
      <c r="L287" s="135">
        <v>44561</v>
      </c>
      <c r="M287" s="135" t="s">
        <v>76</v>
      </c>
      <c r="N287" s="135">
        <v>44768</v>
      </c>
      <c r="O287" s="135">
        <v>44768</v>
      </c>
      <c r="P287" s="135">
        <v>44769</v>
      </c>
      <c r="Q287" s="135"/>
      <c r="R287" s="143"/>
      <c r="S287" s="143"/>
      <c r="T287" s="143"/>
      <c r="U287" s="143">
        <v>2</v>
      </c>
      <c r="V287" s="143">
        <v>21498</v>
      </c>
      <c r="W287" s="143" t="str">
        <f ca="1">IF(H287="",IF(D287="","",IF(U287+V287&lt;15,"Données Nb pers ou RFR manquantes",IF(COUNTA(INDIRECT("TabRFR["&amp;YEAR(D287)&amp;"]"))&lt;&gt;COUNTA(TabRFR[Recherche RFR]),"Data RFR manquantes", IF(V287&lt;=INDEX(TabRFR[[2021]:[2025]],MATCH(BD!U287&amp;"-Très modestes",TabRFR[Recherche RFR],0),MATCH(TEXT(YEAR(BD!D287),"Standard"),TabRFR[[#Headers],[2021]:[2025]],0)),"Très Modeste",IF(V287&lt;=INDEX(TabRFR[[2021]:[2025]],MATCH(BD!U287&amp;"-modestes",TabRFR[Recherche RFR],0),MATCH(TEXT(YEAR(BD!D287),"Standard"),TabRFR[[#Headers],[2021]:[2025]],0)),"Modeste",IF(V287&lt;=INDEX(TabRFR[[2021]:[2025]],MATCH(BD!U287&amp;"-Intermédiaire",TabRFR[Recherche RFR],0),MATCH(TEXT(YEAR(BD!D287),"Standard"),TabRFR[[#Headers],[2021]:[2025]],0)),"Intermédiaire","Supérieur")))))),IF(D287="","",IF(U287+V287&lt;15,"Données Nb pers ou RFR manquantes",IF(COUNTA(INDIRECT("TabRFR["&amp;YEAR(H287)&amp;"]"))&lt;&gt;COUNTA(TabRFR[Recherche RFR]),"Data RFR manquantes", IF(V287&lt;=INDEX(TabRFR[[2021]:[2025]],MATCH(BD!U287&amp;"-Très modestes",TabRFR[Recherche RFR],0),MATCH(TEXT(YEAR(BD!H287),"Standard"),TabRFR[[#Headers],[2021]:[2025]],0)),"Très Modeste",IF(V287&lt;=INDEX(TabRFR[[2021]:[2025]],MATCH(BD!U287&amp;"-modestes",TabRFR[Recherche RFR],0),MATCH(TEXT(YEAR(BD!H287),"Standard"),TabRFR[[#Headers],[2021]:[2025]],0)),"Modeste",IF(V287&lt;=INDEX(TabRFR[[2021]:[2025]],MATCH(BD!U287&amp;"-Intermédiaire",TabRFR[Recherche RFR],0),MATCH(TEXT(YEAR(BD!H287),"Standard"),TabRFR[[#Headers],[2021]:[2025]],0)),"Intermédiaire","Supérieur")))))))</f>
        <v>Très Modeste</v>
      </c>
      <c r="X287" s="143"/>
      <c r="Y287" s="143" t="s">
        <v>1275</v>
      </c>
      <c r="Z287" s="143">
        <v>38850</v>
      </c>
      <c r="AA287" s="143" t="s">
        <v>435</v>
      </c>
      <c r="AB287" s="148"/>
      <c r="AC287" s="149"/>
      <c r="AD287" s="143" t="s">
        <v>91</v>
      </c>
      <c r="AE287" s="143" t="s">
        <v>76</v>
      </c>
      <c r="AF287" s="143" t="s">
        <v>76</v>
      </c>
      <c r="AG287" s="143" t="s">
        <v>76</v>
      </c>
      <c r="AH287" s="143" t="s">
        <v>76</v>
      </c>
      <c r="AI287" s="143" t="s">
        <v>92</v>
      </c>
      <c r="AJ287" s="143" t="s">
        <v>93</v>
      </c>
      <c r="AK287" s="143" t="s">
        <v>94</v>
      </c>
      <c r="AL287" s="149" t="s">
        <v>95</v>
      </c>
      <c r="AM287" s="148" t="s">
        <v>96</v>
      </c>
      <c r="AN287" s="143" t="s">
        <v>76</v>
      </c>
      <c r="AO287" s="150" t="s">
        <v>97</v>
      </c>
      <c r="AP287" s="147">
        <v>44517</v>
      </c>
      <c r="AQ287" s="143" t="s">
        <v>3413</v>
      </c>
      <c r="AR287" s="143">
        <v>1998</v>
      </c>
      <c r="AS287" s="143" t="s">
        <v>3413</v>
      </c>
      <c r="AT287" s="143" t="s">
        <v>98</v>
      </c>
      <c r="AU287" s="143" t="s">
        <v>99</v>
      </c>
      <c r="AV287" s="143" t="s">
        <v>1006</v>
      </c>
      <c r="AW287" s="143">
        <v>8</v>
      </c>
      <c r="AX287" s="143">
        <v>8.1999999999999993</v>
      </c>
      <c r="AY287" s="143">
        <v>87.7</v>
      </c>
      <c r="AZ287" s="143">
        <v>2E-3</v>
      </c>
      <c r="BA287" s="143" t="s">
        <v>101</v>
      </c>
      <c r="BB287" s="143"/>
      <c r="BC287" s="143">
        <f>2080+185+293+198</f>
        <v>2756</v>
      </c>
      <c r="BD287" s="143"/>
      <c r="BE287" s="143">
        <f>790+595</f>
        <v>1385</v>
      </c>
      <c r="BF287" s="143">
        <f t="shared" si="12"/>
        <v>4141</v>
      </c>
      <c r="BG287" s="151">
        <f t="shared" si="13"/>
        <v>227.755</v>
      </c>
      <c r="BH287" s="151">
        <f t="shared" si="14"/>
        <v>4368.7550000000001</v>
      </c>
      <c r="BI287" s="151">
        <v>4368.76</v>
      </c>
      <c r="BJ287" s="143" t="s">
        <v>102</v>
      </c>
      <c r="BK287" s="143"/>
      <c r="BL287" s="143"/>
      <c r="BM287" s="144" t="s">
        <v>3592</v>
      </c>
      <c r="BN287" s="144" t="s">
        <v>103</v>
      </c>
      <c r="BO287" s="135" t="s">
        <v>155</v>
      </c>
      <c r="BP287" s="143" t="s">
        <v>3583</v>
      </c>
      <c r="BQ287" s="203" t="s">
        <v>144</v>
      </c>
    </row>
    <row r="288" spans="1:69" ht="41.1" customHeight="1">
      <c r="A288" s="133" t="s">
        <v>86</v>
      </c>
      <c r="B288" s="133" t="s">
        <v>1276</v>
      </c>
      <c r="C288" s="143">
        <v>600</v>
      </c>
      <c r="D288" s="135">
        <v>44502</v>
      </c>
      <c r="E288" s="135">
        <v>44508</v>
      </c>
      <c r="F288" s="147" t="s">
        <v>76</v>
      </c>
      <c r="G288" s="135" t="s">
        <v>1277</v>
      </c>
      <c r="H288" s="147">
        <v>44512</v>
      </c>
      <c r="I288" s="147">
        <v>44512</v>
      </c>
      <c r="J288" s="147">
        <v>44519</v>
      </c>
      <c r="K288" s="135">
        <v>44750</v>
      </c>
      <c r="L288" s="135">
        <v>44732</v>
      </c>
      <c r="M288" s="135" t="s">
        <v>1278</v>
      </c>
      <c r="N288" s="135">
        <v>44795</v>
      </c>
      <c r="O288" s="135">
        <v>44795</v>
      </c>
      <c r="P288" s="135">
        <v>44796</v>
      </c>
      <c r="Q288" s="135"/>
      <c r="R288" s="143"/>
      <c r="S288" s="143"/>
      <c r="T288" s="143"/>
      <c r="U288" s="143">
        <v>2</v>
      </c>
      <c r="V288" s="143">
        <v>44283</v>
      </c>
      <c r="W288" s="143" t="str">
        <f ca="1">IF(H288="",IF(D288="","",IF(U288+V288&lt;15,"Données Nb pers ou RFR manquantes",IF(COUNTA(INDIRECT("TabRFR["&amp;YEAR(D288)&amp;"]"))&lt;&gt;COUNTA(TabRFR[Recherche RFR]),"Data RFR manquantes", IF(V288&lt;=INDEX(TabRFR[[2021]:[2025]],MATCH(BD!U288&amp;"-Très modestes",TabRFR[Recherche RFR],0),MATCH(TEXT(YEAR(BD!D288),"Standard"),TabRFR[[#Headers],[2021]:[2025]],0)),"Très Modeste",IF(V288&lt;=INDEX(TabRFR[[2021]:[2025]],MATCH(BD!U288&amp;"-modestes",TabRFR[Recherche RFR],0),MATCH(TEXT(YEAR(BD!D288),"Standard"),TabRFR[[#Headers],[2021]:[2025]],0)),"Modeste",IF(V288&lt;=INDEX(TabRFR[[2021]:[2025]],MATCH(BD!U288&amp;"-Intermédiaire",TabRFR[Recherche RFR],0),MATCH(TEXT(YEAR(BD!D288),"Standard"),TabRFR[[#Headers],[2021]:[2025]],0)),"Intermédiaire","Supérieur")))))),IF(D288="","",IF(U288+V288&lt;15,"Données Nb pers ou RFR manquantes",IF(COUNTA(INDIRECT("TabRFR["&amp;YEAR(H288)&amp;"]"))&lt;&gt;COUNTA(TabRFR[Recherche RFR]),"Data RFR manquantes", IF(V288&lt;=INDEX(TabRFR[[2021]:[2025]],MATCH(BD!U288&amp;"-Très modestes",TabRFR[Recherche RFR],0),MATCH(TEXT(YEAR(BD!H288),"Standard"),TabRFR[[#Headers],[2021]:[2025]],0)),"Très Modeste",IF(V288&lt;=INDEX(TabRFR[[2021]:[2025]],MATCH(BD!U288&amp;"-modestes",TabRFR[Recherche RFR],0),MATCH(TEXT(YEAR(BD!H288),"Standard"),TabRFR[[#Headers],[2021]:[2025]],0)),"Modeste",IF(V288&lt;=INDEX(TabRFR[[2021]:[2025]],MATCH(BD!U288&amp;"-Intermédiaire",TabRFR[Recherche RFR],0),MATCH(TEXT(YEAR(BD!H288),"Standard"),TabRFR[[#Headers],[2021]:[2025]],0)),"Intermédiaire","Supérieur")))))))</f>
        <v>Supérieur</v>
      </c>
      <c r="X288" s="143"/>
      <c r="Y288" s="143" t="s">
        <v>1279</v>
      </c>
      <c r="Z288" s="143">
        <v>38210</v>
      </c>
      <c r="AA288" s="143" t="s">
        <v>202</v>
      </c>
      <c r="AB288" s="148"/>
      <c r="AC288" s="149"/>
      <c r="AD288" s="143" t="s">
        <v>91</v>
      </c>
      <c r="AE288" s="143" t="s">
        <v>76</v>
      </c>
      <c r="AF288" s="143" t="s">
        <v>76</v>
      </c>
      <c r="AG288" s="143" t="s">
        <v>76</v>
      </c>
      <c r="AH288" s="143" t="s">
        <v>76</v>
      </c>
      <c r="AI288" s="143" t="s">
        <v>886</v>
      </c>
      <c r="AJ288" s="143" t="s">
        <v>887</v>
      </c>
      <c r="AK288" s="143" t="s">
        <v>888</v>
      </c>
      <c r="AL288" s="150" t="s">
        <v>889</v>
      </c>
      <c r="AM288" s="148">
        <v>476042368</v>
      </c>
      <c r="AN288" s="143" t="s">
        <v>76</v>
      </c>
      <c r="AO288" s="150" t="s">
        <v>102</v>
      </c>
      <c r="AP288" s="147">
        <v>44708</v>
      </c>
      <c r="AQ288" s="135" t="s">
        <v>3496</v>
      </c>
      <c r="AR288" s="143">
        <v>1981</v>
      </c>
      <c r="AS288" s="143" t="s">
        <v>3413</v>
      </c>
      <c r="AT288" s="143" t="s">
        <v>98</v>
      </c>
      <c r="AU288" s="143" t="s">
        <v>1280</v>
      </c>
      <c r="AV288" s="143" t="s">
        <v>1281</v>
      </c>
      <c r="AW288" s="143">
        <v>27</v>
      </c>
      <c r="AX288" s="143">
        <v>9.5</v>
      </c>
      <c r="AY288" s="143">
        <v>92.5</v>
      </c>
      <c r="AZ288" s="143">
        <v>7.0000000000000001E-3</v>
      </c>
      <c r="BA288" s="143" t="s">
        <v>101</v>
      </c>
      <c r="BB288" s="143"/>
      <c r="BC288" s="143">
        <f>135.66+617.18+205.73+89+37.8+32.53+48.35+42.02+14.95+47.48+1573.71</f>
        <v>2844.41</v>
      </c>
      <c r="BD288" s="143"/>
      <c r="BE288" s="143">
        <f>480.03+479</f>
        <v>959.03</v>
      </c>
      <c r="BF288" s="143">
        <f t="shared" si="12"/>
        <v>3803.4399999999996</v>
      </c>
      <c r="BG288" s="151">
        <f t="shared" si="13"/>
        <v>209.18919999999997</v>
      </c>
      <c r="BH288" s="151">
        <f t="shared" si="14"/>
        <v>4012.6291999999994</v>
      </c>
      <c r="BI288" s="151">
        <v>4012.63</v>
      </c>
      <c r="BJ288" s="143" t="s">
        <v>102</v>
      </c>
      <c r="BK288" s="143"/>
      <c r="BL288" s="143"/>
      <c r="BM288" s="144" t="s">
        <v>3592</v>
      </c>
      <c r="BN288" s="144" t="s">
        <v>103</v>
      </c>
      <c r="BO288" s="144" t="s">
        <v>143</v>
      </c>
      <c r="BP288" s="143" t="s">
        <v>3583</v>
      </c>
      <c r="BQ288" s="203" t="s">
        <v>144</v>
      </c>
    </row>
    <row r="289" spans="1:69" ht="41.1" customHeight="1">
      <c r="A289" s="145" t="s">
        <v>86</v>
      </c>
      <c r="B289" s="145" t="s">
        <v>1282</v>
      </c>
      <c r="C289" s="143">
        <v>600</v>
      </c>
      <c r="D289" s="135">
        <v>44503</v>
      </c>
      <c r="E289" s="135">
        <v>44508</v>
      </c>
      <c r="F289" s="147" t="s">
        <v>76</v>
      </c>
      <c r="G289" s="135" t="s">
        <v>76</v>
      </c>
      <c r="H289" s="147">
        <v>44512</v>
      </c>
      <c r="I289" s="147">
        <v>44512</v>
      </c>
      <c r="J289" s="147">
        <v>44519</v>
      </c>
      <c r="K289" s="135">
        <v>44678</v>
      </c>
      <c r="L289" s="135">
        <v>44494</v>
      </c>
      <c r="M289" s="135"/>
      <c r="N289" s="135"/>
      <c r="O289" s="135"/>
      <c r="P289" s="135"/>
      <c r="Q289" s="135">
        <v>44679</v>
      </c>
      <c r="R289" s="143" t="s">
        <v>1283</v>
      </c>
      <c r="S289" s="143"/>
      <c r="T289" s="143"/>
      <c r="U289" s="143">
        <v>2</v>
      </c>
      <c r="V289" s="143">
        <v>40563</v>
      </c>
      <c r="W289" s="143" t="str">
        <f ca="1">IF(H289="",IF(D289="","",IF(U289+V289&lt;15,"Données Nb pers ou RFR manquantes",IF(COUNTA(INDIRECT("TabRFR["&amp;YEAR(D289)&amp;"]"))&lt;&gt;COUNTA(TabRFR[Recherche RFR]),"Data RFR manquantes", IF(V289&lt;=INDEX(TabRFR[[2021]:[2025]],MATCH(BD!U289&amp;"-Très modestes",TabRFR[Recherche RFR],0),MATCH(TEXT(YEAR(BD!D289),"Standard"),TabRFR[[#Headers],[2021]:[2025]],0)),"Très Modeste",IF(V289&lt;=INDEX(TabRFR[[2021]:[2025]],MATCH(BD!U289&amp;"-modestes",TabRFR[Recherche RFR],0),MATCH(TEXT(YEAR(BD!D289),"Standard"),TabRFR[[#Headers],[2021]:[2025]],0)),"Modeste",IF(V289&lt;=INDEX(TabRFR[[2021]:[2025]],MATCH(BD!U289&amp;"-Intermédiaire",TabRFR[Recherche RFR],0),MATCH(TEXT(YEAR(BD!D289),"Standard"),TabRFR[[#Headers],[2021]:[2025]],0)),"Intermédiaire","Supérieur")))))),IF(D289="","",IF(U289+V289&lt;15,"Données Nb pers ou RFR manquantes",IF(COUNTA(INDIRECT("TabRFR["&amp;YEAR(H289)&amp;"]"))&lt;&gt;COUNTA(TabRFR[Recherche RFR]),"Data RFR manquantes", IF(V289&lt;=INDEX(TabRFR[[2021]:[2025]],MATCH(BD!U289&amp;"-Très modestes",TabRFR[Recherche RFR],0),MATCH(TEXT(YEAR(BD!H289),"Standard"),TabRFR[[#Headers],[2021]:[2025]],0)),"Très Modeste",IF(V289&lt;=INDEX(TabRFR[[2021]:[2025]],MATCH(BD!U289&amp;"-modestes",TabRFR[Recherche RFR],0),MATCH(TEXT(YEAR(BD!H289),"Standard"),TabRFR[[#Headers],[2021]:[2025]],0)),"Modeste",IF(V289&lt;=INDEX(TabRFR[[2021]:[2025]],MATCH(BD!U289&amp;"-Intermédiaire",TabRFR[Recherche RFR],0),MATCH(TEXT(YEAR(BD!H289),"Standard"),TabRFR[[#Headers],[2021]:[2025]],0)),"Intermédiaire","Supérieur")))))))</f>
        <v>Intermédiaire</v>
      </c>
      <c r="X289" s="143"/>
      <c r="Y289" s="143" t="s">
        <v>1284</v>
      </c>
      <c r="Z289" s="143">
        <v>38140</v>
      </c>
      <c r="AA289" s="143" t="s">
        <v>504</v>
      </c>
      <c r="AB289" s="148"/>
      <c r="AC289" s="149"/>
      <c r="AD289" s="143" t="s">
        <v>91</v>
      </c>
      <c r="AE289" s="143" t="s">
        <v>76</v>
      </c>
      <c r="AF289" s="143" t="s">
        <v>76</v>
      </c>
      <c r="AG289" s="143" t="s">
        <v>76</v>
      </c>
      <c r="AH289" s="143" t="s">
        <v>76</v>
      </c>
      <c r="AI289" s="143" t="s">
        <v>109</v>
      </c>
      <c r="AJ289" s="143" t="s">
        <v>108</v>
      </c>
      <c r="AK289" s="143" t="s">
        <v>110</v>
      </c>
      <c r="AL289" s="149" t="s">
        <v>111</v>
      </c>
      <c r="AM289" s="148" t="s">
        <v>112</v>
      </c>
      <c r="AN289" s="143" t="s">
        <v>76</v>
      </c>
      <c r="AO289" s="150" t="s">
        <v>102</v>
      </c>
      <c r="AP289" s="147">
        <v>44868</v>
      </c>
      <c r="AQ289" s="135" t="s">
        <v>3496</v>
      </c>
      <c r="AR289" s="143">
        <v>1990</v>
      </c>
      <c r="AS289" s="143" t="s">
        <v>3413</v>
      </c>
      <c r="AT289" s="135" t="s">
        <v>3446</v>
      </c>
      <c r="AU289" s="143" t="s">
        <v>258</v>
      </c>
      <c r="AV289" s="143" t="s">
        <v>1285</v>
      </c>
      <c r="AW289" s="143">
        <v>18</v>
      </c>
      <c r="AX289" s="143">
        <v>10.6</v>
      </c>
      <c r="AY289" s="143">
        <v>88</v>
      </c>
      <c r="AZ289" s="143">
        <v>0.06</v>
      </c>
      <c r="BA289" s="143" t="s">
        <v>101</v>
      </c>
      <c r="BB289" s="143"/>
      <c r="BC289" s="143">
        <f>3282.62+138+89+83+90+22+25</f>
        <v>3729.62</v>
      </c>
      <c r="BD289" s="143"/>
      <c r="BE289" s="143">
        <f>450+60+420</f>
        <v>930</v>
      </c>
      <c r="BF289" s="143">
        <f t="shared" si="12"/>
        <v>4659.62</v>
      </c>
      <c r="BG289" s="151">
        <f t="shared" si="13"/>
        <v>256.27909999999997</v>
      </c>
      <c r="BH289" s="151">
        <f t="shared" si="14"/>
        <v>4915.8990999999996</v>
      </c>
      <c r="BI289" s="151">
        <v>4390.51</v>
      </c>
      <c r="BJ289" s="143" t="s">
        <v>102</v>
      </c>
      <c r="BK289" s="143"/>
      <c r="BL289" s="143"/>
      <c r="BM289" s="143">
        <v>0</v>
      </c>
      <c r="BN289" s="144" t="s">
        <v>103</v>
      </c>
      <c r="BO289" s="144" t="s">
        <v>103</v>
      </c>
      <c r="BP289" s="143">
        <v>2021</v>
      </c>
      <c r="BQ289" s="203" t="s">
        <v>3273</v>
      </c>
    </row>
    <row r="290" spans="1:69" ht="41.1" customHeight="1">
      <c r="A290" s="206" t="s">
        <v>86</v>
      </c>
      <c r="B290" s="206" t="s">
        <v>1286</v>
      </c>
      <c r="C290" s="143">
        <v>600</v>
      </c>
      <c r="D290" s="135">
        <v>44504</v>
      </c>
      <c r="E290" s="135">
        <v>44508</v>
      </c>
      <c r="F290" s="147">
        <v>44512</v>
      </c>
      <c r="G290" s="135" t="s">
        <v>571</v>
      </c>
      <c r="H290" s="147">
        <v>44525</v>
      </c>
      <c r="I290" s="147">
        <v>44525</v>
      </c>
      <c r="J290" s="147">
        <v>44539</v>
      </c>
      <c r="K290" s="135">
        <v>45156</v>
      </c>
      <c r="L290" s="135">
        <v>44935</v>
      </c>
      <c r="M290" s="135" t="s">
        <v>1287</v>
      </c>
      <c r="N290" s="135">
        <v>45163</v>
      </c>
      <c r="O290" s="135">
        <v>45163</v>
      </c>
      <c r="P290" s="135">
        <v>45194</v>
      </c>
      <c r="Q290" s="135"/>
      <c r="R290" s="143"/>
      <c r="S290" s="143"/>
      <c r="T290" s="143"/>
      <c r="U290" s="143">
        <v>3</v>
      </c>
      <c r="V290" s="143">
        <v>43494</v>
      </c>
      <c r="W290" s="143" t="str">
        <f ca="1">IF(H290="",IF(D290="","",IF(U290+V290&lt;15,"Données Nb pers ou RFR manquantes",IF(COUNTA(INDIRECT("TabRFR["&amp;YEAR(D290)&amp;"]"))&lt;&gt;COUNTA(TabRFR[Recherche RFR]),"Data RFR manquantes", IF(V290&lt;=INDEX(TabRFR[[2021]:[2025]],MATCH(BD!U290&amp;"-Très modestes",TabRFR[Recherche RFR],0),MATCH(TEXT(YEAR(BD!D290),"Standard"),TabRFR[[#Headers],[2021]:[2025]],0)),"Très Modeste",IF(V290&lt;=INDEX(TabRFR[[2021]:[2025]],MATCH(BD!U290&amp;"-modestes",TabRFR[Recherche RFR],0),MATCH(TEXT(YEAR(BD!D290),"Standard"),TabRFR[[#Headers],[2021]:[2025]],0)),"Modeste",IF(V290&lt;=INDEX(TabRFR[[2021]:[2025]],MATCH(BD!U290&amp;"-Intermédiaire",TabRFR[Recherche RFR],0),MATCH(TEXT(YEAR(BD!D290),"Standard"),TabRFR[[#Headers],[2021]:[2025]],0)),"Intermédiaire","Supérieur")))))),IF(D290="","",IF(U290+V290&lt;15,"Données Nb pers ou RFR manquantes",IF(COUNTA(INDIRECT("TabRFR["&amp;YEAR(H290)&amp;"]"))&lt;&gt;COUNTA(TabRFR[Recherche RFR]),"Data RFR manquantes", IF(V290&lt;=INDEX(TabRFR[[2021]:[2025]],MATCH(BD!U290&amp;"-Très modestes",TabRFR[Recherche RFR],0),MATCH(TEXT(YEAR(BD!H290),"Standard"),TabRFR[[#Headers],[2021]:[2025]],0)),"Très Modeste",IF(V290&lt;=INDEX(TabRFR[[2021]:[2025]],MATCH(BD!U290&amp;"-modestes",TabRFR[Recherche RFR],0),MATCH(TEXT(YEAR(BD!H290),"Standard"),TabRFR[[#Headers],[2021]:[2025]],0)),"Modeste",IF(V290&lt;=INDEX(TabRFR[[2021]:[2025]],MATCH(BD!U290&amp;"-Intermédiaire",TabRFR[Recherche RFR],0),MATCH(TEXT(YEAR(BD!H290),"Standard"),TabRFR[[#Headers],[2021]:[2025]],0)),"Intermédiaire","Supérieur")))))))</f>
        <v>Intermédiaire</v>
      </c>
      <c r="X290" s="143"/>
      <c r="Y290" s="143" t="s">
        <v>1288</v>
      </c>
      <c r="Z290" s="143">
        <v>38850</v>
      </c>
      <c r="AA290" s="143" t="s">
        <v>148</v>
      </c>
      <c r="AB290" s="148"/>
      <c r="AC290" s="149"/>
      <c r="AD290" s="143" t="s">
        <v>91</v>
      </c>
      <c r="AE290" s="143" t="s">
        <v>76</v>
      </c>
      <c r="AF290" s="143" t="s">
        <v>76</v>
      </c>
      <c r="AG290" s="143" t="s">
        <v>76</v>
      </c>
      <c r="AH290" s="143" t="s">
        <v>76</v>
      </c>
      <c r="AI290" s="143" t="s">
        <v>905</v>
      </c>
      <c r="AJ290" s="143" t="s">
        <v>136</v>
      </c>
      <c r="AK290" s="143" t="s">
        <v>906</v>
      </c>
      <c r="AL290" s="150" t="s">
        <v>907</v>
      </c>
      <c r="AM290" s="148">
        <v>438920220</v>
      </c>
      <c r="AN290" s="143" t="s">
        <v>76</v>
      </c>
      <c r="AO290" s="150" t="s">
        <v>102</v>
      </c>
      <c r="AP290" s="147">
        <v>44668</v>
      </c>
      <c r="AQ290" s="135" t="s">
        <v>3323</v>
      </c>
      <c r="AR290" s="143" t="s">
        <v>213</v>
      </c>
      <c r="AS290" s="135" t="s">
        <v>3496</v>
      </c>
      <c r="AT290" s="135" t="s">
        <v>3446</v>
      </c>
      <c r="AU290" s="143" t="s">
        <v>369</v>
      </c>
      <c r="AV290" s="143" t="s">
        <v>1289</v>
      </c>
      <c r="AW290" s="143">
        <v>5</v>
      </c>
      <c r="AX290" s="143">
        <v>9</v>
      </c>
      <c r="AY290" s="143">
        <v>77</v>
      </c>
      <c r="AZ290" s="143">
        <v>7.0000000000000007E-2</v>
      </c>
      <c r="BA290" s="143" t="s">
        <v>101</v>
      </c>
      <c r="BB290" s="143"/>
      <c r="BC290" s="143">
        <f>3186+222+390.22+241+1537+355+1051+57+52+198+91+456</f>
        <v>7836.22</v>
      </c>
      <c r="BD290" s="143"/>
      <c r="BE290" s="143">
        <f>1818+51+135</f>
        <v>2004</v>
      </c>
      <c r="BF290" s="143">
        <f t="shared" si="12"/>
        <v>9840.2200000000012</v>
      </c>
      <c r="BG290" s="151">
        <f t="shared" si="13"/>
        <v>541.21210000000008</v>
      </c>
      <c r="BH290" s="151">
        <f t="shared" si="14"/>
        <v>10381.432100000002</v>
      </c>
      <c r="BI290" s="151">
        <v>9300</v>
      </c>
      <c r="BJ290" s="143" t="s">
        <v>102</v>
      </c>
      <c r="BK290" s="143"/>
      <c r="BL290" s="143"/>
      <c r="BM290" s="144" t="s">
        <v>3592</v>
      </c>
      <c r="BN290" s="144" t="s">
        <v>103</v>
      </c>
      <c r="BO290" s="144" t="s">
        <v>143</v>
      </c>
      <c r="BP290" s="144">
        <v>2022</v>
      </c>
      <c r="BQ290" s="203" t="s">
        <v>144</v>
      </c>
    </row>
    <row r="291" spans="1:69" ht="41.1" customHeight="1">
      <c r="A291" s="133" t="s">
        <v>86</v>
      </c>
      <c r="B291" s="133" t="s">
        <v>1290</v>
      </c>
      <c r="C291" s="143">
        <v>1000</v>
      </c>
      <c r="D291" s="135">
        <v>44504</v>
      </c>
      <c r="E291" s="135">
        <v>44508</v>
      </c>
      <c r="F291" s="147" t="s">
        <v>76</v>
      </c>
      <c r="G291" s="135" t="s">
        <v>76</v>
      </c>
      <c r="H291" s="147">
        <v>44512</v>
      </c>
      <c r="I291" s="147">
        <v>44512</v>
      </c>
      <c r="J291" s="147">
        <v>44519</v>
      </c>
      <c r="K291" s="135">
        <v>44582</v>
      </c>
      <c r="L291" s="135">
        <v>44553</v>
      </c>
      <c r="M291" s="135" t="s">
        <v>76</v>
      </c>
      <c r="N291" s="135">
        <v>44606</v>
      </c>
      <c r="O291" s="135">
        <v>44606</v>
      </c>
      <c r="P291" s="135">
        <v>44607</v>
      </c>
      <c r="Q291" s="135"/>
      <c r="R291" s="143"/>
      <c r="S291" s="143"/>
      <c r="T291" s="143"/>
      <c r="U291" s="143">
        <v>2</v>
      </c>
      <c r="V291" s="143">
        <v>27680</v>
      </c>
      <c r="W291" s="143" t="str">
        <f ca="1">IF(H291="",IF(D291="","",IF(U291+V291&lt;15,"Données Nb pers ou RFR manquantes",IF(COUNTA(INDIRECT("TabRFR["&amp;YEAR(D291)&amp;"]"))&lt;&gt;COUNTA(TabRFR[Recherche RFR]),"Data RFR manquantes", IF(V291&lt;=INDEX(TabRFR[[2021]:[2025]],MATCH(BD!U291&amp;"-Très modestes",TabRFR[Recherche RFR],0),MATCH(TEXT(YEAR(BD!D291),"Standard"),TabRFR[[#Headers],[2021]:[2025]],0)),"Très Modeste",IF(V291&lt;=INDEX(TabRFR[[2021]:[2025]],MATCH(BD!U291&amp;"-modestes",TabRFR[Recherche RFR],0),MATCH(TEXT(YEAR(BD!D291),"Standard"),TabRFR[[#Headers],[2021]:[2025]],0)),"Modeste",IF(V291&lt;=INDEX(TabRFR[[2021]:[2025]],MATCH(BD!U291&amp;"-Intermédiaire",TabRFR[Recherche RFR],0),MATCH(TEXT(YEAR(BD!D291),"Standard"),TabRFR[[#Headers],[2021]:[2025]],0)),"Intermédiaire","Supérieur")))))),IF(D291="","",IF(U291+V291&lt;15,"Données Nb pers ou RFR manquantes",IF(COUNTA(INDIRECT("TabRFR["&amp;YEAR(H291)&amp;"]"))&lt;&gt;COUNTA(TabRFR[Recherche RFR]),"Data RFR manquantes", IF(V291&lt;=INDEX(TabRFR[[2021]:[2025]],MATCH(BD!U291&amp;"-Très modestes",TabRFR[Recherche RFR],0),MATCH(TEXT(YEAR(BD!H291),"Standard"),TabRFR[[#Headers],[2021]:[2025]],0)),"Très Modeste",IF(V291&lt;=INDEX(TabRFR[[2021]:[2025]],MATCH(BD!U291&amp;"-modestes",TabRFR[Recherche RFR],0),MATCH(TEXT(YEAR(BD!H291),"Standard"),TabRFR[[#Headers],[2021]:[2025]],0)),"Modeste",IF(V291&lt;=INDEX(TabRFR[[2021]:[2025]],MATCH(BD!U291&amp;"-Intermédiaire",TabRFR[Recherche RFR],0),MATCH(TEXT(YEAR(BD!H291),"Standard"),TabRFR[[#Headers],[2021]:[2025]],0)),"Intermédiaire","Supérieur")))))))</f>
        <v>Modeste</v>
      </c>
      <c r="X291" s="143"/>
      <c r="Y291" s="143" t="s">
        <v>1291</v>
      </c>
      <c r="Z291" s="143">
        <v>38730</v>
      </c>
      <c r="AA291" s="143" t="s">
        <v>148</v>
      </c>
      <c r="AB291" s="148"/>
      <c r="AC291" s="149"/>
      <c r="AD291" s="143" t="s">
        <v>91</v>
      </c>
      <c r="AE291" s="143" t="s">
        <v>76</v>
      </c>
      <c r="AF291" s="143" t="s">
        <v>76</v>
      </c>
      <c r="AG291" s="143" t="s">
        <v>76</v>
      </c>
      <c r="AH291" s="143" t="s">
        <v>76</v>
      </c>
      <c r="AI291" s="143" t="s">
        <v>298</v>
      </c>
      <c r="AJ291" s="143" t="s">
        <v>299</v>
      </c>
      <c r="AK291" s="143" t="s">
        <v>300</v>
      </c>
      <c r="AL291" s="150" t="s">
        <v>301</v>
      </c>
      <c r="AM291" s="148">
        <v>479750979</v>
      </c>
      <c r="AN291" s="143" t="s">
        <v>76</v>
      </c>
      <c r="AO291" s="150" t="s">
        <v>102</v>
      </c>
      <c r="AP291" s="147">
        <v>44798</v>
      </c>
      <c r="AQ291" s="135" t="s">
        <v>3496</v>
      </c>
      <c r="AR291" s="143">
        <v>1977</v>
      </c>
      <c r="AS291" s="143" t="s">
        <v>3413</v>
      </c>
      <c r="AT291" s="143" t="s">
        <v>98</v>
      </c>
      <c r="AU291" s="143" t="s">
        <v>1292</v>
      </c>
      <c r="AV291" s="143" t="s">
        <v>1293</v>
      </c>
      <c r="AW291" s="143">
        <v>18</v>
      </c>
      <c r="AX291" s="143">
        <v>10</v>
      </c>
      <c r="AY291" s="143">
        <v>90.4</v>
      </c>
      <c r="AZ291" s="143">
        <v>3.0000000000000001E-3</v>
      </c>
      <c r="BA291" s="143" t="s">
        <v>101</v>
      </c>
      <c r="BB291" s="143"/>
      <c r="BC291" s="143">
        <f>70+45+490+85+116+210+90+117+128+2676</f>
        <v>4027</v>
      </c>
      <c r="BD291" s="143"/>
      <c r="BE291" s="143">
        <f>760+45+200</f>
        <v>1005</v>
      </c>
      <c r="BF291" s="143">
        <f t="shared" si="12"/>
        <v>5032</v>
      </c>
      <c r="BG291" s="151">
        <f t="shared" si="13"/>
        <v>276.76</v>
      </c>
      <c r="BH291" s="151">
        <f t="shared" si="14"/>
        <v>5308.76</v>
      </c>
      <c r="BI291" s="151">
        <f>(1516.59*1.055)+3710.52</f>
        <v>5310.5224499999995</v>
      </c>
      <c r="BJ291" s="143" t="s">
        <v>102</v>
      </c>
      <c r="BK291" s="143"/>
      <c r="BL291" s="143"/>
      <c r="BM291" s="144" t="s">
        <v>3592</v>
      </c>
      <c r="BN291" s="144" t="s">
        <v>103</v>
      </c>
      <c r="BO291" s="135" t="s">
        <v>155</v>
      </c>
      <c r="BP291" s="143" t="s">
        <v>3583</v>
      </c>
      <c r="BQ291" s="203" t="s">
        <v>144</v>
      </c>
    </row>
    <row r="292" spans="1:69" ht="41.1" customHeight="1">
      <c r="A292" s="133" t="s">
        <v>86</v>
      </c>
      <c r="B292" s="133" t="s">
        <v>1294</v>
      </c>
      <c r="C292" s="143">
        <v>1000</v>
      </c>
      <c r="D292" s="135">
        <v>44504</v>
      </c>
      <c r="E292" s="135">
        <v>44508</v>
      </c>
      <c r="F292" s="147" t="s">
        <v>76</v>
      </c>
      <c r="G292" s="135" t="s">
        <v>76</v>
      </c>
      <c r="H292" s="147">
        <v>44512</v>
      </c>
      <c r="I292" s="147">
        <v>44512</v>
      </c>
      <c r="J292" s="147">
        <v>44519</v>
      </c>
      <c r="K292" s="135">
        <v>44573</v>
      </c>
      <c r="L292" s="135">
        <v>44561</v>
      </c>
      <c r="M292" s="135" t="s">
        <v>76</v>
      </c>
      <c r="N292" s="135">
        <v>44580</v>
      </c>
      <c r="O292" s="135">
        <v>44580</v>
      </c>
      <c r="P292" s="135">
        <v>44581</v>
      </c>
      <c r="Q292" s="135"/>
      <c r="R292" s="143"/>
      <c r="S292" s="143"/>
      <c r="T292" s="143"/>
      <c r="U292" s="143">
        <v>2</v>
      </c>
      <c r="V292" s="143">
        <v>16275</v>
      </c>
      <c r="W292" s="143" t="str">
        <f ca="1">IF(H292="",IF(D292="","",IF(U292+V292&lt;15,"Données Nb pers ou RFR manquantes",IF(COUNTA(INDIRECT("TabRFR["&amp;YEAR(D292)&amp;"]"))&lt;&gt;COUNTA(TabRFR[Recherche RFR]),"Data RFR manquantes", IF(V292&lt;=INDEX(TabRFR[[2021]:[2025]],MATCH(BD!U292&amp;"-Très modestes",TabRFR[Recherche RFR],0),MATCH(TEXT(YEAR(BD!D292),"Standard"),TabRFR[[#Headers],[2021]:[2025]],0)),"Très Modeste",IF(V292&lt;=INDEX(TabRFR[[2021]:[2025]],MATCH(BD!U292&amp;"-modestes",TabRFR[Recherche RFR],0),MATCH(TEXT(YEAR(BD!D292),"Standard"),TabRFR[[#Headers],[2021]:[2025]],0)),"Modeste",IF(V292&lt;=INDEX(TabRFR[[2021]:[2025]],MATCH(BD!U292&amp;"-Intermédiaire",TabRFR[Recherche RFR],0),MATCH(TEXT(YEAR(BD!D292),"Standard"),TabRFR[[#Headers],[2021]:[2025]],0)),"Intermédiaire","Supérieur")))))),IF(D292="","",IF(U292+V292&lt;15,"Données Nb pers ou RFR manquantes",IF(COUNTA(INDIRECT("TabRFR["&amp;YEAR(H292)&amp;"]"))&lt;&gt;COUNTA(TabRFR[Recherche RFR]),"Data RFR manquantes", IF(V292&lt;=INDEX(TabRFR[[2021]:[2025]],MATCH(BD!U292&amp;"-Très modestes",TabRFR[Recherche RFR],0),MATCH(TEXT(YEAR(BD!H292),"Standard"),TabRFR[[#Headers],[2021]:[2025]],0)),"Très Modeste",IF(V292&lt;=INDEX(TabRFR[[2021]:[2025]],MATCH(BD!U292&amp;"-modestes",TabRFR[Recherche RFR],0),MATCH(TEXT(YEAR(BD!H292),"Standard"),TabRFR[[#Headers],[2021]:[2025]],0)),"Modeste",IF(V292&lt;=INDEX(TabRFR[[2021]:[2025]],MATCH(BD!U292&amp;"-Intermédiaire",TabRFR[Recherche RFR],0),MATCH(TEXT(YEAR(BD!H292),"Standard"),TabRFR[[#Headers],[2021]:[2025]],0)),"Intermédiaire","Supérieur")))))))</f>
        <v>Très Modeste</v>
      </c>
      <c r="X292" s="143"/>
      <c r="Y292" s="143" t="s">
        <v>1226</v>
      </c>
      <c r="Z292" s="143">
        <v>38730</v>
      </c>
      <c r="AA292" s="143" t="s">
        <v>148</v>
      </c>
      <c r="AB292" s="148"/>
      <c r="AC292" s="149"/>
      <c r="AD292" s="143" t="s">
        <v>91</v>
      </c>
      <c r="AE292" s="143" t="s">
        <v>76</v>
      </c>
      <c r="AF292" s="143" t="s">
        <v>76</v>
      </c>
      <c r="AG292" s="143" t="s">
        <v>76</v>
      </c>
      <c r="AH292" s="143" t="s">
        <v>76</v>
      </c>
      <c r="AI292" s="143" t="s">
        <v>92</v>
      </c>
      <c r="AJ292" s="143" t="s">
        <v>93</v>
      </c>
      <c r="AK292" s="143" t="s">
        <v>94</v>
      </c>
      <c r="AL292" s="149" t="s">
        <v>95</v>
      </c>
      <c r="AM292" s="148" t="s">
        <v>96</v>
      </c>
      <c r="AN292" s="143" t="s">
        <v>76</v>
      </c>
      <c r="AO292" s="150" t="s">
        <v>97</v>
      </c>
      <c r="AP292" s="147">
        <v>44517</v>
      </c>
      <c r="AQ292" s="135" t="s">
        <v>3496</v>
      </c>
      <c r="AR292" s="143">
        <v>1975</v>
      </c>
      <c r="AS292" s="143" t="s">
        <v>3413</v>
      </c>
      <c r="AT292" s="143" t="s">
        <v>98</v>
      </c>
      <c r="AU292" s="143" t="s">
        <v>99</v>
      </c>
      <c r="AV292" s="143" t="s">
        <v>1295</v>
      </c>
      <c r="AW292" s="143">
        <v>11</v>
      </c>
      <c r="AX292" s="143">
        <v>12</v>
      </c>
      <c r="AY292" s="143">
        <v>88.5</v>
      </c>
      <c r="AZ292" s="143">
        <v>0.01</v>
      </c>
      <c r="BA292" s="143" t="s">
        <v>101</v>
      </c>
      <c r="BB292" s="143"/>
      <c r="BC292" s="143">
        <f>4300+118+393+215</f>
        <v>5026</v>
      </c>
      <c r="BD292" s="143"/>
      <c r="BE292" s="143">
        <f>790+1385</f>
        <v>2175</v>
      </c>
      <c r="BF292" s="143">
        <f t="shared" si="12"/>
        <v>7201</v>
      </c>
      <c r="BG292" s="151">
        <f t="shared" si="13"/>
        <v>396.05500000000001</v>
      </c>
      <c r="BH292" s="151">
        <f t="shared" si="14"/>
        <v>7597.0550000000003</v>
      </c>
      <c r="BI292" s="151">
        <v>7597.06</v>
      </c>
      <c r="BJ292" s="143" t="s">
        <v>102</v>
      </c>
      <c r="BK292" s="143"/>
      <c r="BL292" s="143"/>
      <c r="BM292" s="144" t="s">
        <v>3592</v>
      </c>
      <c r="BN292" s="144" t="s">
        <v>103</v>
      </c>
      <c r="BO292" s="135" t="s">
        <v>155</v>
      </c>
      <c r="BP292" s="143" t="s">
        <v>3583</v>
      </c>
      <c r="BQ292" s="203" t="s">
        <v>144</v>
      </c>
    </row>
    <row r="293" spans="1:69" ht="41.1" customHeight="1">
      <c r="A293" s="133" t="s">
        <v>86</v>
      </c>
      <c r="B293" s="133" t="s">
        <v>1296</v>
      </c>
      <c r="C293" s="143">
        <v>600</v>
      </c>
      <c r="D293" s="135">
        <v>44505</v>
      </c>
      <c r="E293" s="135">
        <v>44508</v>
      </c>
      <c r="F293" s="147" t="s">
        <v>76</v>
      </c>
      <c r="G293" s="135" t="s">
        <v>76</v>
      </c>
      <c r="H293" s="147">
        <v>44512</v>
      </c>
      <c r="I293" s="147">
        <v>44512</v>
      </c>
      <c r="J293" s="147">
        <v>44519</v>
      </c>
      <c r="K293" s="135">
        <v>44781</v>
      </c>
      <c r="L293" s="135">
        <v>44714</v>
      </c>
      <c r="M293" s="135" t="s">
        <v>76</v>
      </c>
      <c r="N293" s="135">
        <v>44795</v>
      </c>
      <c r="O293" s="135">
        <v>44795</v>
      </c>
      <c r="P293" s="135">
        <v>44796</v>
      </c>
      <c r="Q293" s="135"/>
      <c r="R293" s="143"/>
      <c r="S293" s="143"/>
      <c r="T293" s="143"/>
      <c r="U293" s="143">
        <v>2</v>
      </c>
      <c r="V293" s="143">
        <v>38186</v>
      </c>
      <c r="W293" s="143" t="str">
        <f ca="1">IF(H293="",IF(D293="","",IF(U293+V293&lt;15,"Données Nb pers ou RFR manquantes",IF(COUNTA(INDIRECT("TabRFR["&amp;YEAR(D293)&amp;"]"))&lt;&gt;COUNTA(TabRFR[Recherche RFR]),"Data RFR manquantes", IF(V293&lt;=INDEX(TabRFR[[2021]:[2025]],MATCH(BD!U293&amp;"-Très modestes",TabRFR[Recherche RFR],0),MATCH(TEXT(YEAR(BD!D293),"Standard"),TabRFR[[#Headers],[2021]:[2025]],0)),"Très Modeste",IF(V293&lt;=INDEX(TabRFR[[2021]:[2025]],MATCH(BD!U293&amp;"-modestes",TabRFR[Recherche RFR],0),MATCH(TEXT(YEAR(BD!D293),"Standard"),TabRFR[[#Headers],[2021]:[2025]],0)),"Modeste",IF(V293&lt;=INDEX(TabRFR[[2021]:[2025]],MATCH(BD!U293&amp;"-Intermédiaire",TabRFR[Recherche RFR],0),MATCH(TEXT(YEAR(BD!D293),"Standard"),TabRFR[[#Headers],[2021]:[2025]],0)),"Intermédiaire","Supérieur")))))),IF(D293="","",IF(U293+V293&lt;15,"Données Nb pers ou RFR manquantes",IF(COUNTA(INDIRECT("TabRFR["&amp;YEAR(H293)&amp;"]"))&lt;&gt;COUNTA(TabRFR[Recherche RFR]),"Data RFR manquantes", IF(V293&lt;=INDEX(TabRFR[[2021]:[2025]],MATCH(BD!U293&amp;"-Très modestes",TabRFR[Recherche RFR],0),MATCH(TEXT(YEAR(BD!H293),"Standard"),TabRFR[[#Headers],[2021]:[2025]],0)),"Très Modeste",IF(V293&lt;=INDEX(TabRFR[[2021]:[2025]],MATCH(BD!U293&amp;"-modestes",TabRFR[Recherche RFR],0),MATCH(TEXT(YEAR(BD!H293),"Standard"),TabRFR[[#Headers],[2021]:[2025]],0)),"Modeste",IF(V293&lt;=INDEX(TabRFR[[2021]:[2025]],MATCH(BD!U293&amp;"-Intermédiaire",TabRFR[Recherche RFR],0),MATCH(TEXT(YEAR(BD!H293),"Standard"),TabRFR[[#Headers],[2021]:[2025]],0)),"Intermédiaire","Supérieur")))))))</f>
        <v>Intermédiaire</v>
      </c>
      <c r="X293" s="143"/>
      <c r="Y293" s="143" t="s">
        <v>1297</v>
      </c>
      <c r="Z293" s="143">
        <v>38430</v>
      </c>
      <c r="AA293" s="143" t="s">
        <v>351</v>
      </c>
      <c r="AB293" s="148"/>
      <c r="AC293" s="149"/>
      <c r="AD293" s="143" t="s">
        <v>91</v>
      </c>
      <c r="AE293" s="143" t="s">
        <v>76</v>
      </c>
      <c r="AF293" s="143" t="s">
        <v>76</v>
      </c>
      <c r="AG293" s="143" t="s">
        <v>76</v>
      </c>
      <c r="AH293" s="143" t="s">
        <v>76</v>
      </c>
      <c r="AI293" s="143" t="s">
        <v>905</v>
      </c>
      <c r="AJ293" s="143" t="s">
        <v>136</v>
      </c>
      <c r="AK293" s="143" t="s">
        <v>906</v>
      </c>
      <c r="AL293" s="150" t="s">
        <v>907</v>
      </c>
      <c r="AM293" s="148">
        <v>438920220</v>
      </c>
      <c r="AN293" s="143" t="s">
        <v>76</v>
      </c>
      <c r="AO293" s="150" t="s">
        <v>102</v>
      </c>
      <c r="AP293" s="147">
        <v>44668</v>
      </c>
      <c r="AQ293" s="135" t="s">
        <v>3496</v>
      </c>
      <c r="AR293" s="143">
        <v>1994</v>
      </c>
      <c r="AS293" s="143" t="s">
        <v>3413</v>
      </c>
      <c r="AT293" s="143" t="s">
        <v>98</v>
      </c>
      <c r="AU293" s="143" t="s">
        <v>1298</v>
      </c>
      <c r="AV293" s="143" t="s">
        <v>1299</v>
      </c>
      <c r="AW293" s="143">
        <v>29</v>
      </c>
      <c r="AX293" s="143">
        <v>14</v>
      </c>
      <c r="AY293" s="143">
        <v>88</v>
      </c>
      <c r="AZ293" s="143">
        <v>0.01</v>
      </c>
      <c r="BA293" s="143" t="s">
        <v>101</v>
      </c>
      <c r="BB293" s="143"/>
      <c r="BC293" s="143">
        <f>4493.84+489+187+338+260+475+49+345+167+1.67</f>
        <v>6805.51</v>
      </c>
      <c r="BD293" s="143"/>
      <c r="BE293" s="143">
        <f>987+138+50+118</f>
        <v>1293</v>
      </c>
      <c r="BF293" s="143">
        <f t="shared" si="12"/>
        <v>8098.51</v>
      </c>
      <c r="BG293" s="151">
        <f t="shared" si="13"/>
        <v>445.41804999999999</v>
      </c>
      <c r="BH293" s="151">
        <f t="shared" si="14"/>
        <v>8543.9280500000004</v>
      </c>
      <c r="BI293" s="151">
        <v>7830</v>
      </c>
      <c r="BJ293" s="143" t="s">
        <v>102</v>
      </c>
      <c r="BK293" s="143"/>
      <c r="BL293" s="143"/>
      <c r="BM293" s="144" t="s">
        <v>3592</v>
      </c>
      <c r="BN293" s="144" t="s">
        <v>103</v>
      </c>
      <c r="BO293" s="144" t="s">
        <v>143</v>
      </c>
      <c r="BP293" s="143" t="s">
        <v>3583</v>
      </c>
      <c r="BQ293" s="203" t="s">
        <v>144</v>
      </c>
    </row>
    <row r="294" spans="1:69" ht="41.1" customHeight="1">
      <c r="A294" s="133" t="s">
        <v>86</v>
      </c>
      <c r="B294" s="133" t="s">
        <v>1300</v>
      </c>
      <c r="C294" s="143">
        <v>600</v>
      </c>
      <c r="D294" s="135">
        <v>44505</v>
      </c>
      <c r="E294" s="135">
        <v>44508</v>
      </c>
      <c r="F294" s="147" t="s">
        <v>76</v>
      </c>
      <c r="G294" s="135" t="s">
        <v>76</v>
      </c>
      <c r="H294" s="147">
        <v>44512</v>
      </c>
      <c r="I294" s="147">
        <v>44512</v>
      </c>
      <c r="J294" s="147">
        <v>44519</v>
      </c>
      <c r="K294" s="135">
        <v>44582</v>
      </c>
      <c r="L294" s="135">
        <v>44574</v>
      </c>
      <c r="M294" s="135" t="s">
        <v>76</v>
      </c>
      <c r="N294" s="135">
        <v>44606</v>
      </c>
      <c r="O294" s="135">
        <v>44606</v>
      </c>
      <c r="P294" s="135">
        <v>44607</v>
      </c>
      <c r="Q294" s="135"/>
      <c r="R294" s="143"/>
      <c r="S294" s="143"/>
      <c r="T294" s="143"/>
      <c r="U294" s="143">
        <v>1</v>
      </c>
      <c r="V294" s="143">
        <v>25748</v>
      </c>
      <c r="W294" s="143" t="str">
        <f ca="1">IF(H294="",IF(D294="","",IF(U294+V294&lt;15,"Données Nb pers ou RFR manquantes",IF(COUNTA(INDIRECT("TabRFR["&amp;YEAR(D294)&amp;"]"))&lt;&gt;COUNTA(TabRFR[Recherche RFR]),"Data RFR manquantes", IF(V294&lt;=INDEX(TabRFR[[2021]:[2025]],MATCH(BD!U294&amp;"-Très modestes",TabRFR[Recherche RFR],0),MATCH(TEXT(YEAR(BD!D294),"Standard"),TabRFR[[#Headers],[2021]:[2025]],0)),"Très Modeste",IF(V294&lt;=INDEX(TabRFR[[2021]:[2025]],MATCH(BD!U294&amp;"-modestes",TabRFR[Recherche RFR],0),MATCH(TEXT(YEAR(BD!D294),"Standard"),TabRFR[[#Headers],[2021]:[2025]],0)),"Modeste",IF(V294&lt;=INDEX(TabRFR[[2021]:[2025]],MATCH(BD!U294&amp;"-Intermédiaire",TabRFR[Recherche RFR],0),MATCH(TEXT(YEAR(BD!D294),"Standard"),TabRFR[[#Headers],[2021]:[2025]],0)),"Intermédiaire","Supérieur")))))),IF(D294="","",IF(U294+V294&lt;15,"Données Nb pers ou RFR manquantes",IF(COUNTA(INDIRECT("TabRFR["&amp;YEAR(H294)&amp;"]"))&lt;&gt;COUNTA(TabRFR[Recherche RFR]),"Data RFR manquantes", IF(V294&lt;=INDEX(TabRFR[[2021]:[2025]],MATCH(BD!U294&amp;"-Très modestes",TabRFR[Recherche RFR],0),MATCH(TEXT(YEAR(BD!H294),"Standard"),TabRFR[[#Headers],[2021]:[2025]],0)),"Très Modeste",IF(V294&lt;=INDEX(TabRFR[[2021]:[2025]],MATCH(BD!U294&amp;"-modestes",TabRFR[Recherche RFR],0),MATCH(TEXT(YEAR(BD!H294),"Standard"),TabRFR[[#Headers],[2021]:[2025]],0)),"Modeste",IF(V294&lt;=INDEX(TabRFR[[2021]:[2025]],MATCH(BD!U294&amp;"-Intermédiaire",TabRFR[Recherche RFR],0),MATCH(TEXT(YEAR(BD!H294),"Standard"),TabRFR[[#Headers],[2021]:[2025]],0)),"Intermédiaire","Supérieur")))))))</f>
        <v>Intermédiaire</v>
      </c>
      <c r="X294" s="143"/>
      <c r="Y294" s="143" t="s">
        <v>1301</v>
      </c>
      <c r="Z294" s="143">
        <v>38430</v>
      </c>
      <c r="AA294" s="143" t="s">
        <v>351</v>
      </c>
      <c r="AB294" s="148"/>
      <c r="AC294" s="149"/>
      <c r="AD294" s="143" t="s">
        <v>91</v>
      </c>
      <c r="AE294" s="143" t="s">
        <v>76</v>
      </c>
      <c r="AF294" s="143" t="s">
        <v>76</v>
      </c>
      <c r="AG294" s="143" t="s">
        <v>76</v>
      </c>
      <c r="AH294" s="143" t="s">
        <v>76</v>
      </c>
      <c r="AI294" s="143" t="s">
        <v>169</v>
      </c>
      <c r="AJ294" s="143" t="s">
        <v>119</v>
      </c>
      <c r="AK294" s="143" t="s">
        <v>170</v>
      </c>
      <c r="AL294" s="149" t="s">
        <v>171</v>
      </c>
      <c r="AM294" s="148">
        <v>476355605</v>
      </c>
      <c r="AN294" s="143" t="s">
        <v>76</v>
      </c>
      <c r="AO294" s="150" t="s">
        <v>102</v>
      </c>
      <c r="AP294" s="147">
        <v>44860</v>
      </c>
      <c r="AQ294" s="135" t="s">
        <v>3449</v>
      </c>
      <c r="AR294" s="143">
        <v>1980</v>
      </c>
      <c r="AS294" s="143" t="s">
        <v>3413</v>
      </c>
      <c r="AT294" s="135" t="s">
        <v>3446</v>
      </c>
      <c r="AU294" s="143" t="s">
        <v>173</v>
      </c>
      <c r="AV294" s="143" t="s">
        <v>1302</v>
      </c>
      <c r="AW294" s="143">
        <v>22</v>
      </c>
      <c r="AX294" s="143">
        <v>6.4</v>
      </c>
      <c r="AY294" s="143">
        <v>78</v>
      </c>
      <c r="AZ294" s="143">
        <v>0.1</v>
      </c>
      <c r="BA294" s="143" t="s">
        <v>101</v>
      </c>
      <c r="BB294" s="143"/>
      <c r="BC294" s="143">
        <f>540+35.5+68.98+165.75+77.51+56.32+2000+218+44.8+45.35+74.56</f>
        <v>3326.77</v>
      </c>
      <c r="BD294" s="143"/>
      <c r="BE294" s="143">
        <f>99.09+68.6+350+425</f>
        <v>942.69</v>
      </c>
      <c r="BF294" s="143">
        <f t="shared" si="12"/>
        <v>4269.46</v>
      </c>
      <c r="BG294" s="151">
        <f t="shared" si="13"/>
        <v>234.8203</v>
      </c>
      <c r="BH294" s="151">
        <f t="shared" si="14"/>
        <v>4504.2803000000004</v>
      </c>
      <c r="BI294" s="151">
        <v>4504.28</v>
      </c>
      <c r="BJ294" s="143" t="s">
        <v>102</v>
      </c>
      <c r="BK294" s="143"/>
      <c r="BL294" s="143"/>
      <c r="BM294" s="144" t="s">
        <v>3592</v>
      </c>
      <c r="BN294" s="144" t="s">
        <v>103</v>
      </c>
      <c r="BO294" s="144" t="s">
        <v>143</v>
      </c>
      <c r="BP294" s="144">
        <v>2021</v>
      </c>
      <c r="BQ294" s="203" t="s">
        <v>144</v>
      </c>
    </row>
    <row r="295" spans="1:69" ht="41.1" customHeight="1">
      <c r="A295" s="135" t="s">
        <v>86</v>
      </c>
      <c r="B295" s="135" t="s">
        <v>1303</v>
      </c>
      <c r="C295" s="143">
        <v>600</v>
      </c>
      <c r="D295" s="135">
        <v>44507</v>
      </c>
      <c r="E295" s="135">
        <v>44508</v>
      </c>
      <c r="F295" s="147" t="s">
        <v>76</v>
      </c>
      <c r="G295" s="135" t="s">
        <v>76</v>
      </c>
      <c r="H295" s="147">
        <v>44512</v>
      </c>
      <c r="I295" s="147">
        <v>44512</v>
      </c>
      <c r="J295" s="147">
        <v>44519</v>
      </c>
      <c r="K295" s="135"/>
      <c r="L295" s="135"/>
      <c r="M295" s="135" t="s">
        <v>3388</v>
      </c>
      <c r="N295" s="135"/>
      <c r="O295" s="135"/>
      <c r="P295" s="135"/>
      <c r="Q295" s="135"/>
      <c r="R295" s="143"/>
      <c r="S295" s="143"/>
      <c r="T295" s="143"/>
      <c r="U295" s="143">
        <v>4</v>
      </c>
      <c r="V295" s="143">
        <v>54761</v>
      </c>
      <c r="W295" s="143" t="str">
        <f ca="1">IF(H295="",IF(D295="","",IF(U295+V295&lt;15,"Données Nb pers ou RFR manquantes",IF(COUNTA(INDIRECT("TabRFR["&amp;YEAR(D295)&amp;"]"))&lt;&gt;COUNTA(TabRFR[Recherche RFR]),"Data RFR manquantes", IF(V295&lt;=INDEX(TabRFR[[2021]:[2025]],MATCH(BD!U295&amp;"-Très modestes",TabRFR[Recherche RFR],0),MATCH(TEXT(YEAR(BD!D295),"Standard"),TabRFR[[#Headers],[2021]:[2025]],0)),"Très Modeste",IF(V295&lt;=INDEX(TabRFR[[2021]:[2025]],MATCH(BD!U295&amp;"-modestes",TabRFR[Recherche RFR],0),MATCH(TEXT(YEAR(BD!D295),"Standard"),TabRFR[[#Headers],[2021]:[2025]],0)),"Modeste",IF(V295&lt;=INDEX(TabRFR[[2021]:[2025]],MATCH(BD!U295&amp;"-Intermédiaire",TabRFR[Recherche RFR],0),MATCH(TEXT(YEAR(BD!D295),"Standard"),TabRFR[[#Headers],[2021]:[2025]],0)),"Intermédiaire","Supérieur")))))),IF(D295="","",IF(U295+V295&lt;15,"Données Nb pers ou RFR manquantes",IF(COUNTA(INDIRECT("TabRFR["&amp;YEAR(H295)&amp;"]"))&lt;&gt;COUNTA(TabRFR[Recherche RFR]),"Data RFR manquantes", IF(V295&lt;=INDEX(TabRFR[[2021]:[2025]],MATCH(BD!U295&amp;"-Très modestes",TabRFR[Recherche RFR],0),MATCH(TEXT(YEAR(BD!H295),"Standard"),TabRFR[[#Headers],[2021]:[2025]],0)),"Très Modeste",IF(V295&lt;=INDEX(TabRFR[[2021]:[2025]],MATCH(BD!U295&amp;"-modestes",TabRFR[Recherche RFR],0),MATCH(TEXT(YEAR(BD!H295),"Standard"),TabRFR[[#Headers],[2021]:[2025]],0)),"Modeste",IF(V295&lt;=INDEX(TabRFR[[2021]:[2025]],MATCH(BD!U295&amp;"-Intermédiaire",TabRFR[Recherche RFR],0),MATCH(TEXT(YEAR(BD!H295),"Standard"),TabRFR[[#Headers],[2021]:[2025]],0)),"Intermédiaire","Supérieur")))))))</f>
        <v>Intermédiaire</v>
      </c>
      <c r="X295" s="143"/>
      <c r="Y295" s="143" t="s">
        <v>761</v>
      </c>
      <c r="Z295" s="143">
        <v>38430</v>
      </c>
      <c r="AA295" s="143" t="s">
        <v>119</v>
      </c>
      <c r="AB295" s="148"/>
      <c r="AC295" s="149"/>
      <c r="AD295" s="143" t="s">
        <v>91</v>
      </c>
      <c r="AE295" s="143" t="s">
        <v>76</v>
      </c>
      <c r="AF295" s="143" t="s">
        <v>76</v>
      </c>
      <c r="AG295" s="143" t="s">
        <v>76</v>
      </c>
      <c r="AH295" s="143" t="s">
        <v>76</v>
      </c>
      <c r="AI295" s="143" t="s">
        <v>109</v>
      </c>
      <c r="AJ295" s="143" t="s">
        <v>108</v>
      </c>
      <c r="AK295" s="143" t="s">
        <v>110</v>
      </c>
      <c r="AL295" s="149" t="s">
        <v>111</v>
      </c>
      <c r="AM295" s="148" t="s">
        <v>112</v>
      </c>
      <c r="AN295" s="143" t="s">
        <v>76</v>
      </c>
      <c r="AO295" s="150" t="s">
        <v>102</v>
      </c>
      <c r="AP295" s="147">
        <v>44868</v>
      </c>
      <c r="AQ295" s="135" t="s">
        <v>3496</v>
      </c>
      <c r="AR295" s="143" t="s">
        <v>139</v>
      </c>
      <c r="AS295" s="143" t="s">
        <v>3413</v>
      </c>
      <c r="AT295" s="135" t="s">
        <v>3446</v>
      </c>
      <c r="AU295" s="143" t="s">
        <v>1028</v>
      </c>
      <c r="AV295" s="143" t="s">
        <v>1304</v>
      </c>
      <c r="AW295" s="143">
        <v>36</v>
      </c>
      <c r="AX295" s="143">
        <v>7</v>
      </c>
      <c r="AY295" s="143">
        <v>80</v>
      </c>
      <c r="AZ295" s="143">
        <v>9.8000000000000004E-2</v>
      </c>
      <c r="BA295" s="143" t="s">
        <v>101</v>
      </c>
      <c r="BB295" s="143"/>
      <c r="BC295" s="143">
        <f>3716.85+450+120+90+45+88+33+68+15</f>
        <v>4625.8500000000004</v>
      </c>
      <c r="BD295" s="143"/>
      <c r="BE295" s="143">
        <f>30+450</f>
        <v>480</v>
      </c>
      <c r="BF295" s="143">
        <f t="shared" si="12"/>
        <v>5105.8500000000004</v>
      </c>
      <c r="BG295" s="151">
        <f t="shared" si="13"/>
        <v>280.82175000000001</v>
      </c>
      <c r="BH295" s="151">
        <f t="shared" si="14"/>
        <v>5386.6717500000004</v>
      </c>
      <c r="BI295" s="151">
        <v>5386.68</v>
      </c>
      <c r="BJ295" s="143" t="s">
        <v>102</v>
      </c>
      <c r="BK295" s="143"/>
      <c r="BL295" s="143"/>
      <c r="BM295" s="144" t="s">
        <v>3592</v>
      </c>
      <c r="BN295" s="144" t="s">
        <v>103</v>
      </c>
      <c r="BO295" s="144" t="s">
        <v>143</v>
      </c>
      <c r="BP295" s="143">
        <v>2021</v>
      </c>
      <c r="BQ295" s="203"/>
    </row>
    <row r="296" spans="1:69" ht="41.1" customHeight="1">
      <c r="A296" s="205" t="s">
        <v>86</v>
      </c>
      <c r="B296" s="205" t="s">
        <v>1305</v>
      </c>
      <c r="C296" s="143">
        <v>1000</v>
      </c>
      <c r="D296" s="135">
        <v>44508</v>
      </c>
      <c r="E296" s="135">
        <v>44509</v>
      </c>
      <c r="F296" s="147" t="s">
        <v>76</v>
      </c>
      <c r="G296" s="135" t="s">
        <v>76</v>
      </c>
      <c r="H296" s="147">
        <v>44512</v>
      </c>
      <c r="I296" s="147">
        <v>44512</v>
      </c>
      <c r="J296" s="147">
        <v>44519</v>
      </c>
      <c r="K296" s="135">
        <v>44706</v>
      </c>
      <c r="L296" s="135">
        <v>44615</v>
      </c>
      <c r="M296" s="135" t="s">
        <v>1306</v>
      </c>
      <c r="N296" s="135">
        <v>44816</v>
      </c>
      <c r="O296" s="135">
        <v>44816</v>
      </c>
      <c r="P296" s="135">
        <v>44824</v>
      </c>
      <c r="Q296" s="135"/>
      <c r="R296" s="143"/>
      <c r="S296" s="143"/>
      <c r="T296" s="143"/>
      <c r="U296" s="143">
        <v>2</v>
      </c>
      <c r="V296" s="143">
        <v>16652</v>
      </c>
      <c r="W296" s="143" t="str">
        <f ca="1">IF(H296="",IF(D296="","",IF(U296+V296&lt;15,"Données Nb pers ou RFR manquantes",IF(COUNTA(INDIRECT("TabRFR["&amp;YEAR(D296)&amp;"]"))&lt;&gt;COUNTA(TabRFR[Recherche RFR]),"Data RFR manquantes", IF(V296&lt;=INDEX(TabRFR[[2021]:[2025]],MATCH(BD!U296&amp;"-Très modestes",TabRFR[Recherche RFR],0),MATCH(TEXT(YEAR(BD!D296),"Standard"),TabRFR[[#Headers],[2021]:[2025]],0)),"Très Modeste",IF(V296&lt;=INDEX(TabRFR[[2021]:[2025]],MATCH(BD!U296&amp;"-modestes",TabRFR[Recherche RFR],0),MATCH(TEXT(YEAR(BD!D296),"Standard"),TabRFR[[#Headers],[2021]:[2025]],0)),"Modeste",IF(V296&lt;=INDEX(TabRFR[[2021]:[2025]],MATCH(BD!U296&amp;"-Intermédiaire",TabRFR[Recherche RFR],0),MATCH(TEXT(YEAR(BD!D296),"Standard"),TabRFR[[#Headers],[2021]:[2025]],0)),"Intermédiaire","Supérieur")))))),IF(D296="","",IF(U296+V296&lt;15,"Données Nb pers ou RFR manquantes",IF(COUNTA(INDIRECT("TabRFR["&amp;YEAR(H296)&amp;"]"))&lt;&gt;COUNTA(TabRFR[Recherche RFR]),"Data RFR manquantes", IF(V296&lt;=INDEX(TabRFR[[2021]:[2025]],MATCH(BD!U296&amp;"-Très modestes",TabRFR[Recherche RFR],0),MATCH(TEXT(YEAR(BD!H296),"Standard"),TabRFR[[#Headers],[2021]:[2025]],0)),"Très Modeste",IF(V296&lt;=INDEX(TabRFR[[2021]:[2025]],MATCH(BD!U296&amp;"-modestes",TabRFR[Recherche RFR],0),MATCH(TEXT(YEAR(BD!H296),"Standard"),TabRFR[[#Headers],[2021]:[2025]],0)),"Modeste",IF(V296&lt;=INDEX(TabRFR[[2021]:[2025]],MATCH(BD!U296&amp;"-Intermédiaire",TabRFR[Recherche RFR],0),MATCH(TEXT(YEAR(BD!H296),"Standard"),TabRFR[[#Headers],[2021]:[2025]],0)),"Intermédiaire","Supérieur")))))))</f>
        <v>Très Modeste</v>
      </c>
      <c r="X296" s="143"/>
      <c r="Y296" s="143" t="s">
        <v>158</v>
      </c>
      <c r="Z296" s="143">
        <v>38500</v>
      </c>
      <c r="AA296" s="143" t="s">
        <v>219</v>
      </c>
      <c r="AB296" s="148"/>
      <c r="AC296" s="149"/>
      <c r="AD296" s="143" t="s">
        <v>91</v>
      </c>
      <c r="AE296" s="143" t="s">
        <v>76</v>
      </c>
      <c r="AF296" s="143" t="s">
        <v>76</v>
      </c>
      <c r="AG296" s="143" t="s">
        <v>76</v>
      </c>
      <c r="AH296" s="143" t="s">
        <v>76</v>
      </c>
      <c r="AI296" s="143" t="s">
        <v>250</v>
      </c>
      <c r="AJ296" s="143" t="s">
        <v>121</v>
      </c>
      <c r="AK296" s="143" t="s">
        <v>251</v>
      </c>
      <c r="AL296" s="150" t="s">
        <v>252</v>
      </c>
      <c r="AM296" s="148">
        <v>476452433</v>
      </c>
      <c r="AN296" s="143" t="s">
        <v>76</v>
      </c>
      <c r="AO296" s="150" t="s">
        <v>102</v>
      </c>
      <c r="AP296" s="147">
        <v>44589</v>
      </c>
      <c r="AQ296" s="143" t="s">
        <v>3413</v>
      </c>
      <c r="AR296" s="143">
        <v>2001</v>
      </c>
      <c r="AS296" s="143" t="s">
        <v>3413</v>
      </c>
      <c r="AT296" s="143" t="s">
        <v>98</v>
      </c>
      <c r="AU296" s="143" t="s">
        <v>253</v>
      </c>
      <c r="AV296" s="143" t="s">
        <v>1307</v>
      </c>
      <c r="AW296" s="143">
        <v>25</v>
      </c>
      <c r="AX296" s="143">
        <v>8</v>
      </c>
      <c r="AY296" s="143">
        <v>91</v>
      </c>
      <c r="AZ296" s="143">
        <v>5.0000000000000001E-3</v>
      </c>
      <c r="BA296" s="143" t="s">
        <v>126</v>
      </c>
      <c r="BB296" s="143"/>
      <c r="BC296" s="143">
        <f>3279.62+1215.94+218.45+87.66+69.78</f>
        <v>4871.4499999999989</v>
      </c>
      <c r="BD296" s="143"/>
      <c r="BE296" s="143">
        <f>950+400+85</f>
        <v>1435</v>
      </c>
      <c r="BF296" s="143">
        <f t="shared" si="12"/>
        <v>6306.4499999999989</v>
      </c>
      <c r="BG296" s="151">
        <f t="shared" si="13"/>
        <v>346.85474999999997</v>
      </c>
      <c r="BH296" s="151">
        <f t="shared" si="14"/>
        <v>6653.3047499999993</v>
      </c>
      <c r="BI296" s="151">
        <v>6653.34</v>
      </c>
      <c r="BJ296" s="143" t="s">
        <v>102</v>
      </c>
      <c r="BK296" s="143"/>
      <c r="BL296" s="143"/>
      <c r="BM296" s="144" t="s">
        <v>3592</v>
      </c>
      <c r="BN296" s="144" t="s">
        <v>103</v>
      </c>
      <c r="BO296" s="135" t="s">
        <v>155</v>
      </c>
      <c r="BP296" s="143" t="s">
        <v>3583</v>
      </c>
      <c r="BQ296" s="203" t="s">
        <v>144</v>
      </c>
    </row>
    <row r="297" spans="1:69" ht="41.1" customHeight="1">
      <c r="A297" s="205" t="s">
        <v>86</v>
      </c>
      <c r="B297" s="205" t="s">
        <v>1308</v>
      </c>
      <c r="C297" s="143">
        <v>600</v>
      </c>
      <c r="D297" s="135">
        <v>44508</v>
      </c>
      <c r="E297" s="135">
        <v>44509</v>
      </c>
      <c r="F297" s="147" t="s">
        <v>76</v>
      </c>
      <c r="G297" s="135" t="s">
        <v>76</v>
      </c>
      <c r="H297" s="147">
        <v>44512</v>
      </c>
      <c r="I297" s="147">
        <v>44512</v>
      </c>
      <c r="J297" s="147">
        <v>44519</v>
      </c>
      <c r="K297" s="135">
        <v>44623</v>
      </c>
      <c r="L297" s="135">
        <v>44621</v>
      </c>
      <c r="M297" s="135" t="s">
        <v>1309</v>
      </c>
      <c r="N297" s="135">
        <v>44623</v>
      </c>
      <c r="O297" s="135">
        <v>44623</v>
      </c>
      <c r="P297" s="135">
        <v>44623</v>
      </c>
      <c r="Q297" s="135"/>
      <c r="R297" s="143"/>
      <c r="S297" s="143"/>
      <c r="T297" s="143"/>
      <c r="U297" s="143">
        <v>2</v>
      </c>
      <c r="V297" s="143">
        <v>47317</v>
      </c>
      <c r="W297" s="143" t="str">
        <f ca="1">IF(H297="",IF(D297="","",IF(U297+V297&lt;15,"Données Nb pers ou RFR manquantes",IF(COUNTA(INDIRECT("TabRFR["&amp;YEAR(D297)&amp;"]"))&lt;&gt;COUNTA(TabRFR[Recherche RFR]),"Data RFR manquantes", IF(V297&lt;=INDEX(TabRFR[[2021]:[2025]],MATCH(BD!U297&amp;"-Très modestes",TabRFR[Recherche RFR],0),MATCH(TEXT(YEAR(BD!D297),"Standard"),TabRFR[[#Headers],[2021]:[2025]],0)),"Très Modeste",IF(V297&lt;=INDEX(TabRFR[[2021]:[2025]],MATCH(BD!U297&amp;"-modestes",TabRFR[Recherche RFR],0),MATCH(TEXT(YEAR(BD!D297),"Standard"),TabRFR[[#Headers],[2021]:[2025]],0)),"Modeste",IF(V297&lt;=INDEX(TabRFR[[2021]:[2025]],MATCH(BD!U297&amp;"-Intermédiaire",TabRFR[Recherche RFR],0),MATCH(TEXT(YEAR(BD!D297),"Standard"),TabRFR[[#Headers],[2021]:[2025]],0)),"Intermédiaire","Supérieur")))))),IF(D297="","",IF(U297+V297&lt;15,"Données Nb pers ou RFR manquantes",IF(COUNTA(INDIRECT("TabRFR["&amp;YEAR(H297)&amp;"]"))&lt;&gt;COUNTA(TabRFR[Recherche RFR]),"Data RFR manquantes", IF(V297&lt;=INDEX(TabRFR[[2021]:[2025]],MATCH(BD!U297&amp;"-Très modestes",TabRFR[Recherche RFR],0),MATCH(TEXT(YEAR(BD!H297),"Standard"),TabRFR[[#Headers],[2021]:[2025]],0)),"Très Modeste",IF(V297&lt;=INDEX(TabRFR[[2021]:[2025]],MATCH(BD!U297&amp;"-modestes",TabRFR[Recherche RFR],0),MATCH(TEXT(YEAR(BD!H297),"Standard"),TabRFR[[#Headers],[2021]:[2025]],0)),"Modeste",IF(V297&lt;=INDEX(TabRFR[[2021]:[2025]],MATCH(BD!U297&amp;"-Intermédiaire",TabRFR[Recherche RFR],0),MATCH(TEXT(YEAR(BD!H297),"Standard"),TabRFR[[#Headers],[2021]:[2025]],0)),"Intermédiaire","Supérieur")))))))</f>
        <v>Supérieur</v>
      </c>
      <c r="X297" s="143"/>
      <c r="Y297" s="143" t="s">
        <v>1310</v>
      </c>
      <c r="Z297" s="143">
        <v>38140</v>
      </c>
      <c r="AA297" s="143" t="s">
        <v>159</v>
      </c>
      <c r="AB297" s="148"/>
      <c r="AC297" s="149"/>
      <c r="AD297" s="143" t="s">
        <v>91</v>
      </c>
      <c r="AE297" s="143" t="s">
        <v>76</v>
      </c>
      <c r="AF297" s="143" t="s">
        <v>76</v>
      </c>
      <c r="AG297" s="143" t="s">
        <v>76</v>
      </c>
      <c r="AH297" s="143" t="s">
        <v>76</v>
      </c>
      <c r="AI297" s="135" t="s">
        <v>285</v>
      </c>
      <c r="AJ297" s="143" t="s">
        <v>108</v>
      </c>
      <c r="AK297" s="143" t="s">
        <v>286</v>
      </c>
      <c r="AL297" s="150" t="s">
        <v>287</v>
      </c>
      <c r="AM297" s="148">
        <v>476069938</v>
      </c>
      <c r="AN297" s="143" t="s">
        <v>76</v>
      </c>
      <c r="AO297" s="150" t="s">
        <v>102</v>
      </c>
      <c r="AP297" s="147">
        <v>44822</v>
      </c>
      <c r="AQ297" s="135" t="s">
        <v>3449</v>
      </c>
      <c r="AR297" s="143" t="s">
        <v>699</v>
      </c>
      <c r="AS297" s="143" t="s">
        <v>3413</v>
      </c>
      <c r="AT297" s="135" t="s">
        <v>3446</v>
      </c>
      <c r="AU297" s="143" t="s">
        <v>469</v>
      </c>
      <c r="AV297" s="143" t="s">
        <v>470</v>
      </c>
      <c r="AW297" s="143">
        <v>12</v>
      </c>
      <c r="AX297" s="143">
        <v>5</v>
      </c>
      <c r="AY297" s="143">
        <v>81</v>
      </c>
      <c r="AZ297" s="143">
        <v>0.1</v>
      </c>
      <c r="BA297" s="143" t="s">
        <v>101</v>
      </c>
      <c r="BB297" s="143"/>
      <c r="BC297" s="143">
        <f>2489+290+1350</f>
        <v>4129</v>
      </c>
      <c r="BD297" s="143"/>
      <c r="BE297" s="143">
        <f>220+450</f>
        <v>670</v>
      </c>
      <c r="BF297" s="143">
        <f t="shared" si="12"/>
        <v>4799</v>
      </c>
      <c r="BG297" s="143">
        <f t="shared" si="13"/>
        <v>263.94499999999999</v>
      </c>
      <c r="BH297" s="143">
        <f t="shared" si="14"/>
        <v>5062.9449999999997</v>
      </c>
      <c r="BI297" s="151">
        <v>5062.95</v>
      </c>
      <c r="BJ297" s="143" t="s">
        <v>102</v>
      </c>
      <c r="BK297" s="143"/>
      <c r="BL297" s="143"/>
      <c r="BM297" s="144" t="s">
        <v>3592</v>
      </c>
      <c r="BN297" s="144" t="s">
        <v>103</v>
      </c>
      <c r="BO297" s="144" t="s">
        <v>143</v>
      </c>
      <c r="BP297" s="144">
        <v>2021</v>
      </c>
      <c r="BQ297" s="203" t="s">
        <v>144</v>
      </c>
    </row>
    <row r="298" spans="1:69" ht="41.1" customHeight="1">
      <c r="A298" s="205" t="s">
        <v>86</v>
      </c>
      <c r="B298" s="205" t="s">
        <v>1311</v>
      </c>
      <c r="C298" s="143">
        <v>600</v>
      </c>
      <c r="D298" s="135">
        <v>44509</v>
      </c>
      <c r="E298" s="135">
        <v>44509</v>
      </c>
      <c r="F298" s="147">
        <v>44512</v>
      </c>
      <c r="G298" s="135" t="s">
        <v>1312</v>
      </c>
      <c r="H298" s="147">
        <v>44546</v>
      </c>
      <c r="I298" s="147">
        <v>44546</v>
      </c>
      <c r="J298" s="147">
        <v>44547</v>
      </c>
      <c r="K298" s="135">
        <v>44637</v>
      </c>
      <c r="L298" s="135">
        <v>44588</v>
      </c>
      <c r="M298" s="135"/>
      <c r="N298" s="135">
        <v>44650</v>
      </c>
      <c r="O298" s="135">
        <v>44650</v>
      </c>
      <c r="P298" s="135">
        <v>44652</v>
      </c>
      <c r="Q298" s="135"/>
      <c r="R298" s="143"/>
      <c r="S298" s="143"/>
      <c r="T298" s="143"/>
      <c r="U298" s="143">
        <v>2</v>
      </c>
      <c r="V298" s="143">
        <v>31527</v>
      </c>
      <c r="W298" s="143" t="str">
        <f ca="1">IF(H298="",IF(D298="","",IF(U298+V298&lt;15,"Données Nb pers ou RFR manquantes",IF(COUNTA(INDIRECT("TabRFR["&amp;YEAR(D298)&amp;"]"))&lt;&gt;COUNTA(TabRFR[Recherche RFR]),"Data RFR manquantes", IF(V298&lt;=INDEX(TabRFR[[2021]:[2025]],MATCH(BD!U298&amp;"-Très modestes",TabRFR[Recherche RFR],0),MATCH(TEXT(YEAR(BD!D298),"Standard"),TabRFR[[#Headers],[2021]:[2025]],0)),"Très Modeste",IF(V298&lt;=INDEX(TabRFR[[2021]:[2025]],MATCH(BD!U298&amp;"-modestes",TabRFR[Recherche RFR],0),MATCH(TEXT(YEAR(BD!D298),"Standard"),TabRFR[[#Headers],[2021]:[2025]],0)),"Modeste",IF(V298&lt;=INDEX(TabRFR[[2021]:[2025]],MATCH(BD!U298&amp;"-Intermédiaire",TabRFR[Recherche RFR],0),MATCH(TEXT(YEAR(BD!D298),"Standard"),TabRFR[[#Headers],[2021]:[2025]],0)),"Intermédiaire","Supérieur")))))),IF(D298="","",IF(U298+V298&lt;15,"Données Nb pers ou RFR manquantes",IF(COUNTA(INDIRECT("TabRFR["&amp;YEAR(H298)&amp;"]"))&lt;&gt;COUNTA(TabRFR[Recherche RFR]),"Data RFR manquantes", IF(V298&lt;=INDEX(TabRFR[[2021]:[2025]],MATCH(BD!U298&amp;"-Très modestes",TabRFR[Recherche RFR],0),MATCH(TEXT(YEAR(BD!H298),"Standard"),TabRFR[[#Headers],[2021]:[2025]],0)),"Très Modeste",IF(V298&lt;=INDEX(TabRFR[[2021]:[2025]],MATCH(BD!U298&amp;"-modestes",TabRFR[Recherche RFR],0),MATCH(TEXT(YEAR(BD!H298),"Standard"),TabRFR[[#Headers],[2021]:[2025]],0)),"Modeste",IF(V298&lt;=INDEX(TabRFR[[2021]:[2025]],MATCH(BD!U298&amp;"-Intermédiaire",TabRFR[Recherche RFR],0),MATCH(TEXT(YEAR(BD!H298),"Standard"),TabRFR[[#Headers],[2021]:[2025]],0)),"Intermédiaire","Supérieur")))))))</f>
        <v>Intermédiaire</v>
      </c>
      <c r="X298" s="143"/>
      <c r="Y298" s="143" t="s">
        <v>1313</v>
      </c>
      <c r="Z298" s="143">
        <v>38340</v>
      </c>
      <c r="AA298" s="143" t="s">
        <v>266</v>
      </c>
      <c r="AB298" s="148"/>
      <c r="AC298" s="149"/>
      <c r="AD298" s="143" t="s">
        <v>91</v>
      </c>
      <c r="AE298" s="143" t="s">
        <v>76</v>
      </c>
      <c r="AF298" s="143" t="s">
        <v>76</v>
      </c>
      <c r="AG298" s="143" t="s">
        <v>76</v>
      </c>
      <c r="AH298" s="143" t="s">
        <v>76</v>
      </c>
      <c r="AI298" s="143" t="s">
        <v>298</v>
      </c>
      <c r="AJ298" s="143" t="s">
        <v>299</v>
      </c>
      <c r="AK298" s="143" t="s">
        <v>300</v>
      </c>
      <c r="AL298" s="150" t="s">
        <v>301</v>
      </c>
      <c r="AM298" s="148">
        <v>479750979</v>
      </c>
      <c r="AN298" s="143" t="s">
        <v>76</v>
      </c>
      <c r="AO298" s="150" t="s">
        <v>102</v>
      </c>
      <c r="AP298" s="147">
        <v>44798</v>
      </c>
      <c r="AQ298" s="135" t="s">
        <v>3496</v>
      </c>
      <c r="AR298" s="143">
        <v>1984</v>
      </c>
      <c r="AS298" s="143" t="s">
        <v>3413</v>
      </c>
      <c r="AT298" s="143" t="s">
        <v>98</v>
      </c>
      <c r="AU298" s="143" t="s">
        <v>113</v>
      </c>
      <c r="AV298" s="143" t="s">
        <v>1314</v>
      </c>
      <c r="AW298" s="143">
        <v>16</v>
      </c>
      <c r="AX298" s="143">
        <v>8</v>
      </c>
      <c r="AY298" s="143">
        <v>90.4</v>
      </c>
      <c r="AZ298" s="143">
        <v>3.0000000000000001E-3</v>
      </c>
      <c r="BA298" s="143" t="s">
        <v>101</v>
      </c>
      <c r="BB298" s="143"/>
      <c r="BC298" s="143">
        <f>70+38+105+329+81+116+285+80+2242</f>
        <v>3346</v>
      </c>
      <c r="BD298" s="143"/>
      <c r="BE298" s="143">
        <f>760+1.67</f>
        <v>761.67</v>
      </c>
      <c r="BF298" s="143">
        <f t="shared" si="12"/>
        <v>4107.67</v>
      </c>
      <c r="BG298" s="151">
        <f t="shared" si="13"/>
        <v>225.92185000000001</v>
      </c>
      <c r="BH298" s="151">
        <f t="shared" si="14"/>
        <v>4333.5918499999998</v>
      </c>
      <c r="BI298" s="151">
        <v>4333.59</v>
      </c>
      <c r="BJ298" s="143" t="s">
        <v>102</v>
      </c>
      <c r="BK298" s="143"/>
      <c r="BL298" s="143"/>
      <c r="BM298" s="144" t="s">
        <v>3592</v>
      </c>
      <c r="BN298" s="144" t="s">
        <v>103</v>
      </c>
      <c r="BO298" s="144" t="s">
        <v>143</v>
      </c>
      <c r="BP298" s="143" t="s">
        <v>3583</v>
      </c>
      <c r="BQ298" s="203" t="s">
        <v>144</v>
      </c>
    </row>
    <row r="299" spans="1:69" ht="41.1" customHeight="1">
      <c r="A299" s="205" t="s">
        <v>86</v>
      </c>
      <c r="B299" s="205" t="s">
        <v>1315</v>
      </c>
      <c r="C299" s="143">
        <v>600</v>
      </c>
      <c r="D299" s="135">
        <v>44512</v>
      </c>
      <c r="E299" s="135">
        <v>44515</v>
      </c>
      <c r="F299" s="147">
        <v>44525</v>
      </c>
      <c r="G299" s="135" t="s">
        <v>571</v>
      </c>
      <c r="H299" s="147">
        <v>44539</v>
      </c>
      <c r="I299" s="147">
        <v>44539</v>
      </c>
      <c r="J299" s="147">
        <v>44540</v>
      </c>
      <c r="K299" s="135">
        <v>44816</v>
      </c>
      <c r="L299" s="135">
        <v>44763</v>
      </c>
      <c r="M299" s="135" t="s">
        <v>76</v>
      </c>
      <c r="N299" s="135">
        <v>44833</v>
      </c>
      <c r="O299" s="135">
        <v>44833</v>
      </c>
      <c r="P299" s="135">
        <v>44833</v>
      </c>
      <c r="Q299" s="135"/>
      <c r="R299" s="143"/>
      <c r="S299" s="143"/>
      <c r="T299" s="143"/>
      <c r="U299" s="143">
        <v>4</v>
      </c>
      <c r="V299" s="143">
        <f>20607+23961</f>
        <v>44568</v>
      </c>
      <c r="W299" s="143" t="str">
        <f ca="1">IF(H299="",IF(D299="","",IF(U299+V299&lt;15,"Données Nb pers ou RFR manquantes",IF(COUNTA(INDIRECT("TabRFR["&amp;YEAR(D299)&amp;"]"))&lt;&gt;COUNTA(TabRFR[Recherche RFR]),"Data RFR manquantes", IF(V299&lt;=INDEX(TabRFR[[2021]:[2025]],MATCH(BD!U299&amp;"-Très modestes",TabRFR[Recherche RFR],0),MATCH(TEXT(YEAR(BD!D299),"Standard"),TabRFR[[#Headers],[2021]:[2025]],0)),"Très Modeste",IF(V299&lt;=INDEX(TabRFR[[2021]:[2025]],MATCH(BD!U299&amp;"-modestes",TabRFR[Recherche RFR],0),MATCH(TEXT(YEAR(BD!D299),"Standard"),TabRFR[[#Headers],[2021]:[2025]],0)),"Modeste",IF(V299&lt;=INDEX(TabRFR[[2021]:[2025]],MATCH(BD!U299&amp;"-Intermédiaire",TabRFR[Recherche RFR],0),MATCH(TEXT(YEAR(BD!D299),"Standard"),TabRFR[[#Headers],[2021]:[2025]],0)),"Intermédiaire","Supérieur")))))),IF(D299="","",IF(U299+V299&lt;15,"Données Nb pers ou RFR manquantes",IF(COUNTA(INDIRECT("TabRFR["&amp;YEAR(H299)&amp;"]"))&lt;&gt;COUNTA(TabRFR[Recherche RFR]),"Data RFR manquantes", IF(V299&lt;=INDEX(TabRFR[[2021]:[2025]],MATCH(BD!U299&amp;"-Très modestes",TabRFR[Recherche RFR],0),MATCH(TEXT(YEAR(BD!H299),"Standard"),TabRFR[[#Headers],[2021]:[2025]],0)),"Très Modeste",IF(V299&lt;=INDEX(TabRFR[[2021]:[2025]],MATCH(BD!U299&amp;"-modestes",TabRFR[Recherche RFR],0),MATCH(TEXT(YEAR(BD!H299),"Standard"),TabRFR[[#Headers],[2021]:[2025]],0)),"Modeste",IF(V299&lt;=INDEX(TabRFR[[2021]:[2025]],MATCH(BD!U299&amp;"-Intermédiaire",TabRFR[Recherche RFR],0),MATCH(TEXT(YEAR(BD!H299),"Standard"),TabRFR[[#Headers],[2021]:[2025]],0)),"Intermédiaire","Supérieur")))))))</f>
        <v>Intermédiaire</v>
      </c>
      <c r="X299" s="143"/>
      <c r="Y299" s="143" t="s">
        <v>1316</v>
      </c>
      <c r="Z299" s="143">
        <v>38340</v>
      </c>
      <c r="AA299" s="143" t="s">
        <v>266</v>
      </c>
      <c r="AB299" s="148"/>
      <c r="AC299" s="149"/>
      <c r="AD299" s="143" t="s">
        <v>91</v>
      </c>
      <c r="AE299" s="143" t="s">
        <v>76</v>
      </c>
      <c r="AF299" s="143" t="s">
        <v>76</v>
      </c>
      <c r="AG299" s="143" t="s">
        <v>76</v>
      </c>
      <c r="AH299" s="143" t="s">
        <v>76</v>
      </c>
      <c r="AI299" s="143" t="s">
        <v>160</v>
      </c>
      <c r="AJ299" s="143" t="s">
        <v>161</v>
      </c>
      <c r="AK299" s="143" t="s">
        <v>227</v>
      </c>
      <c r="AL299" s="150" t="s">
        <v>228</v>
      </c>
      <c r="AM299" s="148">
        <v>438021901</v>
      </c>
      <c r="AN299" s="143" t="s">
        <v>76</v>
      </c>
      <c r="AO299" s="150" t="s">
        <v>102</v>
      </c>
      <c r="AP299" s="147">
        <v>44641</v>
      </c>
      <c r="AQ299" s="135" t="s">
        <v>3449</v>
      </c>
      <c r="AR299" s="143">
        <v>1990</v>
      </c>
      <c r="AS299" s="143" t="s">
        <v>3413</v>
      </c>
      <c r="AT299" s="135" t="s">
        <v>3446</v>
      </c>
      <c r="AU299" s="143" t="s">
        <v>164</v>
      </c>
      <c r="AV299" s="143" t="s">
        <v>455</v>
      </c>
      <c r="AW299" s="143">
        <v>28</v>
      </c>
      <c r="AX299" s="143">
        <v>7</v>
      </c>
      <c r="AY299" s="143">
        <v>76</v>
      </c>
      <c r="AZ299" s="143">
        <v>0.12</v>
      </c>
      <c r="BA299" s="143" t="s">
        <v>101</v>
      </c>
      <c r="BB299" s="143"/>
      <c r="BC299" s="143">
        <f>1248+1632+332</f>
        <v>3212</v>
      </c>
      <c r="BD299" s="143"/>
      <c r="BE299" s="143">
        <v>891</v>
      </c>
      <c r="BF299" s="143">
        <f t="shared" si="12"/>
        <v>4103</v>
      </c>
      <c r="BG299" s="151">
        <f t="shared" si="13"/>
        <v>225.66499999999999</v>
      </c>
      <c r="BH299" s="151">
        <f t="shared" si="14"/>
        <v>4328.665</v>
      </c>
      <c r="BI299" s="151">
        <v>4100</v>
      </c>
      <c r="BJ299" s="143" t="s">
        <v>115</v>
      </c>
      <c r="BK299" s="143"/>
      <c r="BL299" s="143"/>
      <c r="BM299" s="144" t="s">
        <v>3592</v>
      </c>
      <c r="BN299" s="144" t="s">
        <v>103</v>
      </c>
      <c r="BO299" s="144" t="s">
        <v>143</v>
      </c>
      <c r="BP299" s="144">
        <v>2022</v>
      </c>
      <c r="BQ299" s="203" t="s">
        <v>3274</v>
      </c>
    </row>
    <row r="300" spans="1:69" ht="41.1" customHeight="1">
      <c r="A300" s="205" t="s">
        <v>86</v>
      </c>
      <c r="B300" s="205" t="s">
        <v>1317</v>
      </c>
      <c r="C300" s="143">
        <v>1000</v>
      </c>
      <c r="D300" s="135">
        <v>44512</v>
      </c>
      <c r="E300" s="135">
        <v>44515</v>
      </c>
      <c r="F300" s="147">
        <v>44525</v>
      </c>
      <c r="G300" s="135" t="s">
        <v>1318</v>
      </c>
      <c r="H300" s="147">
        <v>44662</v>
      </c>
      <c r="I300" s="147">
        <v>44662</v>
      </c>
      <c r="J300" s="147">
        <v>44664</v>
      </c>
      <c r="K300" s="135">
        <v>44760</v>
      </c>
      <c r="L300" s="135">
        <v>44719</v>
      </c>
      <c r="M300" s="135" t="s">
        <v>1319</v>
      </c>
      <c r="N300" s="135">
        <v>44830</v>
      </c>
      <c r="O300" s="135">
        <v>44830</v>
      </c>
      <c r="P300" s="135">
        <v>44830</v>
      </c>
      <c r="Q300" s="135"/>
      <c r="R300" s="143"/>
      <c r="S300" s="143"/>
      <c r="T300" s="143"/>
      <c r="U300" s="143">
        <v>4</v>
      </c>
      <c r="V300" s="143">
        <v>28951</v>
      </c>
      <c r="W300" s="143" t="str">
        <f ca="1">IF(H300="",IF(D300="","",IF(U300+V300&lt;15,"Données Nb pers ou RFR manquantes",IF(COUNTA(INDIRECT("TabRFR["&amp;YEAR(D300)&amp;"]"))&lt;&gt;COUNTA(TabRFR[Recherche RFR]),"Data RFR manquantes", IF(V300&lt;=INDEX(TabRFR[[2021]:[2025]],MATCH(BD!U300&amp;"-Très modestes",TabRFR[Recherche RFR],0),MATCH(TEXT(YEAR(BD!D300),"Standard"),TabRFR[[#Headers],[2021]:[2025]],0)),"Très Modeste",IF(V300&lt;=INDEX(TabRFR[[2021]:[2025]],MATCH(BD!U300&amp;"-modestes",TabRFR[Recherche RFR],0),MATCH(TEXT(YEAR(BD!D300),"Standard"),TabRFR[[#Headers],[2021]:[2025]],0)),"Modeste",IF(V300&lt;=INDEX(TabRFR[[2021]:[2025]],MATCH(BD!U300&amp;"-Intermédiaire",TabRFR[Recherche RFR],0),MATCH(TEXT(YEAR(BD!D300),"Standard"),TabRFR[[#Headers],[2021]:[2025]],0)),"Intermédiaire","Supérieur")))))),IF(D300="","",IF(U300+V300&lt;15,"Données Nb pers ou RFR manquantes",IF(COUNTA(INDIRECT("TabRFR["&amp;YEAR(H300)&amp;"]"))&lt;&gt;COUNTA(TabRFR[Recherche RFR]),"Data RFR manquantes", IF(V300&lt;=INDEX(TabRFR[[2021]:[2025]],MATCH(BD!U300&amp;"-Très modestes",TabRFR[Recherche RFR],0),MATCH(TEXT(YEAR(BD!H300),"Standard"),TabRFR[[#Headers],[2021]:[2025]],0)),"Très Modeste",IF(V300&lt;=INDEX(TabRFR[[2021]:[2025]],MATCH(BD!U300&amp;"-modestes",TabRFR[Recherche RFR],0),MATCH(TEXT(YEAR(BD!H300),"Standard"),TabRFR[[#Headers],[2021]:[2025]],0)),"Modeste",IF(V300&lt;=INDEX(TabRFR[[2021]:[2025]],MATCH(BD!U300&amp;"-Intermédiaire",TabRFR[Recherche RFR],0),MATCH(TEXT(YEAR(BD!H300),"Standard"),TabRFR[[#Headers],[2021]:[2025]],0)),"Intermédiaire","Supérieur")))))))</f>
        <v>Très Modeste</v>
      </c>
      <c r="X300" s="143"/>
      <c r="Y300" s="143" t="s">
        <v>1320</v>
      </c>
      <c r="Z300" s="143">
        <v>38430</v>
      </c>
      <c r="AA300" s="143" t="s">
        <v>119</v>
      </c>
      <c r="AB300" s="148"/>
      <c r="AC300" s="149"/>
      <c r="AD300" s="143" t="s">
        <v>91</v>
      </c>
      <c r="AE300" s="143" t="s">
        <v>76</v>
      </c>
      <c r="AF300" s="143" t="s">
        <v>76</v>
      </c>
      <c r="AG300" s="143" t="s">
        <v>76</v>
      </c>
      <c r="AH300" s="143" t="s">
        <v>76</v>
      </c>
      <c r="AI300" s="143" t="s">
        <v>886</v>
      </c>
      <c r="AJ300" s="143" t="s">
        <v>887</v>
      </c>
      <c r="AK300" s="143" t="s">
        <v>888</v>
      </c>
      <c r="AL300" s="150" t="s">
        <v>889</v>
      </c>
      <c r="AM300" s="148">
        <v>476042368</v>
      </c>
      <c r="AN300" s="143" t="s">
        <v>76</v>
      </c>
      <c r="AO300" s="150" t="s">
        <v>102</v>
      </c>
      <c r="AP300" s="147">
        <v>44708</v>
      </c>
      <c r="AQ300" s="135" t="s">
        <v>3449</v>
      </c>
      <c r="AR300" s="143">
        <v>1960</v>
      </c>
      <c r="AS300" s="143" t="s">
        <v>3413</v>
      </c>
      <c r="AT300" s="143" t="s">
        <v>98</v>
      </c>
      <c r="AU300" s="143" t="s">
        <v>1321</v>
      </c>
      <c r="AV300" s="143" t="s">
        <v>1322</v>
      </c>
      <c r="AW300" s="143">
        <v>22</v>
      </c>
      <c r="AX300" s="143">
        <v>6.5</v>
      </c>
      <c r="AY300" s="143">
        <v>95.4</v>
      </c>
      <c r="AZ300" s="143">
        <v>8.2400000000000008E-3</v>
      </c>
      <c r="BA300" s="143" t="s">
        <v>101</v>
      </c>
      <c r="BB300" s="143"/>
      <c r="BC300" s="143">
        <f>1573.71+72.61+58.24+10.09+40.77+(82.29*2)+(70.3*2)+(56.21*2)+103.3+(89.27*2)+175.76+114.12+12.75+49.99+57.97+149.58</f>
        <v>3015.0299999999993</v>
      </c>
      <c r="BD300" s="143"/>
      <c r="BE300" s="143">
        <f>940+91.86</f>
        <v>1031.8599999999999</v>
      </c>
      <c r="BF300" s="143">
        <f t="shared" si="12"/>
        <v>4046.8899999999994</v>
      </c>
      <c r="BG300" s="151">
        <f t="shared" si="13"/>
        <v>222.57894999999996</v>
      </c>
      <c r="BH300" s="151">
        <f t="shared" si="14"/>
        <v>4269.4689499999995</v>
      </c>
      <c r="BI300" s="151">
        <v>4047.42</v>
      </c>
      <c r="BJ300" s="143" t="s">
        <v>115</v>
      </c>
      <c r="BK300" s="143"/>
      <c r="BL300" s="143"/>
      <c r="BM300" s="144" t="s">
        <v>3592</v>
      </c>
      <c r="BN300" s="143">
        <v>2022</v>
      </c>
      <c r="BO300" s="135" t="s">
        <v>155</v>
      </c>
      <c r="BP300" s="143" t="s">
        <v>3583</v>
      </c>
      <c r="BQ300" s="203" t="s">
        <v>3274</v>
      </c>
    </row>
    <row r="301" spans="1:69" ht="41.1" customHeight="1">
      <c r="A301" s="205" t="s">
        <v>86</v>
      </c>
      <c r="B301" s="205" t="s">
        <v>1323</v>
      </c>
      <c r="C301" s="143">
        <v>600</v>
      </c>
      <c r="D301" s="135">
        <v>44515</v>
      </c>
      <c r="E301" s="135">
        <v>44515</v>
      </c>
      <c r="F301" s="147">
        <v>44525</v>
      </c>
      <c r="G301" s="135" t="s">
        <v>571</v>
      </c>
      <c r="H301" s="147">
        <v>44539</v>
      </c>
      <c r="I301" s="147">
        <v>44539</v>
      </c>
      <c r="J301" s="147">
        <v>44540</v>
      </c>
      <c r="K301" s="135">
        <v>44872</v>
      </c>
      <c r="L301" s="135">
        <v>44834</v>
      </c>
      <c r="M301" s="135" t="s">
        <v>76</v>
      </c>
      <c r="N301" s="135">
        <v>44874</v>
      </c>
      <c r="O301" s="135">
        <v>44874</v>
      </c>
      <c r="P301" s="135">
        <v>44879</v>
      </c>
      <c r="Q301" s="135"/>
      <c r="R301" s="143"/>
      <c r="S301" s="143"/>
      <c r="T301" s="143"/>
      <c r="U301" s="143">
        <v>4</v>
      </c>
      <c r="V301" s="143">
        <v>59185</v>
      </c>
      <c r="W301" s="143" t="str">
        <f ca="1">IF(H301="",IF(D301="","",IF(U301+V301&lt;15,"Données Nb pers ou RFR manquantes",IF(COUNTA(INDIRECT("TabRFR["&amp;YEAR(D301)&amp;"]"))&lt;&gt;COUNTA(TabRFR[Recherche RFR]),"Data RFR manquantes", IF(V301&lt;=INDEX(TabRFR[[2021]:[2025]],MATCH(BD!U301&amp;"-Très modestes",TabRFR[Recherche RFR],0),MATCH(TEXT(YEAR(BD!D301),"Standard"),TabRFR[[#Headers],[2021]:[2025]],0)),"Très Modeste",IF(V301&lt;=INDEX(TabRFR[[2021]:[2025]],MATCH(BD!U301&amp;"-modestes",TabRFR[Recherche RFR],0),MATCH(TEXT(YEAR(BD!D301),"Standard"),TabRFR[[#Headers],[2021]:[2025]],0)),"Modeste",IF(V301&lt;=INDEX(TabRFR[[2021]:[2025]],MATCH(BD!U301&amp;"-Intermédiaire",TabRFR[Recherche RFR],0),MATCH(TEXT(YEAR(BD!D301),"Standard"),TabRFR[[#Headers],[2021]:[2025]],0)),"Intermédiaire","Supérieur")))))),IF(D301="","",IF(U301+V301&lt;15,"Données Nb pers ou RFR manquantes",IF(COUNTA(INDIRECT("TabRFR["&amp;YEAR(H301)&amp;"]"))&lt;&gt;COUNTA(TabRFR[Recherche RFR]),"Data RFR manquantes", IF(V301&lt;=INDEX(TabRFR[[2021]:[2025]],MATCH(BD!U301&amp;"-Très modestes",TabRFR[Recherche RFR],0),MATCH(TEXT(YEAR(BD!H301),"Standard"),TabRFR[[#Headers],[2021]:[2025]],0)),"Très Modeste",IF(V301&lt;=INDEX(TabRFR[[2021]:[2025]],MATCH(BD!U301&amp;"-modestes",TabRFR[Recherche RFR],0),MATCH(TEXT(YEAR(BD!H301),"Standard"),TabRFR[[#Headers],[2021]:[2025]],0)),"Modeste",IF(V301&lt;=INDEX(TabRFR[[2021]:[2025]],MATCH(BD!U301&amp;"-Intermédiaire",TabRFR[Recherche RFR],0),MATCH(TEXT(YEAR(BD!H301),"Standard"),TabRFR[[#Headers],[2021]:[2025]],0)),"Intermédiaire","Supérieur")))))))</f>
        <v>Intermédiaire</v>
      </c>
      <c r="X301" s="143"/>
      <c r="Y301" s="143" t="s">
        <v>1194</v>
      </c>
      <c r="Z301" s="143">
        <v>38850</v>
      </c>
      <c r="AA301" s="143" t="s">
        <v>148</v>
      </c>
      <c r="AB301" s="148"/>
      <c r="AC301" s="149"/>
      <c r="AD301" s="143" t="s">
        <v>91</v>
      </c>
      <c r="AE301" s="143" t="s">
        <v>76</v>
      </c>
      <c r="AF301" s="143" t="s">
        <v>76</v>
      </c>
      <c r="AG301" s="143" t="s">
        <v>76</v>
      </c>
      <c r="AH301" s="143" t="s">
        <v>76</v>
      </c>
      <c r="AI301" s="135" t="s">
        <v>285</v>
      </c>
      <c r="AJ301" s="143" t="s">
        <v>108</v>
      </c>
      <c r="AK301" s="143" t="s">
        <v>286</v>
      </c>
      <c r="AL301" s="150" t="s">
        <v>287</v>
      </c>
      <c r="AM301" s="148">
        <v>476069938</v>
      </c>
      <c r="AN301" s="143" t="s">
        <v>76</v>
      </c>
      <c r="AO301" s="150" t="s">
        <v>102</v>
      </c>
      <c r="AP301" s="147">
        <v>44822</v>
      </c>
      <c r="AQ301" s="135" t="s">
        <v>3449</v>
      </c>
      <c r="AR301" s="143">
        <v>1968</v>
      </c>
      <c r="AS301" s="143" t="s">
        <v>3413</v>
      </c>
      <c r="AT301" s="135" t="s">
        <v>3446</v>
      </c>
      <c r="AU301" s="143" t="s">
        <v>532</v>
      </c>
      <c r="AV301" s="143" t="s">
        <v>1324</v>
      </c>
      <c r="AW301" s="143">
        <v>28</v>
      </c>
      <c r="AX301" s="143">
        <v>7.5</v>
      </c>
      <c r="AY301" s="143">
        <v>82.7</v>
      </c>
      <c r="AZ301" s="143">
        <v>0.05</v>
      </c>
      <c r="BA301" s="143" t="s">
        <v>101</v>
      </c>
      <c r="BB301" s="143"/>
      <c r="BC301" s="143">
        <f>460+250+3320+89</f>
        <v>4119</v>
      </c>
      <c r="BD301" s="143"/>
      <c r="BE301" s="143">
        <f>390+450+300</f>
        <v>1140</v>
      </c>
      <c r="BF301" s="143">
        <f t="shared" si="12"/>
        <v>5259</v>
      </c>
      <c r="BG301" s="143">
        <f t="shared" si="13"/>
        <v>289.245</v>
      </c>
      <c r="BH301" s="143">
        <f t="shared" si="14"/>
        <v>5548.2449999999999</v>
      </c>
      <c r="BI301" s="151">
        <v>7558.03</v>
      </c>
      <c r="BJ301" s="143" t="s">
        <v>102</v>
      </c>
      <c r="BK301" s="143"/>
      <c r="BL301" s="143"/>
      <c r="BM301" s="144" t="s">
        <v>3592</v>
      </c>
      <c r="BN301" s="144" t="s">
        <v>103</v>
      </c>
      <c r="BO301" s="144" t="s">
        <v>143</v>
      </c>
      <c r="BP301" s="144">
        <v>2022</v>
      </c>
      <c r="BQ301" s="203" t="s">
        <v>144</v>
      </c>
    </row>
    <row r="302" spans="1:69" ht="41.1" customHeight="1">
      <c r="A302" s="205" t="s">
        <v>86</v>
      </c>
      <c r="B302" s="205" t="s">
        <v>1325</v>
      </c>
      <c r="C302" s="143">
        <v>600</v>
      </c>
      <c r="D302" s="135">
        <v>44515</v>
      </c>
      <c r="E302" s="135">
        <v>44519</v>
      </c>
      <c r="F302" s="147">
        <v>44525</v>
      </c>
      <c r="G302" s="135" t="s">
        <v>1326</v>
      </c>
      <c r="H302" s="147">
        <v>44601</v>
      </c>
      <c r="I302" s="147">
        <v>44601</v>
      </c>
      <c r="J302" s="147">
        <v>44606</v>
      </c>
      <c r="K302" s="135">
        <v>44750</v>
      </c>
      <c r="L302" s="135">
        <v>44676</v>
      </c>
      <c r="M302" s="135" t="s">
        <v>76</v>
      </c>
      <c r="N302" s="135">
        <v>44769</v>
      </c>
      <c r="O302" s="135">
        <v>44769</v>
      </c>
      <c r="P302" s="135">
        <v>44770</v>
      </c>
      <c r="Q302" s="135"/>
      <c r="R302" s="143"/>
      <c r="S302" s="143"/>
      <c r="T302" s="143"/>
      <c r="U302" s="143">
        <v>2</v>
      </c>
      <c r="V302" s="143">
        <v>40717</v>
      </c>
      <c r="W302" s="143" t="str">
        <f ca="1">IF(H302="",IF(D302="","",IF(U302+V302&lt;15,"Données Nb pers ou RFR manquantes",IF(COUNTA(INDIRECT("TabRFR["&amp;YEAR(D302)&amp;"]"))&lt;&gt;COUNTA(TabRFR[Recherche RFR]),"Data RFR manquantes", IF(V302&lt;=INDEX(TabRFR[[2021]:[2025]],MATCH(BD!U302&amp;"-Très modestes",TabRFR[Recherche RFR],0),MATCH(TEXT(YEAR(BD!D302),"Standard"),TabRFR[[#Headers],[2021]:[2025]],0)),"Très Modeste",IF(V302&lt;=INDEX(TabRFR[[2021]:[2025]],MATCH(BD!U302&amp;"-modestes",TabRFR[Recherche RFR],0),MATCH(TEXT(YEAR(BD!D302),"Standard"),TabRFR[[#Headers],[2021]:[2025]],0)),"Modeste",IF(V302&lt;=INDEX(TabRFR[[2021]:[2025]],MATCH(BD!U302&amp;"-Intermédiaire",TabRFR[Recherche RFR],0),MATCH(TEXT(YEAR(BD!D302),"Standard"),TabRFR[[#Headers],[2021]:[2025]],0)),"Intermédiaire","Supérieur")))))),IF(D302="","",IF(U302+V302&lt;15,"Données Nb pers ou RFR manquantes",IF(COUNTA(INDIRECT("TabRFR["&amp;YEAR(H302)&amp;"]"))&lt;&gt;COUNTA(TabRFR[Recherche RFR]),"Data RFR manquantes", IF(V302&lt;=INDEX(TabRFR[[2021]:[2025]],MATCH(BD!U302&amp;"-Très modestes",TabRFR[Recherche RFR],0),MATCH(TEXT(YEAR(BD!H302),"Standard"),TabRFR[[#Headers],[2021]:[2025]],0)),"Très Modeste",IF(V302&lt;=INDEX(TabRFR[[2021]:[2025]],MATCH(BD!U302&amp;"-modestes",TabRFR[Recherche RFR],0),MATCH(TEXT(YEAR(BD!H302),"Standard"),TabRFR[[#Headers],[2021]:[2025]],0)),"Modeste",IF(V302&lt;=INDEX(TabRFR[[2021]:[2025]],MATCH(BD!U302&amp;"-Intermédiaire",TabRFR[Recherche RFR],0),MATCH(TEXT(YEAR(BD!H302),"Standard"),TabRFR[[#Headers],[2021]:[2025]],0)),"Intermédiaire","Supérieur")))))))</f>
        <v>Intermédiaire</v>
      </c>
      <c r="X302" s="143"/>
      <c r="Y302" s="143" t="s">
        <v>1327</v>
      </c>
      <c r="Z302" s="143">
        <v>38500</v>
      </c>
      <c r="AA302" s="143" t="s">
        <v>108</v>
      </c>
      <c r="AB302" s="148"/>
      <c r="AC302" s="149"/>
      <c r="AD302" s="143" t="s">
        <v>91</v>
      </c>
      <c r="AE302" s="143" t="s">
        <v>76</v>
      </c>
      <c r="AF302" s="143" t="s">
        <v>76</v>
      </c>
      <c r="AG302" s="143" t="s">
        <v>76</v>
      </c>
      <c r="AH302" s="143" t="s">
        <v>76</v>
      </c>
      <c r="AI302" s="143" t="s">
        <v>109</v>
      </c>
      <c r="AJ302" s="143" t="s">
        <v>108</v>
      </c>
      <c r="AK302" s="143" t="s">
        <v>110</v>
      </c>
      <c r="AL302" s="149" t="s">
        <v>111</v>
      </c>
      <c r="AM302" s="148" t="s">
        <v>112</v>
      </c>
      <c r="AN302" s="143" t="s">
        <v>76</v>
      </c>
      <c r="AO302" s="150" t="s">
        <v>102</v>
      </c>
      <c r="AP302" s="147">
        <v>44868</v>
      </c>
      <c r="AQ302" s="135" t="s">
        <v>3449</v>
      </c>
      <c r="AR302" s="143">
        <v>1985</v>
      </c>
      <c r="AS302" s="143" t="s">
        <v>3413</v>
      </c>
      <c r="AT302" s="143" t="s">
        <v>98</v>
      </c>
      <c r="AU302" s="143" t="s">
        <v>1328</v>
      </c>
      <c r="AV302" s="143" t="s">
        <v>1329</v>
      </c>
      <c r="AW302" s="143">
        <v>14</v>
      </c>
      <c r="AX302" s="143">
        <v>11.9</v>
      </c>
      <c r="AY302" s="143">
        <v>90.8</v>
      </c>
      <c r="AZ302" s="143">
        <v>0.01</v>
      </c>
      <c r="BA302" s="143" t="s">
        <v>101</v>
      </c>
      <c r="BB302" s="143"/>
      <c r="BC302" s="143">
        <f>3770+390+88+101+90+274+168+150+25</f>
        <v>5056</v>
      </c>
      <c r="BD302" s="143"/>
      <c r="BE302" s="143">
        <f>500+35+480</f>
        <v>1015</v>
      </c>
      <c r="BF302" s="143">
        <f t="shared" si="12"/>
        <v>6071</v>
      </c>
      <c r="BG302" s="151">
        <f t="shared" si="13"/>
        <v>333.90500000000003</v>
      </c>
      <c r="BH302" s="151">
        <f t="shared" si="14"/>
        <v>6404.9049999999997</v>
      </c>
      <c r="BI302" s="151">
        <v>6404.91</v>
      </c>
      <c r="BJ302" s="143" t="s">
        <v>102</v>
      </c>
      <c r="BK302" s="143"/>
      <c r="BL302" s="143"/>
      <c r="BM302" s="144" t="s">
        <v>3592</v>
      </c>
      <c r="BN302" s="143">
        <v>2022</v>
      </c>
      <c r="BO302" s="144" t="s">
        <v>143</v>
      </c>
      <c r="BP302" s="143" t="s">
        <v>3583</v>
      </c>
      <c r="BQ302" s="203" t="s">
        <v>144</v>
      </c>
    </row>
    <row r="303" spans="1:69" ht="41.1" customHeight="1">
      <c r="A303" s="205" t="s">
        <v>86</v>
      </c>
      <c r="B303" s="205" t="s">
        <v>1330</v>
      </c>
      <c r="C303" s="143">
        <v>600</v>
      </c>
      <c r="D303" s="135">
        <v>44515</v>
      </c>
      <c r="E303" s="135">
        <v>44519</v>
      </c>
      <c r="F303" s="147" t="s">
        <v>76</v>
      </c>
      <c r="G303" s="135" t="s">
        <v>76</v>
      </c>
      <c r="H303" s="147">
        <v>44525</v>
      </c>
      <c r="I303" s="147">
        <v>44525</v>
      </c>
      <c r="J303" s="147">
        <v>44539</v>
      </c>
      <c r="K303" s="135">
        <v>44712</v>
      </c>
      <c r="L303" s="135">
        <v>44595</v>
      </c>
      <c r="M303" s="135" t="s">
        <v>76</v>
      </c>
      <c r="N303" s="135">
        <v>44768</v>
      </c>
      <c r="O303" s="135">
        <v>44768</v>
      </c>
      <c r="P303" s="135">
        <v>44769</v>
      </c>
      <c r="Q303" s="135"/>
      <c r="R303" s="143"/>
      <c r="S303" s="143"/>
      <c r="T303" s="143"/>
      <c r="U303" s="143">
        <v>3</v>
      </c>
      <c r="V303" s="143">
        <v>76480</v>
      </c>
      <c r="W303" s="143" t="str">
        <f ca="1">IF(H303="",IF(D303="","",IF(U303+V303&lt;15,"Données Nb pers ou RFR manquantes",IF(COUNTA(INDIRECT("TabRFR["&amp;YEAR(D303)&amp;"]"))&lt;&gt;COUNTA(TabRFR[Recherche RFR]),"Data RFR manquantes", IF(V303&lt;=INDEX(TabRFR[[2021]:[2025]],MATCH(BD!U303&amp;"-Très modestes",TabRFR[Recherche RFR],0),MATCH(TEXT(YEAR(BD!D303),"Standard"),TabRFR[[#Headers],[2021]:[2025]],0)),"Très Modeste",IF(V303&lt;=INDEX(TabRFR[[2021]:[2025]],MATCH(BD!U303&amp;"-modestes",TabRFR[Recherche RFR],0),MATCH(TEXT(YEAR(BD!D303),"Standard"),TabRFR[[#Headers],[2021]:[2025]],0)),"Modeste",IF(V303&lt;=INDEX(TabRFR[[2021]:[2025]],MATCH(BD!U303&amp;"-Intermédiaire",TabRFR[Recherche RFR],0),MATCH(TEXT(YEAR(BD!D303),"Standard"),TabRFR[[#Headers],[2021]:[2025]],0)),"Intermédiaire","Supérieur")))))),IF(D303="","",IF(U303+V303&lt;15,"Données Nb pers ou RFR manquantes",IF(COUNTA(INDIRECT("TabRFR["&amp;YEAR(H303)&amp;"]"))&lt;&gt;COUNTA(TabRFR[Recherche RFR]),"Data RFR manquantes", IF(V303&lt;=INDEX(TabRFR[[2021]:[2025]],MATCH(BD!U303&amp;"-Très modestes",TabRFR[Recherche RFR],0),MATCH(TEXT(YEAR(BD!H303),"Standard"),TabRFR[[#Headers],[2021]:[2025]],0)),"Très Modeste",IF(V303&lt;=INDEX(TabRFR[[2021]:[2025]],MATCH(BD!U303&amp;"-modestes",TabRFR[Recherche RFR],0),MATCH(TEXT(YEAR(BD!H303),"Standard"),TabRFR[[#Headers],[2021]:[2025]],0)),"Modeste",IF(V303&lt;=INDEX(TabRFR[[2021]:[2025]],MATCH(BD!U303&amp;"-Intermédiaire",TabRFR[Recherche RFR],0),MATCH(TEXT(YEAR(BD!H303),"Standard"),TabRFR[[#Headers],[2021]:[2025]],0)),"Intermédiaire","Supérieur")))))))</f>
        <v>Supérieur</v>
      </c>
      <c r="X303" s="143"/>
      <c r="Y303" s="143" t="s">
        <v>1331</v>
      </c>
      <c r="Z303" s="143">
        <v>38730</v>
      </c>
      <c r="AA303" s="143" t="s">
        <v>148</v>
      </c>
      <c r="AB303" s="148"/>
      <c r="AC303" s="149"/>
      <c r="AD303" s="143" t="s">
        <v>91</v>
      </c>
      <c r="AE303" s="143" t="s">
        <v>76</v>
      </c>
      <c r="AF303" s="143" t="s">
        <v>76</v>
      </c>
      <c r="AG303" s="143" t="s">
        <v>76</v>
      </c>
      <c r="AH303" s="143" t="s">
        <v>76</v>
      </c>
      <c r="AI303" s="143" t="s">
        <v>135</v>
      </c>
      <c r="AJ303" s="143" t="s">
        <v>136</v>
      </c>
      <c r="AK303" s="143" t="s">
        <v>137</v>
      </c>
      <c r="AL303" s="149" t="s">
        <v>138</v>
      </c>
      <c r="AM303" s="148">
        <v>474937373</v>
      </c>
      <c r="AN303" s="143" t="s">
        <v>76</v>
      </c>
      <c r="AO303" s="150" t="s">
        <v>102</v>
      </c>
      <c r="AP303" s="147">
        <v>44774</v>
      </c>
      <c r="AQ303" s="135" t="s">
        <v>3496</v>
      </c>
      <c r="AR303" s="143">
        <v>1990</v>
      </c>
      <c r="AS303" s="143" t="s">
        <v>3413</v>
      </c>
      <c r="AT303" s="143" t="s">
        <v>98</v>
      </c>
      <c r="AU303" s="143" t="s">
        <v>361</v>
      </c>
      <c r="AV303" s="143" t="s">
        <v>1332</v>
      </c>
      <c r="AW303" s="143">
        <v>14.3</v>
      </c>
      <c r="AX303" s="143">
        <v>8.1999999999999993</v>
      </c>
      <c r="AY303" s="143">
        <v>91.1</v>
      </c>
      <c r="AZ303" s="143">
        <v>1.0999999999999999E-2</v>
      </c>
      <c r="BA303" s="143" t="s">
        <v>126</v>
      </c>
      <c r="BB303" s="143"/>
      <c r="BC303" s="143">
        <f>4030+120</f>
        <v>4150</v>
      </c>
      <c r="BD303" s="143"/>
      <c r="BE303" s="143">
        <v>730</v>
      </c>
      <c r="BF303" s="143">
        <f t="shared" si="12"/>
        <v>4880</v>
      </c>
      <c r="BG303" s="151">
        <f t="shared" si="13"/>
        <v>268.39999999999998</v>
      </c>
      <c r="BH303" s="151">
        <f t="shared" si="14"/>
        <v>5148.3999999999996</v>
      </c>
      <c r="BI303" s="151">
        <v>5148.3999999999996</v>
      </c>
      <c r="BJ303" s="143" t="s">
        <v>102</v>
      </c>
      <c r="BK303" s="143"/>
      <c r="BL303" s="143"/>
      <c r="BM303" s="144" t="s">
        <v>3592</v>
      </c>
      <c r="BN303" s="144" t="s">
        <v>103</v>
      </c>
      <c r="BO303" s="144" t="s">
        <v>143</v>
      </c>
      <c r="BP303" s="143" t="s">
        <v>3583</v>
      </c>
      <c r="BQ303" s="203" t="s">
        <v>144</v>
      </c>
    </row>
    <row r="304" spans="1:69" ht="41.1" customHeight="1">
      <c r="A304" s="205" t="s">
        <v>86</v>
      </c>
      <c r="B304" s="205" t="s">
        <v>1333</v>
      </c>
      <c r="C304" s="143">
        <v>1000</v>
      </c>
      <c r="D304" s="135">
        <v>44516</v>
      </c>
      <c r="E304" s="135">
        <v>44519</v>
      </c>
      <c r="F304" s="147">
        <v>44525</v>
      </c>
      <c r="G304" s="135" t="s">
        <v>1334</v>
      </c>
      <c r="H304" s="147">
        <v>44539</v>
      </c>
      <c r="I304" s="147">
        <v>44539</v>
      </c>
      <c r="J304" s="147">
        <v>44540</v>
      </c>
      <c r="K304" s="135">
        <v>44666</v>
      </c>
      <c r="L304" s="135">
        <v>44616</v>
      </c>
      <c r="M304" s="135" t="s">
        <v>1335</v>
      </c>
      <c r="N304" s="135">
        <v>44768</v>
      </c>
      <c r="O304" s="135">
        <v>44768</v>
      </c>
      <c r="P304" s="135">
        <v>44769</v>
      </c>
      <c r="Q304" s="135"/>
      <c r="R304" s="143"/>
      <c r="S304" s="143"/>
      <c r="T304" s="143"/>
      <c r="U304" s="143">
        <v>1</v>
      </c>
      <c r="V304" s="143">
        <v>10896</v>
      </c>
      <c r="W304" s="143" t="str">
        <f ca="1">IF(H304="",IF(D304="","",IF(U304+V304&lt;15,"Données Nb pers ou RFR manquantes",IF(COUNTA(INDIRECT("TabRFR["&amp;YEAR(D304)&amp;"]"))&lt;&gt;COUNTA(TabRFR[Recherche RFR]),"Data RFR manquantes", IF(V304&lt;=INDEX(TabRFR[[2021]:[2025]],MATCH(BD!U304&amp;"-Très modestes",TabRFR[Recherche RFR],0),MATCH(TEXT(YEAR(BD!D304),"Standard"),TabRFR[[#Headers],[2021]:[2025]],0)),"Très Modeste",IF(V304&lt;=INDEX(TabRFR[[2021]:[2025]],MATCH(BD!U304&amp;"-modestes",TabRFR[Recherche RFR],0),MATCH(TEXT(YEAR(BD!D304),"Standard"),TabRFR[[#Headers],[2021]:[2025]],0)),"Modeste",IF(V304&lt;=INDEX(TabRFR[[2021]:[2025]],MATCH(BD!U304&amp;"-Intermédiaire",TabRFR[Recherche RFR],0),MATCH(TEXT(YEAR(BD!D304),"Standard"),TabRFR[[#Headers],[2021]:[2025]],0)),"Intermédiaire","Supérieur")))))),IF(D304="","",IF(U304+V304&lt;15,"Données Nb pers ou RFR manquantes",IF(COUNTA(INDIRECT("TabRFR["&amp;YEAR(H304)&amp;"]"))&lt;&gt;COUNTA(TabRFR[Recherche RFR]),"Data RFR manquantes", IF(V304&lt;=INDEX(TabRFR[[2021]:[2025]],MATCH(BD!U304&amp;"-Très modestes",TabRFR[Recherche RFR],0),MATCH(TEXT(YEAR(BD!H304),"Standard"),TabRFR[[#Headers],[2021]:[2025]],0)),"Très Modeste",IF(V304&lt;=INDEX(TabRFR[[2021]:[2025]],MATCH(BD!U304&amp;"-modestes",TabRFR[Recherche RFR],0),MATCH(TEXT(YEAR(BD!H304),"Standard"),TabRFR[[#Headers],[2021]:[2025]],0)),"Modeste",IF(V304&lt;=INDEX(TabRFR[[2021]:[2025]],MATCH(BD!U304&amp;"-Intermédiaire",TabRFR[Recherche RFR],0),MATCH(TEXT(YEAR(BD!H304),"Standard"),TabRFR[[#Headers],[2021]:[2025]],0)),"Intermédiaire","Supérieur")))))))</f>
        <v>Très Modeste</v>
      </c>
      <c r="X304" s="143"/>
      <c r="Y304" s="143" t="s">
        <v>1336</v>
      </c>
      <c r="Z304" s="143">
        <v>38500</v>
      </c>
      <c r="AA304" s="143" t="s">
        <v>284</v>
      </c>
      <c r="AB304" s="148"/>
      <c r="AC304" s="149"/>
      <c r="AD304" s="143" t="s">
        <v>91</v>
      </c>
      <c r="AE304" s="143" t="s">
        <v>76</v>
      </c>
      <c r="AF304" s="143" t="s">
        <v>76</v>
      </c>
      <c r="AG304" s="143" t="s">
        <v>76</v>
      </c>
      <c r="AH304" s="143" t="s">
        <v>76</v>
      </c>
      <c r="AI304" s="135" t="s">
        <v>2748</v>
      </c>
      <c r="AJ304" s="143" t="s">
        <v>108</v>
      </c>
      <c r="AK304" s="135" t="s">
        <v>2749</v>
      </c>
      <c r="AL304" s="150" t="s">
        <v>275</v>
      </c>
      <c r="AM304" s="148">
        <v>476059444</v>
      </c>
      <c r="AN304" s="143" t="s">
        <v>76</v>
      </c>
      <c r="AO304" s="150" t="s">
        <v>102</v>
      </c>
      <c r="AP304" s="147">
        <v>44789</v>
      </c>
      <c r="AQ304" s="143" t="s">
        <v>3413</v>
      </c>
      <c r="AR304" s="143">
        <v>1990</v>
      </c>
      <c r="AS304" s="143" t="s">
        <v>3413</v>
      </c>
      <c r="AT304" s="135" t="s">
        <v>3446</v>
      </c>
      <c r="AU304" s="143" t="s">
        <v>276</v>
      </c>
      <c r="AV304" s="143" t="s">
        <v>1337</v>
      </c>
      <c r="AW304" s="143">
        <v>24.5</v>
      </c>
      <c r="AX304" s="143">
        <v>8</v>
      </c>
      <c r="AY304" s="143">
        <v>83.9</v>
      </c>
      <c r="AZ304" s="143">
        <v>5.3999999999999999E-2</v>
      </c>
      <c r="BA304" s="143" t="s">
        <v>126</v>
      </c>
      <c r="BB304" s="143"/>
      <c r="BC304" s="143">
        <f>4976+811</f>
        <v>5787</v>
      </c>
      <c r="BD304" s="143"/>
      <c r="BE304" s="143">
        <f>944+35</f>
        <v>979</v>
      </c>
      <c r="BF304" s="143">
        <f t="shared" si="12"/>
        <v>6766</v>
      </c>
      <c r="BG304" s="151">
        <f t="shared" si="13"/>
        <v>372.13</v>
      </c>
      <c r="BH304" s="151">
        <f t="shared" si="14"/>
        <v>7138.13</v>
      </c>
      <c r="BI304" s="151">
        <v>7138.13</v>
      </c>
      <c r="BJ304" s="143" t="s">
        <v>115</v>
      </c>
      <c r="BK304" s="143"/>
      <c r="BL304" s="143"/>
      <c r="BM304" s="144" t="s">
        <v>3592</v>
      </c>
      <c r="BN304" s="144" t="s">
        <v>103</v>
      </c>
      <c r="BO304" s="135" t="s">
        <v>155</v>
      </c>
      <c r="BP304" s="144">
        <v>2022</v>
      </c>
      <c r="BQ304" s="203" t="s">
        <v>3274</v>
      </c>
    </row>
    <row r="305" spans="1:69" ht="41.1" customHeight="1">
      <c r="A305" s="205" t="s">
        <v>86</v>
      </c>
      <c r="B305" s="205" t="s">
        <v>1338</v>
      </c>
      <c r="C305" s="143">
        <v>600</v>
      </c>
      <c r="D305" s="135">
        <v>44519</v>
      </c>
      <c r="E305" s="135">
        <v>44519</v>
      </c>
      <c r="F305" s="147">
        <v>44525</v>
      </c>
      <c r="G305" s="135" t="s">
        <v>1339</v>
      </c>
      <c r="H305" s="147">
        <v>44539</v>
      </c>
      <c r="I305" s="147">
        <v>44539</v>
      </c>
      <c r="J305" s="147">
        <v>44546</v>
      </c>
      <c r="K305" s="135">
        <v>44620</v>
      </c>
      <c r="L305" s="135">
        <v>44614</v>
      </c>
      <c r="M305" s="135"/>
      <c r="N305" s="135">
        <v>44622</v>
      </c>
      <c r="O305" s="135">
        <v>44622</v>
      </c>
      <c r="P305" s="135">
        <v>44623</v>
      </c>
      <c r="Q305" s="135"/>
      <c r="R305" s="143"/>
      <c r="S305" s="143"/>
      <c r="T305" s="143"/>
      <c r="U305" s="143">
        <v>1</v>
      </c>
      <c r="V305" s="143">
        <v>26038</v>
      </c>
      <c r="W305" s="143" t="str">
        <f ca="1">IF(H305="",IF(D305="","",IF(U305+V305&lt;15,"Données Nb pers ou RFR manquantes",IF(COUNTA(INDIRECT("TabRFR["&amp;YEAR(D305)&amp;"]"))&lt;&gt;COUNTA(TabRFR[Recherche RFR]),"Data RFR manquantes", IF(V305&lt;=INDEX(TabRFR[[2021]:[2025]],MATCH(BD!U305&amp;"-Très modestes",TabRFR[Recherche RFR],0),MATCH(TEXT(YEAR(BD!D305),"Standard"),TabRFR[[#Headers],[2021]:[2025]],0)),"Très Modeste",IF(V305&lt;=INDEX(TabRFR[[2021]:[2025]],MATCH(BD!U305&amp;"-modestes",TabRFR[Recherche RFR],0),MATCH(TEXT(YEAR(BD!D305),"Standard"),TabRFR[[#Headers],[2021]:[2025]],0)),"Modeste",IF(V305&lt;=INDEX(TabRFR[[2021]:[2025]],MATCH(BD!U305&amp;"-Intermédiaire",TabRFR[Recherche RFR],0),MATCH(TEXT(YEAR(BD!D305),"Standard"),TabRFR[[#Headers],[2021]:[2025]],0)),"Intermédiaire","Supérieur")))))),IF(D305="","",IF(U305+V305&lt;15,"Données Nb pers ou RFR manquantes",IF(COUNTA(INDIRECT("TabRFR["&amp;YEAR(H305)&amp;"]"))&lt;&gt;COUNTA(TabRFR[Recherche RFR]),"Data RFR manquantes", IF(V305&lt;=INDEX(TabRFR[[2021]:[2025]],MATCH(BD!U305&amp;"-Très modestes",TabRFR[Recherche RFR],0),MATCH(TEXT(YEAR(BD!H305),"Standard"),TabRFR[[#Headers],[2021]:[2025]],0)),"Très Modeste",IF(V305&lt;=INDEX(TabRFR[[2021]:[2025]],MATCH(BD!U305&amp;"-modestes",TabRFR[Recherche RFR],0),MATCH(TEXT(YEAR(BD!H305),"Standard"),TabRFR[[#Headers],[2021]:[2025]],0)),"Modeste",IF(V305&lt;=INDEX(TabRFR[[2021]:[2025]],MATCH(BD!U305&amp;"-Intermédiaire",TabRFR[Recherche RFR],0),MATCH(TEXT(YEAR(BD!H305),"Standard"),TabRFR[[#Headers],[2021]:[2025]],0)),"Intermédiaire","Supérieur")))))))</f>
        <v>Intermédiaire</v>
      </c>
      <c r="X305" s="143"/>
      <c r="Y305" s="143" t="s">
        <v>1340</v>
      </c>
      <c r="Z305" s="143">
        <v>38620</v>
      </c>
      <c r="AA305" s="143" t="s">
        <v>863</v>
      </c>
      <c r="AB305" s="148"/>
      <c r="AC305" s="149"/>
      <c r="AD305" s="143" t="s">
        <v>91</v>
      </c>
      <c r="AE305" s="143" t="s">
        <v>76</v>
      </c>
      <c r="AF305" s="143" t="s">
        <v>76</v>
      </c>
      <c r="AG305" s="143" t="s">
        <v>76</v>
      </c>
      <c r="AH305" s="143" t="s">
        <v>76</v>
      </c>
      <c r="AI305" s="143" t="s">
        <v>169</v>
      </c>
      <c r="AJ305" s="143" t="s">
        <v>119</v>
      </c>
      <c r="AK305" s="143" t="s">
        <v>170</v>
      </c>
      <c r="AL305" s="149" t="s">
        <v>171</v>
      </c>
      <c r="AM305" s="148">
        <v>476355605</v>
      </c>
      <c r="AN305" s="143" t="s">
        <v>76</v>
      </c>
      <c r="AO305" s="150" t="s">
        <v>102</v>
      </c>
      <c r="AP305" s="147">
        <v>44860</v>
      </c>
      <c r="AQ305" s="135" t="s">
        <v>3323</v>
      </c>
      <c r="AR305" s="143">
        <v>2000</v>
      </c>
      <c r="AS305" s="143" t="s">
        <v>3413</v>
      </c>
      <c r="AT305" s="135" t="s">
        <v>3446</v>
      </c>
      <c r="AU305" s="143" t="s">
        <v>1341</v>
      </c>
      <c r="AV305" s="143" t="s">
        <v>1342</v>
      </c>
      <c r="AW305" s="143">
        <v>30</v>
      </c>
      <c r="AX305" s="143">
        <v>7.9</v>
      </c>
      <c r="AY305" s="143">
        <v>80</v>
      </c>
      <c r="AZ305" s="143">
        <v>6.6000000000000003E-2</v>
      </c>
      <c r="BA305" s="143" t="s">
        <v>101</v>
      </c>
      <c r="BB305" s="143"/>
      <c r="BC305" s="143">
        <f>540+48.5+35.5+65.36+78.65+177.6+2770+178+45.35</f>
        <v>3938.96</v>
      </c>
      <c r="BD305" s="143"/>
      <c r="BE305" s="143">
        <f>350+425</f>
        <v>775</v>
      </c>
      <c r="BF305" s="143">
        <f t="shared" si="12"/>
        <v>4713.96</v>
      </c>
      <c r="BG305" s="151">
        <f t="shared" si="13"/>
        <v>259.26780000000002</v>
      </c>
      <c r="BH305" s="151">
        <f t="shared" si="14"/>
        <v>4973.2277999999997</v>
      </c>
      <c r="BI305" s="151">
        <v>4973.1099999999997</v>
      </c>
      <c r="BJ305" s="143" t="s">
        <v>102</v>
      </c>
      <c r="BK305" s="143"/>
      <c r="BL305" s="143"/>
      <c r="BM305" s="144" t="s">
        <v>3592</v>
      </c>
      <c r="BN305" s="144" t="s">
        <v>103</v>
      </c>
      <c r="BO305" s="144" t="s">
        <v>143</v>
      </c>
      <c r="BP305" s="144">
        <v>2022</v>
      </c>
      <c r="BQ305" s="203" t="s">
        <v>144</v>
      </c>
    </row>
    <row r="306" spans="1:69" ht="41.1" customHeight="1">
      <c r="A306" s="205" t="s">
        <v>86</v>
      </c>
      <c r="B306" s="205" t="s">
        <v>1343</v>
      </c>
      <c r="C306" s="143">
        <v>600</v>
      </c>
      <c r="D306" s="135">
        <v>44523</v>
      </c>
      <c r="E306" s="135">
        <v>44525</v>
      </c>
      <c r="F306" s="147">
        <v>44525</v>
      </c>
      <c r="G306" s="135" t="s">
        <v>1344</v>
      </c>
      <c r="H306" s="147">
        <v>44539</v>
      </c>
      <c r="I306" s="147">
        <v>44539</v>
      </c>
      <c r="J306" s="147">
        <v>44540</v>
      </c>
      <c r="K306" s="135">
        <v>44694</v>
      </c>
      <c r="L306" s="135">
        <v>44589</v>
      </c>
      <c r="M306" s="135" t="s">
        <v>76</v>
      </c>
      <c r="N306" s="135">
        <v>44769</v>
      </c>
      <c r="O306" s="135">
        <v>44769</v>
      </c>
      <c r="P306" s="135">
        <v>44770</v>
      </c>
      <c r="Q306" s="135"/>
      <c r="R306" s="143"/>
      <c r="S306" s="143"/>
      <c r="T306" s="143"/>
      <c r="U306" s="143">
        <v>4</v>
      </c>
      <c r="V306" s="143">
        <v>121339</v>
      </c>
      <c r="W306" s="143" t="str">
        <f ca="1">IF(H306="",IF(D306="","",IF(U306+V306&lt;15,"Données Nb pers ou RFR manquantes",IF(COUNTA(INDIRECT("TabRFR["&amp;YEAR(D306)&amp;"]"))&lt;&gt;COUNTA(TabRFR[Recherche RFR]),"Data RFR manquantes", IF(V306&lt;=INDEX(TabRFR[[2021]:[2025]],MATCH(BD!U306&amp;"-Très modestes",TabRFR[Recherche RFR],0),MATCH(TEXT(YEAR(BD!D306),"Standard"),TabRFR[[#Headers],[2021]:[2025]],0)),"Très Modeste",IF(V306&lt;=INDEX(TabRFR[[2021]:[2025]],MATCH(BD!U306&amp;"-modestes",TabRFR[Recherche RFR],0),MATCH(TEXT(YEAR(BD!D306),"Standard"),TabRFR[[#Headers],[2021]:[2025]],0)),"Modeste",IF(V306&lt;=INDEX(TabRFR[[2021]:[2025]],MATCH(BD!U306&amp;"-Intermédiaire",TabRFR[Recherche RFR],0),MATCH(TEXT(YEAR(BD!D306),"Standard"),TabRFR[[#Headers],[2021]:[2025]],0)),"Intermédiaire","Supérieur")))))),IF(D306="","",IF(U306+V306&lt;15,"Données Nb pers ou RFR manquantes",IF(COUNTA(INDIRECT("TabRFR["&amp;YEAR(H306)&amp;"]"))&lt;&gt;COUNTA(TabRFR[Recherche RFR]),"Data RFR manquantes", IF(V306&lt;=INDEX(TabRFR[[2021]:[2025]],MATCH(BD!U306&amp;"-Très modestes",TabRFR[Recherche RFR],0),MATCH(TEXT(YEAR(BD!H306),"Standard"),TabRFR[[#Headers],[2021]:[2025]],0)),"Très Modeste",IF(V306&lt;=INDEX(TabRFR[[2021]:[2025]],MATCH(BD!U306&amp;"-modestes",TabRFR[Recherche RFR],0),MATCH(TEXT(YEAR(BD!H306),"Standard"),TabRFR[[#Headers],[2021]:[2025]],0)),"Modeste",IF(V306&lt;=INDEX(TabRFR[[2021]:[2025]],MATCH(BD!U306&amp;"-Intermédiaire",TabRFR[Recherche RFR],0),MATCH(TEXT(YEAR(BD!H306),"Standard"),TabRFR[[#Headers],[2021]:[2025]],0)),"Intermédiaire","Supérieur")))))))</f>
        <v>Supérieur</v>
      </c>
      <c r="X306" s="143"/>
      <c r="Y306" s="143" t="s">
        <v>1345</v>
      </c>
      <c r="Z306" s="143">
        <v>38432</v>
      </c>
      <c r="AA306" s="143" t="s">
        <v>119</v>
      </c>
      <c r="AB306" s="148"/>
      <c r="AC306" s="149"/>
      <c r="AD306" s="143" t="s">
        <v>91</v>
      </c>
      <c r="AE306" s="143" t="s">
        <v>76</v>
      </c>
      <c r="AF306" s="143" t="s">
        <v>76</v>
      </c>
      <c r="AG306" s="143" t="s">
        <v>76</v>
      </c>
      <c r="AH306" s="143" t="s">
        <v>76</v>
      </c>
      <c r="AI306" s="135" t="s">
        <v>220</v>
      </c>
      <c r="AJ306" s="143" t="s">
        <v>108</v>
      </c>
      <c r="AK306" s="143" t="s">
        <v>221</v>
      </c>
      <c r="AL306" s="150" t="s">
        <v>222</v>
      </c>
      <c r="AM306" s="148">
        <v>476323235</v>
      </c>
      <c r="AN306" s="143" t="s">
        <v>76</v>
      </c>
      <c r="AO306" s="150" t="s">
        <v>102</v>
      </c>
      <c r="AP306" s="147">
        <v>44789</v>
      </c>
      <c r="AQ306" s="135" t="s">
        <v>3449</v>
      </c>
      <c r="AR306" s="143">
        <v>1996</v>
      </c>
      <c r="AS306" s="143" t="s">
        <v>3413</v>
      </c>
      <c r="AT306" s="135" t="s">
        <v>3446</v>
      </c>
      <c r="AU306" s="143" t="s">
        <v>1346</v>
      </c>
      <c r="AV306" s="143" t="s">
        <v>1347</v>
      </c>
      <c r="AW306" s="143">
        <v>29</v>
      </c>
      <c r="AX306" s="143">
        <v>8.3000000000000007</v>
      </c>
      <c r="AY306" s="143">
        <v>81</v>
      </c>
      <c r="AZ306" s="143">
        <v>0.09</v>
      </c>
      <c r="BA306" s="143" t="s">
        <v>101</v>
      </c>
      <c r="BB306" s="143"/>
      <c r="BC306" s="143">
        <f>2890+48+48+75+55+32+30+110+440+410+320+42+42+42</f>
        <v>4584</v>
      </c>
      <c r="BD306" s="143"/>
      <c r="BE306" s="143">
        <f>20+30+430+70</f>
        <v>550</v>
      </c>
      <c r="BF306" s="143">
        <f t="shared" si="12"/>
        <v>5134</v>
      </c>
      <c r="BG306" s="151">
        <f t="shared" si="13"/>
        <v>282.37</v>
      </c>
      <c r="BH306" s="151">
        <f t="shared" si="14"/>
        <v>5416.37</v>
      </c>
      <c r="BI306" s="151">
        <f>3500+4462.85</f>
        <v>7962.85</v>
      </c>
      <c r="BJ306" s="143" t="s">
        <v>115</v>
      </c>
      <c r="BK306" s="143"/>
      <c r="BL306" s="143"/>
      <c r="BM306" s="144" t="s">
        <v>3592</v>
      </c>
      <c r="BN306" s="144" t="s">
        <v>103</v>
      </c>
      <c r="BO306" s="144" t="s">
        <v>143</v>
      </c>
      <c r="BP306" s="144">
        <v>2022</v>
      </c>
      <c r="BQ306" s="203" t="s">
        <v>3274</v>
      </c>
    </row>
    <row r="307" spans="1:69" ht="41.1" customHeight="1">
      <c r="A307" s="145" t="s">
        <v>1348</v>
      </c>
      <c r="B307" s="145" t="s">
        <v>1349</v>
      </c>
      <c r="C307" s="143" t="s">
        <v>76</v>
      </c>
      <c r="D307" s="135">
        <v>44526</v>
      </c>
      <c r="E307" s="135">
        <v>44530</v>
      </c>
      <c r="F307" s="147">
        <v>44530</v>
      </c>
      <c r="G307" s="135" t="s">
        <v>1350</v>
      </c>
      <c r="H307" s="147"/>
      <c r="I307" s="147"/>
      <c r="J307" s="147"/>
      <c r="K307" s="135"/>
      <c r="L307" s="135"/>
      <c r="M307" s="135"/>
      <c r="N307" s="135"/>
      <c r="O307" s="135"/>
      <c r="P307" s="135"/>
      <c r="Q307" s="135">
        <v>44930</v>
      </c>
      <c r="R307" s="143" t="s">
        <v>927</v>
      </c>
      <c r="S307" s="143"/>
      <c r="T307" s="143"/>
      <c r="U307" s="143">
        <v>2</v>
      </c>
      <c r="V307" s="143">
        <v>31543</v>
      </c>
      <c r="W307" s="143" t="str">
        <f ca="1">IF(H307="",IF(D307="","",IF(U307+V307&lt;15,"Données Nb pers ou RFR manquantes",IF(COUNTA(INDIRECT("TabRFR["&amp;YEAR(D307)&amp;"]"))&lt;&gt;COUNTA(TabRFR[Recherche RFR]),"Data RFR manquantes", IF(V307&lt;=INDEX(TabRFR[[2021]:[2025]],MATCH(BD!U307&amp;"-Très modestes",TabRFR[Recherche RFR],0),MATCH(TEXT(YEAR(BD!D307),"Standard"),TabRFR[[#Headers],[2021]:[2025]],0)),"Très Modeste",IF(V307&lt;=INDEX(TabRFR[[2021]:[2025]],MATCH(BD!U307&amp;"-modestes",TabRFR[Recherche RFR],0),MATCH(TEXT(YEAR(BD!D307),"Standard"),TabRFR[[#Headers],[2021]:[2025]],0)),"Modeste",IF(V307&lt;=INDEX(TabRFR[[2021]:[2025]],MATCH(BD!U307&amp;"-Intermédiaire",TabRFR[Recherche RFR],0),MATCH(TEXT(YEAR(BD!D307),"Standard"),TabRFR[[#Headers],[2021]:[2025]],0)),"Intermédiaire","Supérieur")))))),IF(D307="","",IF(U307+V307&lt;15,"Données Nb pers ou RFR manquantes",IF(COUNTA(INDIRECT("TabRFR["&amp;YEAR(H307)&amp;"]"))&lt;&gt;COUNTA(TabRFR[Recherche RFR]),"Data RFR manquantes", IF(V307&lt;=INDEX(TabRFR[[2021]:[2025]],MATCH(BD!U307&amp;"-Très modestes",TabRFR[Recherche RFR],0),MATCH(TEXT(YEAR(BD!H307),"Standard"),TabRFR[[#Headers],[2021]:[2025]],0)),"Très Modeste",IF(V307&lt;=INDEX(TabRFR[[2021]:[2025]],MATCH(BD!U307&amp;"-modestes",TabRFR[Recherche RFR],0),MATCH(TEXT(YEAR(BD!H307),"Standard"),TabRFR[[#Headers],[2021]:[2025]],0)),"Modeste",IF(V307&lt;=INDEX(TabRFR[[2021]:[2025]],MATCH(BD!U307&amp;"-Intermédiaire",TabRFR[Recherche RFR],0),MATCH(TEXT(YEAR(BD!H307),"Standard"),TabRFR[[#Headers],[2021]:[2025]],0)),"Intermédiaire","Supérieur")))))))</f>
        <v>Intermédiaire</v>
      </c>
      <c r="X307" s="143"/>
      <c r="Y307" s="143" t="s">
        <v>1351</v>
      </c>
      <c r="Z307" s="143">
        <v>38210</v>
      </c>
      <c r="AA307" s="143" t="s">
        <v>130</v>
      </c>
      <c r="AB307" s="148"/>
      <c r="AC307" s="149"/>
      <c r="AD307" s="143" t="s">
        <v>91</v>
      </c>
      <c r="AE307" s="143" t="s">
        <v>76</v>
      </c>
      <c r="AF307" s="143" t="s">
        <v>76</v>
      </c>
      <c r="AG307" s="143" t="s">
        <v>76</v>
      </c>
      <c r="AH307" s="143" t="s">
        <v>76</v>
      </c>
      <c r="AI307" s="143" t="s">
        <v>201</v>
      </c>
      <c r="AJ307" s="143" t="s">
        <v>202</v>
      </c>
      <c r="AK307" s="143" t="s">
        <v>203</v>
      </c>
      <c r="AL307" s="150" t="s">
        <v>204</v>
      </c>
      <c r="AM307" s="148">
        <v>476065876</v>
      </c>
      <c r="AN307" s="143" t="s">
        <v>76</v>
      </c>
      <c r="AO307" s="150" t="s">
        <v>102</v>
      </c>
      <c r="AP307" s="147">
        <v>44770</v>
      </c>
      <c r="AQ307" s="143" t="s">
        <v>3413</v>
      </c>
      <c r="AR307" s="143">
        <v>2000</v>
      </c>
      <c r="AS307" s="143" t="s">
        <v>3413</v>
      </c>
      <c r="AT307" s="143" t="s">
        <v>98</v>
      </c>
      <c r="AU307" s="143" t="s">
        <v>99</v>
      </c>
      <c r="AV307" s="143" t="s">
        <v>1352</v>
      </c>
      <c r="AW307" s="143">
        <v>11</v>
      </c>
      <c r="AX307" s="143">
        <v>12</v>
      </c>
      <c r="AY307" s="143">
        <v>88.5</v>
      </c>
      <c r="AZ307" s="143">
        <v>0.01</v>
      </c>
      <c r="BA307" s="143" t="s">
        <v>101</v>
      </c>
      <c r="BB307" s="143"/>
      <c r="BC307" s="143">
        <f>3187+586+487.21+703.66+175.31</f>
        <v>5139.18</v>
      </c>
      <c r="BD307" s="143"/>
      <c r="BE307" s="143">
        <v>800</v>
      </c>
      <c r="BF307" s="143">
        <f t="shared" si="12"/>
        <v>5939.18</v>
      </c>
      <c r="BG307" s="151">
        <f t="shared" si="13"/>
        <v>326.6549</v>
      </c>
      <c r="BH307" s="151">
        <f t="shared" si="14"/>
        <v>6265.8348999999998</v>
      </c>
      <c r="BI307" s="151"/>
      <c r="BJ307" s="143" t="s">
        <v>115</v>
      </c>
      <c r="BK307" s="143"/>
      <c r="BL307" s="143"/>
      <c r="BM307" s="144">
        <v>0</v>
      </c>
      <c r="BN307" s="144" t="s">
        <v>103</v>
      </c>
      <c r="BO307" s="144" t="s">
        <v>103</v>
      </c>
      <c r="BP307" s="203" t="s">
        <v>3582</v>
      </c>
      <c r="BQ307" s="203" t="s">
        <v>3273</v>
      </c>
    </row>
    <row r="308" spans="1:69" ht="41.1" customHeight="1">
      <c r="A308" s="205" t="s">
        <v>1353</v>
      </c>
      <c r="B308" s="205" t="s">
        <v>1354</v>
      </c>
      <c r="C308" s="143">
        <v>600</v>
      </c>
      <c r="D308" s="135">
        <v>44529</v>
      </c>
      <c r="E308" s="135">
        <v>44530</v>
      </c>
      <c r="F308" s="147" t="s">
        <v>76</v>
      </c>
      <c r="G308" s="135" t="s">
        <v>76</v>
      </c>
      <c r="H308" s="147">
        <v>44533</v>
      </c>
      <c r="I308" s="147">
        <v>44533</v>
      </c>
      <c r="J308" s="147">
        <v>44539</v>
      </c>
      <c r="K308" s="135">
        <v>44593</v>
      </c>
      <c r="L308" s="135"/>
      <c r="M308" s="135">
        <v>44599</v>
      </c>
      <c r="N308" s="135"/>
      <c r="O308" s="135">
        <v>44599</v>
      </c>
      <c r="P308" s="135">
        <v>44599</v>
      </c>
      <c r="Q308" s="135"/>
      <c r="R308" s="143"/>
      <c r="S308" s="143"/>
      <c r="T308" s="143"/>
      <c r="U308" s="143">
        <v>2</v>
      </c>
      <c r="V308" s="143">
        <v>33698</v>
      </c>
      <c r="W308" s="143" t="str">
        <f ca="1">IF(H308="",IF(D308="","",IF(U308+V308&lt;15,"Données Nb pers ou RFR manquantes",IF(COUNTA(INDIRECT("TabRFR["&amp;YEAR(D308)&amp;"]"))&lt;&gt;COUNTA(TabRFR[Recherche RFR]),"Data RFR manquantes", IF(V308&lt;=INDEX(TabRFR[[2021]:[2025]],MATCH(BD!U308&amp;"-Très modestes",TabRFR[Recherche RFR],0),MATCH(TEXT(YEAR(BD!D308),"Standard"),TabRFR[[#Headers],[2021]:[2025]],0)),"Très Modeste",IF(V308&lt;=INDEX(TabRFR[[2021]:[2025]],MATCH(BD!U308&amp;"-modestes",TabRFR[Recherche RFR],0),MATCH(TEXT(YEAR(BD!D308),"Standard"),TabRFR[[#Headers],[2021]:[2025]],0)),"Modeste",IF(V308&lt;=INDEX(TabRFR[[2021]:[2025]],MATCH(BD!U308&amp;"-Intermédiaire",TabRFR[Recherche RFR],0),MATCH(TEXT(YEAR(BD!D308),"Standard"),TabRFR[[#Headers],[2021]:[2025]],0)),"Intermédiaire","Supérieur")))))),IF(D308="","",IF(U308+V308&lt;15,"Données Nb pers ou RFR manquantes",IF(COUNTA(INDIRECT("TabRFR["&amp;YEAR(H308)&amp;"]"))&lt;&gt;COUNTA(TabRFR[Recherche RFR]),"Data RFR manquantes", IF(V308&lt;=INDEX(TabRFR[[2021]:[2025]],MATCH(BD!U308&amp;"-Très modestes",TabRFR[Recherche RFR],0),MATCH(TEXT(YEAR(BD!H308),"Standard"),TabRFR[[#Headers],[2021]:[2025]],0)),"Très Modeste",IF(V308&lt;=INDEX(TabRFR[[2021]:[2025]],MATCH(BD!U308&amp;"-modestes",TabRFR[Recherche RFR],0),MATCH(TEXT(YEAR(BD!H308),"Standard"),TabRFR[[#Headers],[2021]:[2025]],0)),"Modeste",IF(V308&lt;=INDEX(TabRFR[[2021]:[2025]],MATCH(BD!U308&amp;"-Intermédiaire",TabRFR[Recherche RFR],0),MATCH(TEXT(YEAR(BD!H308),"Standard"),TabRFR[[#Headers],[2021]:[2025]],0)),"Intermédiaire","Supérieur")))))))</f>
        <v>Intermédiaire</v>
      </c>
      <c r="X308" s="143"/>
      <c r="Y308" s="143" t="s">
        <v>1355</v>
      </c>
      <c r="Z308" s="143">
        <v>38500</v>
      </c>
      <c r="AA308" s="143" t="s">
        <v>134</v>
      </c>
      <c r="AB308" s="148"/>
      <c r="AC308" s="149"/>
      <c r="AD308" s="143" t="s">
        <v>91</v>
      </c>
      <c r="AE308" s="143" t="s">
        <v>76</v>
      </c>
      <c r="AF308" s="143" t="s">
        <v>76</v>
      </c>
      <c r="AG308" s="143" t="s">
        <v>76</v>
      </c>
      <c r="AH308" s="143" t="s">
        <v>76</v>
      </c>
      <c r="AI308" s="135" t="s">
        <v>285</v>
      </c>
      <c r="AJ308" s="143" t="s">
        <v>108</v>
      </c>
      <c r="AK308" s="143" t="s">
        <v>286</v>
      </c>
      <c r="AL308" s="150" t="s">
        <v>287</v>
      </c>
      <c r="AM308" s="148">
        <v>476069938</v>
      </c>
      <c r="AN308" s="143"/>
      <c r="AO308" s="150" t="s">
        <v>102</v>
      </c>
      <c r="AP308" s="147">
        <v>44822</v>
      </c>
      <c r="AQ308" s="135" t="s">
        <v>3496</v>
      </c>
      <c r="AR308" s="143">
        <v>1980</v>
      </c>
      <c r="AS308" s="143" t="s">
        <v>3413</v>
      </c>
      <c r="AT308" s="143" t="s">
        <v>98</v>
      </c>
      <c r="AU308" s="143" t="s">
        <v>430</v>
      </c>
      <c r="AV308" s="143" t="s">
        <v>564</v>
      </c>
      <c r="AW308" s="143">
        <v>15</v>
      </c>
      <c r="AX308" s="143">
        <v>7.4</v>
      </c>
      <c r="AY308" s="143">
        <v>92.5</v>
      </c>
      <c r="AZ308" s="143">
        <v>1.2E-2</v>
      </c>
      <c r="BA308" s="143" t="s">
        <v>126</v>
      </c>
      <c r="BB308" s="143"/>
      <c r="BC308" s="143">
        <f>470 + 250.01+89+3180</f>
        <v>3989.01</v>
      </c>
      <c r="BD308" s="143"/>
      <c r="BE308" s="143">
        <f>450+63.36+236.97</f>
        <v>750.33</v>
      </c>
      <c r="BF308" s="143">
        <f t="shared" si="12"/>
        <v>4739.34</v>
      </c>
      <c r="BG308" s="143">
        <f t="shared" si="13"/>
        <v>260.66370000000001</v>
      </c>
      <c r="BH308" s="143">
        <f t="shared" si="14"/>
        <v>5000.0037000000002</v>
      </c>
      <c r="BI308" s="151">
        <v>5000</v>
      </c>
      <c r="BJ308" s="143" t="s">
        <v>102</v>
      </c>
      <c r="BK308" s="143"/>
      <c r="BL308" s="143"/>
      <c r="BM308" s="144" t="s">
        <v>3592</v>
      </c>
      <c r="BN308" s="144" t="s">
        <v>103</v>
      </c>
      <c r="BO308" s="144" t="s">
        <v>143</v>
      </c>
      <c r="BP308" s="143" t="s">
        <v>3583</v>
      </c>
      <c r="BQ308" s="203" t="s">
        <v>144</v>
      </c>
    </row>
    <row r="309" spans="1:69" ht="41.1" customHeight="1">
      <c r="A309" s="205" t="s">
        <v>1353</v>
      </c>
      <c r="B309" s="205" t="s">
        <v>1356</v>
      </c>
      <c r="C309" s="143">
        <v>600</v>
      </c>
      <c r="D309" s="135">
        <v>44529</v>
      </c>
      <c r="E309" s="135">
        <v>44530</v>
      </c>
      <c r="F309" s="147">
        <v>44533</v>
      </c>
      <c r="G309" s="135" t="s">
        <v>76</v>
      </c>
      <c r="H309" s="147">
        <v>44543</v>
      </c>
      <c r="I309" s="147">
        <v>44543</v>
      </c>
      <c r="J309" s="147">
        <v>44544</v>
      </c>
      <c r="K309" s="135">
        <v>44697</v>
      </c>
      <c r="L309" s="135">
        <v>44641</v>
      </c>
      <c r="M309" s="135" t="s">
        <v>76</v>
      </c>
      <c r="N309" s="135">
        <v>44768</v>
      </c>
      <c r="O309" s="135">
        <v>44768</v>
      </c>
      <c r="P309" s="135">
        <v>44769</v>
      </c>
      <c r="Q309" s="135"/>
      <c r="R309" s="143"/>
      <c r="S309" s="143"/>
      <c r="T309" s="143"/>
      <c r="U309" s="143">
        <v>2</v>
      </c>
      <c r="V309" s="143">
        <v>57333</v>
      </c>
      <c r="W309" s="143" t="str">
        <f ca="1">IF(H309="",IF(D309="","",IF(U309+V309&lt;15,"Données Nb pers ou RFR manquantes",IF(COUNTA(INDIRECT("TabRFR["&amp;YEAR(D309)&amp;"]"))&lt;&gt;COUNTA(TabRFR[Recherche RFR]),"Data RFR manquantes", IF(V309&lt;=INDEX(TabRFR[[2021]:[2025]],MATCH(BD!U309&amp;"-Très modestes",TabRFR[Recherche RFR],0),MATCH(TEXT(YEAR(BD!D309),"Standard"),TabRFR[[#Headers],[2021]:[2025]],0)),"Très Modeste",IF(V309&lt;=INDEX(TabRFR[[2021]:[2025]],MATCH(BD!U309&amp;"-modestes",TabRFR[Recherche RFR],0),MATCH(TEXT(YEAR(BD!D309),"Standard"),TabRFR[[#Headers],[2021]:[2025]],0)),"Modeste",IF(V309&lt;=INDEX(TabRFR[[2021]:[2025]],MATCH(BD!U309&amp;"-Intermédiaire",TabRFR[Recherche RFR],0),MATCH(TEXT(YEAR(BD!D309),"Standard"),TabRFR[[#Headers],[2021]:[2025]],0)),"Intermédiaire","Supérieur")))))),IF(D309="","",IF(U309+V309&lt;15,"Données Nb pers ou RFR manquantes",IF(COUNTA(INDIRECT("TabRFR["&amp;YEAR(H309)&amp;"]"))&lt;&gt;COUNTA(TabRFR[Recherche RFR]),"Data RFR manquantes", IF(V309&lt;=INDEX(TabRFR[[2021]:[2025]],MATCH(BD!U309&amp;"-Très modestes",TabRFR[Recherche RFR],0),MATCH(TEXT(YEAR(BD!H309),"Standard"),TabRFR[[#Headers],[2021]:[2025]],0)),"Très Modeste",IF(V309&lt;=INDEX(TabRFR[[2021]:[2025]],MATCH(BD!U309&amp;"-modestes",TabRFR[Recherche RFR],0),MATCH(TEXT(YEAR(BD!H309),"Standard"),TabRFR[[#Headers],[2021]:[2025]],0)),"Modeste",IF(V309&lt;=INDEX(TabRFR[[2021]:[2025]],MATCH(BD!U309&amp;"-Intermédiaire",TabRFR[Recherche RFR],0),MATCH(TEXT(YEAR(BD!H309),"Standard"),TabRFR[[#Headers],[2021]:[2025]],0)),"Intermédiaire","Supérieur")))))))</f>
        <v>Supérieur</v>
      </c>
      <c r="X309" s="143"/>
      <c r="Y309" s="143" t="s">
        <v>1357</v>
      </c>
      <c r="Z309" s="143">
        <v>38430</v>
      </c>
      <c r="AA309" s="143" t="s">
        <v>351</v>
      </c>
      <c r="AB309" s="148"/>
      <c r="AC309" s="149"/>
      <c r="AD309" s="143" t="s">
        <v>91</v>
      </c>
      <c r="AE309" s="143" t="s">
        <v>76</v>
      </c>
      <c r="AF309" s="143" t="s">
        <v>76</v>
      </c>
      <c r="AG309" s="143" t="s">
        <v>76</v>
      </c>
      <c r="AH309" s="143" t="s">
        <v>76</v>
      </c>
      <c r="AI309" s="135" t="s">
        <v>285</v>
      </c>
      <c r="AJ309" s="143" t="s">
        <v>108</v>
      </c>
      <c r="AK309" s="143" t="s">
        <v>286</v>
      </c>
      <c r="AL309" s="150" t="s">
        <v>287</v>
      </c>
      <c r="AM309" s="148">
        <v>476069938</v>
      </c>
      <c r="AN309" s="143"/>
      <c r="AO309" s="150" t="s">
        <v>102</v>
      </c>
      <c r="AP309" s="147">
        <v>44822</v>
      </c>
      <c r="AQ309" s="135" t="s">
        <v>3449</v>
      </c>
      <c r="AR309" s="143">
        <v>1973</v>
      </c>
      <c r="AS309" s="143" t="s">
        <v>3413</v>
      </c>
      <c r="AT309" s="143" t="s">
        <v>98</v>
      </c>
      <c r="AU309" s="143" t="s">
        <v>214</v>
      </c>
      <c r="AV309" s="143" t="s">
        <v>1358</v>
      </c>
      <c r="AW309" s="143">
        <v>14</v>
      </c>
      <c r="AX309" s="143">
        <v>9.1</v>
      </c>
      <c r="AY309" s="143">
        <v>90.2</v>
      </c>
      <c r="AZ309" s="143">
        <v>4.0000000000000001E-3</v>
      </c>
      <c r="BA309" s="143" t="s">
        <v>101</v>
      </c>
      <c r="BB309" s="143"/>
      <c r="BC309" s="143">
        <f>3555+250+805</f>
        <v>4610</v>
      </c>
      <c r="BD309" s="143"/>
      <c r="BE309" s="143">
        <f>390+450</f>
        <v>840</v>
      </c>
      <c r="BF309" s="143">
        <f t="shared" si="12"/>
        <v>5450</v>
      </c>
      <c r="BG309" s="143">
        <f t="shared" si="13"/>
        <v>299.75</v>
      </c>
      <c r="BH309" s="143">
        <f t="shared" si="14"/>
        <v>5749.75</v>
      </c>
      <c r="BI309" s="151">
        <v>5749.76</v>
      </c>
      <c r="BJ309" s="143" t="s">
        <v>115</v>
      </c>
      <c r="BK309" s="143"/>
      <c r="BL309" s="143"/>
      <c r="BM309" s="144" t="s">
        <v>3592</v>
      </c>
      <c r="BN309" s="144" t="s">
        <v>103</v>
      </c>
      <c r="BO309" s="144" t="s">
        <v>143</v>
      </c>
      <c r="BP309" s="143" t="s">
        <v>3583</v>
      </c>
      <c r="BQ309" s="203" t="s">
        <v>3274</v>
      </c>
    </row>
    <row r="310" spans="1:69" ht="41.1" customHeight="1">
      <c r="A310" s="205" t="s">
        <v>1353</v>
      </c>
      <c r="B310" s="205" t="s">
        <v>1359</v>
      </c>
      <c r="C310" s="143">
        <v>600</v>
      </c>
      <c r="D310" s="135">
        <v>44530</v>
      </c>
      <c r="E310" s="135">
        <v>44530</v>
      </c>
      <c r="F310" s="147">
        <v>44533</v>
      </c>
      <c r="G310" s="135" t="s">
        <v>76</v>
      </c>
      <c r="H310" s="147">
        <v>44543</v>
      </c>
      <c r="I310" s="147">
        <v>44543</v>
      </c>
      <c r="J310" s="147">
        <v>44544</v>
      </c>
      <c r="K310" s="135">
        <v>44636</v>
      </c>
      <c r="L310" s="135">
        <v>44603</v>
      </c>
      <c r="M310" s="135"/>
      <c r="N310" s="135">
        <v>44650</v>
      </c>
      <c r="O310" s="135">
        <v>44650</v>
      </c>
      <c r="P310" s="135">
        <v>44652</v>
      </c>
      <c r="Q310" s="135"/>
      <c r="R310" s="143"/>
      <c r="S310" s="143"/>
      <c r="T310" s="143"/>
      <c r="U310" s="143">
        <v>2</v>
      </c>
      <c r="V310" s="143">
        <v>49440</v>
      </c>
      <c r="W310" s="143" t="str">
        <f ca="1">IF(H310="",IF(D310="","",IF(U310+V310&lt;15,"Données Nb pers ou RFR manquantes",IF(COUNTA(INDIRECT("TabRFR["&amp;YEAR(D310)&amp;"]"))&lt;&gt;COUNTA(TabRFR[Recherche RFR]),"Data RFR manquantes", IF(V310&lt;=INDEX(TabRFR[[2021]:[2025]],MATCH(BD!U310&amp;"-Très modestes",TabRFR[Recherche RFR],0),MATCH(TEXT(YEAR(BD!D310),"Standard"),TabRFR[[#Headers],[2021]:[2025]],0)),"Très Modeste",IF(V310&lt;=INDEX(TabRFR[[2021]:[2025]],MATCH(BD!U310&amp;"-modestes",TabRFR[Recherche RFR],0),MATCH(TEXT(YEAR(BD!D310),"Standard"),TabRFR[[#Headers],[2021]:[2025]],0)),"Modeste",IF(V310&lt;=INDEX(TabRFR[[2021]:[2025]],MATCH(BD!U310&amp;"-Intermédiaire",TabRFR[Recherche RFR],0),MATCH(TEXT(YEAR(BD!D310),"Standard"),TabRFR[[#Headers],[2021]:[2025]],0)),"Intermédiaire","Supérieur")))))),IF(D310="","",IF(U310+V310&lt;15,"Données Nb pers ou RFR manquantes",IF(COUNTA(INDIRECT("TabRFR["&amp;YEAR(H310)&amp;"]"))&lt;&gt;COUNTA(TabRFR[Recherche RFR]),"Data RFR manquantes", IF(V310&lt;=INDEX(TabRFR[[2021]:[2025]],MATCH(BD!U310&amp;"-Très modestes",TabRFR[Recherche RFR],0),MATCH(TEXT(YEAR(BD!H310),"Standard"),TabRFR[[#Headers],[2021]:[2025]],0)),"Très Modeste",IF(V310&lt;=INDEX(TabRFR[[2021]:[2025]],MATCH(BD!U310&amp;"-modestes",TabRFR[Recherche RFR],0),MATCH(TEXT(YEAR(BD!H310),"Standard"),TabRFR[[#Headers],[2021]:[2025]],0)),"Modeste",IF(V310&lt;=INDEX(TabRFR[[2021]:[2025]],MATCH(BD!U310&amp;"-Intermédiaire",TabRFR[Recherche RFR],0),MATCH(TEXT(YEAR(BD!H310),"Standard"),TabRFR[[#Headers],[2021]:[2025]],0)),"Intermédiaire","Supérieur")))))))</f>
        <v>Supérieur</v>
      </c>
      <c r="X310" s="143"/>
      <c r="Y310" s="143" t="s">
        <v>1360</v>
      </c>
      <c r="Z310" s="143">
        <v>38430</v>
      </c>
      <c r="AA310" s="143" t="s">
        <v>351</v>
      </c>
      <c r="AB310" s="148"/>
      <c r="AC310" s="149"/>
      <c r="AD310" s="143" t="s">
        <v>91</v>
      </c>
      <c r="AE310" s="143" t="s">
        <v>76</v>
      </c>
      <c r="AF310" s="143" t="s">
        <v>76</v>
      </c>
      <c r="AG310" s="143" t="s">
        <v>76</v>
      </c>
      <c r="AH310" s="143" t="s">
        <v>76</v>
      </c>
      <c r="AI310" s="143" t="s">
        <v>719</v>
      </c>
      <c r="AJ310" s="143" t="s">
        <v>720</v>
      </c>
      <c r="AK310" s="143" t="s">
        <v>721</v>
      </c>
      <c r="AL310" s="150" t="s">
        <v>722</v>
      </c>
      <c r="AM310" s="148">
        <v>479524432</v>
      </c>
      <c r="AN310" s="143" t="s">
        <v>1361</v>
      </c>
      <c r="AO310" s="150" t="s">
        <v>102</v>
      </c>
      <c r="AP310" s="147">
        <v>44742</v>
      </c>
      <c r="AQ310" s="135" t="s">
        <v>3323</v>
      </c>
      <c r="AR310" s="143">
        <v>1995</v>
      </c>
      <c r="AS310" s="143" t="s">
        <v>3413</v>
      </c>
      <c r="AT310" s="135" t="s">
        <v>3446</v>
      </c>
      <c r="AU310" s="143" t="s">
        <v>1362</v>
      </c>
      <c r="AV310" s="143" t="s">
        <v>1363</v>
      </c>
      <c r="AW310" s="143">
        <v>30</v>
      </c>
      <c r="AX310" s="143">
        <v>7</v>
      </c>
      <c r="AY310" s="143">
        <v>77</v>
      </c>
      <c r="AZ310" s="143">
        <v>0.1</v>
      </c>
      <c r="BA310" s="143" t="s">
        <v>101</v>
      </c>
      <c r="BB310" s="143"/>
      <c r="BC310" s="143">
        <f>3300+372+78+83+856+120</f>
        <v>4809</v>
      </c>
      <c r="BD310" s="143"/>
      <c r="BE310" s="143">
        <f>540+120</f>
        <v>660</v>
      </c>
      <c r="BF310" s="143">
        <f t="shared" si="12"/>
        <v>5469</v>
      </c>
      <c r="BG310" s="151">
        <f t="shared" si="13"/>
        <v>300.79500000000002</v>
      </c>
      <c r="BH310" s="151">
        <f t="shared" si="14"/>
        <v>5769.7950000000001</v>
      </c>
      <c r="BI310" s="151">
        <v>4980</v>
      </c>
      <c r="BJ310" s="143" t="s">
        <v>115</v>
      </c>
      <c r="BK310" s="143"/>
      <c r="BL310" s="143"/>
      <c r="BM310" s="144" t="s">
        <v>3592</v>
      </c>
      <c r="BN310" s="144" t="s">
        <v>103</v>
      </c>
      <c r="BO310" s="144" t="s">
        <v>143</v>
      </c>
      <c r="BP310" s="144">
        <v>2022</v>
      </c>
      <c r="BQ310" s="203" t="s">
        <v>3274</v>
      </c>
    </row>
    <row r="311" spans="1:69" ht="41.1" customHeight="1">
      <c r="A311" s="205" t="s">
        <v>1353</v>
      </c>
      <c r="B311" s="205" t="s">
        <v>1364</v>
      </c>
      <c r="C311" s="143">
        <v>600</v>
      </c>
      <c r="D311" s="135">
        <v>44532</v>
      </c>
      <c r="E311" s="135">
        <v>44533</v>
      </c>
      <c r="F311" s="147">
        <v>44533</v>
      </c>
      <c r="G311" s="135" t="s">
        <v>76</v>
      </c>
      <c r="H311" s="147">
        <v>44543</v>
      </c>
      <c r="I311" s="147">
        <v>44543</v>
      </c>
      <c r="J311" s="147">
        <v>44544</v>
      </c>
      <c r="K311" s="135">
        <v>44686</v>
      </c>
      <c r="L311" s="135">
        <v>44592</v>
      </c>
      <c r="M311" s="135" t="s">
        <v>76</v>
      </c>
      <c r="N311" s="135">
        <v>44768</v>
      </c>
      <c r="O311" s="135">
        <v>44768</v>
      </c>
      <c r="P311" s="135">
        <v>44769</v>
      </c>
      <c r="Q311" s="135"/>
      <c r="R311" s="143"/>
      <c r="S311" s="143"/>
      <c r="T311" s="143"/>
      <c r="U311" s="143">
        <v>2</v>
      </c>
      <c r="V311" s="143">
        <v>82081</v>
      </c>
      <c r="W311" s="143" t="str">
        <f ca="1">IF(H311="",IF(D311="","",IF(U311+V311&lt;15,"Données Nb pers ou RFR manquantes",IF(COUNTA(INDIRECT("TabRFR["&amp;YEAR(D311)&amp;"]"))&lt;&gt;COUNTA(TabRFR[Recherche RFR]),"Data RFR manquantes", IF(V311&lt;=INDEX(TabRFR[[2021]:[2025]],MATCH(BD!U311&amp;"-Très modestes",TabRFR[Recherche RFR],0),MATCH(TEXT(YEAR(BD!D311),"Standard"),TabRFR[[#Headers],[2021]:[2025]],0)),"Très Modeste",IF(V311&lt;=INDEX(TabRFR[[2021]:[2025]],MATCH(BD!U311&amp;"-modestes",TabRFR[Recherche RFR],0),MATCH(TEXT(YEAR(BD!D311),"Standard"),TabRFR[[#Headers],[2021]:[2025]],0)),"Modeste",IF(V311&lt;=INDEX(TabRFR[[2021]:[2025]],MATCH(BD!U311&amp;"-Intermédiaire",TabRFR[Recherche RFR],0),MATCH(TEXT(YEAR(BD!D311),"Standard"),TabRFR[[#Headers],[2021]:[2025]],0)),"Intermédiaire","Supérieur")))))),IF(D311="","",IF(U311+V311&lt;15,"Données Nb pers ou RFR manquantes",IF(COUNTA(INDIRECT("TabRFR["&amp;YEAR(H311)&amp;"]"))&lt;&gt;COUNTA(TabRFR[Recherche RFR]),"Data RFR manquantes", IF(V311&lt;=INDEX(TabRFR[[2021]:[2025]],MATCH(BD!U311&amp;"-Très modestes",TabRFR[Recherche RFR],0),MATCH(TEXT(YEAR(BD!H311),"Standard"),TabRFR[[#Headers],[2021]:[2025]],0)),"Très Modeste",IF(V311&lt;=INDEX(TabRFR[[2021]:[2025]],MATCH(BD!U311&amp;"-modestes",TabRFR[Recherche RFR],0),MATCH(TEXT(YEAR(BD!H311),"Standard"),TabRFR[[#Headers],[2021]:[2025]],0)),"Modeste",IF(V311&lt;=INDEX(TabRFR[[2021]:[2025]],MATCH(BD!U311&amp;"-Intermédiaire",TabRFR[Recherche RFR],0),MATCH(TEXT(YEAR(BD!H311),"Standard"),TabRFR[[#Headers],[2021]:[2025]],0)),"Intermédiaire","Supérieur")))))))</f>
        <v>Supérieur</v>
      </c>
      <c r="X311" s="143"/>
      <c r="Y311" s="143" t="s">
        <v>1365</v>
      </c>
      <c r="Z311" s="143">
        <v>38210</v>
      </c>
      <c r="AA311" s="143" t="s">
        <v>202</v>
      </c>
      <c r="AB311" s="148"/>
      <c r="AC311" s="149"/>
      <c r="AD311" s="143" t="s">
        <v>91</v>
      </c>
      <c r="AE311" s="143" t="s">
        <v>76</v>
      </c>
      <c r="AF311" s="143" t="s">
        <v>76</v>
      </c>
      <c r="AG311" s="143" t="s">
        <v>76</v>
      </c>
      <c r="AH311" s="143" t="s">
        <v>76</v>
      </c>
      <c r="AI311" s="143" t="s">
        <v>1366</v>
      </c>
      <c r="AJ311" s="143" t="s">
        <v>1367</v>
      </c>
      <c r="AK311" s="143" t="s">
        <v>1368</v>
      </c>
      <c r="AL311" s="150" t="s">
        <v>1369</v>
      </c>
      <c r="AM311" s="148">
        <v>476389584</v>
      </c>
      <c r="AN311" s="143"/>
      <c r="AO311" s="150" t="s">
        <v>102</v>
      </c>
      <c r="AP311" s="147">
        <v>44867</v>
      </c>
      <c r="AQ311" s="135" t="s">
        <v>3496</v>
      </c>
      <c r="AR311" s="143">
        <v>1989</v>
      </c>
      <c r="AS311" s="143" t="s">
        <v>3413</v>
      </c>
      <c r="AT311" s="135" t="s">
        <v>3446</v>
      </c>
      <c r="AU311" s="143" t="s">
        <v>306</v>
      </c>
      <c r="AV311" s="143" t="s">
        <v>1370</v>
      </c>
      <c r="AW311" s="143">
        <v>11</v>
      </c>
      <c r="AX311" s="143">
        <v>6</v>
      </c>
      <c r="AY311" s="143">
        <v>86</v>
      </c>
      <c r="AZ311" s="143">
        <v>0.08</v>
      </c>
      <c r="BA311" s="143" t="s">
        <v>101</v>
      </c>
      <c r="BB311" s="143"/>
      <c r="BC311" s="143">
        <f>3544+256.8+327+1134.02+203.7</f>
        <v>5465.5199999999995</v>
      </c>
      <c r="BD311" s="143"/>
      <c r="BE311" s="143">
        <f>385+134+665</f>
        <v>1184</v>
      </c>
      <c r="BF311" s="143">
        <f t="shared" si="12"/>
        <v>6649.5199999999995</v>
      </c>
      <c r="BG311" s="151">
        <f t="shared" si="13"/>
        <v>365.72359999999998</v>
      </c>
      <c r="BH311" s="151">
        <f t="shared" si="14"/>
        <v>7015.2435999999998</v>
      </c>
      <c r="BI311" s="151">
        <v>7015.24</v>
      </c>
      <c r="BJ311" s="143" t="s">
        <v>103</v>
      </c>
      <c r="BK311" s="143"/>
      <c r="BL311" s="143"/>
      <c r="BM311" s="144" t="s">
        <v>3592</v>
      </c>
      <c r="BN311" s="144" t="s">
        <v>103</v>
      </c>
      <c r="BO311" s="144" t="s">
        <v>143</v>
      </c>
      <c r="BP311" s="144">
        <v>2022</v>
      </c>
      <c r="BQ311" s="203" t="s">
        <v>3274</v>
      </c>
    </row>
    <row r="312" spans="1:69" ht="41.1" customHeight="1">
      <c r="A312" s="205" t="s">
        <v>1353</v>
      </c>
      <c r="B312" s="205" t="s">
        <v>1371</v>
      </c>
      <c r="C312" s="143">
        <v>1000</v>
      </c>
      <c r="D312" s="135">
        <v>44532</v>
      </c>
      <c r="E312" s="135">
        <v>44533</v>
      </c>
      <c r="F312" s="147">
        <v>44533</v>
      </c>
      <c r="G312" s="135" t="s">
        <v>76</v>
      </c>
      <c r="H312" s="147">
        <v>44543</v>
      </c>
      <c r="I312" s="147">
        <v>44543</v>
      </c>
      <c r="J312" s="147">
        <v>44544</v>
      </c>
      <c r="K312" s="135">
        <v>44575</v>
      </c>
      <c r="L312" s="135">
        <v>44553</v>
      </c>
      <c r="M312" s="135" t="s">
        <v>76</v>
      </c>
      <c r="N312" s="135">
        <v>44580</v>
      </c>
      <c r="O312" s="135">
        <v>44580</v>
      </c>
      <c r="P312" s="135">
        <v>44581</v>
      </c>
      <c r="Q312" s="135"/>
      <c r="R312" s="143"/>
      <c r="S312" s="143"/>
      <c r="T312" s="143"/>
      <c r="U312" s="143">
        <v>4</v>
      </c>
      <c r="V312" s="143">
        <v>29180</v>
      </c>
      <c r="W312" s="143" t="str">
        <f ca="1">IF(H312="",IF(D312="","",IF(U312+V312&lt;15,"Données Nb pers ou RFR manquantes",IF(COUNTA(INDIRECT("TabRFR["&amp;YEAR(D312)&amp;"]"))&lt;&gt;COUNTA(TabRFR[Recherche RFR]),"Data RFR manquantes", IF(V312&lt;=INDEX(TabRFR[[2021]:[2025]],MATCH(BD!U312&amp;"-Très modestes",TabRFR[Recherche RFR],0),MATCH(TEXT(YEAR(BD!D312),"Standard"),TabRFR[[#Headers],[2021]:[2025]],0)),"Très Modeste",IF(V312&lt;=INDEX(TabRFR[[2021]:[2025]],MATCH(BD!U312&amp;"-modestes",TabRFR[Recherche RFR],0),MATCH(TEXT(YEAR(BD!D312),"Standard"),TabRFR[[#Headers],[2021]:[2025]],0)),"Modeste",IF(V312&lt;=INDEX(TabRFR[[2021]:[2025]],MATCH(BD!U312&amp;"-Intermédiaire",TabRFR[Recherche RFR],0),MATCH(TEXT(YEAR(BD!D312),"Standard"),TabRFR[[#Headers],[2021]:[2025]],0)),"Intermédiaire","Supérieur")))))),IF(D312="","",IF(U312+V312&lt;15,"Données Nb pers ou RFR manquantes",IF(COUNTA(INDIRECT("TabRFR["&amp;YEAR(H312)&amp;"]"))&lt;&gt;COUNTA(TabRFR[Recherche RFR]),"Data RFR manquantes", IF(V312&lt;=INDEX(TabRFR[[2021]:[2025]],MATCH(BD!U312&amp;"-Très modestes",TabRFR[Recherche RFR],0),MATCH(TEXT(YEAR(BD!H312),"Standard"),TabRFR[[#Headers],[2021]:[2025]],0)),"Très Modeste",IF(V312&lt;=INDEX(TabRFR[[2021]:[2025]],MATCH(BD!U312&amp;"-modestes",TabRFR[Recherche RFR],0),MATCH(TEXT(YEAR(BD!H312),"Standard"),TabRFR[[#Headers],[2021]:[2025]],0)),"Modeste",IF(V312&lt;=INDEX(TabRFR[[2021]:[2025]],MATCH(BD!U312&amp;"-Intermédiaire",TabRFR[Recherche RFR],0),MATCH(TEXT(YEAR(BD!H312),"Standard"),TabRFR[[#Headers],[2021]:[2025]],0)),"Intermédiaire","Supérieur")))))))</f>
        <v>Très Modeste</v>
      </c>
      <c r="X312" s="143"/>
      <c r="Y312" s="143" t="s">
        <v>1372</v>
      </c>
      <c r="Z312" s="143">
        <v>38620</v>
      </c>
      <c r="AA312" s="143" t="s">
        <v>1239</v>
      </c>
      <c r="AB312" s="148"/>
      <c r="AC312" s="149"/>
      <c r="AD312" s="143" t="s">
        <v>91</v>
      </c>
      <c r="AE312" s="143" t="s">
        <v>76</v>
      </c>
      <c r="AF312" s="143" t="s">
        <v>76</v>
      </c>
      <c r="AG312" s="143" t="s">
        <v>76</v>
      </c>
      <c r="AH312" s="143" t="s">
        <v>76</v>
      </c>
      <c r="AI312" s="143" t="s">
        <v>1373</v>
      </c>
      <c r="AJ312" s="143" t="s">
        <v>504</v>
      </c>
      <c r="AK312" s="143" t="s">
        <v>1374</v>
      </c>
      <c r="AL312" s="150" t="s">
        <v>1375</v>
      </c>
      <c r="AM312" s="148">
        <v>476063661</v>
      </c>
      <c r="AN312" s="143"/>
      <c r="AO312" s="155" t="s">
        <v>115</v>
      </c>
      <c r="AP312" s="147">
        <v>44715</v>
      </c>
      <c r="AQ312" s="143" t="s">
        <v>3413</v>
      </c>
      <c r="AR312" s="143">
        <v>1997</v>
      </c>
      <c r="AS312" s="143" t="s">
        <v>3413</v>
      </c>
      <c r="AT312" s="135" t="s">
        <v>3446</v>
      </c>
      <c r="AU312" s="143" t="s">
        <v>164</v>
      </c>
      <c r="AV312" s="143" t="s">
        <v>1376</v>
      </c>
      <c r="AW312" s="143">
        <v>28</v>
      </c>
      <c r="AX312" s="143">
        <v>10.5</v>
      </c>
      <c r="AY312" s="143">
        <v>75.599999999999994</v>
      </c>
      <c r="AZ312" s="143">
        <v>0.12</v>
      </c>
      <c r="BA312" s="143" t="s">
        <v>101</v>
      </c>
      <c r="BB312" s="143"/>
      <c r="BC312" s="143">
        <f>1919.46+1806</f>
        <v>3725.46</v>
      </c>
      <c r="BD312" s="143"/>
      <c r="BE312" s="143">
        <f>981+225</f>
        <v>1206</v>
      </c>
      <c r="BF312" s="143">
        <f t="shared" si="12"/>
        <v>4931.46</v>
      </c>
      <c r="BG312" s="151">
        <f t="shared" si="13"/>
        <v>271.2303</v>
      </c>
      <c r="BH312" s="151">
        <f t="shared" si="14"/>
        <v>5202.6903000000002</v>
      </c>
      <c r="BI312" s="151">
        <v>5202.6899999999996</v>
      </c>
      <c r="BJ312" s="143" t="s">
        <v>115</v>
      </c>
      <c r="BK312" s="143"/>
      <c r="BL312" s="143"/>
      <c r="BM312" s="144" t="s">
        <v>3592</v>
      </c>
      <c r="BN312" s="144" t="s">
        <v>103</v>
      </c>
      <c r="BO312" s="135" t="s">
        <v>155</v>
      </c>
      <c r="BP312" s="144">
        <v>2022</v>
      </c>
      <c r="BQ312" s="203" t="s">
        <v>3274</v>
      </c>
    </row>
    <row r="313" spans="1:69" ht="41.1" customHeight="1">
      <c r="A313" s="145" t="s">
        <v>86</v>
      </c>
      <c r="B313" s="145" t="s">
        <v>1377</v>
      </c>
      <c r="C313" s="146" t="s">
        <v>76</v>
      </c>
      <c r="D313" s="135">
        <v>44536</v>
      </c>
      <c r="E313" s="135">
        <v>44537</v>
      </c>
      <c r="F313" s="147" t="s">
        <v>76</v>
      </c>
      <c r="G313" s="135" t="s">
        <v>76</v>
      </c>
      <c r="H313" s="147" t="s">
        <v>76</v>
      </c>
      <c r="I313" s="147" t="s">
        <v>76</v>
      </c>
      <c r="J313" s="147" t="s">
        <v>76</v>
      </c>
      <c r="K313" s="135" t="s">
        <v>76</v>
      </c>
      <c r="L313" s="135" t="s">
        <v>76</v>
      </c>
      <c r="M313" s="135" t="s">
        <v>76</v>
      </c>
      <c r="N313" s="135" t="s">
        <v>76</v>
      </c>
      <c r="O313" s="135" t="s">
        <v>76</v>
      </c>
      <c r="P313" s="135" t="s">
        <v>76</v>
      </c>
      <c r="Q313" s="135">
        <v>44539</v>
      </c>
      <c r="R313" s="143" t="s">
        <v>479</v>
      </c>
      <c r="S313" s="143"/>
      <c r="T313" s="143"/>
      <c r="U313" s="143">
        <v>4</v>
      </c>
      <c r="V313" s="143">
        <v>43422</v>
      </c>
      <c r="W313" s="143" t="str">
        <f ca="1">IF(H313="",IF(D313="","",IF(U313+V313&lt;15,"Données Nb pers ou RFR manquantes",IF(COUNTA(INDIRECT("TabRFR["&amp;YEAR(D313)&amp;"]"))&lt;&gt;COUNTA(TabRFR[Recherche RFR]),"Data RFR manquantes", IF(V313&lt;=INDEX(TabRFR[[2021]:[2025]],MATCH(BD!U313&amp;"-Très modestes",TabRFR[Recherche RFR],0),MATCH(TEXT(YEAR(BD!D313),"Standard"),TabRFR[[#Headers],[2021]:[2025]],0)),"Très Modeste",IF(V313&lt;=INDEX(TabRFR[[2021]:[2025]],MATCH(BD!U313&amp;"-modestes",TabRFR[Recherche RFR],0),MATCH(TEXT(YEAR(BD!D313),"Standard"),TabRFR[[#Headers],[2021]:[2025]],0)),"Modeste",IF(V313&lt;=INDEX(TabRFR[[2021]:[2025]],MATCH(BD!U313&amp;"-Intermédiaire",TabRFR[Recherche RFR],0),MATCH(TEXT(YEAR(BD!D313),"Standard"),TabRFR[[#Headers],[2021]:[2025]],0)),"Intermédiaire","Supérieur")))))),IF(D313="","",IF(U313+V313&lt;15,"Données Nb pers ou RFR manquantes",IF(COUNTA(INDIRECT("TabRFR["&amp;YEAR(H313)&amp;"]"))&lt;&gt;COUNTA(TabRFR[Recherche RFR]),"Data RFR manquantes", IF(V313&lt;=INDEX(TabRFR[[2021]:[2025]],MATCH(BD!U313&amp;"-Très modestes",TabRFR[Recherche RFR],0),MATCH(TEXT(YEAR(BD!H313),"Standard"),TabRFR[[#Headers],[2021]:[2025]],0)),"Très Modeste",IF(V313&lt;=INDEX(TabRFR[[2021]:[2025]],MATCH(BD!U313&amp;"-modestes",TabRFR[Recherche RFR],0),MATCH(TEXT(YEAR(BD!H313),"Standard"),TabRFR[[#Headers],[2021]:[2025]],0)),"Modeste",IF(V313&lt;=INDEX(TabRFR[[2021]:[2025]],MATCH(BD!U313&amp;"-Intermédiaire",TabRFR[Recherche RFR],0),MATCH(TEXT(YEAR(BD!H313),"Standard"),TabRFR[[#Headers],[2021]:[2025]],0)),"Intermédiaire","Supérieur")))))))</f>
        <v>Data RFR manquantes</v>
      </c>
      <c r="X313" s="143"/>
      <c r="Y313" s="143" t="s">
        <v>1378</v>
      </c>
      <c r="Z313" s="143">
        <v>38850</v>
      </c>
      <c r="AA313" s="143" t="s">
        <v>168</v>
      </c>
      <c r="AB313" s="148"/>
      <c r="AC313" s="149"/>
      <c r="AD313" s="143" t="s">
        <v>91</v>
      </c>
      <c r="AE313" s="143" t="s">
        <v>76</v>
      </c>
      <c r="AF313" s="143" t="s">
        <v>76</v>
      </c>
      <c r="AG313" s="143" t="s">
        <v>76</v>
      </c>
      <c r="AH313" s="143" t="s">
        <v>76</v>
      </c>
      <c r="AI313" s="143" t="s">
        <v>1036</v>
      </c>
      <c r="AJ313" s="143" t="s">
        <v>1037</v>
      </c>
      <c r="AK313" s="143" t="s">
        <v>1038</v>
      </c>
      <c r="AL313" s="150" t="s">
        <v>1039</v>
      </c>
      <c r="AM313" s="148">
        <v>652624373</v>
      </c>
      <c r="AN313" s="143" t="s">
        <v>76</v>
      </c>
      <c r="AO313" s="150" t="s">
        <v>102</v>
      </c>
      <c r="AP313" s="147">
        <v>44811</v>
      </c>
      <c r="AQ313" s="135" t="s">
        <v>3449</v>
      </c>
      <c r="AR313" s="143">
        <v>1980</v>
      </c>
      <c r="AS313" s="143" t="s">
        <v>3413</v>
      </c>
      <c r="AT313" s="138" t="s">
        <v>98</v>
      </c>
      <c r="AU313" s="143" t="s">
        <v>188</v>
      </c>
      <c r="AV313" s="143" t="s">
        <v>280</v>
      </c>
      <c r="AW313" s="143">
        <v>20</v>
      </c>
      <c r="AX313" s="143">
        <v>9.3000000000000007</v>
      </c>
      <c r="AY313" s="143">
        <v>89</v>
      </c>
      <c r="AZ313" s="143">
        <v>1.7999999999999999E-2</v>
      </c>
      <c r="BA313" s="143" t="s">
        <v>101</v>
      </c>
      <c r="BB313" s="143"/>
      <c r="BC313" s="143">
        <f>5090+918.45</f>
        <v>6008.45</v>
      </c>
      <c r="BD313" s="143"/>
      <c r="BE313" s="143">
        <v>550</v>
      </c>
      <c r="BF313" s="143">
        <f t="shared" si="12"/>
        <v>6558.45</v>
      </c>
      <c r="BG313" s="151">
        <f t="shared" si="13"/>
        <v>360.71474999999998</v>
      </c>
      <c r="BH313" s="151">
        <f t="shared" si="14"/>
        <v>6919.1647499999999</v>
      </c>
      <c r="BI313" s="151">
        <v>6919.16</v>
      </c>
      <c r="BJ313" s="143" t="s">
        <v>102</v>
      </c>
      <c r="BK313" s="143"/>
      <c r="BL313" s="143"/>
      <c r="BM313" s="144">
        <v>0</v>
      </c>
      <c r="BN313" s="144" t="s">
        <v>103</v>
      </c>
      <c r="BO313" s="144" t="s">
        <v>103</v>
      </c>
      <c r="BP313" s="203" t="s">
        <v>3582</v>
      </c>
      <c r="BQ313" s="203" t="s">
        <v>3273</v>
      </c>
    </row>
    <row r="314" spans="1:69" ht="41.1" customHeight="1">
      <c r="A314" s="218" t="s">
        <v>86</v>
      </c>
      <c r="B314" s="218" t="s">
        <v>1379</v>
      </c>
      <c r="C314" s="143">
        <v>600</v>
      </c>
      <c r="D314" s="135">
        <v>44535</v>
      </c>
      <c r="E314" s="135">
        <v>44537</v>
      </c>
      <c r="F314" s="147">
        <v>44539</v>
      </c>
      <c r="G314" s="135" t="s">
        <v>571</v>
      </c>
      <c r="H314" s="147">
        <v>44539</v>
      </c>
      <c r="I314" s="147">
        <v>44539</v>
      </c>
      <c r="J314" s="147">
        <v>44540</v>
      </c>
      <c r="K314" s="135">
        <v>44852</v>
      </c>
      <c r="L314" s="135">
        <v>44847</v>
      </c>
      <c r="M314" s="135" t="s">
        <v>76</v>
      </c>
      <c r="N314" s="135">
        <v>44874</v>
      </c>
      <c r="O314" s="135">
        <v>44874</v>
      </c>
      <c r="P314" s="135">
        <v>44879</v>
      </c>
      <c r="Q314" s="135"/>
      <c r="R314" s="143"/>
      <c r="S314" s="143"/>
      <c r="T314" s="143"/>
      <c r="U314" s="143">
        <v>3</v>
      </c>
      <c r="V314" s="143">
        <v>53868</v>
      </c>
      <c r="W314" s="143" t="str">
        <f ca="1">IF(H314="",IF(D314="","",IF(U314+V314&lt;15,"Données Nb pers ou RFR manquantes",IF(COUNTA(INDIRECT("TabRFR["&amp;YEAR(D314)&amp;"]"))&lt;&gt;COUNTA(TabRFR[Recherche RFR]),"Data RFR manquantes", IF(V314&lt;=INDEX(TabRFR[[2021]:[2025]],MATCH(BD!U314&amp;"-Très modestes",TabRFR[Recherche RFR],0),MATCH(TEXT(YEAR(BD!D314),"Standard"),TabRFR[[#Headers],[2021]:[2025]],0)),"Très Modeste",IF(V314&lt;=INDEX(TabRFR[[2021]:[2025]],MATCH(BD!U314&amp;"-modestes",TabRFR[Recherche RFR],0),MATCH(TEXT(YEAR(BD!D314),"Standard"),TabRFR[[#Headers],[2021]:[2025]],0)),"Modeste",IF(V314&lt;=INDEX(TabRFR[[2021]:[2025]],MATCH(BD!U314&amp;"-Intermédiaire",TabRFR[Recherche RFR],0),MATCH(TEXT(YEAR(BD!D314),"Standard"),TabRFR[[#Headers],[2021]:[2025]],0)),"Intermédiaire","Supérieur")))))),IF(D314="","",IF(U314+V314&lt;15,"Données Nb pers ou RFR manquantes",IF(COUNTA(INDIRECT("TabRFR["&amp;YEAR(H314)&amp;"]"))&lt;&gt;COUNTA(TabRFR[Recherche RFR]),"Data RFR manquantes", IF(V314&lt;=INDEX(TabRFR[[2021]:[2025]],MATCH(BD!U314&amp;"-Très modestes",TabRFR[Recherche RFR],0),MATCH(TEXT(YEAR(BD!H314),"Standard"),TabRFR[[#Headers],[2021]:[2025]],0)),"Très Modeste",IF(V314&lt;=INDEX(TabRFR[[2021]:[2025]],MATCH(BD!U314&amp;"-modestes",TabRFR[Recherche RFR],0),MATCH(TEXT(YEAR(BD!H314),"Standard"),TabRFR[[#Headers],[2021]:[2025]],0)),"Modeste",IF(V314&lt;=INDEX(TabRFR[[2021]:[2025]],MATCH(BD!U314&amp;"-Intermédiaire",TabRFR[Recherche RFR],0),MATCH(TEXT(YEAR(BD!H314),"Standard"),TabRFR[[#Headers],[2021]:[2025]],0)),"Intermédiaire","Supérieur")))))))</f>
        <v>Supérieur</v>
      </c>
      <c r="X314" s="143"/>
      <c r="Y314" s="143" t="s">
        <v>1380</v>
      </c>
      <c r="Z314" s="143">
        <v>38210</v>
      </c>
      <c r="AA314" s="143" t="s">
        <v>202</v>
      </c>
      <c r="AB314" s="148"/>
      <c r="AC314" s="149"/>
      <c r="AD314" s="143" t="s">
        <v>91</v>
      </c>
      <c r="AE314" s="143" t="s">
        <v>76</v>
      </c>
      <c r="AF314" s="143" t="s">
        <v>76</v>
      </c>
      <c r="AG314" s="143" t="s">
        <v>76</v>
      </c>
      <c r="AH314" s="143" t="s">
        <v>76</v>
      </c>
      <c r="AI314" s="143" t="s">
        <v>210</v>
      </c>
      <c r="AJ314" s="143" t="s">
        <v>136</v>
      </c>
      <c r="AK314" s="143" t="s">
        <v>211</v>
      </c>
      <c r="AL314" s="150" t="s">
        <v>212</v>
      </c>
      <c r="AM314" s="148">
        <v>474432868</v>
      </c>
      <c r="AN314" s="143" t="s">
        <v>76</v>
      </c>
      <c r="AO314" s="150" t="s">
        <v>102</v>
      </c>
      <c r="AP314" s="147">
        <v>44514</v>
      </c>
      <c r="AQ314" s="135" t="s">
        <v>3496</v>
      </c>
      <c r="AR314" s="143">
        <v>1985</v>
      </c>
      <c r="AS314" s="143" t="s">
        <v>3413</v>
      </c>
      <c r="AT314" s="135" t="s">
        <v>3446</v>
      </c>
      <c r="AU314" s="143" t="s">
        <v>381</v>
      </c>
      <c r="AV314" s="143" t="s">
        <v>912</v>
      </c>
      <c r="AW314" s="143">
        <v>18</v>
      </c>
      <c r="AX314" s="143">
        <v>9.4</v>
      </c>
      <c r="AY314" s="143">
        <v>90</v>
      </c>
      <c r="AZ314" s="143">
        <v>8.0000000000000002E-3</v>
      </c>
      <c r="BA314" s="143" t="s">
        <v>101</v>
      </c>
      <c r="BB314" s="143"/>
      <c r="BC314" s="143">
        <f>6783.33+320+256+589.84</f>
        <v>7949.17</v>
      </c>
      <c r="BD314" s="143"/>
      <c r="BE314" s="143">
        <v>800</v>
      </c>
      <c r="BF314" s="143">
        <f t="shared" si="12"/>
        <v>8749.17</v>
      </c>
      <c r="BG314" s="151">
        <f t="shared" si="13"/>
        <v>481.20435000000003</v>
      </c>
      <c r="BH314" s="151">
        <f t="shared" si="14"/>
        <v>9230.37435</v>
      </c>
      <c r="BI314" s="151">
        <v>9276.77</v>
      </c>
      <c r="BJ314" s="143" t="s">
        <v>102</v>
      </c>
      <c r="BK314" s="143"/>
      <c r="BL314" s="143"/>
      <c r="BM314" s="144" t="s">
        <v>3592</v>
      </c>
      <c r="BN314" s="144" t="s">
        <v>103</v>
      </c>
      <c r="BO314" s="144" t="s">
        <v>143</v>
      </c>
      <c r="BP314" s="144">
        <v>2022</v>
      </c>
      <c r="BQ314" s="203" t="s">
        <v>144</v>
      </c>
    </row>
    <row r="315" spans="1:69" ht="41.1" customHeight="1">
      <c r="A315" s="145" t="s">
        <v>86</v>
      </c>
      <c r="B315" s="145" t="s">
        <v>1381</v>
      </c>
      <c r="C315" s="143" t="s">
        <v>76</v>
      </c>
      <c r="D315" s="135">
        <v>44535</v>
      </c>
      <c r="E315" s="135">
        <v>44537</v>
      </c>
      <c r="F315" s="147">
        <v>44539</v>
      </c>
      <c r="G315" s="135" t="s">
        <v>1382</v>
      </c>
      <c r="H315" s="147"/>
      <c r="I315" s="147"/>
      <c r="J315" s="147"/>
      <c r="K315" s="135"/>
      <c r="L315" s="135"/>
      <c r="M315" s="135"/>
      <c r="N315" s="135"/>
      <c r="O315" s="135"/>
      <c r="P315" s="135"/>
      <c r="Q315" s="135">
        <v>44930</v>
      </c>
      <c r="R315" s="143" t="s">
        <v>927</v>
      </c>
      <c r="S315" s="143"/>
      <c r="T315" s="143"/>
      <c r="U315" s="143">
        <v>1</v>
      </c>
      <c r="V315" s="143">
        <v>16797</v>
      </c>
      <c r="W315" s="143" t="str">
        <f ca="1">IF(H315="",IF(D315="","",IF(U315+V315&lt;15,"Données Nb pers ou RFR manquantes",IF(COUNTA(INDIRECT("TabRFR["&amp;YEAR(D315)&amp;"]"))&lt;&gt;COUNTA(TabRFR[Recherche RFR]),"Data RFR manquantes", IF(V315&lt;=INDEX(TabRFR[[2021]:[2025]],MATCH(BD!U315&amp;"-Très modestes",TabRFR[Recherche RFR],0),MATCH(TEXT(YEAR(BD!D315),"Standard"),TabRFR[[#Headers],[2021]:[2025]],0)),"Très Modeste",IF(V315&lt;=INDEX(TabRFR[[2021]:[2025]],MATCH(BD!U315&amp;"-modestes",TabRFR[Recherche RFR],0),MATCH(TEXT(YEAR(BD!D315),"Standard"),TabRFR[[#Headers],[2021]:[2025]],0)),"Modeste",IF(V315&lt;=INDEX(TabRFR[[2021]:[2025]],MATCH(BD!U315&amp;"-Intermédiaire",TabRFR[Recherche RFR],0),MATCH(TEXT(YEAR(BD!D315),"Standard"),TabRFR[[#Headers],[2021]:[2025]],0)),"Intermédiaire","Supérieur")))))),IF(D315="","",IF(U315+V315&lt;15,"Données Nb pers ou RFR manquantes",IF(COUNTA(INDIRECT("TabRFR["&amp;YEAR(H315)&amp;"]"))&lt;&gt;COUNTA(TabRFR[Recherche RFR]),"Data RFR manquantes", IF(V315&lt;=INDEX(TabRFR[[2021]:[2025]],MATCH(BD!U315&amp;"-Très modestes",TabRFR[Recherche RFR],0),MATCH(TEXT(YEAR(BD!H315),"Standard"),TabRFR[[#Headers],[2021]:[2025]],0)),"Très Modeste",IF(V315&lt;=INDEX(TabRFR[[2021]:[2025]],MATCH(BD!U315&amp;"-modestes",TabRFR[Recherche RFR],0),MATCH(TEXT(YEAR(BD!H315),"Standard"),TabRFR[[#Headers],[2021]:[2025]],0)),"Modeste",IF(V315&lt;=INDEX(TabRFR[[2021]:[2025]],MATCH(BD!U315&amp;"-Intermédiaire",TabRFR[Recherche RFR],0),MATCH(TEXT(YEAR(BD!H315),"Standard"),TabRFR[[#Headers],[2021]:[2025]],0)),"Intermédiaire","Supérieur")))))))</f>
        <v>Modeste</v>
      </c>
      <c r="X315" s="143"/>
      <c r="Y315" s="143" t="s">
        <v>1313</v>
      </c>
      <c r="Z315" s="143">
        <v>38340</v>
      </c>
      <c r="AA315" s="143" t="s">
        <v>266</v>
      </c>
      <c r="AB315" s="148"/>
      <c r="AC315" s="149"/>
      <c r="AD315" s="143" t="s">
        <v>91</v>
      </c>
      <c r="AE315" s="143" t="s">
        <v>76</v>
      </c>
      <c r="AF315" s="143" t="s">
        <v>76</v>
      </c>
      <c r="AG315" s="143" t="s">
        <v>76</v>
      </c>
      <c r="AH315" s="143" t="s">
        <v>76</v>
      </c>
      <c r="AI315" s="143" t="s">
        <v>250</v>
      </c>
      <c r="AJ315" s="143" t="s">
        <v>121</v>
      </c>
      <c r="AK315" s="143" t="s">
        <v>251</v>
      </c>
      <c r="AL315" s="150" t="s">
        <v>252</v>
      </c>
      <c r="AM315" s="148">
        <v>476452433</v>
      </c>
      <c r="AN315" s="143" t="s">
        <v>76</v>
      </c>
      <c r="AO315" s="150" t="s">
        <v>102</v>
      </c>
      <c r="AP315" s="147">
        <v>44620</v>
      </c>
      <c r="AQ315" s="135" t="s">
        <v>3449</v>
      </c>
      <c r="AR315" s="143">
        <v>1880</v>
      </c>
      <c r="AS315" s="135" t="s">
        <v>3496</v>
      </c>
      <c r="AT315" s="135" t="s">
        <v>3446</v>
      </c>
      <c r="AU315" s="143" t="s">
        <v>1383</v>
      </c>
      <c r="AV315" s="143" t="s">
        <v>1384</v>
      </c>
      <c r="AW315" s="143">
        <v>38</v>
      </c>
      <c r="AX315" s="143">
        <v>6.9</v>
      </c>
      <c r="AY315" s="143">
        <v>80.2</v>
      </c>
      <c r="AZ315" s="143">
        <v>9.8000000000000004E-2</v>
      </c>
      <c r="BA315" s="143" t="s">
        <v>101</v>
      </c>
      <c r="BB315" s="143"/>
      <c r="BC315" s="143">
        <f>3354+1504.27+175.33+169.78+85+1142.54</f>
        <v>6430.92</v>
      </c>
      <c r="BD315" s="143"/>
      <c r="BE315" s="143">
        <f>750+400+350.9</f>
        <v>1500.9</v>
      </c>
      <c r="BF315" s="143">
        <f t="shared" si="12"/>
        <v>7931.82</v>
      </c>
      <c r="BG315" s="151">
        <f t="shared" si="13"/>
        <v>436.25009999999997</v>
      </c>
      <c r="BH315" s="151">
        <f t="shared" si="14"/>
        <v>8368.070099999999</v>
      </c>
      <c r="BI315" s="151">
        <v>8368.07</v>
      </c>
      <c r="BJ315" s="143" t="s">
        <v>102</v>
      </c>
      <c r="BK315" s="143"/>
      <c r="BL315" s="143"/>
      <c r="BM315" s="144">
        <v>0</v>
      </c>
      <c r="BN315" s="144" t="s">
        <v>103</v>
      </c>
      <c r="BO315" s="144" t="s">
        <v>103</v>
      </c>
      <c r="BP315" s="203" t="s">
        <v>3582</v>
      </c>
      <c r="BQ315" s="203" t="s">
        <v>3273</v>
      </c>
    </row>
    <row r="316" spans="1:69" ht="41.1" customHeight="1">
      <c r="A316" s="218" t="s">
        <v>86</v>
      </c>
      <c r="B316" s="218" t="s">
        <v>1385</v>
      </c>
      <c r="C316" s="143">
        <v>1000</v>
      </c>
      <c r="D316" s="135">
        <v>44538</v>
      </c>
      <c r="E316" s="135">
        <v>44539</v>
      </c>
      <c r="F316" s="147">
        <v>44539</v>
      </c>
      <c r="G316" s="135" t="s">
        <v>571</v>
      </c>
      <c r="H316" s="147">
        <v>44540</v>
      </c>
      <c r="I316" s="147">
        <v>44540</v>
      </c>
      <c r="J316" s="147">
        <v>44540</v>
      </c>
      <c r="K316" s="135">
        <v>44641</v>
      </c>
      <c r="L316" s="135">
        <v>44620</v>
      </c>
      <c r="M316" s="135"/>
      <c r="N316" s="135">
        <v>44650</v>
      </c>
      <c r="O316" s="135">
        <v>44650</v>
      </c>
      <c r="P316" s="135">
        <v>44652</v>
      </c>
      <c r="Q316" s="135"/>
      <c r="R316" s="143"/>
      <c r="S316" s="143"/>
      <c r="T316" s="143"/>
      <c r="U316" s="143">
        <v>4</v>
      </c>
      <c r="V316" s="143">
        <v>28566</v>
      </c>
      <c r="W316" s="143" t="str">
        <f ca="1">IF(H316="",IF(D316="","",IF(U316+V316&lt;15,"Données Nb pers ou RFR manquantes",IF(COUNTA(INDIRECT("TabRFR["&amp;YEAR(D316)&amp;"]"))&lt;&gt;COUNTA(TabRFR[Recherche RFR]),"Data RFR manquantes", IF(V316&lt;=INDEX(TabRFR[[2021]:[2025]],MATCH(BD!U316&amp;"-Très modestes",TabRFR[Recherche RFR],0),MATCH(TEXT(YEAR(BD!D316),"Standard"),TabRFR[[#Headers],[2021]:[2025]],0)),"Très Modeste",IF(V316&lt;=INDEX(TabRFR[[2021]:[2025]],MATCH(BD!U316&amp;"-modestes",TabRFR[Recherche RFR],0),MATCH(TEXT(YEAR(BD!D316),"Standard"),TabRFR[[#Headers],[2021]:[2025]],0)),"Modeste",IF(V316&lt;=INDEX(TabRFR[[2021]:[2025]],MATCH(BD!U316&amp;"-Intermédiaire",TabRFR[Recherche RFR],0),MATCH(TEXT(YEAR(BD!D316),"Standard"),TabRFR[[#Headers],[2021]:[2025]],0)),"Intermédiaire","Supérieur")))))),IF(D316="","",IF(U316+V316&lt;15,"Données Nb pers ou RFR manquantes",IF(COUNTA(INDIRECT("TabRFR["&amp;YEAR(H316)&amp;"]"))&lt;&gt;COUNTA(TabRFR[Recherche RFR]),"Data RFR manquantes", IF(V316&lt;=INDEX(TabRFR[[2021]:[2025]],MATCH(BD!U316&amp;"-Très modestes",TabRFR[Recherche RFR],0),MATCH(TEXT(YEAR(BD!H316),"Standard"),TabRFR[[#Headers],[2021]:[2025]],0)),"Très Modeste",IF(V316&lt;=INDEX(TabRFR[[2021]:[2025]],MATCH(BD!U316&amp;"-modestes",TabRFR[Recherche RFR],0),MATCH(TEXT(YEAR(BD!H316),"Standard"),TabRFR[[#Headers],[2021]:[2025]],0)),"Modeste",IF(V316&lt;=INDEX(TabRFR[[2021]:[2025]],MATCH(BD!U316&amp;"-Intermédiaire",TabRFR[Recherche RFR],0),MATCH(TEXT(YEAR(BD!H316),"Standard"),TabRFR[[#Headers],[2021]:[2025]],0)),"Intermédiaire","Supérieur")))))))</f>
        <v>Très Modeste</v>
      </c>
      <c r="X316" s="143"/>
      <c r="Y316" s="143" t="s">
        <v>1386</v>
      </c>
      <c r="Z316" s="143">
        <v>38340</v>
      </c>
      <c r="AA316" s="143" t="s">
        <v>266</v>
      </c>
      <c r="AB316" s="148"/>
      <c r="AC316" s="149"/>
      <c r="AD316" s="143" t="s">
        <v>91</v>
      </c>
      <c r="AE316" s="143" t="s">
        <v>76</v>
      </c>
      <c r="AF316" s="143" t="s">
        <v>76</v>
      </c>
      <c r="AG316" s="143" t="s">
        <v>76</v>
      </c>
      <c r="AH316" s="143" t="s">
        <v>76</v>
      </c>
      <c r="AI316" s="135" t="s">
        <v>220</v>
      </c>
      <c r="AJ316" s="143" t="s">
        <v>108</v>
      </c>
      <c r="AK316" s="143" t="s">
        <v>221</v>
      </c>
      <c r="AL316" s="150" t="s">
        <v>222</v>
      </c>
      <c r="AM316" s="148">
        <v>476323235</v>
      </c>
      <c r="AN316" s="143" t="s">
        <v>76</v>
      </c>
      <c r="AO316" s="150" t="s">
        <v>102</v>
      </c>
      <c r="AP316" s="147">
        <v>44789</v>
      </c>
      <c r="AQ316" s="135" t="s">
        <v>3449</v>
      </c>
      <c r="AR316" s="143">
        <v>1976</v>
      </c>
      <c r="AS316" s="143" t="s">
        <v>3413</v>
      </c>
      <c r="AT316" s="135" t="s">
        <v>3446</v>
      </c>
      <c r="AU316" s="143" t="s">
        <v>223</v>
      </c>
      <c r="AV316" s="143" t="s">
        <v>803</v>
      </c>
      <c r="AW316" s="143">
        <v>12</v>
      </c>
      <c r="AX316" s="143">
        <v>9.1999999999999993</v>
      </c>
      <c r="AY316" s="143">
        <v>77</v>
      </c>
      <c r="AZ316" s="143">
        <v>0.04</v>
      </c>
      <c r="BA316" s="143" t="s">
        <v>101</v>
      </c>
      <c r="BB316" s="143"/>
      <c r="BC316" s="143">
        <f>2310.45+94.95+97.06+79.13+34.82+31.65+116.05</f>
        <v>2764.11</v>
      </c>
      <c r="BD316" s="143"/>
      <c r="BE316" s="143">
        <f>52.8+1815+66+44+460+42.2+305.95</f>
        <v>2785.95</v>
      </c>
      <c r="BF316" s="143">
        <f t="shared" si="12"/>
        <v>5550.0599999999995</v>
      </c>
      <c r="BG316" s="151">
        <f t="shared" si="13"/>
        <v>305.25329999999997</v>
      </c>
      <c r="BH316" s="151">
        <f t="shared" si="14"/>
        <v>5855.3132999999998</v>
      </c>
      <c r="BI316" s="151">
        <v>5400.25</v>
      </c>
      <c r="BJ316" s="143" t="s">
        <v>102</v>
      </c>
      <c r="BK316" s="143"/>
      <c r="BL316" s="143"/>
      <c r="BM316" s="144" t="s">
        <v>3592</v>
      </c>
      <c r="BN316" s="144" t="s">
        <v>103</v>
      </c>
      <c r="BO316" s="135" t="s">
        <v>155</v>
      </c>
      <c r="BP316" s="144">
        <v>2022</v>
      </c>
      <c r="BQ316" s="203" t="s">
        <v>144</v>
      </c>
    </row>
    <row r="317" spans="1:69" ht="41.1" customHeight="1">
      <c r="A317" s="145" t="s">
        <v>1353</v>
      </c>
      <c r="B317" s="145" t="s">
        <v>1387</v>
      </c>
      <c r="C317" s="146" t="s">
        <v>76</v>
      </c>
      <c r="D317" s="135">
        <v>44539</v>
      </c>
      <c r="E317" s="135">
        <v>44540</v>
      </c>
      <c r="F317" s="147">
        <v>44543</v>
      </c>
      <c r="G317" s="135" t="s">
        <v>76</v>
      </c>
      <c r="H317" s="147" t="s">
        <v>76</v>
      </c>
      <c r="I317" s="147" t="s">
        <v>76</v>
      </c>
      <c r="J317" s="147" t="s">
        <v>76</v>
      </c>
      <c r="K317" s="135" t="s">
        <v>76</v>
      </c>
      <c r="L317" s="135" t="s">
        <v>76</v>
      </c>
      <c r="M317" s="135" t="s">
        <v>76</v>
      </c>
      <c r="N317" s="135" t="s">
        <v>76</v>
      </c>
      <c r="O317" s="135" t="s">
        <v>76</v>
      </c>
      <c r="P317" s="135" t="s">
        <v>76</v>
      </c>
      <c r="Q317" s="135">
        <v>44550</v>
      </c>
      <c r="R317" s="143" t="s">
        <v>479</v>
      </c>
      <c r="S317" s="143"/>
      <c r="T317" s="143"/>
      <c r="U317" s="143">
        <v>2</v>
      </c>
      <c r="V317" s="143">
        <v>21558</v>
      </c>
      <c r="W317" s="143" t="str">
        <f ca="1">IF(H317="",IF(D317="","",IF(U317+V317&lt;15,"Données Nb pers ou RFR manquantes",IF(COUNTA(INDIRECT("TabRFR["&amp;YEAR(D317)&amp;"]"))&lt;&gt;COUNTA(TabRFR[Recherche RFR]),"Data RFR manquantes", IF(V317&lt;=INDEX(TabRFR[[2021]:[2025]],MATCH(BD!U317&amp;"-Très modestes",TabRFR[Recherche RFR],0),MATCH(TEXT(YEAR(BD!D317),"Standard"),TabRFR[[#Headers],[2021]:[2025]],0)),"Très Modeste",IF(V317&lt;=INDEX(TabRFR[[2021]:[2025]],MATCH(BD!U317&amp;"-modestes",TabRFR[Recherche RFR],0),MATCH(TEXT(YEAR(BD!D317),"Standard"),TabRFR[[#Headers],[2021]:[2025]],0)),"Modeste",IF(V317&lt;=INDEX(TabRFR[[2021]:[2025]],MATCH(BD!U317&amp;"-Intermédiaire",TabRFR[Recherche RFR],0),MATCH(TEXT(YEAR(BD!D317),"Standard"),TabRFR[[#Headers],[2021]:[2025]],0)),"Intermédiaire","Supérieur")))))),IF(D317="","",IF(U317+V317&lt;15,"Données Nb pers ou RFR manquantes",IF(COUNTA(INDIRECT("TabRFR["&amp;YEAR(H317)&amp;"]"))&lt;&gt;COUNTA(TabRFR[Recherche RFR]),"Data RFR manquantes", IF(V317&lt;=INDEX(TabRFR[[2021]:[2025]],MATCH(BD!U317&amp;"-Très modestes",TabRFR[Recherche RFR],0),MATCH(TEXT(YEAR(BD!H317),"Standard"),TabRFR[[#Headers],[2021]:[2025]],0)),"Très Modeste",IF(V317&lt;=INDEX(TabRFR[[2021]:[2025]],MATCH(BD!U317&amp;"-modestes",TabRFR[Recherche RFR],0),MATCH(TEXT(YEAR(BD!H317),"Standard"),TabRFR[[#Headers],[2021]:[2025]],0)),"Modeste",IF(V317&lt;=INDEX(TabRFR[[2021]:[2025]],MATCH(BD!U317&amp;"-Intermédiaire",TabRFR[Recherche RFR],0),MATCH(TEXT(YEAR(BD!H317),"Standard"),TabRFR[[#Headers],[2021]:[2025]],0)),"Intermédiaire","Supérieur")))))))</f>
        <v>Data RFR manquantes</v>
      </c>
      <c r="X317" s="143"/>
      <c r="Y317" s="143" t="s">
        <v>375</v>
      </c>
      <c r="Z317" s="143">
        <v>38850</v>
      </c>
      <c r="AA317" s="143" t="s">
        <v>168</v>
      </c>
      <c r="AB317" s="148"/>
      <c r="AC317" s="149"/>
      <c r="AD317" s="143"/>
      <c r="AE317" s="143"/>
      <c r="AF317" s="143"/>
      <c r="AG317" s="143"/>
      <c r="AH317" s="143"/>
      <c r="AI317" s="143" t="s">
        <v>160</v>
      </c>
      <c r="AJ317" s="143" t="s">
        <v>161</v>
      </c>
      <c r="AK317" s="143" t="s">
        <v>1388</v>
      </c>
      <c r="AL317" s="150" t="s">
        <v>228</v>
      </c>
      <c r="AM317" s="148" t="s">
        <v>1389</v>
      </c>
      <c r="AN317" s="143" t="s">
        <v>76</v>
      </c>
      <c r="AO317" s="150" t="s">
        <v>102</v>
      </c>
      <c r="AP317" s="147">
        <v>44641</v>
      </c>
      <c r="AQ317" s="135" t="s">
        <v>3496</v>
      </c>
      <c r="AR317" s="143">
        <v>1990</v>
      </c>
      <c r="AS317" s="143" t="s">
        <v>3413</v>
      </c>
      <c r="AT317" s="135" t="s">
        <v>3446</v>
      </c>
      <c r="AU317" s="143" t="s">
        <v>164</v>
      </c>
      <c r="AV317" s="143" t="s">
        <v>1390</v>
      </c>
      <c r="AW317" s="143">
        <v>29</v>
      </c>
      <c r="AX317" s="143">
        <v>7.5</v>
      </c>
      <c r="AY317" s="143">
        <v>75</v>
      </c>
      <c r="AZ317" s="143">
        <v>7.4999999999999997E-2</v>
      </c>
      <c r="BA317" s="143" t="s">
        <v>101</v>
      </c>
      <c r="BB317" s="143"/>
      <c r="BC317" s="143">
        <f>4615+1445+394</f>
        <v>6454</v>
      </c>
      <c r="BD317" s="143"/>
      <c r="BE317" s="143">
        <f>600</f>
        <v>600</v>
      </c>
      <c r="BF317" s="143">
        <f t="shared" si="12"/>
        <v>7054</v>
      </c>
      <c r="BG317" s="151">
        <f t="shared" si="13"/>
        <v>387.97</v>
      </c>
      <c r="BH317" s="151">
        <f t="shared" si="14"/>
        <v>7441.97</v>
      </c>
      <c r="BI317" s="151"/>
      <c r="BJ317" s="143" t="s">
        <v>1391</v>
      </c>
      <c r="BK317" s="143"/>
      <c r="BL317" s="143"/>
      <c r="BM317" s="144">
        <v>0</v>
      </c>
      <c r="BN317" s="144" t="s">
        <v>103</v>
      </c>
      <c r="BO317" s="144" t="s">
        <v>103</v>
      </c>
      <c r="BP317" s="203" t="s">
        <v>3582</v>
      </c>
      <c r="BQ317" s="203" t="s">
        <v>3273</v>
      </c>
    </row>
    <row r="318" spans="1:69" ht="41.1" customHeight="1">
      <c r="A318" s="218" t="s">
        <v>1353</v>
      </c>
      <c r="B318" s="218" t="s">
        <v>1392</v>
      </c>
      <c r="C318" s="143">
        <v>1000</v>
      </c>
      <c r="D318" s="135">
        <v>44537</v>
      </c>
      <c r="E318" s="135">
        <v>44540</v>
      </c>
      <c r="F318" s="147"/>
      <c r="G318" s="135"/>
      <c r="H318" s="147">
        <v>44543</v>
      </c>
      <c r="I318" s="147">
        <v>44543</v>
      </c>
      <c r="J318" s="147">
        <v>44544</v>
      </c>
      <c r="K318" s="135">
        <v>44712</v>
      </c>
      <c r="L318" s="135">
        <v>44679</v>
      </c>
      <c r="M318" s="135" t="s">
        <v>76</v>
      </c>
      <c r="N318" s="135">
        <v>44768</v>
      </c>
      <c r="O318" s="135">
        <v>44768</v>
      </c>
      <c r="P318" s="135">
        <v>44769</v>
      </c>
      <c r="Q318" s="135"/>
      <c r="R318" s="143"/>
      <c r="S318" s="143"/>
      <c r="T318" s="143"/>
      <c r="U318" s="143">
        <v>4</v>
      </c>
      <c r="V318" s="143">
        <v>32849</v>
      </c>
      <c r="W318" s="143" t="str">
        <f ca="1">IF(H318="",IF(D318="","",IF(U318+V318&lt;15,"Données Nb pers ou RFR manquantes",IF(COUNTA(INDIRECT("TabRFR["&amp;YEAR(D318)&amp;"]"))&lt;&gt;COUNTA(TabRFR[Recherche RFR]),"Data RFR manquantes", IF(V318&lt;=INDEX(TabRFR[[2021]:[2025]],MATCH(BD!U318&amp;"-Très modestes",TabRFR[Recherche RFR],0),MATCH(TEXT(YEAR(BD!D318),"Standard"),TabRFR[[#Headers],[2021]:[2025]],0)),"Très Modeste",IF(V318&lt;=INDEX(TabRFR[[2021]:[2025]],MATCH(BD!U318&amp;"-modestes",TabRFR[Recherche RFR],0),MATCH(TEXT(YEAR(BD!D318),"Standard"),TabRFR[[#Headers],[2021]:[2025]],0)),"Modeste",IF(V318&lt;=INDEX(TabRFR[[2021]:[2025]],MATCH(BD!U318&amp;"-Intermédiaire",TabRFR[Recherche RFR],0),MATCH(TEXT(YEAR(BD!D318),"Standard"),TabRFR[[#Headers],[2021]:[2025]],0)),"Intermédiaire","Supérieur")))))),IF(D318="","",IF(U318+V318&lt;15,"Données Nb pers ou RFR manquantes",IF(COUNTA(INDIRECT("TabRFR["&amp;YEAR(H318)&amp;"]"))&lt;&gt;COUNTA(TabRFR[Recherche RFR]),"Data RFR manquantes", IF(V318&lt;=INDEX(TabRFR[[2021]:[2025]],MATCH(BD!U318&amp;"-Très modestes",TabRFR[Recherche RFR],0),MATCH(TEXT(YEAR(BD!H318),"Standard"),TabRFR[[#Headers],[2021]:[2025]],0)),"Très Modeste",IF(V318&lt;=INDEX(TabRFR[[2021]:[2025]],MATCH(BD!U318&amp;"-modestes",TabRFR[Recherche RFR],0),MATCH(TEXT(YEAR(BD!H318),"Standard"),TabRFR[[#Headers],[2021]:[2025]],0)),"Modeste",IF(V318&lt;=INDEX(TabRFR[[2021]:[2025]],MATCH(BD!U318&amp;"-Intermédiaire",TabRFR[Recherche RFR],0),MATCH(TEXT(YEAR(BD!H318),"Standard"),TabRFR[[#Headers],[2021]:[2025]],0)),"Intermédiaire","Supérieur")))))))</f>
        <v>Modeste</v>
      </c>
      <c r="X318" s="143"/>
      <c r="Y318" s="143" t="s">
        <v>1378</v>
      </c>
      <c r="Z318" s="143">
        <v>38500</v>
      </c>
      <c r="AA318" s="143" t="s">
        <v>284</v>
      </c>
      <c r="AB318" s="148"/>
      <c r="AC318" s="149"/>
      <c r="AD318" s="143" t="s">
        <v>91</v>
      </c>
      <c r="AE318" s="143"/>
      <c r="AF318" s="143"/>
      <c r="AG318" s="143"/>
      <c r="AH318" s="143"/>
      <c r="AI318" s="143" t="s">
        <v>1393</v>
      </c>
      <c r="AJ318" s="143" t="s">
        <v>1394</v>
      </c>
      <c r="AK318" s="143" t="s">
        <v>738</v>
      </c>
      <c r="AL318" s="150" t="s">
        <v>187</v>
      </c>
      <c r="AM318" s="148" t="s">
        <v>1395</v>
      </c>
      <c r="AN318" s="143"/>
      <c r="AO318" s="156" t="s">
        <v>144</v>
      </c>
      <c r="AP318" s="147">
        <v>44798</v>
      </c>
      <c r="AQ318" s="135" t="s">
        <v>3496</v>
      </c>
      <c r="AR318" s="143">
        <v>1975</v>
      </c>
      <c r="AS318" s="143" t="s">
        <v>3413</v>
      </c>
      <c r="AT318" s="135" t="s">
        <v>3446</v>
      </c>
      <c r="AU318" s="143" t="s">
        <v>459</v>
      </c>
      <c r="AV318" s="143" t="s">
        <v>460</v>
      </c>
      <c r="AW318" s="143">
        <v>18</v>
      </c>
      <c r="AX318" s="143">
        <v>4.9000000000000004</v>
      </c>
      <c r="AY318" s="143">
        <v>78</v>
      </c>
      <c r="AZ318" s="143">
        <v>0.09</v>
      </c>
      <c r="BA318" s="143" t="s">
        <v>101</v>
      </c>
      <c r="BB318" s="143"/>
      <c r="BC318" s="143">
        <f>2130+340.5+369.3+222.5+125-176.5</f>
        <v>3010.8</v>
      </c>
      <c r="BD318" s="143"/>
      <c r="BE318" s="143">
        <v>630</v>
      </c>
      <c r="BF318" s="143">
        <f t="shared" si="12"/>
        <v>3640.8</v>
      </c>
      <c r="BG318" s="151">
        <f t="shared" si="13"/>
        <v>200.244</v>
      </c>
      <c r="BH318" s="151">
        <f t="shared" si="14"/>
        <v>3841.0440000000003</v>
      </c>
      <c r="BI318" s="151">
        <v>3841.04</v>
      </c>
      <c r="BJ318" s="143" t="s">
        <v>144</v>
      </c>
      <c r="BK318" s="143"/>
      <c r="BL318" s="143"/>
      <c r="BM318" s="144" t="s">
        <v>3592</v>
      </c>
      <c r="BN318" s="144" t="s">
        <v>103</v>
      </c>
      <c r="BO318" s="135" t="s">
        <v>155</v>
      </c>
      <c r="BP318" s="144">
        <v>2022</v>
      </c>
      <c r="BQ318" s="203" t="s">
        <v>144</v>
      </c>
    </row>
    <row r="319" spans="1:69" ht="41.1" customHeight="1">
      <c r="A319" s="218" t="s">
        <v>1353</v>
      </c>
      <c r="B319" s="218" t="s">
        <v>1396</v>
      </c>
      <c r="C319" s="143">
        <v>600</v>
      </c>
      <c r="D319" s="135">
        <v>44537</v>
      </c>
      <c r="E319" s="135">
        <v>44540</v>
      </c>
      <c r="F319" s="147"/>
      <c r="G319" s="135"/>
      <c r="H319" s="147">
        <v>44543</v>
      </c>
      <c r="I319" s="147">
        <v>44543</v>
      </c>
      <c r="J319" s="147">
        <v>44544</v>
      </c>
      <c r="K319" s="135">
        <v>44767</v>
      </c>
      <c r="L319" s="135">
        <v>44764</v>
      </c>
      <c r="M319" s="135">
        <v>44798</v>
      </c>
      <c r="N319" s="135">
        <v>44798</v>
      </c>
      <c r="O319" s="135">
        <v>44798</v>
      </c>
      <c r="P319" s="135">
        <v>44798</v>
      </c>
      <c r="Q319" s="135"/>
      <c r="R319" s="143"/>
      <c r="S319" s="143"/>
      <c r="T319" s="143"/>
      <c r="U319" s="143">
        <v>2</v>
      </c>
      <c r="V319" s="143">
        <v>59852</v>
      </c>
      <c r="W319" s="143" t="str">
        <f ca="1">IF(H319="",IF(D319="","",IF(U319+V319&lt;15,"Données Nb pers ou RFR manquantes",IF(COUNTA(INDIRECT("TabRFR["&amp;YEAR(D319)&amp;"]"))&lt;&gt;COUNTA(TabRFR[Recherche RFR]),"Data RFR manquantes", IF(V319&lt;=INDEX(TabRFR[[2021]:[2025]],MATCH(BD!U319&amp;"-Très modestes",TabRFR[Recherche RFR],0),MATCH(TEXT(YEAR(BD!D319),"Standard"),TabRFR[[#Headers],[2021]:[2025]],0)),"Très Modeste",IF(V319&lt;=INDEX(TabRFR[[2021]:[2025]],MATCH(BD!U319&amp;"-modestes",TabRFR[Recherche RFR],0),MATCH(TEXT(YEAR(BD!D319),"Standard"),TabRFR[[#Headers],[2021]:[2025]],0)),"Modeste",IF(V319&lt;=INDEX(TabRFR[[2021]:[2025]],MATCH(BD!U319&amp;"-Intermédiaire",TabRFR[Recherche RFR],0),MATCH(TEXT(YEAR(BD!D319),"Standard"),TabRFR[[#Headers],[2021]:[2025]],0)),"Intermédiaire","Supérieur")))))),IF(D319="","",IF(U319+V319&lt;15,"Données Nb pers ou RFR manquantes",IF(COUNTA(INDIRECT("TabRFR["&amp;YEAR(H319)&amp;"]"))&lt;&gt;COUNTA(TabRFR[Recherche RFR]),"Data RFR manquantes", IF(V319&lt;=INDEX(TabRFR[[2021]:[2025]],MATCH(BD!U319&amp;"-Très modestes",TabRFR[Recherche RFR],0),MATCH(TEXT(YEAR(BD!H319),"Standard"),TabRFR[[#Headers],[2021]:[2025]],0)),"Très Modeste",IF(V319&lt;=INDEX(TabRFR[[2021]:[2025]],MATCH(BD!U319&amp;"-modestes",TabRFR[Recherche RFR],0),MATCH(TEXT(YEAR(BD!H319),"Standard"),TabRFR[[#Headers],[2021]:[2025]],0)),"Modeste",IF(V319&lt;=INDEX(TabRFR[[2021]:[2025]],MATCH(BD!U319&amp;"-Intermédiaire",TabRFR[Recherche RFR],0),MATCH(TEXT(YEAR(BD!H319),"Standard"),TabRFR[[#Headers],[2021]:[2025]],0)),"Intermédiaire","Supérieur")))))))</f>
        <v>Supérieur</v>
      </c>
      <c r="X319" s="143"/>
      <c r="Y319" s="143" t="s">
        <v>1397</v>
      </c>
      <c r="Z319" s="143">
        <v>38500</v>
      </c>
      <c r="AA319" s="143" t="s">
        <v>108</v>
      </c>
      <c r="AB319" s="148"/>
      <c r="AC319" s="149"/>
      <c r="AD319" s="143" t="s">
        <v>91</v>
      </c>
      <c r="AE319" s="143"/>
      <c r="AF319" s="143"/>
      <c r="AG319" s="143"/>
      <c r="AH319" s="143"/>
      <c r="AI319" s="135" t="s">
        <v>2748</v>
      </c>
      <c r="AJ319" s="143" t="s">
        <v>108</v>
      </c>
      <c r="AK319" s="135" t="s">
        <v>2749</v>
      </c>
      <c r="AL319" s="150" t="s">
        <v>275</v>
      </c>
      <c r="AM319" s="148" t="s">
        <v>1398</v>
      </c>
      <c r="AN319" s="143"/>
      <c r="AO319" s="156" t="s">
        <v>144</v>
      </c>
      <c r="AP319" s="147">
        <v>44789</v>
      </c>
      <c r="AQ319" s="135" t="s">
        <v>3449</v>
      </c>
      <c r="AR319" s="143">
        <v>1982</v>
      </c>
      <c r="AS319" s="143" t="s">
        <v>3413</v>
      </c>
      <c r="AT319" s="143" t="s">
        <v>98</v>
      </c>
      <c r="AU319" s="143" t="s">
        <v>1399</v>
      </c>
      <c r="AV319" s="143" t="s">
        <v>1400</v>
      </c>
      <c r="AW319" s="143">
        <v>17.5</v>
      </c>
      <c r="AX319" s="143">
        <v>10</v>
      </c>
      <c r="AY319" s="143">
        <v>92.7</v>
      </c>
      <c r="AZ319" s="143">
        <v>4.0000000000000001E-3</v>
      </c>
      <c r="BA319" s="143" t="s">
        <v>1401</v>
      </c>
      <c r="BB319" s="143"/>
      <c r="BC319" s="143">
        <f>6171+179+229+732+216</f>
        <v>7527</v>
      </c>
      <c r="BD319" s="143"/>
      <c r="BE319" s="143">
        <f>944+944+51</f>
        <v>1939</v>
      </c>
      <c r="BF319" s="143">
        <f t="shared" si="12"/>
        <v>9466</v>
      </c>
      <c r="BG319" s="151">
        <f t="shared" si="13"/>
        <v>520.63</v>
      </c>
      <c r="BH319" s="151">
        <f t="shared" si="14"/>
        <v>9986.6299999999992</v>
      </c>
      <c r="BI319" s="157"/>
      <c r="BJ319" s="143" t="s">
        <v>1391</v>
      </c>
      <c r="BK319" s="143"/>
      <c r="BL319" s="143"/>
      <c r="BM319" s="144" t="s">
        <v>3592</v>
      </c>
      <c r="BN319" s="144" t="s">
        <v>103</v>
      </c>
      <c r="BO319" s="144" t="s">
        <v>143</v>
      </c>
      <c r="BP319" s="143" t="s">
        <v>3583</v>
      </c>
      <c r="BQ319" s="203" t="s">
        <v>3274</v>
      </c>
    </row>
    <row r="320" spans="1:69" ht="41.1" customHeight="1">
      <c r="A320" s="145" t="s">
        <v>1353</v>
      </c>
      <c r="B320" s="145" t="s">
        <v>1402</v>
      </c>
      <c r="C320" s="143" t="s">
        <v>76</v>
      </c>
      <c r="D320" s="135">
        <v>44537</v>
      </c>
      <c r="E320" s="135">
        <v>44540</v>
      </c>
      <c r="F320" s="147">
        <v>44543</v>
      </c>
      <c r="G320" s="135" t="s">
        <v>1312</v>
      </c>
      <c r="H320" s="147"/>
      <c r="I320" s="147"/>
      <c r="J320" s="147"/>
      <c r="K320" s="135"/>
      <c r="L320" s="135"/>
      <c r="M320" s="135"/>
      <c r="N320" s="135"/>
      <c r="O320" s="135"/>
      <c r="P320" s="135"/>
      <c r="Q320" s="135">
        <v>44930</v>
      </c>
      <c r="R320" s="143" t="s">
        <v>927</v>
      </c>
      <c r="S320" s="143"/>
      <c r="T320" s="143"/>
      <c r="U320" s="143">
        <v>3</v>
      </c>
      <c r="V320" s="143">
        <v>53378</v>
      </c>
      <c r="W320" s="143" t="str">
        <f ca="1">IF(H320="",IF(D320="","",IF(U320+V320&lt;15,"Données Nb pers ou RFR manquantes",IF(COUNTA(INDIRECT("TabRFR["&amp;YEAR(D320)&amp;"]"))&lt;&gt;COUNTA(TabRFR[Recherche RFR]),"Data RFR manquantes", IF(V320&lt;=INDEX(TabRFR[[2021]:[2025]],MATCH(BD!U320&amp;"-Très modestes",TabRFR[Recherche RFR],0),MATCH(TEXT(YEAR(BD!D320),"Standard"),TabRFR[[#Headers],[2021]:[2025]],0)),"Très Modeste",IF(V320&lt;=INDEX(TabRFR[[2021]:[2025]],MATCH(BD!U320&amp;"-modestes",TabRFR[Recherche RFR],0),MATCH(TEXT(YEAR(BD!D320),"Standard"),TabRFR[[#Headers],[2021]:[2025]],0)),"Modeste",IF(V320&lt;=INDEX(TabRFR[[2021]:[2025]],MATCH(BD!U320&amp;"-Intermédiaire",TabRFR[Recherche RFR],0),MATCH(TEXT(YEAR(BD!D320),"Standard"),TabRFR[[#Headers],[2021]:[2025]],0)),"Intermédiaire","Supérieur")))))),IF(D320="","",IF(U320+V320&lt;15,"Données Nb pers ou RFR manquantes",IF(COUNTA(INDIRECT("TabRFR["&amp;YEAR(H320)&amp;"]"))&lt;&gt;COUNTA(TabRFR[Recherche RFR]),"Data RFR manquantes", IF(V320&lt;=INDEX(TabRFR[[2021]:[2025]],MATCH(BD!U320&amp;"-Très modestes",TabRFR[Recherche RFR],0),MATCH(TEXT(YEAR(BD!H320),"Standard"),TabRFR[[#Headers],[2021]:[2025]],0)),"Très Modeste",IF(V320&lt;=INDEX(TabRFR[[2021]:[2025]],MATCH(BD!U320&amp;"-modestes",TabRFR[Recherche RFR],0),MATCH(TEXT(YEAR(BD!H320),"Standard"),TabRFR[[#Headers],[2021]:[2025]],0)),"Modeste",IF(V320&lt;=INDEX(TabRFR[[2021]:[2025]],MATCH(BD!U320&amp;"-Intermédiaire",TabRFR[Recherche RFR],0),MATCH(TEXT(YEAR(BD!H320),"Standard"),TabRFR[[#Headers],[2021]:[2025]],0)),"Intermédiaire","Supérieur")))))))</f>
        <v>Supérieur</v>
      </c>
      <c r="X320" s="143"/>
      <c r="Y320" s="143" t="s">
        <v>1403</v>
      </c>
      <c r="Z320" s="143">
        <v>38430</v>
      </c>
      <c r="AA320" s="143" t="s">
        <v>119</v>
      </c>
      <c r="AB320" s="148"/>
      <c r="AC320" s="149"/>
      <c r="AD320" s="143" t="s">
        <v>91</v>
      </c>
      <c r="AE320" s="143"/>
      <c r="AF320" s="143"/>
      <c r="AG320" s="143"/>
      <c r="AH320" s="143"/>
      <c r="AI320" s="143" t="s">
        <v>169</v>
      </c>
      <c r="AJ320" s="143" t="s">
        <v>119</v>
      </c>
      <c r="AK320" s="143" t="s">
        <v>1404</v>
      </c>
      <c r="AL320" s="150" t="s">
        <v>1405</v>
      </c>
      <c r="AM320" s="148" t="s">
        <v>1406</v>
      </c>
      <c r="AN320" s="143"/>
      <c r="AO320" s="158" t="s">
        <v>144</v>
      </c>
      <c r="AP320" s="147">
        <v>44883</v>
      </c>
      <c r="AQ320" s="135" t="s">
        <v>3496</v>
      </c>
      <c r="AR320" s="143">
        <v>1991</v>
      </c>
      <c r="AS320" s="143" t="s">
        <v>3413</v>
      </c>
      <c r="AT320" s="135" t="s">
        <v>3446</v>
      </c>
      <c r="AU320" s="143" t="s">
        <v>258</v>
      </c>
      <c r="AV320" s="143" t="s">
        <v>1407</v>
      </c>
      <c r="AW320" s="143">
        <v>18</v>
      </c>
      <c r="AX320" s="143">
        <v>10.6</v>
      </c>
      <c r="AY320" s="143">
        <v>88</v>
      </c>
      <c r="AZ320" s="143">
        <v>6.5000000000000002E-2</v>
      </c>
      <c r="BA320" s="143" t="s">
        <v>101</v>
      </c>
      <c r="BB320" s="143"/>
      <c r="BC320" s="143">
        <f>360+35.5+48.5+47.5+74.48+3100+218+89.6+45.35</f>
        <v>4018.93</v>
      </c>
      <c r="BD320" s="143"/>
      <c r="BE320" s="143">
        <f>250+425</f>
        <v>675</v>
      </c>
      <c r="BF320" s="143">
        <f t="shared" si="12"/>
        <v>4693.93</v>
      </c>
      <c r="BG320" s="151">
        <v>258.17</v>
      </c>
      <c r="BH320" s="151">
        <f t="shared" si="14"/>
        <v>4952.1000000000004</v>
      </c>
      <c r="BI320" s="151"/>
      <c r="BJ320" s="143" t="s">
        <v>1391</v>
      </c>
      <c r="BK320" s="143"/>
      <c r="BL320" s="143"/>
      <c r="BM320" s="144">
        <v>0</v>
      </c>
      <c r="BN320" s="144" t="s">
        <v>103</v>
      </c>
      <c r="BO320" s="144" t="s">
        <v>103</v>
      </c>
      <c r="BP320" s="203" t="s">
        <v>3582</v>
      </c>
      <c r="BQ320" s="203" t="s">
        <v>3273</v>
      </c>
    </row>
    <row r="321" spans="1:69" ht="41.1" customHeight="1">
      <c r="A321" s="218" t="s">
        <v>1353</v>
      </c>
      <c r="B321" s="218" t="s">
        <v>1408</v>
      </c>
      <c r="C321" s="143">
        <v>1000</v>
      </c>
      <c r="D321" s="135">
        <v>44539</v>
      </c>
      <c r="E321" s="135">
        <v>44540</v>
      </c>
      <c r="F321" s="147">
        <v>44550</v>
      </c>
      <c r="G321" s="135" t="s">
        <v>76</v>
      </c>
      <c r="H321" s="147">
        <v>44558</v>
      </c>
      <c r="I321" s="147">
        <v>44558</v>
      </c>
      <c r="J321" s="147">
        <v>44560</v>
      </c>
      <c r="K321" s="135">
        <v>44819</v>
      </c>
      <c r="L321" s="135">
        <v>44681</v>
      </c>
      <c r="M321" s="135" t="s">
        <v>76</v>
      </c>
      <c r="N321" s="135">
        <v>44833</v>
      </c>
      <c r="O321" s="135">
        <v>44833</v>
      </c>
      <c r="P321" s="135">
        <v>44833</v>
      </c>
      <c r="Q321" s="135"/>
      <c r="R321" s="143"/>
      <c r="S321" s="143"/>
      <c r="T321" s="143"/>
      <c r="U321" s="143">
        <v>1</v>
      </c>
      <c r="V321" s="143">
        <v>10685</v>
      </c>
      <c r="W321" s="143" t="str">
        <f ca="1">IF(H321="",IF(D321="","",IF(U321+V321&lt;15,"Données Nb pers ou RFR manquantes",IF(COUNTA(INDIRECT("TabRFR["&amp;YEAR(D321)&amp;"]"))&lt;&gt;COUNTA(TabRFR[Recherche RFR]),"Data RFR manquantes", IF(V321&lt;=INDEX(TabRFR[[2021]:[2025]],MATCH(BD!U321&amp;"-Très modestes",TabRFR[Recherche RFR],0),MATCH(TEXT(YEAR(BD!D321),"Standard"),TabRFR[[#Headers],[2021]:[2025]],0)),"Très Modeste",IF(V321&lt;=INDEX(TabRFR[[2021]:[2025]],MATCH(BD!U321&amp;"-modestes",TabRFR[Recherche RFR],0),MATCH(TEXT(YEAR(BD!D321),"Standard"),TabRFR[[#Headers],[2021]:[2025]],0)),"Modeste",IF(V321&lt;=INDEX(TabRFR[[2021]:[2025]],MATCH(BD!U321&amp;"-Intermédiaire",TabRFR[Recherche RFR],0),MATCH(TEXT(YEAR(BD!D321),"Standard"),TabRFR[[#Headers],[2021]:[2025]],0)),"Intermédiaire","Supérieur")))))),IF(D321="","",IF(U321+V321&lt;15,"Données Nb pers ou RFR manquantes",IF(COUNTA(INDIRECT("TabRFR["&amp;YEAR(H321)&amp;"]"))&lt;&gt;COUNTA(TabRFR[Recherche RFR]),"Data RFR manquantes", IF(V321&lt;=INDEX(TabRFR[[2021]:[2025]],MATCH(BD!U321&amp;"-Très modestes",TabRFR[Recherche RFR],0),MATCH(TEXT(YEAR(BD!H321),"Standard"),TabRFR[[#Headers],[2021]:[2025]],0)),"Très Modeste",IF(V321&lt;=INDEX(TabRFR[[2021]:[2025]],MATCH(BD!U321&amp;"-modestes",TabRFR[Recherche RFR],0),MATCH(TEXT(YEAR(BD!H321),"Standard"),TabRFR[[#Headers],[2021]:[2025]],0)),"Modeste",IF(V321&lt;=INDEX(TabRFR[[2021]:[2025]],MATCH(BD!U321&amp;"-Intermédiaire",TabRFR[Recherche RFR],0),MATCH(TEXT(YEAR(BD!H321),"Standard"),TabRFR[[#Headers],[2021]:[2025]],0)),"Intermédiaire","Supérieur")))))))</f>
        <v>Très Modeste</v>
      </c>
      <c r="X321" s="143"/>
      <c r="Y321" s="143" t="s">
        <v>1409</v>
      </c>
      <c r="Z321" s="143">
        <v>38500</v>
      </c>
      <c r="AA321" s="143" t="s">
        <v>108</v>
      </c>
      <c r="AB321" s="148"/>
      <c r="AC321" s="149"/>
      <c r="AD321" s="143" t="s">
        <v>91</v>
      </c>
      <c r="AE321" s="143"/>
      <c r="AF321" s="143"/>
      <c r="AG321" s="143"/>
      <c r="AH321" s="143"/>
      <c r="AI321" s="143" t="s">
        <v>1373</v>
      </c>
      <c r="AJ321" s="143" t="s">
        <v>504</v>
      </c>
      <c r="AK321" s="143" t="s">
        <v>1374</v>
      </c>
      <c r="AL321" s="150" t="s">
        <v>1375</v>
      </c>
      <c r="AM321" s="148" t="s">
        <v>1410</v>
      </c>
      <c r="AN321" s="143"/>
      <c r="AO321" s="150" t="s">
        <v>102</v>
      </c>
      <c r="AP321" s="147">
        <v>44715</v>
      </c>
      <c r="AQ321" s="143" t="s">
        <v>3413</v>
      </c>
      <c r="AR321" s="143">
        <v>2000</v>
      </c>
      <c r="AS321" s="143" t="s">
        <v>3413</v>
      </c>
      <c r="AT321" s="135" t="s">
        <v>3446</v>
      </c>
      <c r="AU321" s="143" t="s">
        <v>164</v>
      </c>
      <c r="AV321" s="143" t="s">
        <v>1411</v>
      </c>
      <c r="AW321" s="143">
        <v>28</v>
      </c>
      <c r="AX321" s="143">
        <v>10.5</v>
      </c>
      <c r="AY321" s="143">
        <v>75.599999999999994</v>
      </c>
      <c r="AZ321" s="143">
        <v>0.12</v>
      </c>
      <c r="BA321" s="143" t="s">
        <v>101</v>
      </c>
      <c r="BB321" s="143"/>
      <c r="BC321" s="143">
        <f>1806+1919.46</f>
        <v>3725.46</v>
      </c>
      <c r="BD321" s="143"/>
      <c r="BE321" s="143">
        <f>981+225</f>
        <v>1206</v>
      </c>
      <c r="BF321" s="143">
        <f t="shared" si="12"/>
        <v>4931.46</v>
      </c>
      <c r="BG321" s="151">
        <f t="shared" ref="BG321:BG339" si="15">BF321*0.055</f>
        <v>271.2303</v>
      </c>
      <c r="BH321" s="151">
        <f t="shared" si="14"/>
        <v>5202.6903000000002</v>
      </c>
      <c r="BI321" s="151">
        <v>5202.6899999999996</v>
      </c>
      <c r="BJ321" s="143" t="s">
        <v>1391</v>
      </c>
      <c r="BK321" s="143"/>
      <c r="BL321" s="143"/>
      <c r="BM321" s="144" t="s">
        <v>3592</v>
      </c>
      <c r="BN321" s="144" t="s">
        <v>103</v>
      </c>
      <c r="BO321" s="135" t="s">
        <v>155</v>
      </c>
      <c r="BP321" s="144">
        <v>2022</v>
      </c>
      <c r="BQ321" s="203" t="s">
        <v>3274</v>
      </c>
    </row>
    <row r="322" spans="1:69" ht="41.1" customHeight="1">
      <c r="A322" s="218" t="s">
        <v>1353</v>
      </c>
      <c r="B322" s="218" t="s">
        <v>1412</v>
      </c>
      <c r="C322" s="143">
        <v>600</v>
      </c>
      <c r="D322" s="135">
        <v>44539</v>
      </c>
      <c r="E322" s="135">
        <v>44540</v>
      </c>
      <c r="F322" s="147">
        <v>44543</v>
      </c>
      <c r="G322" s="135"/>
      <c r="H322" s="147">
        <v>44551</v>
      </c>
      <c r="I322" s="147">
        <v>44551</v>
      </c>
      <c r="J322" s="147">
        <v>44553</v>
      </c>
      <c r="K322" s="135">
        <v>44580</v>
      </c>
      <c r="L322" s="135">
        <v>44575</v>
      </c>
      <c r="M322" s="135">
        <v>44593</v>
      </c>
      <c r="N322" s="135">
        <v>44606</v>
      </c>
      <c r="O322" s="135">
        <v>44606</v>
      </c>
      <c r="P322" s="135">
        <v>44607</v>
      </c>
      <c r="Q322" s="135"/>
      <c r="R322" s="143"/>
      <c r="S322" s="143"/>
      <c r="T322" s="143"/>
      <c r="U322" s="143">
        <v>2</v>
      </c>
      <c r="V322" s="143">
        <v>37262</v>
      </c>
      <c r="W322" s="143" t="str">
        <f ca="1">IF(H322="",IF(D322="","",IF(U322+V322&lt;15,"Données Nb pers ou RFR manquantes",IF(COUNTA(INDIRECT("TabRFR["&amp;YEAR(D322)&amp;"]"))&lt;&gt;COUNTA(TabRFR[Recherche RFR]),"Data RFR manquantes", IF(V322&lt;=INDEX(TabRFR[[2021]:[2025]],MATCH(BD!U322&amp;"-Très modestes",TabRFR[Recherche RFR],0),MATCH(TEXT(YEAR(BD!D322),"Standard"),TabRFR[[#Headers],[2021]:[2025]],0)),"Très Modeste",IF(V322&lt;=INDEX(TabRFR[[2021]:[2025]],MATCH(BD!U322&amp;"-modestes",TabRFR[Recherche RFR],0),MATCH(TEXT(YEAR(BD!D322),"Standard"),TabRFR[[#Headers],[2021]:[2025]],0)),"Modeste",IF(V322&lt;=INDEX(TabRFR[[2021]:[2025]],MATCH(BD!U322&amp;"-Intermédiaire",TabRFR[Recherche RFR],0),MATCH(TEXT(YEAR(BD!D322),"Standard"),TabRFR[[#Headers],[2021]:[2025]],0)),"Intermédiaire","Supérieur")))))),IF(D322="","",IF(U322+V322&lt;15,"Données Nb pers ou RFR manquantes",IF(COUNTA(INDIRECT("TabRFR["&amp;YEAR(H322)&amp;"]"))&lt;&gt;COUNTA(TabRFR[Recherche RFR]),"Data RFR manquantes", IF(V322&lt;=INDEX(TabRFR[[2021]:[2025]],MATCH(BD!U322&amp;"-Très modestes",TabRFR[Recherche RFR],0),MATCH(TEXT(YEAR(BD!H322),"Standard"),TabRFR[[#Headers],[2021]:[2025]],0)),"Très Modeste",IF(V322&lt;=INDEX(TabRFR[[2021]:[2025]],MATCH(BD!U322&amp;"-modestes",TabRFR[Recherche RFR],0),MATCH(TEXT(YEAR(BD!H322),"Standard"),TabRFR[[#Headers],[2021]:[2025]],0)),"Modeste",IF(V322&lt;=INDEX(TabRFR[[2021]:[2025]],MATCH(BD!U322&amp;"-Intermédiaire",TabRFR[Recherche RFR],0),MATCH(TEXT(YEAR(BD!H322),"Standard"),TabRFR[[#Headers],[2021]:[2025]],0)),"Intermédiaire","Supérieur")))))))</f>
        <v>Intermédiaire</v>
      </c>
      <c r="X322" s="143"/>
      <c r="Y322" s="143" t="s">
        <v>1413</v>
      </c>
      <c r="Z322" s="143">
        <v>38850</v>
      </c>
      <c r="AA322" s="143" t="s">
        <v>193</v>
      </c>
      <c r="AB322" s="148"/>
      <c r="AC322" s="149"/>
      <c r="AD322" s="143" t="s">
        <v>91</v>
      </c>
      <c r="AE322" s="143"/>
      <c r="AF322" s="143"/>
      <c r="AG322" s="143"/>
      <c r="AH322" s="143"/>
      <c r="AI322" s="143" t="s">
        <v>1414</v>
      </c>
      <c r="AJ322" s="143" t="s">
        <v>1415</v>
      </c>
      <c r="AK322" s="143" t="s">
        <v>1416</v>
      </c>
      <c r="AL322" s="150" t="s">
        <v>1417</v>
      </c>
      <c r="AM322" s="148">
        <v>620314146</v>
      </c>
      <c r="AN322" s="143" t="s">
        <v>1418</v>
      </c>
      <c r="AO322" s="150" t="s">
        <v>144</v>
      </c>
      <c r="AP322" s="147">
        <v>44578</v>
      </c>
      <c r="AQ322" s="135" t="s">
        <v>3449</v>
      </c>
      <c r="AR322" s="143">
        <v>1989</v>
      </c>
      <c r="AS322" s="143" t="s">
        <v>3413</v>
      </c>
      <c r="AT322" s="135" t="s">
        <v>3446</v>
      </c>
      <c r="AU322" s="143" t="s">
        <v>1177</v>
      </c>
      <c r="AV322" s="143" t="s">
        <v>1419</v>
      </c>
      <c r="AW322" s="143">
        <v>40</v>
      </c>
      <c r="AX322" s="143">
        <v>7</v>
      </c>
      <c r="AY322" s="143">
        <v>78</v>
      </c>
      <c r="AZ322" s="143">
        <v>0.12</v>
      </c>
      <c r="BA322" s="143" t="s">
        <v>101</v>
      </c>
      <c r="BB322" s="143"/>
      <c r="BC322" s="143">
        <f>690+1150+350+160</f>
        <v>2350</v>
      </c>
      <c r="BD322" s="143"/>
      <c r="BE322" s="143">
        <f>690</f>
        <v>690</v>
      </c>
      <c r="BF322" s="143">
        <f t="shared" si="12"/>
        <v>3040</v>
      </c>
      <c r="BG322" s="151">
        <f t="shared" si="15"/>
        <v>167.2</v>
      </c>
      <c r="BH322" s="151">
        <f t="shared" si="14"/>
        <v>3207.2</v>
      </c>
      <c r="BI322" s="151">
        <v>3207.2</v>
      </c>
      <c r="BJ322" s="143" t="s">
        <v>144</v>
      </c>
      <c r="BK322" s="143"/>
      <c r="BL322" s="143"/>
      <c r="BM322" s="144" t="s">
        <v>3592</v>
      </c>
      <c r="BN322" s="144" t="s">
        <v>103</v>
      </c>
      <c r="BO322" s="144" t="s">
        <v>143</v>
      </c>
      <c r="BP322" s="144">
        <v>2022</v>
      </c>
      <c r="BQ322" s="203" t="s">
        <v>144</v>
      </c>
    </row>
    <row r="323" spans="1:69" ht="41.1" customHeight="1">
      <c r="A323" s="218" t="s">
        <v>1420</v>
      </c>
      <c r="B323" s="218" t="s">
        <v>1421</v>
      </c>
      <c r="C323" s="143">
        <v>1000</v>
      </c>
      <c r="D323" s="135">
        <v>44543</v>
      </c>
      <c r="E323" s="135">
        <v>44546</v>
      </c>
      <c r="F323" s="147"/>
      <c r="G323" s="135"/>
      <c r="H323" s="147">
        <v>44573</v>
      </c>
      <c r="I323" s="147">
        <v>44574</v>
      </c>
      <c r="J323" s="147">
        <v>44575</v>
      </c>
      <c r="K323" s="135">
        <v>44614</v>
      </c>
      <c r="L323" s="135">
        <v>44561</v>
      </c>
      <c r="M323" s="135"/>
      <c r="N323" s="135">
        <v>44616</v>
      </c>
      <c r="O323" s="135">
        <v>44616</v>
      </c>
      <c r="P323" s="135">
        <v>44617</v>
      </c>
      <c r="Q323" s="135"/>
      <c r="R323" s="143"/>
      <c r="S323" s="143"/>
      <c r="T323" s="143"/>
      <c r="U323" s="143">
        <v>4</v>
      </c>
      <c r="V323" s="143">
        <v>33581</v>
      </c>
      <c r="W323" s="143" t="str">
        <f ca="1">IF(H323="",IF(D323="","",IF(U323+V323&lt;15,"Données Nb pers ou RFR manquantes",IF(COUNTA(INDIRECT("TabRFR["&amp;YEAR(D323)&amp;"]"))&lt;&gt;COUNTA(TabRFR[Recherche RFR]),"Data RFR manquantes", IF(V323&lt;=INDEX(TabRFR[[2021]:[2025]],MATCH(BD!U323&amp;"-Très modestes",TabRFR[Recherche RFR],0),MATCH(TEXT(YEAR(BD!D323),"Standard"),TabRFR[[#Headers],[2021]:[2025]],0)),"Très Modeste",IF(V323&lt;=INDEX(TabRFR[[2021]:[2025]],MATCH(BD!U323&amp;"-modestes",TabRFR[Recherche RFR],0),MATCH(TEXT(YEAR(BD!D323),"Standard"),TabRFR[[#Headers],[2021]:[2025]],0)),"Modeste",IF(V323&lt;=INDEX(TabRFR[[2021]:[2025]],MATCH(BD!U323&amp;"-Intermédiaire",TabRFR[Recherche RFR],0),MATCH(TEXT(YEAR(BD!D323),"Standard"),TabRFR[[#Headers],[2021]:[2025]],0)),"Intermédiaire","Supérieur")))))),IF(D323="","",IF(U323+V323&lt;15,"Données Nb pers ou RFR manquantes",IF(COUNTA(INDIRECT("TabRFR["&amp;YEAR(H323)&amp;"]"))&lt;&gt;COUNTA(TabRFR[Recherche RFR]),"Data RFR manquantes", IF(V323&lt;=INDEX(TabRFR[[2021]:[2025]],MATCH(BD!U323&amp;"-Très modestes",TabRFR[Recherche RFR],0),MATCH(TEXT(YEAR(BD!H323),"Standard"),TabRFR[[#Headers],[2021]:[2025]],0)),"Très Modeste",IF(V323&lt;=INDEX(TabRFR[[2021]:[2025]],MATCH(BD!U323&amp;"-modestes",TabRFR[Recherche RFR],0),MATCH(TEXT(YEAR(BD!H323),"Standard"),TabRFR[[#Headers],[2021]:[2025]],0)),"Modeste",IF(V323&lt;=INDEX(TabRFR[[2021]:[2025]],MATCH(BD!U323&amp;"-Intermédiaire",TabRFR[Recherche RFR],0),MATCH(TEXT(YEAR(BD!H323),"Standard"),TabRFR[[#Headers],[2021]:[2025]],0)),"Intermédiaire","Supérieur")))))))</f>
        <v>Modeste</v>
      </c>
      <c r="X323" s="143"/>
      <c r="Y323" s="143" t="s">
        <v>1422</v>
      </c>
      <c r="Z323" s="143">
        <v>38620</v>
      </c>
      <c r="AA323" s="143" t="s">
        <v>863</v>
      </c>
      <c r="AB323" s="148"/>
      <c r="AC323" s="149"/>
      <c r="AD323" s="143" t="s">
        <v>91</v>
      </c>
      <c r="AE323" s="143"/>
      <c r="AF323" s="143"/>
      <c r="AG323" s="143"/>
      <c r="AH323" s="143"/>
      <c r="AI323" s="143" t="s">
        <v>92</v>
      </c>
      <c r="AJ323" s="143" t="s">
        <v>93</v>
      </c>
      <c r="AK323" s="143" t="s">
        <v>94</v>
      </c>
      <c r="AL323" s="149" t="s">
        <v>95</v>
      </c>
      <c r="AM323" s="148" t="s">
        <v>96</v>
      </c>
      <c r="AN323" s="143" t="s">
        <v>76</v>
      </c>
      <c r="AO323" s="150" t="s">
        <v>97</v>
      </c>
      <c r="AP323" s="147">
        <v>44821</v>
      </c>
      <c r="AQ323" s="143" t="s">
        <v>3413</v>
      </c>
      <c r="AR323" s="143">
        <v>1990</v>
      </c>
      <c r="AS323" s="143" t="s">
        <v>3413</v>
      </c>
      <c r="AT323" s="143" t="s">
        <v>98</v>
      </c>
      <c r="AU323" s="143" t="s">
        <v>99</v>
      </c>
      <c r="AV323" s="143" t="s">
        <v>1423</v>
      </c>
      <c r="AW323" s="143">
        <v>11</v>
      </c>
      <c r="AX323" s="143">
        <v>12</v>
      </c>
      <c r="AY323" s="143">
        <v>89</v>
      </c>
      <c r="AZ323" s="143">
        <v>9.0399999999999994E-3</v>
      </c>
      <c r="BA323" s="143" t="s">
        <v>101</v>
      </c>
      <c r="BB323" s="143"/>
      <c r="BC323" s="143">
        <f>3900+1145+185+193+265+150</f>
        <v>5838</v>
      </c>
      <c r="BD323" s="143"/>
      <c r="BE323" s="143">
        <f>790</f>
        <v>790</v>
      </c>
      <c r="BF323" s="143">
        <f t="shared" si="12"/>
        <v>6628</v>
      </c>
      <c r="BG323" s="151">
        <f t="shared" si="15"/>
        <v>364.54</v>
      </c>
      <c r="BH323" s="151">
        <f t="shared" si="14"/>
        <v>6992.54</v>
      </c>
      <c r="BI323" s="151">
        <v>6992.54</v>
      </c>
      <c r="BJ323" s="143" t="s">
        <v>144</v>
      </c>
      <c r="BK323" s="143"/>
      <c r="BL323" s="143"/>
      <c r="BM323" s="144" t="s">
        <v>3592</v>
      </c>
      <c r="BN323" s="143">
        <v>2022</v>
      </c>
      <c r="BO323" s="135" t="s">
        <v>155</v>
      </c>
      <c r="BP323" s="143" t="s">
        <v>3583</v>
      </c>
      <c r="BQ323" s="203" t="s">
        <v>144</v>
      </c>
    </row>
    <row r="324" spans="1:69" ht="41.1" customHeight="1">
      <c r="A324" s="218" t="s">
        <v>1420</v>
      </c>
      <c r="B324" s="218" t="s">
        <v>1424</v>
      </c>
      <c r="C324" s="143">
        <v>600</v>
      </c>
      <c r="D324" s="135">
        <v>44545</v>
      </c>
      <c r="E324" s="135">
        <v>44546</v>
      </c>
      <c r="F324" s="147">
        <v>44573</v>
      </c>
      <c r="G324" s="135" t="s">
        <v>1425</v>
      </c>
      <c r="H324" s="147">
        <v>44630</v>
      </c>
      <c r="I324" s="147">
        <v>44630</v>
      </c>
      <c r="J324" s="147">
        <v>44635</v>
      </c>
      <c r="K324" s="135">
        <v>44750</v>
      </c>
      <c r="L324" s="135">
        <v>44715</v>
      </c>
      <c r="M324" s="135" t="s">
        <v>76</v>
      </c>
      <c r="N324" s="135">
        <v>44769</v>
      </c>
      <c r="O324" s="135">
        <v>44769</v>
      </c>
      <c r="P324" s="135">
        <v>44770</v>
      </c>
      <c r="Q324" s="135"/>
      <c r="R324" s="143"/>
      <c r="S324" s="143"/>
      <c r="T324" s="143"/>
      <c r="U324" s="143">
        <v>2</v>
      </c>
      <c r="V324" s="143">
        <v>96462</v>
      </c>
      <c r="W324" s="143" t="str">
        <f ca="1">IF(H324="",IF(D324="","",IF(U324+V324&lt;15,"Données Nb pers ou RFR manquantes",IF(COUNTA(INDIRECT("TabRFR["&amp;YEAR(D324)&amp;"]"))&lt;&gt;COUNTA(TabRFR[Recherche RFR]),"Data RFR manquantes", IF(V324&lt;=INDEX(TabRFR[[2021]:[2025]],MATCH(BD!U324&amp;"-Très modestes",TabRFR[Recherche RFR],0),MATCH(TEXT(YEAR(BD!D324),"Standard"),TabRFR[[#Headers],[2021]:[2025]],0)),"Très Modeste",IF(V324&lt;=INDEX(TabRFR[[2021]:[2025]],MATCH(BD!U324&amp;"-modestes",TabRFR[Recherche RFR],0),MATCH(TEXT(YEAR(BD!D324),"Standard"),TabRFR[[#Headers],[2021]:[2025]],0)),"Modeste",IF(V324&lt;=INDEX(TabRFR[[2021]:[2025]],MATCH(BD!U324&amp;"-Intermédiaire",TabRFR[Recherche RFR],0),MATCH(TEXT(YEAR(BD!D324),"Standard"),TabRFR[[#Headers],[2021]:[2025]],0)),"Intermédiaire","Supérieur")))))),IF(D324="","",IF(U324+V324&lt;15,"Données Nb pers ou RFR manquantes",IF(COUNTA(INDIRECT("TabRFR["&amp;YEAR(H324)&amp;"]"))&lt;&gt;COUNTA(TabRFR[Recherche RFR]),"Data RFR manquantes", IF(V324&lt;=INDEX(TabRFR[[2021]:[2025]],MATCH(BD!U324&amp;"-Très modestes",TabRFR[Recherche RFR],0),MATCH(TEXT(YEAR(BD!H324),"Standard"),TabRFR[[#Headers],[2021]:[2025]],0)),"Très Modeste",IF(V324&lt;=INDEX(TabRFR[[2021]:[2025]],MATCH(BD!U324&amp;"-modestes",TabRFR[Recherche RFR],0),MATCH(TEXT(YEAR(BD!H324),"Standard"),TabRFR[[#Headers],[2021]:[2025]],0)),"Modeste",IF(V324&lt;=INDEX(TabRFR[[2021]:[2025]],MATCH(BD!U324&amp;"-Intermédiaire",TabRFR[Recherche RFR],0),MATCH(TEXT(YEAR(BD!H324),"Standard"),TabRFR[[#Headers],[2021]:[2025]],0)),"Intermédiaire","Supérieur")))))))</f>
        <v>Supérieur</v>
      </c>
      <c r="X324" s="143"/>
      <c r="Y324" s="143" t="s">
        <v>310</v>
      </c>
      <c r="Z324" s="143">
        <v>38460</v>
      </c>
      <c r="AA324" s="143" t="s">
        <v>266</v>
      </c>
      <c r="AB324" s="148"/>
      <c r="AC324" s="149"/>
      <c r="AD324" s="143" t="s">
        <v>91</v>
      </c>
      <c r="AE324" s="143"/>
      <c r="AF324" s="143"/>
      <c r="AG324" s="143"/>
      <c r="AH324" s="143"/>
      <c r="AI324" s="143" t="s">
        <v>250</v>
      </c>
      <c r="AJ324" s="143" t="s">
        <v>121</v>
      </c>
      <c r="AK324" s="143" t="s">
        <v>251</v>
      </c>
      <c r="AL324" s="150" t="s">
        <v>252</v>
      </c>
      <c r="AM324" s="148">
        <v>476452433</v>
      </c>
      <c r="AN324" s="143" t="s">
        <v>76</v>
      </c>
      <c r="AO324" s="150" t="s">
        <v>102</v>
      </c>
      <c r="AP324" s="147">
        <v>44620</v>
      </c>
      <c r="AQ324" s="135" t="s">
        <v>3449</v>
      </c>
      <c r="AR324" s="143">
        <v>1986</v>
      </c>
      <c r="AS324" s="143" t="s">
        <v>3413</v>
      </c>
      <c r="AT324" s="143" t="s">
        <v>98</v>
      </c>
      <c r="AU324" s="143" t="s">
        <v>311</v>
      </c>
      <c r="AV324" s="143" t="s">
        <v>1426</v>
      </c>
      <c r="AW324" s="143">
        <v>13</v>
      </c>
      <c r="AX324" s="143">
        <v>9.6300000000000008</v>
      </c>
      <c r="AY324" s="143">
        <v>84.5</v>
      </c>
      <c r="AZ324" s="143">
        <v>111</v>
      </c>
      <c r="BA324" s="143" t="s">
        <v>126</v>
      </c>
      <c r="BB324" s="143"/>
      <c r="BC324" s="143">
        <f>3444+276+107+238+526.06+218.45+87.66</f>
        <v>4897.1699999999992</v>
      </c>
      <c r="BD324" s="143"/>
      <c r="BE324" s="143">
        <f>450+369+85</f>
        <v>904</v>
      </c>
      <c r="BF324" s="143">
        <f t="shared" si="12"/>
        <v>5801.1699999999992</v>
      </c>
      <c r="BG324" s="151">
        <f t="shared" si="15"/>
        <v>319.06434999999993</v>
      </c>
      <c r="BH324" s="151">
        <f t="shared" si="14"/>
        <v>6120.2343499999988</v>
      </c>
      <c r="BI324" s="151">
        <f>5494.2+(592.45*1.055)</f>
        <v>6119.2347499999996</v>
      </c>
      <c r="BJ324" s="143" t="s">
        <v>102</v>
      </c>
      <c r="BK324" s="143"/>
      <c r="BL324" s="143"/>
      <c r="BM324" s="144" t="s">
        <v>3592</v>
      </c>
      <c r="BN324" s="143">
        <v>2022</v>
      </c>
      <c r="BO324" s="144" t="s">
        <v>143</v>
      </c>
      <c r="BP324" s="143" t="s">
        <v>3583</v>
      </c>
      <c r="BQ324" s="203" t="s">
        <v>144</v>
      </c>
    </row>
    <row r="325" spans="1:69" ht="41.1" customHeight="1">
      <c r="A325" s="218" t="s">
        <v>1420</v>
      </c>
      <c r="B325" s="218" t="s">
        <v>1427</v>
      </c>
      <c r="C325" s="143">
        <v>600</v>
      </c>
      <c r="D325" s="135">
        <v>44545</v>
      </c>
      <c r="E325" s="135">
        <v>44546</v>
      </c>
      <c r="F325" s="147">
        <v>44573</v>
      </c>
      <c r="G325" s="135" t="s">
        <v>1428</v>
      </c>
      <c r="H325" s="147">
        <v>44585</v>
      </c>
      <c r="I325" s="147">
        <v>44585</v>
      </c>
      <c r="J325" s="147">
        <v>44587</v>
      </c>
      <c r="K325" s="135">
        <v>44832</v>
      </c>
      <c r="L325" s="135">
        <v>44610</v>
      </c>
      <c r="M325" s="135" t="s">
        <v>76</v>
      </c>
      <c r="N325" s="135">
        <v>44873</v>
      </c>
      <c r="O325" s="135">
        <v>44873</v>
      </c>
      <c r="P325" s="135">
        <v>44879</v>
      </c>
      <c r="Q325" s="135"/>
      <c r="R325" s="143"/>
      <c r="S325" s="143"/>
      <c r="T325" s="143"/>
      <c r="U325" s="143">
        <v>3</v>
      </c>
      <c r="V325" s="143">
        <v>63000</v>
      </c>
      <c r="W325" s="143" t="str">
        <f ca="1">IF(H325="",IF(D325="","",IF(U325+V325&lt;15,"Données Nb pers ou RFR manquantes",IF(COUNTA(INDIRECT("TabRFR["&amp;YEAR(D325)&amp;"]"))&lt;&gt;COUNTA(TabRFR[Recherche RFR]),"Data RFR manquantes", IF(V325&lt;=INDEX(TabRFR[[2021]:[2025]],MATCH(BD!U325&amp;"-Très modestes",TabRFR[Recherche RFR],0),MATCH(TEXT(YEAR(BD!D325),"Standard"),TabRFR[[#Headers],[2021]:[2025]],0)),"Très Modeste",IF(V325&lt;=INDEX(TabRFR[[2021]:[2025]],MATCH(BD!U325&amp;"-modestes",TabRFR[Recherche RFR],0),MATCH(TEXT(YEAR(BD!D325),"Standard"),TabRFR[[#Headers],[2021]:[2025]],0)),"Modeste",IF(V325&lt;=INDEX(TabRFR[[2021]:[2025]],MATCH(BD!U325&amp;"-Intermédiaire",TabRFR[Recherche RFR],0),MATCH(TEXT(YEAR(BD!D325),"Standard"),TabRFR[[#Headers],[2021]:[2025]],0)),"Intermédiaire","Supérieur")))))),IF(D325="","",IF(U325+V325&lt;15,"Données Nb pers ou RFR manquantes",IF(COUNTA(INDIRECT("TabRFR["&amp;YEAR(H325)&amp;"]"))&lt;&gt;COUNTA(TabRFR[Recherche RFR]),"Data RFR manquantes", IF(V325&lt;=INDEX(TabRFR[[2021]:[2025]],MATCH(BD!U325&amp;"-Très modestes",TabRFR[Recherche RFR],0),MATCH(TEXT(YEAR(BD!H325),"Standard"),TabRFR[[#Headers],[2021]:[2025]],0)),"Très Modeste",IF(V325&lt;=INDEX(TabRFR[[2021]:[2025]],MATCH(BD!U325&amp;"-modestes",TabRFR[Recherche RFR],0),MATCH(TEXT(YEAR(BD!H325),"Standard"),TabRFR[[#Headers],[2021]:[2025]],0)),"Modeste",IF(V325&lt;=INDEX(TabRFR[[2021]:[2025]],MATCH(BD!U325&amp;"-Intermédiaire",TabRFR[Recherche RFR],0),MATCH(TEXT(YEAR(BD!H325),"Standard"),TabRFR[[#Headers],[2021]:[2025]],0)),"Intermédiaire","Supérieur")))))))</f>
        <v>Supérieur</v>
      </c>
      <c r="X325" s="143"/>
      <c r="Y325" s="143" t="s">
        <v>840</v>
      </c>
      <c r="Z325" s="143">
        <v>38500</v>
      </c>
      <c r="AA325" s="143" t="s">
        <v>134</v>
      </c>
      <c r="AB325" s="148"/>
      <c r="AC325" s="149"/>
      <c r="AD325" s="143" t="s">
        <v>91</v>
      </c>
      <c r="AE325" s="143"/>
      <c r="AF325" s="143"/>
      <c r="AG325" s="143"/>
      <c r="AH325" s="143"/>
      <c r="AI325" s="143" t="s">
        <v>160</v>
      </c>
      <c r="AJ325" s="143" t="s">
        <v>161</v>
      </c>
      <c r="AK325" s="143" t="s">
        <v>1429</v>
      </c>
      <c r="AL325" s="150" t="s">
        <v>228</v>
      </c>
      <c r="AM325" s="148" t="s">
        <v>1389</v>
      </c>
      <c r="AN325" s="143" t="s">
        <v>76</v>
      </c>
      <c r="AO325" s="150" t="s">
        <v>102</v>
      </c>
      <c r="AP325" s="147">
        <v>44641</v>
      </c>
      <c r="AQ325" s="135" t="s">
        <v>3496</v>
      </c>
      <c r="AR325" s="143">
        <v>1980</v>
      </c>
      <c r="AS325" s="143" t="s">
        <v>3413</v>
      </c>
      <c r="AT325" s="135" t="s">
        <v>3446</v>
      </c>
      <c r="AU325" s="143" t="s">
        <v>1430</v>
      </c>
      <c r="AV325" s="143" t="s">
        <v>1431</v>
      </c>
      <c r="AW325" s="143">
        <v>29</v>
      </c>
      <c r="AX325" s="143">
        <v>7.5</v>
      </c>
      <c r="AY325" s="143">
        <v>75</v>
      </c>
      <c r="AZ325" s="143">
        <v>7.5600000000000001E-2</v>
      </c>
      <c r="BA325" s="143" t="s">
        <v>101</v>
      </c>
      <c r="BB325" s="143"/>
      <c r="BC325" s="143">
        <f>4983+112.5+141+91+625+341+195+166+391+137.5+575+2050</f>
        <v>9808</v>
      </c>
      <c r="BD325" s="143"/>
      <c r="BE325" s="143">
        <f>891+350</f>
        <v>1241</v>
      </c>
      <c r="BF325" s="143">
        <f t="shared" ref="BF325:BF344" si="16">BC325+BE325</f>
        <v>11049</v>
      </c>
      <c r="BG325" s="151">
        <f t="shared" si="15"/>
        <v>607.69500000000005</v>
      </c>
      <c r="BH325" s="151">
        <f t="shared" ref="BH325:BH331" si="17">BF325+BG325</f>
        <v>11656.695</v>
      </c>
      <c r="BI325" s="151">
        <v>11656</v>
      </c>
      <c r="BJ325" s="143" t="s">
        <v>1391</v>
      </c>
      <c r="BK325" s="143"/>
      <c r="BL325" s="143"/>
      <c r="BM325" s="144" t="s">
        <v>3592</v>
      </c>
      <c r="BN325" s="143">
        <v>2022</v>
      </c>
      <c r="BO325" s="144" t="s">
        <v>143</v>
      </c>
      <c r="BP325" s="144">
        <v>2022</v>
      </c>
      <c r="BQ325" s="203" t="s">
        <v>3274</v>
      </c>
    </row>
    <row r="326" spans="1:69" ht="41.1" customHeight="1">
      <c r="A326" s="218" t="s">
        <v>1420</v>
      </c>
      <c r="B326" s="218" t="s">
        <v>1432</v>
      </c>
      <c r="C326" s="143">
        <v>600</v>
      </c>
      <c r="D326" s="135">
        <v>44546</v>
      </c>
      <c r="E326" s="135">
        <v>44546</v>
      </c>
      <c r="F326" s="147">
        <v>44573</v>
      </c>
      <c r="G326" s="135" t="s">
        <v>1433</v>
      </c>
      <c r="H326" s="147">
        <v>44574</v>
      </c>
      <c r="I326" s="147">
        <v>44574</v>
      </c>
      <c r="J326" s="147">
        <v>44575</v>
      </c>
      <c r="K326" s="135">
        <v>44901</v>
      </c>
      <c r="L326" s="135">
        <v>44889</v>
      </c>
      <c r="M326" s="135" t="s">
        <v>1434</v>
      </c>
      <c r="N326" s="135">
        <v>44932</v>
      </c>
      <c r="O326" s="135">
        <v>44932</v>
      </c>
      <c r="P326" s="135">
        <v>45083</v>
      </c>
      <c r="Q326" s="135"/>
      <c r="R326" s="143"/>
      <c r="S326" s="143"/>
      <c r="T326" s="143"/>
      <c r="U326" s="143">
        <v>2</v>
      </c>
      <c r="V326" s="143">
        <v>29582</v>
      </c>
      <c r="W326" s="143" t="str">
        <f ca="1">IF(H326="",IF(D326="","",IF(U326+V326&lt;15,"Données Nb pers ou RFR manquantes",IF(COUNTA(INDIRECT("TabRFR["&amp;YEAR(D326)&amp;"]"))&lt;&gt;COUNTA(TabRFR[Recherche RFR]),"Data RFR manquantes", IF(V326&lt;=INDEX(TabRFR[[2021]:[2025]],MATCH(BD!U326&amp;"-Très modestes",TabRFR[Recherche RFR],0),MATCH(TEXT(YEAR(BD!D326),"Standard"),TabRFR[[#Headers],[2021]:[2025]],0)),"Très Modeste",IF(V326&lt;=INDEX(TabRFR[[2021]:[2025]],MATCH(BD!U326&amp;"-modestes",TabRFR[Recherche RFR],0),MATCH(TEXT(YEAR(BD!D326),"Standard"),TabRFR[[#Headers],[2021]:[2025]],0)),"Modeste",IF(V326&lt;=INDEX(TabRFR[[2021]:[2025]],MATCH(BD!U326&amp;"-Intermédiaire",TabRFR[Recherche RFR],0),MATCH(TEXT(YEAR(BD!D326),"Standard"),TabRFR[[#Headers],[2021]:[2025]],0)),"Intermédiaire","Supérieur")))))),IF(D326="","",IF(U326+V326&lt;15,"Données Nb pers ou RFR manquantes",IF(COUNTA(INDIRECT("TabRFR["&amp;YEAR(H326)&amp;"]"))&lt;&gt;COUNTA(TabRFR[Recherche RFR]),"Data RFR manquantes", IF(V326&lt;=INDEX(TabRFR[[2021]:[2025]],MATCH(BD!U326&amp;"-Très modestes",TabRFR[Recherche RFR],0),MATCH(TEXT(YEAR(BD!H326),"Standard"),TabRFR[[#Headers],[2021]:[2025]],0)),"Très Modeste",IF(V326&lt;=INDEX(TabRFR[[2021]:[2025]],MATCH(BD!U326&amp;"-modestes",TabRFR[Recherche RFR],0),MATCH(TEXT(YEAR(BD!H326),"Standard"),TabRFR[[#Headers],[2021]:[2025]],0)),"Modeste",IF(V326&lt;=INDEX(TabRFR[[2021]:[2025]],MATCH(BD!U326&amp;"-Intermédiaire",TabRFR[Recherche RFR],0),MATCH(TEXT(YEAR(BD!H326),"Standard"),TabRFR[[#Headers],[2021]:[2025]],0)),"Intermédiaire","Supérieur")))))))</f>
        <v>Intermédiaire</v>
      </c>
      <c r="X326" s="143"/>
      <c r="Y326" s="143" t="s">
        <v>1435</v>
      </c>
      <c r="Z326" s="143">
        <v>38620</v>
      </c>
      <c r="AA326" s="143" t="s">
        <v>90</v>
      </c>
      <c r="AB326" s="148"/>
      <c r="AC326" s="149"/>
      <c r="AD326" s="143" t="s">
        <v>91</v>
      </c>
      <c r="AE326" s="143"/>
      <c r="AF326" s="143"/>
      <c r="AG326" s="143"/>
      <c r="AH326" s="143"/>
      <c r="AI326" s="143" t="s">
        <v>1436</v>
      </c>
      <c r="AJ326" s="143" t="s">
        <v>1437</v>
      </c>
      <c r="AK326" s="143" t="s">
        <v>211</v>
      </c>
      <c r="AL326" s="150" t="s">
        <v>1438</v>
      </c>
      <c r="AM326" s="148" t="s">
        <v>1439</v>
      </c>
      <c r="AN326" s="143" t="s">
        <v>76</v>
      </c>
      <c r="AO326" s="150" t="s">
        <v>102</v>
      </c>
      <c r="AP326" s="147">
        <v>44687</v>
      </c>
      <c r="AQ326" s="135" t="s">
        <v>3496</v>
      </c>
      <c r="AR326" s="143">
        <v>1999</v>
      </c>
      <c r="AS326" s="143" t="s">
        <v>3413</v>
      </c>
      <c r="AT326" s="143" t="s">
        <v>98</v>
      </c>
      <c r="AU326" s="143" t="s">
        <v>214</v>
      </c>
      <c r="AV326" s="143" t="s">
        <v>1440</v>
      </c>
      <c r="AW326" s="143">
        <v>14</v>
      </c>
      <c r="AX326" s="143">
        <v>9.1</v>
      </c>
      <c r="AY326" s="143">
        <v>90.2</v>
      </c>
      <c r="AZ326" s="143" t="s">
        <v>1441</v>
      </c>
      <c r="BA326" s="143" t="s">
        <v>101</v>
      </c>
      <c r="BB326" s="143"/>
      <c r="BC326" s="143">
        <f>3980+170+216+535.67+46</f>
        <v>4947.67</v>
      </c>
      <c r="BD326" s="143"/>
      <c r="BE326" s="143">
        <f>695</f>
        <v>695</v>
      </c>
      <c r="BF326" s="143">
        <f t="shared" si="16"/>
        <v>5642.67</v>
      </c>
      <c r="BG326" s="151">
        <f t="shared" si="15"/>
        <v>310.34685000000002</v>
      </c>
      <c r="BH326" s="151">
        <f t="shared" si="17"/>
        <v>5953.01685</v>
      </c>
      <c r="BI326" s="151">
        <v>5953.02</v>
      </c>
      <c r="BJ326" s="143" t="s">
        <v>1391</v>
      </c>
      <c r="BK326" s="143"/>
      <c r="BL326" s="143"/>
      <c r="BM326" s="144" t="s">
        <v>3592</v>
      </c>
      <c r="BN326" s="143">
        <v>2022</v>
      </c>
      <c r="BO326" s="144" t="s">
        <v>143</v>
      </c>
      <c r="BP326" s="143" t="s">
        <v>3583</v>
      </c>
      <c r="BQ326" s="203" t="s">
        <v>3274</v>
      </c>
    </row>
    <row r="327" spans="1:69" ht="41.1" customHeight="1">
      <c r="A327" s="218" t="s">
        <v>1420</v>
      </c>
      <c r="B327" s="218" t="s">
        <v>1442</v>
      </c>
      <c r="C327" s="143">
        <v>600</v>
      </c>
      <c r="D327" s="135">
        <v>44546</v>
      </c>
      <c r="E327" s="135">
        <v>44546</v>
      </c>
      <c r="F327" s="147">
        <v>44573</v>
      </c>
      <c r="G327" s="135" t="s">
        <v>1443</v>
      </c>
      <c r="H327" s="147">
        <v>44624</v>
      </c>
      <c r="I327" s="147">
        <v>44624</v>
      </c>
      <c r="J327" s="147">
        <v>44628</v>
      </c>
      <c r="K327" s="135">
        <v>44697</v>
      </c>
      <c r="L327" s="135">
        <v>44679</v>
      </c>
      <c r="M327" s="135" t="s">
        <v>76</v>
      </c>
      <c r="N327" s="135">
        <v>44769</v>
      </c>
      <c r="O327" s="135">
        <v>44769</v>
      </c>
      <c r="P327" s="135">
        <v>44770</v>
      </c>
      <c r="Q327" s="135"/>
      <c r="R327" s="143"/>
      <c r="S327" s="143"/>
      <c r="T327" s="143"/>
      <c r="U327" s="143">
        <v>2</v>
      </c>
      <c r="V327" s="143">
        <v>49422</v>
      </c>
      <c r="W327" s="143" t="str">
        <f ca="1">IF(H327="",IF(D327="","",IF(U327+V327&lt;15,"Données Nb pers ou RFR manquantes",IF(COUNTA(INDIRECT("TabRFR["&amp;YEAR(D327)&amp;"]"))&lt;&gt;COUNTA(TabRFR[Recherche RFR]),"Data RFR manquantes", IF(V327&lt;=INDEX(TabRFR[[2021]:[2025]],MATCH(BD!U327&amp;"-Très modestes",TabRFR[Recherche RFR],0),MATCH(TEXT(YEAR(BD!D327),"Standard"),TabRFR[[#Headers],[2021]:[2025]],0)),"Très Modeste",IF(V327&lt;=INDEX(TabRFR[[2021]:[2025]],MATCH(BD!U327&amp;"-modestes",TabRFR[Recherche RFR],0),MATCH(TEXT(YEAR(BD!D327),"Standard"),TabRFR[[#Headers],[2021]:[2025]],0)),"Modeste",IF(V327&lt;=INDEX(TabRFR[[2021]:[2025]],MATCH(BD!U327&amp;"-Intermédiaire",TabRFR[Recherche RFR],0),MATCH(TEXT(YEAR(BD!D327),"Standard"),TabRFR[[#Headers],[2021]:[2025]],0)),"Intermédiaire","Supérieur")))))),IF(D327="","",IF(U327+V327&lt;15,"Données Nb pers ou RFR manquantes",IF(COUNTA(INDIRECT("TabRFR["&amp;YEAR(H327)&amp;"]"))&lt;&gt;COUNTA(TabRFR[Recherche RFR]),"Data RFR manquantes", IF(V327&lt;=INDEX(TabRFR[[2021]:[2025]],MATCH(BD!U327&amp;"-Très modestes",TabRFR[Recherche RFR],0),MATCH(TEXT(YEAR(BD!H327),"Standard"),TabRFR[[#Headers],[2021]:[2025]],0)),"Très Modeste",IF(V327&lt;=INDEX(TabRFR[[2021]:[2025]],MATCH(BD!U327&amp;"-modestes",TabRFR[Recherche RFR],0),MATCH(TEXT(YEAR(BD!H327),"Standard"),TabRFR[[#Headers],[2021]:[2025]],0)),"Modeste",IF(V327&lt;=INDEX(TabRFR[[2021]:[2025]],MATCH(BD!U327&amp;"-Intermédiaire",TabRFR[Recherche RFR],0),MATCH(TEXT(YEAR(BD!H327),"Standard"),TabRFR[[#Headers],[2021]:[2025]],0)),"Intermédiaire","Supérieur")))))))</f>
        <v>Supérieur</v>
      </c>
      <c r="X327" s="143"/>
      <c r="Y327" s="143" t="s">
        <v>1444</v>
      </c>
      <c r="Z327" s="143">
        <v>38340</v>
      </c>
      <c r="AA327" s="143" t="s">
        <v>266</v>
      </c>
      <c r="AB327" s="148"/>
      <c r="AC327" s="149"/>
      <c r="AD327" s="143" t="s">
        <v>91</v>
      </c>
      <c r="AE327" s="143"/>
      <c r="AF327" s="143"/>
      <c r="AG327" s="143"/>
      <c r="AH327" s="143"/>
      <c r="AI327" s="143" t="s">
        <v>905</v>
      </c>
      <c r="AJ327" s="143" t="s">
        <v>136</v>
      </c>
      <c r="AK327" s="143" t="s">
        <v>906</v>
      </c>
      <c r="AL327" s="150" t="s">
        <v>907</v>
      </c>
      <c r="AM327" s="148">
        <v>438920220</v>
      </c>
      <c r="AN327" s="143" t="s">
        <v>76</v>
      </c>
      <c r="AO327" s="150" t="s">
        <v>102</v>
      </c>
      <c r="AP327" s="147">
        <v>44668</v>
      </c>
      <c r="AQ327" s="135" t="s">
        <v>3496</v>
      </c>
      <c r="AR327" s="143">
        <v>1993</v>
      </c>
      <c r="AS327" s="143" t="s">
        <v>3413</v>
      </c>
      <c r="AT327" s="135" t="s">
        <v>3446</v>
      </c>
      <c r="AU327" s="143" t="s">
        <v>369</v>
      </c>
      <c r="AV327" s="143" t="s">
        <v>1445</v>
      </c>
      <c r="AW327" s="143">
        <v>4</v>
      </c>
      <c r="AX327" s="143">
        <v>6.8</v>
      </c>
      <c r="AY327" s="143">
        <v>78</v>
      </c>
      <c r="AZ327" s="143">
        <v>5.8479999999999997E-2</v>
      </c>
      <c r="BA327" s="143" t="s">
        <v>101</v>
      </c>
      <c r="BB327" s="143"/>
      <c r="BC327" s="143">
        <f>3910+187+1663.95+323+51</f>
        <v>6134.95</v>
      </c>
      <c r="BD327" s="143"/>
      <c r="BE327" s="143">
        <f>857+178+57+1.67</f>
        <v>1093.67</v>
      </c>
      <c r="BF327" s="143">
        <f t="shared" si="16"/>
        <v>7228.62</v>
      </c>
      <c r="BG327" s="151">
        <f t="shared" si="15"/>
        <v>397.57409999999999</v>
      </c>
      <c r="BH327" s="151">
        <f t="shared" si="17"/>
        <v>7626.1940999999997</v>
      </c>
      <c r="BI327" s="151">
        <v>7626.19</v>
      </c>
      <c r="BJ327" s="143" t="s">
        <v>102</v>
      </c>
      <c r="BK327" s="143"/>
      <c r="BL327" s="143"/>
      <c r="BM327" s="144" t="s">
        <v>3592</v>
      </c>
      <c r="BN327" s="143">
        <v>2022</v>
      </c>
      <c r="BO327" s="144" t="s">
        <v>143</v>
      </c>
      <c r="BP327" s="144">
        <v>2022</v>
      </c>
      <c r="BQ327" s="203" t="s">
        <v>144</v>
      </c>
    </row>
    <row r="328" spans="1:69" ht="41.1" customHeight="1">
      <c r="A328" s="218" t="s">
        <v>1353</v>
      </c>
      <c r="B328" s="218" t="s">
        <v>1446</v>
      </c>
      <c r="C328" s="143">
        <v>600</v>
      </c>
      <c r="D328" s="135">
        <v>44551</v>
      </c>
      <c r="E328" s="135">
        <v>44552</v>
      </c>
      <c r="F328" s="147">
        <v>44558</v>
      </c>
      <c r="G328" s="135"/>
      <c r="H328" s="147">
        <v>44578</v>
      </c>
      <c r="I328" s="147">
        <v>44578</v>
      </c>
      <c r="J328" s="147">
        <v>44582</v>
      </c>
      <c r="K328" s="135">
        <v>44677</v>
      </c>
      <c r="L328" s="135">
        <v>44614</v>
      </c>
      <c r="M328" s="135"/>
      <c r="N328" s="135">
        <v>44679</v>
      </c>
      <c r="O328" s="135">
        <v>44679</v>
      </c>
      <c r="P328" s="135">
        <v>44679</v>
      </c>
      <c r="Q328" s="135"/>
      <c r="R328" s="143"/>
      <c r="S328" s="143"/>
      <c r="T328" s="143"/>
      <c r="U328" s="143">
        <v>2</v>
      </c>
      <c r="V328" s="143">
        <f>32045+47352</f>
        <v>79397</v>
      </c>
      <c r="W328" s="143" t="str">
        <f ca="1">IF(H328="",IF(D328="","",IF(U328+V328&lt;15,"Données Nb pers ou RFR manquantes",IF(COUNTA(INDIRECT("TabRFR["&amp;YEAR(D328)&amp;"]"))&lt;&gt;COUNTA(TabRFR[Recherche RFR]),"Data RFR manquantes", IF(V328&lt;=INDEX(TabRFR[[2021]:[2025]],MATCH(BD!U328&amp;"-Très modestes",TabRFR[Recherche RFR],0),MATCH(TEXT(YEAR(BD!D328),"Standard"),TabRFR[[#Headers],[2021]:[2025]],0)),"Très Modeste",IF(V328&lt;=INDEX(TabRFR[[2021]:[2025]],MATCH(BD!U328&amp;"-modestes",TabRFR[Recherche RFR],0),MATCH(TEXT(YEAR(BD!D328),"Standard"),TabRFR[[#Headers],[2021]:[2025]],0)),"Modeste",IF(V328&lt;=INDEX(TabRFR[[2021]:[2025]],MATCH(BD!U328&amp;"-Intermédiaire",TabRFR[Recherche RFR],0),MATCH(TEXT(YEAR(BD!D328),"Standard"),TabRFR[[#Headers],[2021]:[2025]],0)),"Intermédiaire","Supérieur")))))),IF(D328="","",IF(U328+V328&lt;15,"Données Nb pers ou RFR manquantes",IF(COUNTA(INDIRECT("TabRFR["&amp;YEAR(H328)&amp;"]"))&lt;&gt;COUNTA(TabRFR[Recherche RFR]),"Data RFR manquantes", IF(V328&lt;=INDEX(TabRFR[[2021]:[2025]],MATCH(BD!U328&amp;"-Très modestes",TabRFR[Recherche RFR],0),MATCH(TEXT(YEAR(BD!H328),"Standard"),TabRFR[[#Headers],[2021]:[2025]],0)),"Très Modeste",IF(V328&lt;=INDEX(TabRFR[[2021]:[2025]],MATCH(BD!U328&amp;"-modestes",TabRFR[Recherche RFR],0),MATCH(TEXT(YEAR(BD!H328),"Standard"),TabRFR[[#Headers],[2021]:[2025]],0)),"Modeste",IF(V328&lt;=INDEX(TabRFR[[2021]:[2025]],MATCH(BD!U328&amp;"-Intermédiaire",TabRFR[Recherche RFR],0),MATCH(TEXT(YEAR(BD!H328),"Standard"),TabRFR[[#Headers],[2021]:[2025]],0)),"Intermédiaire","Supérieur")))))))</f>
        <v>Supérieur</v>
      </c>
      <c r="X328" s="143"/>
      <c r="Y328" s="143" t="s">
        <v>1447</v>
      </c>
      <c r="Z328" s="143">
        <v>38500</v>
      </c>
      <c r="AA328" s="143" t="s">
        <v>219</v>
      </c>
      <c r="AB328" s="148"/>
      <c r="AC328" s="149"/>
      <c r="AD328" s="143" t="s">
        <v>91</v>
      </c>
      <c r="AE328" s="143"/>
      <c r="AF328" s="143"/>
      <c r="AG328" s="143"/>
      <c r="AH328" s="143"/>
      <c r="AI328" s="143" t="s">
        <v>109</v>
      </c>
      <c r="AJ328" s="143" t="s">
        <v>108</v>
      </c>
      <c r="AK328" s="143" t="s">
        <v>1448</v>
      </c>
      <c r="AL328" s="150" t="s">
        <v>111</v>
      </c>
      <c r="AM328" s="148" t="s">
        <v>112</v>
      </c>
      <c r="AN328" s="143" t="s">
        <v>1418</v>
      </c>
      <c r="AO328" s="150" t="s">
        <v>144</v>
      </c>
      <c r="AP328" s="147">
        <v>44868</v>
      </c>
      <c r="AQ328" s="135" t="s">
        <v>3449</v>
      </c>
      <c r="AR328" s="143">
        <v>1980</v>
      </c>
      <c r="AS328" s="143" t="s">
        <v>3413</v>
      </c>
      <c r="AT328" s="135" t="s">
        <v>3446</v>
      </c>
      <c r="AU328" s="143" t="s">
        <v>1449</v>
      </c>
      <c r="AV328" s="143" t="s">
        <v>1450</v>
      </c>
      <c r="AW328" s="143">
        <v>15</v>
      </c>
      <c r="AX328" s="143">
        <v>11</v>
      </c>
      <c r="AY328" s="143">
        <v>80</v>
      </c>
      <c r="AZ328" s="143">
        <v>8.7999999999999995E-2</v>
      </c>
      <c r="BA328" s="143" t="s">
        <v>101</v>
      </c>
      <c r="BB328" s="143"/>
      <c r="BC328" s="143">
        <f>2296.44+245+101+89+88+120+90+62+222+47+15</f>
        <v>3375.44</v>
      </c>
      <c r="BD328" s="143"/>
      <c r="BE328" s="143">
        <f>40+420</f>
        <v>460</v>
      </c>
      <c r="BF328" s="143">
        <f t="shared" si="16"/>
        <v>3835.44</v>
      </c>
      <c r="BG328" s="151">
        <f t="shared" si="15"/>
        <v>210.94919999999999</v>
      </c>
      <c r="BH328" s="151">
        <f t="shared" si="17"/>
        <v>4046.3892000000001</v>
      </c>
      <c r="BI328" s="151">
        <v>4046.39</v>
      </c>
      <c r="BJ328" s="143" t="s">
        <v>144</v>
      </c>
      <c r="BK328" s="143"/>
      <c r="BL328" s="143"/>
      <c r="BM328" s="144" t="s">
        <v>3592</v>
      </c>
      <c r="BN328" s="143">
        <v>2022</v>
      </c>
      <c r="BO328" s="144" t="s">
        <v>143</v>
      </c>
      <c r="BP328" s="144">
        <v>2022</v>
      </c>
      <c r="BQ328" s="203" t="s">
        <v>144</v>
      </c>
    </row>
    <row r="329" spans="1:69" ht="41.1" customHeight="1">
      <c r="A329" s="218" t="s">
        <v>1353</v>
      </c>
      <c r="B329" s="218" t="s">
        <v>1451</v>
      </c>
      <c r="C329" s="143">
        <v>600</v>
      </c>
      <c r="D329" s="135">
        <v>44551</v>
      </c>
      <c r="E329" s="135">
        <v>44552</v>
      </c>
      <c r="F329" s="147">
        <v>44558</v>
      </c>
      <c r="G329" s="135"/>
      <c r="H329" s="147">
        <v>44560</v>
      </c>
      <c r="I329" s="147">
        <v>44560</v>
      </c>
      <c r="J329" s="147">
        <v>44565</v>
      </c>
      <c r="K329" s="135">
        <v>44637</v>
      </c>
      <c r="L329" s="135">
        <v>44588</v>
      </c>
      <c r="M329" s="135"/>
      <c r="N329" s="135">
        <v>44650</v>
      </c>
      <c r="O329" s="135">
        <v>44650</v>
      </c>
      <c r="P329" s="135">
        <v>44652</v>
      </c>
      <c r="Q329" s="135"/>
      <c r="R329" s="143"/>
      <c r="S329" s="143"/>
      <c r="T329" s="143"/>
      <c r="U329" s="143">
        <v>1</v>
      </c>
      <c r="V329" s="143">
        <v>32719</v>
      </c>
      <c r="W329" s="143" t="str">
        <f ca="1">IF(H329="",IF(D329="","",IF(U329+V329&lt;15,"Données Nb pers ou RFR manquantes",IF(COUNTA(INDIRECT("TabRFR["&amp;YEAR(D329)&amp;"]"))&lt;&gt;COUNTA(TabRFR[Recherche RFR]),"Data RFR manquantes", IF(V329&lt;=INDEX(TabRFR[[2021]:[2025]],MATCH(BD!U329&amp;"-Très modestes",TabRFR[Recherche RFR],0),MATCH(TEXT(YEAR(BD!D329),"Standard"),TabRFR[[#Headers],[2021]:[2025]],0)),"Très Modeste",IF(V329&lt;=INDEX(TabRFR[[2021]:[2025]],MATCH(BD!U329&amp;"-modestes",TabRFR[Recherche RFR],0),MATCH(TEXT(YEAR(BD!D329),"Standard"),TabRFR[[#Headers],[2021]:[2025]],0)),"Modeste",IF(V329&lt;=INDEX(TabRFR[[2021]:[2025]],MATCH(BD!U329&amp;"-Intermédiaire",TabRFR[Recherche RFR],0),MATCH(TEXT(YEAR(BD!D329),"Standard"),TabRFR[[#Headers],[2021]:[2025]],0)),"Intermédiaire","Supérieur")))))),IF(D329="","",IF(U329+V329&lt;15,"Données Nb pers ou RFR manquantes",IF(COUNTA(INDIRECT("TabRFR["&amp;YEAR(H329)&amp;"]"))&lt;&gt;COUNTA(TabRFR[Recherche RFR]),"Data RFR manquantes", IF(V329&lt;=INDEX(TabRFR[[2021]:[2025]],MATCH(BD!U329&amp;"-Très modestes",TabRFR[Recherche RFR],0),MATCH(TEXT(YEAR(BD!H329),"Standard"),TabRFR[[#Headers],[2021]:[2025]],0)),"Très Modeste",IF(V329&lt;=INDEX(TabRFR[[2021]:[2025]],MATCH(BD!U329&amp;"-modestes",TabRFR[Recherche RFR],0),MATCH(TEXT(YEAR(BD!H329),"Standard"),TabRFR[[#Headers],[2021]:[2025]],0)),"Modeste",IF(V329&lt;=INDEX(TabRFR[[2021]:[2025]],MATCH(BD!U329&amp;"-Intermédiaire",TabRFR[Recherche RFR],0),MATCH(TEXT(YEAR(BD!H329),"Standard"),TabRFR[[#Headers],[2021]:[2025]],0)),"Intermédiaire","Supérieur")))))))</f>
        <v>Supérieur</v>
      </c>
      <c r="X329" s="143"/>
      <c r="Y329" s="143" t="s">
        <v>1452</v>
      </c>
      <c r="Z329" s="143">
        <v>38730</v>
      </c>
      <c r="AA329" s="143" t="s">
        <v>148</v>
      </c>
      <c r="AB329" s="148"/>
      <c r="AC329" s="149"/>
      <c r="AD329" s="143" t="s">
        <v>91</v>
      </c>
      <c r="AE329" s="143"/>
      <c r="AF329" s="143"/>
      <c r="AG329" s="143"/>
      <c r="AH329" s="143"/>
      <c r="AI329" s="143" t="s">
        <v>1106</v>
      </c>
      <c r="AJ329" s="143" t="s">
        <v>1075</v>
      </c>
      <c r="AK329" s="143" t="s">
        <v>1453</v>
      </c>
      <c r="AL329" s="150" t="s">
        <v>1454</v>
      </c>
      <c r="AM329" s="148" t="s">
        <v>1455</v>
      </c>
      <c r="AN329" s="143"/>
      <c r="AO329" s="156" t="s">
        <v>144</v>
      </c>
      <c r="AP329" s="147">
        <v>44731</v>
      </c>
      <c r="AQ329" s="135" t="s">
        <v>3496</v>
      </c>
      <c r="AR329" s="143">
        <v>1980</v>
      </c>
      <c r="AS329" s="143" t="s">
        <v>3413</v>
      </c>
      <c r="AT329" s="143" t="s">
        <v>98</v>
      </c>
      <c r="AU329" s="143" t="s">
        <v>1456</v>
      </c>
      <c r="AV329" s="143" t="s">
        <v>1456</v>
      </c>
      <c r="AW329" s="151">
        <v>15</v>
      </c>
      <c r="AX329" s="151">
        <v>8</v>
      </c>
      <c r="AY329" s="151">
        <v>90.9</v>
      </c>
      <c r="AZ329" s="151">
        <v>0.01</v>
      </c>
      <c r="BA329" s="151" t="s">
        <v>101</v>
      </c>
      <c r="BB329" s="143"/>
      <c r="BC329" s="151">
        <f>3517.47+325+947.52+167+325+37.97+225</f>
        <v>5544.96</v>
      </c>
      <c r="BD329" s="143"/>
      <c r="BE329" s="151">
        <f>500+285</f>
        <v>785</v>
      </c>
      <c r="BF329" s="151">
        <f t="shared" si="16"/>
        <v>6329.96</v>
      </c>
      <c r="BG329" s="151">
        <f t="shared" si="15"/>
        <v>348.14780000000002</v>
      </c>
      <c r="BH329" s="151">
        <f t="shared" si="17"/>
        <v>6678.1077999999998</v>
      </c>
      <c r="BI329" s="151">
        <v>6189</v>
      </c>
      <c r="BJ329" s="143" t="s">
        <v>144</v>
      </c>
      <c r="BK329" s="143"/>
      <c r="BL329" s="143"/>
      <c r="BM329" s="144" t="s">
        <v>3592</v>
      </c>
      <c r="BN329" s="144" t="s">
        <v>103</v>
      </c>
      <c r="BO329" s="144" t="s">
        <v>143</v>
      </c>
      <c r="BP329" s="143" t="s">
        <v>3583</v>
      </c>
      <c r="BQ329" s="203" t="s">
        <v>144</v>
      </c>
    </row>
    <row r="330" spans="1:69" ht="41.1" customHeight="1">
      <c r="A330" s="218" t="s">
        <v>1353</v>
      </c>
      <c r="B330" s="218" t="s">
        <v>1457</v>
      </c>
      <c r="C330" s="143">
        <v>600</v>
      </c>
      <c r="D330" s="135">
        <v>44551</v>
      </c>
      <c r="E330" s="135">
        <v>44552</v>
      </c>
      <c r="F330" s="147">
        <v>44558</v>
      </c>
      <c r="G330" s="135" t="s">
        <v>76</v>
      </c>
      <c r="H330" s="147">
        <v>44566</v>
      </c>
      <c r="I330" s="147">
        <v>44566</v>
      </c>
      <c r="J330" s="147">
        <v>44572</v>
      </c>
      <c r="K330" s="135">
        <v>44623</v>
      </c>
      <c r="L330" s="135">
        <v>44592</v>
      </c>
      <c r="M330" s="135" t="s">
        <v>76</v>
      </c>
      <c r="N330" s="135">
        <v>44630</v>
      </c>
      <c r="O330" s="135">
        <v>44630</v>
      </c>
      <c r="P330" s="135">
        <v>44630</v>
      </c>
      <c r="Q330" s="135"/>
      <c r="R330" s="143"/>
      <c r="S330" s="143"/>
      <c r="T330" s="143"/>
      <c r="U330" s="143">
        <v>2</v>
      </c>
      <c r="V330" s="143">
        <v>30234</v>
      </c>
      <c r="W330" s="143" t="str">
        <f ca="1">IF(H330="",IF(D330="","",IF(U330+V330&lt;15,"Données Nb pers ou RFR manquantes",IF(COUNTA(INDIRECT("TabRFR["&amp;YEAR(D330)&amp;"]"))&lt;&gt;COUNTA(TabRFR[Recherche RFR]),"Data RFR manquantes", IF(V330&lt;=INDEX(TabRFR[[2021]:[2025]],MATCH(BD!U330&amp;"-Très modestes",TabRFR[Recherche RFR],0),MATCH(TEXT(YEAR(BD!D330),"Standard"),TabRFR[[#Headers],[2021]:[2025]],0)),"Très Modeste",IF(V330&lt;=INDEX(TabRFR[[2021]:[2025]],MATCH(BD!U330&amp;"-modestes",TabRFR[Recherche RFR],0),MATCH(TEXT(YEAR(BD!D330),"Standard"),TabRFR[[#Headers],[2021]:[2025]],0)),"Modeste",IF(V330&lt;=INDEX(TabRFR[[2021]:[2025]],MATCH(BD!U330&amp;"-Intermédiaire",TabRFR[Recherche RFR],0),MATCH(TEXT(YEAR(BD!D330),"Standard"),TabRFR[[#Headers],[2021]:[2025]],0)),"Intermédiaire","Supérieur")))))),IF(D330="","",IF(U330+V330&lt;15,"Données Nb pers ou RFR manquantes",IF(COUNTA(INDIRECT("TabRFR["&amp;YEAR(H330)&amp;"]"))&lt;&gt;COUNTA(TabRFR[Recherche RFR]),"Data RFR manquantes", IF(V330&lt;=INDEX(TabRFR[[2021]:[2025]],MATCH(BD!U330&amp;"-Très modestes",TabRFR[Recherche RFR],0),MATCH(TEXT(YEAR(BD!H330),"Standard"),TabRFR[[#Headers],[2021]:[2025]],0)),"Très Modeste",IF(V330&lt;=INDEX(TabRFR[[2021]:[2025]],MATCH(BD!U330&amp;"-modestes",TabRFR[Recherche RFR],0),MATCH(TEXT(YEAR(BD!H330),"Standard"),TabRFR[[#Headers],[2021]:[2025]],0)),"Modeste",IF(V330&lt;=INDEX(TabRFR[[2021]:[2025]],MATCH(BD!U330&amp;"-Intermédiaire",TabRFR[Recherche RFR],0),MATCH(TEXT(YEAR(BD!H330),"Standard"),TabRFR[[#Headers],[2021]:[2025]],0)),"Intermédiaire","Supérieur")))))))</f>
        <v>Intermédiaire</v>
      </c>
      <c r="X330" s="143"/>
      <c r="Y330" s="143" t="s">
        <v>1458</v>
      </c>
      <c r="Z330" s="143">
        <v>38620</v>
      </c>
      <c r="AA330" s="143" t="s">
        <v>680</v>
      </c>
      <c r="AB330" s="148"/>
      <c r="AC330" s="149"/>
      <c r="AD330" s="143" t="s">
        <v>91</v>
      </c>
      <c r="AE330" s="143"/>
      <c r="AF330" s="143"/>
      <c r="AG330" s="143"/>
      <c r="AH330" s="143"/>
      <c r="AI330" s="143" t="s">
        <v>92</v>
      </c>
      <c r="AJ330" s="143" t="s">
        <v>93</v>
      </c>
      <c r="AK330" s="143" t="s">
        <v>1459</v>
      </c>
      <c r="AL330" s="150" t="s">
        <v>95</v>
      </c>
      <c r="AM330" s="148" t="s">
        <v>96</v>
      </c>
      <c r="AN330" s="143"/>
      <c r="AO330" s="156" t="s">
        <v>144</v>
      </c>
      <c r="AP330" s="147">
        <v>44821</v>
      </c>
      <c r="AQ330" s="135" t="s">
        <v>3323</v>
      </c>
      <c r="AR330" s="143">
        <v>1994</v>
      </c>
      <c r="AS330" s="143" t="s">
        <v>3413</v>
      </c>
      <c r="AT330" s="143" t="s">
        <v>98</v>
      </c>
      <c r="AU330" s="143" t="s">
        <v>99</v>
      </c>
      <c r="AV330" s="143" t="s">
        <v>1460</v>
      </c>
      <c r="AW330" s="143">
        <v>15</v>
      </c>
      <c r="AX330" s="143">
        <v>9</v>
      </c>
      <c r="AY330" s="143">
        <v>91</v>
      </c>
      <c r="AZ330" s="143">
        <v>3.0000000000000001E-3</v>
      </c>
      <c r="BA330" s="143" t="s">
        <v>101</v>
      </c>
      <c r="BB330" s="143"/>
      <c r="BC330" s="143">
        <f>2890+695+285.5+163+148</f>
        <v>4181.5</v>
      </c>
      <c r="BD330" s="143"/>
      <c r="BE330" s="143">
        <f>790</f>
        <v>790</v>
      </c>
      <c r="BF330" s="143">
        <f t="shared" si="16"/>
        <v>4971.5</v>
      </c>
      <c r="BG330" s="151">
        <f t="shared" si="15"/>
        <v>273.4325</v>
      </c>
      <c r="BH330" s="151">
        <f t="shared" si="17"/>
        <v>5244.9324999999999</v>
      </c>
      <c r="BI330" s="151">
        <v>5244.93</v>
      </c>
      <c r="BJ330" s="143" t="s">
        <v>144</v>
      </c>
      <c r="BK330" s="143"/>
      <c r="BL330" s="143"/>
      <c r="BM330" s="144" t="s">
        <v>3592</v>
      </c>
      <c r="BN330" s="143">
        <v>2022</v>
      </c>
      <c r="BO330" s="144" t="s">
        <v>143</v>
      </c>
      <c r="BP330" s="143" t="s">
        <v>3583</v>
      </c>
      <c r="BQ330" s="203" t="s">
        <v>144</v>
      </c>
    </row>
    <row r="331" spans="1:69" ht="41.1" customHeight="1">
      <c r="A331" s="145" t="s">
        <v>1353</v>
      </c>
      <c r="B331" s="145" t="s">
        <v>1461</v>
      </c>
      <c r="C331" s="146" t="s">
        <v>76</v>
      </c>
      <c r="D331" s="135">
        <v>44550</v>
      </c>
      <c r="E331" s="135">
        <v>44560</v>
      </c>
      <c r="F331" s="147"/>
      <c r="G331" s="135"/>
      <c r="H331" s="147"/>
      <c r="I331" s="147"/>
      <c r="J331" s="147"/>
      <c r="K331" s="135"/>
      <c r="L331" s="135"/>
      <c r="M331" s="135"/>
      <c r="N331" s="135"/>
      <c r="O331" s="135"/>
      <c r="P331" s="135"/>
      <c r="Q331" s="135">
        <v>44560</v>
      </c>
      <c r="R331" s="143" t="s">
        <v>1462</v>
      </c>
      <c r="S331" s="143"/>
      <c r="T331" s="143"/>
      <c r="U331" s="143">
        <v>2</v>
      </c>
      <c r="V331" s="143">
        <v>19476</v>
      </c>
      <c r="W331" s="143" t="str">
        <f ca="1">IF(H331="",IF(D331="","",IF(U331+V331&lt;15,"Données Nb pers ou RFR manquantes",IF(COUNTA(INDIRECT("TabRFR["&amp;YEAR(D331)&amp;"]"))&lt;&gt;COUNTA(TabRFR[Recherche RFR]),"Data RFR manquantes", IF(V331&lt;=INDEX(TabRFR[[2021]:[2025]],MATCH(BD!U331&amp;"-Très modestes",TabRFR[Recherche RFR],0),MATCH(TEXT(YEAR(BD!D331),"Standard"),TabRFR[[#Headers],[2021]:[2025]],0)),"Très Modeste",IF(V331&lt;=INDEX(TabRFR[[2021]:[2025]],MATCH(BD!U331&amp;"-modestes",TabRFR[Recherche RFR],0),MATCH(TEXT(YEAR(BD!D331),"Standard"),TabRFR[[#Headers],[2021]:[2025]],0)),"Modeste",IF(V331&lt;=INDEX(TabRFR[[2021]:[2025]],MATCH(BD!U331&amp;"-Intermédiaire",TabRFR[Recherche RFR],0),MATCH(TEXT(YEAR(BD!D331),"Standard"),TabRFR[[#Headers],[2021]:[2025]],0)),"Intermédiaire","Supérieur")))))),IF(D331="","",IF(U331+V331&lt;15,"Données Nb pers ou RFR manquantes",IF(COUNTA(INDIRECT("TabRFR["&amp;YEAR(H331)&amp;"]"))&lt;&gt;COUNTA(TabRFR[Recherche RFR]),"Data RFR manquantes", IF(V331&lt;=INDEX(TabRFR[[2021]:[2025]],MATCH(BD!U331&amp;"-Très modestes",TabRFR[Recherche RFR],0),MATCH(TEXT(YEAR(BD!H331),"Standard"),TabRFR[[#Headers],[2021]:[2025]],0)),"Très Modeste",IF(V331&lt;=INDEX(TabRFR[[2021]:[2025]],MATCH(BD!U331&amp;"-modestes",TabRFR[Recherche RFR],0),MATCH(TEXT(YEAR(BD!H331),"Standard"),TabRFR[[#Headers],[2021]:[2025]],0)),"Modeste",IF(V331&lt;=INDEX(TabRFR[[2021]:[2025]],MATCH(BD!U331&amp;"-Intermédiaire",TabRFR[Recherche RFR],0),MATCH(TEXT(YEAR(BD!H331),"Standard"),TabRFR[[#Headers],[2021]:[2025]],0)),"Intermédiaire","Supérieur")))))))</f>
        <v>Très Modeste</v>
      </c>
      <c r="X331" s="143"/>
      <c r="Y331" s="143" t="s">
        <v>1463</v>
      </c>
      <c r="Z331" s="143">
        <v>38210</v>
      </c>
      <c r="AA331" s="143" t="s">
        <v>202</v>
      </c>
      <c r="AB331" s="148"/>
      <c r="AC331" s="149"/>
      <c r="AD331" s="143" t="s">
        <v>91</v>
      </c>
      <c r="AE331" s="143"/>
      <c r="AF331" s="143"/>
      <c r="AG331" s="143"/>
      <c r="AH331" s="143"/>
      <c r="AI331" s="143"/>
      <c r="AJ331" s="143"/>
      <c r="AK331" s="143"/>
      <c r="AL331" s="149"/>
      <c r="AM331" s="148"/>
      <c r="AN331" s="143"/>
      <c r="AO331" s="164"/>
      <c r="AP331" s="147"/>
      <c r="AQ331" s="143"/>
      <c r="AR331" s="143"/>
      <c r="AS331" s="143"/>
      <c r="AT331" s="143"/>
      <c r="AU331" s="143"/>
      <c r="AV331" s="143"/>
      <c r="AW331" s="143"/>
      <c r="AX331" s="143"/>
      <c r="AY331" s="143"/>
      <c r="AZ331" s="143"/>
      <c r="BA331" s="143"/>
      <c r="BB331" s="143"/>
      <c r="BC331" s="143"/>
      <c r="BD331" s="143"/>
      <c r="BE331" s="143"/>
      <c r="BF331" s="143">
        <f t="shared" si="16"/>
        <v>0</v>
      </c>
      <c r="BG331" s="151">
        <f t="shared" si="15"/>
        <v>0</v>
      </c>
      <c r="BH331" s="151">
        <f t="shared" si="17"/>
        <v>0</v>
      </c>
      <c r="BI331" s="151"/>
      <c r="BJ331" s="143"/>
      <c r="BK331" s="143"/>
      <c r="BL331" s="143"/>
      <c r="BM331" s="144">
        <v>0</v>
      </c>
      <c r="BN331" s="144" t="s">
        <v>103</v>
      </c>
      <c r="BO331" s="144" t="s">
        <v>103</v>
      </c>
      <c r="BP331" s="203" t="s">
        <v>3582</v>
      </c>
      <c r="BQ331" s="203" t="s">
        <v>3273</v>
      </c>
    </row>
    <row r="332" spans="1:69" ht="41.1" customHeight="1">
      <c r="A332" s="145" t="s">
        <v>1353</v>
      </c>
      <c r="B332" s="145" t="s">
        <v>1464</v>
      </c>
      <c r="C332" s="143" t="s">
        <v>76</v>
      </c>
      <c r="D332" s="135">
        <v>44553</v>
      </c>
      <c r="E332" s="135">
        <v>44560</v>
      </c>
      <c r="F332" s="147">
        <v>44560</v>
      </c>
      <c r="G332" s="135" t="s">
        <v>1465</v>
      </c>
      <c r="H332" s="147" t="s">
        <v>76</v>
      </c>
      <c r="I332" s="147" t="s">
        <v>76</v>
      </c>
      <c r="J332" s="147" t="s">
        <v>76</v>
      </c>
      <c r="K332" s="135" t="s">
        <v>76</v>
      </c>
      <c r="L332" s="135" t="s">
        <v>76</v>
      </c>
      <c r="M332" s="135" t="s">
        <v>76</v>
      </c>
      <c r="N332" s="135" t="s">
        <v>76</v>
      </c>
      <c r="O332" s="135" t="s">
        <v>76</v>
      </c>
      <c r="P332" s="135" t="s">
        <v>76</v>
      </c>
      <c r="Q332" s="135">
        <v>44662</v>
      </c>
      <c r="R332" s="143" t="s">
        <v>1466</v>
      </c>
      <c r="S332" s="143"/>
      <c r="T332" s="143"/>
      <c r="U332" s="143">
        <v>4</v>
      </c>
      <c r="V332" s="143">
        <v>56750</v>
      </c>
      <c r="W332" s="143" t="str">
        <f ca="1">IF(H332="",IF(D332="","",IF(U332+V332&lt;15,"Données Nb pers ou RFR manquantes",IF(COUNTA(INDIRECT("TabRFR["&amp;YEAR(D332)&amp;"]"))&lt;&gt;COUNTA(TabRFR[Recherche RFR]),"Data RFR manquantes", IF(V332&lt;=INDEX(TabRFR[[2021]:[2025]],MATCH(BD!U332&amp;"-Très modestes",TabRFR[Recherche RFR],0),MATCH(TEXT(YEAR(BD!D332),"Standard"),TabRFR[[#Headers],[2021]:[2025]],0)),"Très Modeste",IF(V332&lt;=INDEX(TabRFR[[2021]:[2025]],MATCH(BD!U332&amp;"-modestes",TabRFR[Recherche RFR],0),MATCH(TEXT(YEAR(BD!D332),"Standard"),TabRFR[[#Headers],[2021]:[2025]],0)),"Modeste",IF(V332&lt;=INDEX(TabRFR[[2021]:[2025]],MATCH(BD!U332&amp;"-Intermédiaire",TabRFR[Recherche RFR],0),MATCH(TEXT(YEAR(BD!D332),"Standard"),TabRFR[[#Headers],[2021]:[2025]],0)),"Intermédiaire","Supérieur")))))),IF(D332="","",IF(U332+V332&lt;15,"Données Nb pers ou RFR manquantes",IF(COUNTA(INDIRECT("TabRFR["&amp;YEAR(H332)&amp;"]"))&lt;&gt;COUNTA(TabRFR[Recherche RFR]),"Data RFR manquantes", IF(V332&lt;=INDEX(TabRFR[[2021]:[2025]],MATCH(BD!U332&amp;"-Très modestes",TabRFR[Recherche RFR],0),MATCH(TEXT(YEAR(BD!H332),"Standard"),TabRFR[[#Headers],[2021]:[2025]],0)),"Très Modeste",IF(V332&lt;=INDEX(TabRFR[[2021]:[2025]],MATCH(BD!U332&amp;"-modestes",TabRFR[Recherche RFR],0),MATCH(TEXT(YEAR(BD!H332),"Standard"),TabRFR[[#Headers],[2021]:[2025]],0)),"Modeste",IF(V332&lt;=INDEX(TabRFR[[2021]:[2025]],MATCH(BD!U332&amp;"-Intermédiaire",TabRFR[Recherche RFR],0),MATCH(TEXT(YEAR(BD!H332),"Standard"),TabRFR[[#Headers],[2021]:[2025]],0)),"Intermédiaire","Supérieur")))))))</f>
        <v>Data RFR manquantes</v>
      </c>
      <c r="X332" s="143"/>
      <c r="Y332" s="143" t="s">
        <v>1467</v>
      </c>
      <c r="Z332" s="143">
        <v>38500</v>
      </c>
      <c r="AA332" s="143" t="s">
        <v>134</v>
      </c>
      <c r="AB332" s="148"/>
      <c r="AC332" s="149"/>
      <c r="AD332" s="143" t="s">
        <v>91</v>
      </c>
      <c r="AE332" s="143"/>
      <c r="AF332" s="143"/>
      <c r="AG332" s="143"/>
      <c r="AH332" s="143"/>
      <c r="AI332" s="143" t="s">
        <v>120</v>
      </c>
      <c r="AJ332" s="143" t="s">
        <v>121</v>
      </c>
      <c r="AK332" s="143" t="s">
        <v>1468</v>
      </c>
      <c r="AL332" s="150" t="s">
        <v>123</v>
      </c>
      <c r="AM332" s="148" t="s">
        <v>1469</v>
      </c>
      <c r="AN332" s="143"/>
      <c r="AO332" s="156" t="s">
        <v>144</v>
      </c>
      <c r="AP332" s="147">
        <v>44782</v>
      </c>
      <c r="AQ332" s="135" t="s">
        <v>3449</v>
      </c>
      <c r="AR332" s="143">
        <v>1990</v>
      </c>
      <c r="AS332" s="143" t="s">
        <v>3413</v>
      </c>
      <c r="AT332" s="135" t="s">
        <v>3446</v>
      </c>
      <c r="AU332" s="143" t="s">
        <v>1470</v>
      </c>
      <c r="AV332" s="143" t="s">
        <v>1471</v>
      </c>
      <c r="AW332" s="143">
        <v>26</v>
      </c>
      <c r="AX332" s="143">
        <v>6.2</v>
      </c>
      <c r="AY332" s="143">
        <v>79</v>
      </c>
      <c r="AZ332" s="143">
        <v>0.08</v>
      </c>
      <c r="BA332" s="143" t="s">
        <v>101</v>
      </c>
      <c r="BB332" s="143"/>
      <c r="BC332" s="143">
        <f>3024.64+1004.74+278.67+291+345.97+42.65+33.18+70.14+188.63+209.48+211.37</f>
        <v>5700.47</v>
      </c>
      <c r="BD332" s="143"/>
      <c r="BE332" s="143">
        <f>949.76</f>
        <v>949.76</v>
      </c>
      <c r="BF332" s="143">
        <f t="shared" si="16"/>
        <v>6650.2300000000005</v>
      </c>
      <c r="BG332" s="151">
        <f t="shared" si="15"/>
        <v>365.76265000000001</v>
      </c>
      <c r="BH332" s="151">
        <v>7016</v>
      </c>
      <c r="BI332" s="151"/>
      <c r="BJ332" s="143" t="s">
        <v>1391</v>
      </c>
      <c r="BK332" s="143"/>
      <c r="BL332" s="143"/>
      <c r="BM332" s="144">
        <v>0</v>
      </c>
      <c r="BN332" s="144" t="s">
        <v>103</v>
      </c>
      <c r="BO332" s="144" t="s">
        <v>103</v>
      </c>
      <c r="BP332" s="203" t="s">
        <v>3582</v>
      </c>
      <c r="BQ332" s="203" t="s">
        <v>3273</v>
      </c>
    </row>
    <row r="333" spans="1:69" ht="41.1" customHeight="1">
      <c r="A333" s="218" t="s">
        <v>1353</v>
      </c>
      <c r="B333" s="218" t="s">
        <v>1472</v>
      </c>
      <c r="C333" s="143">
        <v>600</v>
      </c>
      <c r="D333" s="135">
        <v>44560</v>
      </c>
      <c r="E333" s="135">
        <v>44560</v>
      </c>
      <c r="F333" s="147"/>
      <c r="G333" s="135"/>
      <c r="H333" s="147">
        <v>44560</v>
      </c>
      <c r="I333" s="147">
        <v>44560</v>
      </c>
      <c r="J333" s="147">
        <v>44565</v>
      </c>
      <c r="K333" s="135">
        <v>44657</v>
      </c>
      <c r="L333" s="135"/>
      <c r="M333" s="135" t="s">
        <v>1473</v>
      </c>
      <c r="N333" s="135">
        <v>44677</v>
      </c>
      <c r="O333" s="135">
        <v>44677</v>
      </c>
      <c r="P333" s="135">
        <v>44677</v>
      </c>
      <c r="Q333" s="135"/>
      <c r="R333" s="143"/>
      <c r="S333" s="143"/>
      <c r="T333" s="143"/>
      <c r="U333" s="143">
        <v>3</v>
      </c>
      <c r="V333" s="143">
        <v>43258</v>
      </c>
      <c r="W333" s="143" t="str">
        <f ca="1">IF(H333="",IF(D333="","",IF(U333+V333&lt;15,"Données Nb pers ou RFR manquantes",IF(COUNTA(INDIRECT("TabRFR["&amp;YEAR(D333)&amp;"]"))&lt;&gt;COUNTA(TabRFR[Recherche RFR]),"Data RFR manquantes", IF(V333&lt;=INDEX(TabRFR[[2021]:[2025]],MATCH(BD!U333&amp;"-Très modestes",TabRFR[Recherche RFR],0),MATCH(TEXT(YEAR(BD!D333),"Standard"),TabRFR[[#Headers],[2021]:[2025]],0)),"Très Modeste",IF(V333&lt;=INDEX(TabRFR[[2021]:[2025]],MATCH(BD!U333&amp;"-modestes",TabRFR[Recherche RFR],0),MATCH(TEXT(YEAR(BD!D333),"Standard"),TabRFR[[#Headers],[2021]:[2025]],0)),"Modeste",IF(V333&lt;=INDEX(TabRFR[[2021]:[2025]],MATCH(BD!U333&amp;"-Intermédiaire",TabRFR[Recherche RFR],0),MATCH(TEXT(YEAR(BD!D333),"Standard"),TabRFR[[#Headers],[2021]:[2025]],0)),"Intermédiaire","Supérieur")))))),IF(D333="","",IF(U333+V333&lt;15,"Données Nb pers ou RFR manquantes",IF(COUNTA(INDIRECT("TabRFR["&amp;YEAR(H333)&amp;"]"))&lt;&gt;COUNTA(TabRFR[Recherche RFR]),"Data RFR manquantes", IF(V333&lt;=INDEX(TabRFR[[2021]:[2025]],MATCH(BD!U333&amp;"-Très modestes",TabRFR[Recherche RFR],0),MATCH(TEXT(YEAR(BD!H333),"Standard"),TabRFR[[#Headers],[2021]:[2025]],0)),"Très Modeste",IF(V333&lt;=INDEX(TabRFR[[2021]:[2025]],MATCH(BD!U333&amp;"-modestes",TabRFR[Recherche RFR],0),MATCH(TEXT(YEAR(BD!H333),"Standard"),TabRFR[[#Headers],[2021]:[2025]],0)),"Modeste",IF(V333&lt;=INDEX(TabRFR[[2021]:[2025]],MATCH(BD!U333&amp;"-Intermédiaire",TabRFR[Recherche RFR],0),MATCH(TEXT(YEAR(BD!H333),"Standard"),TabRFR[[#Headers],[2021]:[2025]],0)),"Intermédiaire","Supérieur")))))))</f>
        <v>Intermédiaire</v>
      </c>
      <c r="X333" s="143"/>
      <c r="Y333" s="143" t="s">
        <v>1474</v>
      </c>
      <c r="Z333" s="143">
        <v>38620</v>
      </c>
      <c r="AA333" s="143" t="s">
        <v>1239</v>
      </c>
      <c r="AB333" s="148"/>
      <c r="AC333" s="149"/>
      <c r="AD333" s="143" t="s">
        <v>91</v>
      </c>
      <c r="AE333" s="143"/>
      <c r="AF333" s="143"/>
      <c r="AG333" s="143"/>
      <c r="AH333" s="143"/>
      <c r="AI333" s="143" t="s">
        <v>185</v>
      </c>
      <c r="AJ333" s="143" t="s">
        <v>1394</v>
      </c>
      <c r="AK333" s="143" t="s">
        <v>689</v>
      </c>
      <c r="AL333" s="150" t="s">
        <v>187</v>
      </c>
      <c r="AM333" s="148" t="s">
        <v>1395</v>
      </c>
      <c r="AN333" s="143"/>
      <c r="AO333" s="159" t="s">
        <v>144</v>
      </c>
      <c r="AP333" s="147">
        <v>44798</v>
      </c>
      <c r="AQ333" s="135" t="s">
        <v>3496</v>
      </c>
      <c r="AR333" s="143">
        <v>2001</v>
      </c>
      <c r="AS333" s="143" t="s">
        <v>3413</v>
      </c>
      <c r="AT333" s="138" t="s">
        <v>98</v>
      </c>
      <c r="AU333" s="143" t="s">
        <v>188</v>
      </c>
      <c r="AV333" s="143" t="s">
        <v>1475</v>
      </c>
      <c r="AW333" s="143">
        <v>20</v>
      </c>
      <c r="AX333" s="143">
        <v>7.9</v>
      </c>
      <c r="AY333" s="143">
        <v>89</v>
      </c>
      <c r="AZ333" s="143">
        <v>1.7999999999999999E-2</v>
      </c>
      <c r="BA333" s="143" t="s">
        <v>101</v>
      </c>
      <c r="BB333" s="143"/>
      <c r="BC333" s="143">
        <f>6250+269+1699+35</f>
        <v>8253</v>
      </c>
      <c r="BD333" s="143"/>
      <c r="BE333" s="143">
        <v>870</v>
      </c>
      <c r="BF333" s="143">
        <f t="shared" si="16"/>
        <v>9123</v>
      </c>
      <c r="BG333" s="151">
        <f t="shared" si="15"/>
        <v>501.76499999999999</v>
      </c>
      <c r="BH333" s="151">
        <f t="shared" ref="BH333:BH344" si="18">BF333+BG333</f>
        <v>9624.7649999999994</v>
      </c>
      <c r="BI333" s="151">
        <v>8965.39</v>
      </c>
      <c r="BJ333" s="143" t="s">
        <v>1391</v>
      </c>
      <c r="BK333" s="143"/>
      <c r="BL333" s="143"/>
      <c r="BM333" s="144" t="s">
        <v>3592</v>
      </c>
      <c r="BN333" s="144" t="s">
        <v>103</v>
      </c>
      <c r="BO333" s="144" t="s">
        <v>143</v>
      </c>
      <c r="BP333" s="143" t="s">
        <v>3583</v>
      </c>
      <c r="BQ333" s="203" t="s">
        <v>3274</v>
      </c>
    </row>
    <row r="334" spans="1:69" ht="41.1" customHeight="1">
      <c r="A334" s="218" t="s">
        <v>1353</v>
      </c>
      <c r="B334" s="218" t="s">
        <v>1476</v>
      </c>
      <c r="C334" s="143">
        <v>1000</v>
      </c>
      <c r="D334" s="135">
        <v>44560</v>
      </c>
      <c r="E334" s="135">
        <v>44566</v>
      </c>
      <c r="F334" s="147">
        <v>44560</v>
      </c>
      <c r="G334" s="135"/>
      <c r="H334" s="147">
        <v>44566</v>
      </c>
      <c r="I334" s="147">
        <v>44566</v>
      </c>
      <c r="J334" s="147">
        <v>44572</v>
      </c>
      <c r="K334" s="135">
        <v>44662</v>
      </c>
      <c r="L334" s="135">
        <v>44645</v>
      </c>
      <c r="M334" s="135"/>
      <c r="N334" s="135">
        <v>44665</v>
      </c>
      <c r="O334" s="135">
        <v>44665</v>
      </c>
      <c r="P334" s="135">
        <v>44666</v>
      </c>
      <c r="Q334" s="135"/>
      <c r="R334" s="143"/>
      <c r="S334" s="143"/>
      <c r="T334" s="143"/>
      <c r="U334" s="143">
        <v>1</v>
      </c>
      <c r="V334" s="143">
        <v>3150</v>
      </c>
      <c r="W334" s="143" t="str">
        <f ca="1">IF(H334="",IF(D334="","",IF(U334+V334&lt;15,"Données Nb pers ou RFR manquantes",IF(COUNTA(INDIRECT("TabRFR["&amp;YEAR(D334)&amp;"]"))&lt;&gt;COUNTA(TabRFR[Recherche RFR]),"Data RFR manquantes", IF(V334&lt;=INDEX(TabRFR[[2021]:[2025]],MATCH(BD!U334&amp;"-Très modestes",TabRFR[Recherche RFR],0),MATCH(TEXT(YEAR(BD!D334),"Standard"),TabRFR[[#Headers],[2021]:[2025]],0)),"Très Modeste",IF(V334&lt;=INDEX(TabRFR[[2021]:[2025]],MATCH(BD!U334&amp;"-modestes",TabRFR[Recherche RFR],0),MATCH(TEXT(YEAR(BD!D334),"Standard"),TabRFR[[#Headers],[2021]:[2025]],0)),"Modeste",IF(V334&lt;=INDEX(TabRFR[[2021]:[2025]],MATCH(BD!U334&amp;"-Intermédiaire",TabRFR[Recherche RFR],0),MATCH(TEXT(YEAR(BD!D334),"Standard"),TabRFR[[#Headers],[2021]:[2025]],0)),"Intermédiaire","Supérieur")))))),IF(D334="","",IF(U334+V334&lt;15,"Données Nb pers ou RFR manquantes",IF(COUNTA(INDIRECT("TabRFR["&amp;YEAR(H334)&amp;"]"))&lt;&gt;COUNTA(TabRFR[Recherche RFR]),"Data RFR manquantes", IF(V334&lt;=INDEX(TabRFR[[2021]:[2025]],MATCH(BD!U334&amp;"-Très modestes",TabRFR[Recherche RFR],0),MATCH(TEXT(YEAR(BD!H334),"Standard"),TabRFR[[#Headers],[2021]:[2025]],0)),"Très Modeste",IF(V334&lt;=INDEX(TabRFR[[2021]:[2025]],MATCH(BD!U334&amp;"-modestes",TabRFR[Recherche RFR],0),MATCH(TEXT(YEAR(BD!H334),"Standard"),TabRFR[[#Headers],[2021]:[2025]],0)),"Modeste",IF(V334&lt;=INDEX(TabRFR[[2021]:[2025]],MATCH(BD!U334&amp;"-Intermédiaire",TabRFR[Recherche RFR],0),MATCH(TEXT(YEAR(BD!H334),"Standard"),TabRFR[[#Headers],[2021]:[2025]],0)),"Intermédiaire","Supérieur")))))))</f>
        <v>Très Modeste</v>
      </c>
      <c r="X334" s="143"/>
      <c r="Y334" s="143" t="s">
        <v>1477</v>
      </c>
      <c r="Z334" s="143">
        <v>38210</v>
      </c>
      <c r="AA334" s="143" t="s">
        <v>202</v>
      </c>
      <c r="AB334" s="148"/>
      <c r="AC334" s="149"/>
      <c r="AD334" s="143" t="s">
        <v>91</v>
      </c>
      <c r="AE334" s="143"/>
      <c r="AF334" s="143"/>
      <c r="AG334" s="143"/>
      <c r="AH334" s="143"/>
      <c r="AI334" s="143" t="s">
        <v>185</v>
      </c>
      <c r="AJ334" s="143" t="s">
        <v>1394</v>
      </c>
      <c r="AK334" s="143" t="s">
        <v>689</v>
      </c>
      <c r="AL334" s="150" t="s">
        <v>187</v>
      </c>
      <c r="AM334" s="148" t="s">
        <v>1395</v>
      </c>
      <c r="AN334" s="143"/>
      <c r="AO334" s="156" t="s">
        <v>144</v>
      </c>
      <c r="AP334" s="147">
        <v>44798</v>
      </c>
      <c r="AQ334" s="135" t="s">
        <v>3496</v>
      </c>
      <c r="AR334" s="143">
        <v>1985</v>
      </c>
      <c r="AS334" s="143" t="s">
        <v>3413</v>
      </c>
      <c r="AT334" s="143" t="s">
        <v>98</v>
      </c>
      <c r="AU334" s="143" t="s">
        <v>188</v>
      </c>
      <c r="AV334" s="143" t="s">
        <v>1478</v>
      </c>
      <c r="AW334" s="143">
        <v>20</v>
      </c>
      <c r="AX334" s="143">
        <v>8.3000000000000007</v>
      </c>
      <c r="AY334" s="143">
        <v>89</v>
      </c>
      <c r="AZ334" s="143">
        <v>1.7999999999999999E-2</v>
      </c>
      <c r="BA334" s="143" t="s">
        <v>101</v>
      </c>
      <c r="BB334" s="143"/>
      <c r="BC334" s="143">
        <f>5190+269+404+271.35+267+269.9</f>
        <v>6671.25</v>
      </c>
      <c r="BD334" s="143"/>
      <c r="BE334" s="143">
        <v>630</v>
      </c>
      <c r="BF334" s="143">
        <f t="shared" si="16"/>
        <v>7301.25</v>
      </c>
      <c r="BG334" s="151">
        <f t="shared" si="15"/>
        <v>401.56875000000002</v>
      </c>
      <c r="BH334" s="151">
        <f t="shared" si="18"/>
        <v>7702.8187500000004</v>
      </c>
      <c r="BI334" s="151">
        <v>6700</v>
      </c>
      <c r="BJ334" s="143" t="s">
        <v>144</v>
      </c>
      <c r="BK334" s="143"/>
      <c r="BL334" s="143"/>
      <c r="BM334" s="144" t="s">
        <v>3592</v>
      </c>
      <c r="BN334" s="143">
        <v>2022</v>
      </c>
      <c r="BO334" s="135" t="s">
        <v>155</v>
      </c>
      <c r="BP334" s="143" t="s">
        <v>3583</v>
      </c>
      <c r="BQ334" s="203" t="s">
        <v>144</v>
      </c>
    </row>
    <row r="335" spans="1:69" ht="41.1" customHeight="1">
      <c r="A335" s="218" t="s">
        <v>1353</v>
      </c>
      <c r="B335" s="218" t="s">
        <v>1479</v>
      </c>
      <c r="C335" s="143">
        <v>1000</v>
      </c>
      <c r="D335" s="135">
        <v>44564</v>
      </c>
      <c r="E335" s="135"/>
      <c r="F335" s="147">
        <v>44566</v>
      </c>
      <c r="G335" s="135" t="s">
        <v>1480</v>
      </c>
      <c r="H335" s="147">
        <v>44601</v>
      </c>
      <c r="I335" s="147">
        <v>44601</v>
      </c>
      <c r="J335" s="147">
        <v>44606</v>
      </c>
      <c r="K335" s="135">
        <v>44624</v>
      </c>
      <c r="L335" s="135">
        <v>44613</v>
      </c>
      <c r="M335" s="135" t="s">
        <v>76</v>
      </c>
      <c r="N335" s="135">
        <v>44630</v>
      </c>
      <c r="O335" s="135">
        <v>44630</v>
      </c>
      <c r="P335" s="135">
        <v>44630</v>
      </c>
      <c r="Q335" s="135"/>
      <c r="R335" s="143"/>
      <c r="S335" s="143"/>
      <c r="T335" s="143"/>
      <c r="U335" s="143">
        <v>1</v>
      </c>
      <c r="V335" s="143">
        <v>16605</v>
      </c>
      <c r="W335" s="143" t="str">
        <f ca="1">IF(H335="",IF(D335="","",IF(U335+V335&lt;15,"Données Nb pers ou RFR manquantes",IF(COUNTA(INDIRECT("TabRFR["&amp;YEAR(D335)&amp;"]"))&lt;&gt;COUNTA(TabRFR[Recherche RFR]),"Data RFR manquantes", IF(V335&lt;=INDEX(TabRFR[[2021]:[2025]],MATCH(BD!U335&amp;"-Très modestes",TabRFR[Recherche RFR],0),MATCH(TEXT(YEAR(BD!D335),"Standard"),TabRFR[[#Headers],[2021]:[2025]],0)),"Très Modeste",IF(V335&lt;=INDEX(TabRFR[[2021]:[2025]],MATCH(BD!U335&amp;"-modestes",TabRFR[Recherche RFR],0),MATCH(TEXT(YEAR(BD!D335),"Standard"),TabRFR[[#Headers],[2021]:[2025]],0)),"Modeste",IF(V335&lt;=INDEX(TabRFR[[2021]:[2025]],MATCH(BD!U335&amp;"-Intermédiaire",TabRFR[Recherche RFR],0),MATCH(TEXT(YEAR(BD!D335),"Standard"),TabRFR[[#Headers],[2021]:[2025]],0)),"Intermédiaire","Supérieur")))))),IF(D335="","",IF(U335+V335&lt;15,"Données Nb pers ou RFR manquantes",IF(COUNTA(INDIRECT("TabRFR["&amp;YEAR(H335)&amp;"]"))&lt;&gt;COUNTA(TabRFR[Recherche RFR]),"Data RFR manquantes", IF(V335&lt;=INDEX(TabRFR[[2021]:[2025]],MATCH(BD!U335&amp;"-Très modestes",TabRFR[Recherche RFR],0),MATCH(TEXT(YEAR(BD!H335),"Standard"),TabRFR[[#Headers],[2021]:[2025]],0)),"Très Modeste",IF(V335&lt;=INDEX(TabRFR[[2021]:[2025]],MATCH(BD!U335&amp;"-modestes",TabRFR[Recherche RFR],0),MATCH(TEXT(YEAR(BD!H335),"Standard"),TabRFR[[#Headers],[2021]:[2025]],0)),"Modeste",IF(V335&lt;=INDEX(TabRFR[[2021]:[2025]],MATCH(BD!U335&amp;"-Intermédiaire",TabRFR[Recherche RFR],0),MATCH(TEXT(YEAR(BD!H335),"Standard"),TabRFR[[#Headers],[2021]:[2025]],0)),"Intermédiaire","Supérieur")))))))</f>
        <v>Modeste</v>
      </c>
      <c r="X335" s="143"/>
      <c r="Y335" s="143" t="s">
        <v>1481</v>
      </c>
      <c r="Z335" s="143">
        <v>38960</v>
      </c>
      <c r="AA335" s="143" t="s">
        <v>360</v>
      </c>
      <c r="AB335" s="148"/>
      <c r="AC335" s="149"/>
      <c r="AD335" s="143" t="s">
        <v>91</v>
      </c>
      <c r="AE335" s="143"/>
      <c r="AF335" s="143"/>
      <c r="AG335" s="143"/>
      <c r="AH335" s="143"/>
      <c r="AI335" s="143" t="s">
        <v>185</v>
      </c>
      <c r="AJ335" s="143" t="s">
        <v>1394</v>
      </c>
      <c r="AK335" s="143" t="s">
        <v>689</v>
      </c>
      <c r="AL335" s="149" t="s">
        <v>187</v>
      </c>
      <c r="AM335" s="148" t="s">
        <v>1395</v>
      </c>
      <c r="AN335" s="143"/>
      <c r="AO335" s="156" t="s">
        <v>144</v>
      </c>
      <c r="AP335" s="147">
        <v>44798</v>
      </c>
      <c r="AQ335" s="135" t="s">
        <v>3496</v>
      </c>
      <c r="AR335" s="143">
        <v>2001</v>
      </c>
      <c r="AS335" s="143" t="s">
        <v>3413</v>
      </c>
      <c r="AT335" s="143" t="s">
        <v>98</v>
      </c>
      <c r="AU335" s="143" t="s">
        <v>356</v>
      </c>
      <c r="AV335" s="143" t="s">
        <v>1482</v>
      </c>
      <c r="AW335" s="143">
        <v>15</v>
      </c>
      <c r="AX335" s="143">
        <v>8</v>
      </c>
      <c r="AY335" s="143">
        <v>87.1</v>
      </c>
      <c r="AZ335" s="143">
        <v>4.7999999999999996E-3</v>
      </c>
      <c r="BA335" s="143" t="s">
        <v>101</v>
      </c>
      <c r="BB335" s="143"/>
      <c r="BC335" s="143">
        <f>3155+340.5+1047.99+647.18+269.9+35</f>
        <v>5495.57</v>
      </c>
      <c r="BD335" s="143"/>
      <c r="BE335" s="143">
        <v>1070</v>
      </c>
      <c r="BF335" s="143">
        <f t="shared" si="16"/>
        <v>6565.57</v>
      </c>
      <c r="BG335" s="151">
        <f t="shared" si="15"/>
        <v>361.10634999999996</v>
      </c>
      <c r="BH335" s="151">
        <f t="shared" si="18"/>
        <v>6926.6763499999997</v>
      </c>
      <c r="BI335" s="151">
        <v>6235.65</v>
      </c>
      <c r="BJ335" s="143" t="s">
        <v>144</v>
      </c>
      <c r="BK335" s="143"/>
      <c r="BL335" s="143"/>
      <c r="BM335" s="144" t="s">
        <v>3592</v>
      </c>
      <c r="BN335" s="143">
        <v>2022</v>
      </c>
      <c r="BO335" s="135" t="s">
        <v>155</v>
      </c>
      <c r="BP335" s="143" t="s">
        <v>3583</v>
      </c>
      <c r="BQ335" s="203" t="s">
        <v>144</v>
      </c>
    </row>
    <row r="336" spans="1:69" ht="41.1" customHeight="1">
      <c r="A336" s="218" t="s">
        <v>1353</v>
      </c>
      <c r="B336" s="218" t="s">
        <v>1483</v>
      </c>
      <c r="C336" s="143">
        <v>600</v>
      </c>
      <c r="D336" s="135">
        <v>44565</v>
      </c>
      <c r="E336" s="147" t="s">
        <v>76</v>
      </c>
      <c r="F336" s="147">
        <v>44566</v>
      </c>
      <c r="G336" s="147" t="s">
        <v>76</v>
      </c>
      <c r="H336" s="147">
        <v>44578</v>
      </c>
      <c r="I336" s="147">
        <v>44578</v>
      </c>
      <c r="J336" s="147">
        <v>44582</v>
      </c>
      <c r="K336" s="147">
        <v>44910</v>
      </c>
      <c r="L336" s="135">
        <v>44907</v>
      </c>
      <c r="M336" s="135" t="s">
        <v>76</v>
      </c>
      <c r="N336" s="135">
        <v>44915</v>
      </c>
      <c r="O336" s="135">
        <v>44915</v>
      </c>
      <c r="P336" s="135">
        <v>44932</v>
      </c>
      <c r="Q336" s="135"/>
      <c r="R336" s="143"/>
      <c r="S336" s="143"/>
      <c r="T336" s="143"/>
      <c r="U336" s="143">
        <v>2</v>
      </c>
      <c r="V336" s="143">
        <v>36252</v>
      </c>
      <c r="W336" s="143" t="str">
        <f ca="1">IF(H336="",IF(D336="","",IF(U336+V336&lt;15,"Données Nb pers ou RFR manquantes",IF(COUNTA(INDIRECT("TabRFR["&amp;YEAR(D336)&amp;"]"))&lt;&gt;COUNTA(TabRFR[Recherche RFR]),"Data RFR manquantes", IF(V336&lt;=INDEX(TabRFR[[2021]:[2025]],MATCH(BD!U336&amp;"-Très modestes",TabRFR[Recherche RFR],0),MATCH(TEXT(YEAR(BD!D336),"Standard"),TabRFR[[#Headers],[2021]:[2025]],0)),"Très Modeste",IF(V336&lt;=INDEX(TabRFR[[2021]:[2025]],MATCH(BD!U336&amp;"-modestes",TabRFR[Recherche RFR],0),MATCH(TEXT(YEAR(BD!D336),"Standard"),TabRFR[[#Headers],[2021]:[2025]],0)),"Modeste",IF(V336&lt;=INDEX(TabRFR[[2021]:[2025]],MATCH(BD!U336&amp;"-Intermédiaire",TabRFR[Recherche RFR],0),MATCH(TEXT(YEAR(BD!D336),"Standard"),TabRFR[[#Headers],[2021]:[2025]],0)),"Intermédiaire","Supérieur")))))),IF(D336="","",IF(U336+V336&lt;15,"Données Nb pers ou RFR manquantes",IF(COUNTA(INDIRECT("TabRFR["&amp;YEAR(H336)&amp;"]"))&lt;&gt;COUNTA(TabRFR[Recherche RFR]),"Data RFR manquantes", IF(V336&lt;=INDEX(TabRFR[[2021]:[2025]],MATCH(BD!U336&amp;"-Très modestes",TabRFR[Recherche RFR],0),MATCH(TEXT(YEAR(BD!H336),"Standard"),TabRFR[[#Headers],[2021]:[2025]],0)),"Très Modeste",IF(V336&lt;=INDEX(TabRFR[[2021]:[2025]],MATCH(BD!U336&amp;"-modestes",TabRFR[Recherche RFR],0),MATCH(TEXT(YEAR(BD!H336),"Standard"),TabRFR[[#Headers],[2021]:[2025]],0)),"Modeste",IF(V336&lt;=INDEX(TabRFR[[2021]:[2025]],MATCH(BD!U336&amp;"-Intermédiaire",TabRFR[Recherche RFR],0),MATCH(TEXT(YEAR(BD!H336),"Standard"),TabRFR[[#Headers],[2021]:[2025]],0)),"Intermédiaire","Supérieur")))))))</f>
        <v>Intermédiaire</v>
      </c>
      <c r="X336" s="143"/>
      <c r="Y336" s="143" t="s">
        <v>1484</v>
      </c>
      <c r="Z336" s="143">
        <v>38490</v>
      </c>
      <c r="AA336" s="143" t="s">
        <v>1075</v>
      </c>
      <c r="AB336" s="148"/>
      <c r="AC336" s="149"/>
      <c r="AD336" s="143"/>
      <c r="AE336" s="143"/>
      <c r="AF336" s="143"/>
      <c r="AG336" s="143"/>
      <c r="AH336" s="143"/>
      <c r="AI336" s="143" t="s">
        <v>298</v>
      </c>
      <c r="AJ336" s="143" t="s">
        <v>299</v>
      </c>
      <c r="AK336" s="143" t="s">
        <v>340</v>
      </c>
      <c r="AL336" s="150" t="s">
        <v>301</v>
      </c>
      <c r="AM336" s="148" t="s">
        <v>1485</v>
      </c>
      <c r="AN336" s="143"/>
      <c r="AO336" s="156" t="s">
        <v>144</v>
      </c>
      <c r="AP336" s="147">
        <v>44798</v>
      </c>
      <c r="AQ336" s="135" t="s">
        <v>3496</v>
      </c>
      <c r="AR336" s="143">
        <v>1996</v>
      </c>
      <c r="AS336" s="143" t="s">
        <v>3413</v>
      </c>
      <c r="AT336" s="135" t="s">
        <v>3446</v>
      </c>
      <c r="AU336" s="143" t="s">
        <v>1486</v>
      </c>
      <c r="AV336" s="143" t="s">
        <v>1487</v>
      </c>
      <c r="AW336" s="143">
        <v>34</v>
      </c>
      <c r="AX336" s="143">
        <v>8</v>
      </c>
      <c r="AY336" s="143">
        <v>80.099999999999994</v>
      </c>
      <c r="AZ336" s="143">
        <v>0.09</v>
      </c>
      <c r="BA336" s="143" t="s">
        <v>101</v>
      </c>
      <c r="BB336" s="143"/>
      <c r="BC336" s="143">
        <f>70+45+644+85+116+126+126+3125+214.13</f>
        <v>4551.13</v>
      </c>
      <c r="BD336" s="143"/>
      <c r="BE336" s="143">
        <v>760</v>
      </c>
      <c r="BF336" s="143">
        <f t="shared" si="16"/>
        <v>5311.13</v>
      </c>
      <c r="BG336" s="151">
        <f t="shared" si="15"/>
        <v>292.11214999999999</v>
      </c>
      <c r="BH336" s="151">
        <f t="shared" si="18"/>
        <v>5603.24215</v>
      </c>
      <c r="BI336" s="151">
        <f>2350.74+1647+1500+105.5</f>
        <v>5603.24</v>
      </c>
      <c r="BJ336" s="143" t="s">
        <v>103</v>
      </c>
      <c r="BK336" s="143"/>
      <c r="BL336" s="143"/>
      <c r="BM336" s="144" t="s">
        <v>3592</v>
      </c>
      <c r="BN336" s="143">
        <v>2022</v>
      </c>
      <c r="BO336" s="144" t="s">
        <v>143</v>
      </c>
      <c r="BP336" s="144">
        <v>2022</v>
      </c>
      <c r="BQ336" s="203" t="s">
        <v>3274</v>
      </c>
    </row>
    <row r="337" spans="1:69" ht="41.1" customHeight="1">
      <c r="A337" s="218" t="s">
        <v>1420</v>
      </c>
      <c r="B337" s="218" t="s">
        <v>1488</v>
      </c>
      <c r="C337" s="143">
        <v>600</v>
      </c>
      <c r="D337" s="135">
        <v>44559</v>
      </c>
      <c r="E337" s="135">
        <v>44572</v>
      </c>
      <c r="F337" s="147">
        <v>44574</v>
      </c>
      <c r="G337" s="135" t="s">
        <v>1425</v>
      </c>
      <c r="H337" s="147">
        <v>44873</v>
      </c>
      <c r="I337" s="147">
        <v>44873</v>
      </c>
      <c r="J337" s="147">
        <v>44886</v>
      </c>
      <c r="K337" s="135">
        <v>44915</v>
      </c>
      <c r="L337" s="135">
        <v>44894</v>
      </c>
      <c r="M337" s="135" t="s">
        <v>76</v>
      </c>
      <c r="N337" s="135">
        <v>44925</v>
      </c>
      <c r="O337" s="135">
        <v>44925</v>
      </c>
      <c r="P337" s="135">
        <v>44932</v>
      </c>
      <c r="Q337" s="135"/>
      <c r="R337" s="143"/>
      <c r="S337" s="143"/>
      <c r="T337" s="143"/>
      <c r="U337" s="143">
        <v>2</v>
      </c>
      <c r="V337" s="143">
        <v>38975</v>
      </c>
      <c r="W337" s="143" t="str">
        <f ca="1">IF(H337="",IF(D337="","",IF(U337+V337&lt;15,"Données Nb pers ou RFR manquantes",IF(COUNTA(INDIRECT("TabRFR["&amp;YEAR(D337)&amp;"]"))&lt;&gt;COUNTA(TabRFR[Recherche RFR]),"Data RFR manquantes", IF(V337&lt;=INDEX(TabRFR[[2021]:[2025]],MATCH(BD!U337&amp;"-Très modestes",TabRFR[Recherche RFR],0),MATCH(TEXT(YEAR(BD!D337),"Standard"),TabRFR[[#Headers],[2021]:[2025]],0)),"Très Modeste",IF(V337&lt;=INDEX(TabRFR[[2021]:[2025]],MATCH(BD!U337&amp;"-modestes",TabRFR[Recherche RFR],0),MATCH(TEXT(YEAR(BD!D337),"Standard"),TabRFR[[#Headers],[2021]:[2025]],0)),"Modeste",IF(V337&lt;=INDEX(TabRFR[[2021]:[2025]],MATCH(BD!U337&amp;"-Intermédiaire",TabRFR[Recherche RFR],0),MATCH(TEXT(YEAR(BD!D337),"Standard"),TabRFR[[#Headers],[2021]:[2025]],0)),"Intermédiaire","Supérieur")))))),IF(D337="","",IF(U337+V337&lt;15,"Données Nb pers ou RFR manquantes",IF(COUNTA(INDIRECT("TabRFR["&amp;YEAR(H337)&amp;"]"))&lt;&gt;COUNTA(TabRFR[Recherche RFR]),"Data RFR manquantes", IF(V337&lt;=INDEX(TabRFR[[2021]:[2025]],MATCH(BD!U337&amp;"-Très modestes",TabRFR[Recherche RFR],0),MATCH(TEXT(YEAR(BD!H337),"Standard"),TabRFR[[#Headers],[2021]:[2025]],0)),"Très Modeste",IF(V337&lt;=INDEX(TabRFR[[2021]:[2025]],MATCH(BD!U337&amp;"-modestes",TabRFR[Recherche RFR],0),MATCH(TEXT(YEAR(BD!H337),"Standard"),TabRFR[[#Headers],[2021]:[2025]],0)),"Modeste",IF(V337&lt;=INDEX(TabRFR[[2021]:[2025]],MATCH(BD!U337&amp;"-Intermédiaire",TabRFR[Recherche RFR],0),MATCH(TEXT(YEAR(BD!H337),"Standard"),TabRFR[[#Headers],[2021]:[2025]],0)),"Intermédiaire","Supérieur")))))))</f>
        <v>Intermédiaire</v>
      </c>
      <c r="X337" s="143"/>
      <c r="Y337" s="143" t="s">
        <v>1489</v>
      </c>
      <c r="Z337" s="143">
        <v>38730</v>
      </c>
      <c r="AA337" s="143" t="s">
        <v>148</v>
      </c>
      <c r="AB337" s="148"/>
      <c r="AC337" s="149"/>
      <c r="AD337" s="143" t="s">
        <v>91</v>
      </c>
      <c r="AE337" s="143"/>
      <c r="AF337" s="143"/>
      <c r="AG337" s="143"/>
      <c r="AH337" s="143"/>
      <c r="AI337" s="143" t="s">
        <v>267</v>
      </c>
      <c r="AJ337" s="143" t="s">
        <v>268</v>
      </c>
      <c r="AK337" s="143" t="s">
        <v>269</v>
      </c>
      <c r="AL337" s="150" t="s">
        <v>270</v>
      </c>
      <c r="AM337" s="148" t="s">
        <v>1490</v>
      </c>
      <c r="AN337" s="143"/>
      <c r="AO337" s="158" t="s">
        <v>144</v>
      </c>
      <c r="AP337" s="147">
        <v>44998</v>
      </c>
      <c r="AQ337" s="135" t="s">
        <v>3496</v>
      </c>
      <c r="AR337" s="143">
        <v>1991</v>
      </c>
      <c r="AS337" s="143" t="s">
        <v>3413</v>
      </c>
      <c r="AT337" s="135" t="s">
        <v>3446</v>
      </c>
      <c r="AU337" s="143" t="s">
        <v>587</v>
      </c>
      <c r="AV337" s="143" t="s">
        <v>1491</v>
      </c>
      <c r="AW337" s="143">
        <v>25</v>
      </c>
      <c r="AX337" s="143">
        <v>8</v>
      </c>
      <c r="AY337" s="143">
        <v>80.900000000000006</v>
      </c>
      <c r="AZ337" s="143">
        <v>0.05</v>
      </c>
      <c r="BA337" s="143" t="s">
        <v>101</v>
      </c>
      <c r="BB337" s="143"/>
      <c r="BC337" s="143">
        <f>122.28+151.15+11+175.98+115.27+550.48+86.69+74.87+23.58+60.1+46.54+90+2000+159.9</f>
        <v>3667.8399999999997</v>
      </c>
      <c r="BD337" s="143"/>
      <c r="BE337" s="143">
        <f>680+135</f>
        <v>815</v>
      </c>
      <c r="BF337" s="143">
        <f t="shared" si="16"/>
        <v>4482.84</v>
      </c>
      <c r="BG337" s="151">
        <f t="shared" si="15"/>
        <v>246.55620000000002</v>
      </c>
      <c r="BH337" s="151">
        <f t="shared" si="18"/>
        <v>4729.3962000000001</v>
      </c>
      <c r="BI337" s="151">
        <v>4729.3999999999996</v>
      </c>
      <c r="BJ337" s="143" t="s">
        <v>103</v>
      </c>
      <c r="BK337" s="143"/>
      <c r="BL337" s="143"/>
      <c r="BM337" s="144" t="s">
        <v>3592</v>
      </c>
      <c r="BN337" s="143">
        <v>2022</v>
      </c>
      <c r="BO337" s="144" t="s">
        <v>143</v>
      </c>
      <c r="BP337" s="144">
        <v>2022</v>
      </c>
      <c r="BQ337" s="203" t="s">
        <v>3274</v>
      </c>
    </row>
    <row r="338" spans="1:69" ht="41.1" customHeight="1">
      <c r="A338" s="145" t="s">
        <v>1420</v>
      </c>
      <c r="B338" s="145" t="s">
        <v>1492</v>
      </c>
      <c r="C338" s="146" t="s">
        <v>76</v>
      </c>
      <c r="D338" s="135">
        <v>44558</v>
      </c>
      <c r="E338" s="135">
        <v>44572</v>
      </c>
      <c r="F338" s="147">
        <v>44574</v>
      </c>
      <c r="G338" s="135" t="s">
        <v>1493</v>
      </c>
      <c r="H338" s="147"/>
      <c r="I338" s="147"/>
      <c r="J338" s="147"/>
      <c r="K338" s="135"/>
      <c r="L338" s="135"/>
      <c r="M338" s="135"/>
      <c r="N338" s="135"/>
      <c r="O338" s="135"/>
      <c r="P338" s="135"/>
      <c r="Q338" s="135">
        <v>44574</v>
      </c>
      <c r="R338" s="143" t="s">
        <v>1494</v>
      </c>
      <c r="S338" s="143"/>
      <c r="T338" s="143"/>
      <c r="U338" s="143">
        <v>5</v>
      </c>
      <c r="V338" s="143">
        <v>26450</v>
      </c>
      <c r="W338" s="143" t="str">
        <f ca="1">IF(H338="",IF(D338="","",IF(U338+V338&lt;15,"Données Nb pers ou RFR manquantes",IF(COUNTA(INDIRECT("TabRFR["&amp;YEAR(D338)&amp;"]"))&lt;&gt;COUNTA(TabRFR[Recherche RFR]),"Data RFR manquantes", IF(V338&lt;=INDEX(TabRFR[[2021]:[2025]],MATCH(BD!U338&amp;"-Très modestes",TabRFR[Recherche RFR],0),MATCH(TEXT(YEAR(BD!D338),"Standard"),TabRFR[[#Headers],[2021]:[2025]],0)),"Très Modeste",IF(V338&lt;=INDEX(TabRFR[[2021]:[2025]],MATCH(BD!U338&amp;"-modestes",TabRFR[Recherche RFR],0),MATCH(TEXT(YEAR(BD!D338),"Standard"),TabRFR[[#Headers],[2021]:[2025]],0)),"Modeste",IF(V338&lt;=INDEX(TabRFR[[2021]:[2025]],MATCH(BD!U338&amp;"-Intermédiaire",TabRFR[Recherche RFR],0),MATCH(TEXT(YEAR(BD!D338),"Standard"),TabRFR[[#Headers],[2021]:[2025]],0)),"Intermédiaire","Supérieur")))))),IF(D338="","",IF(U338+V338&lt;15,"Données Nb pers ou RFR manquantes",IF(COUNTA(INDIRECT("TabRFR["&amp;YEAR(H338)&amp;"]"))&lt;&gt;COUNTA(TabRFR[Recherche RFR]),"Data RFR manquantes", IF(V338&lt;=INDEX(TabRFR[[2021]:[2025]],MATCH(BD!U338&amp;"-Très modestes",TabRFR[Recherche RFR],0),MATCH(TEXT(YEAR(BD!H338),"Standard"),TabRFR[[#Headers],[2021]:[2025]],0)),"Très Modeste",IF(V338&lt;=INDEX(TabRFR[[2021]:[2025]],MATCH(BD!U338&amp;"-modestes",TabRFR[Recherche RFR],0),MATCH(TEXT(YEAR(BD!H338),"Standard"),TabRFR[[#Headers],[2021]:[2025]],0)),"Modeste",IF(V338&lt;=INDEX(TabRFR[[2021]:[2025]],MATCH(BD!U338&amp;"-Intermédiaire",TabRFR[Recherche RFR],0),MATCH(TEXT(YEAR(BD!H338),"Standard"),TabRFR[[#Headers],[2021]:[2025]],0)),"Intermédiaire","Supérieur")))))))</f>
        <v>Très Modeste</v>
      </c>
      <c r="X338" s="143"/>
      <c r="Y338" s="143" t="s">
        <v>1495</v>
      </c>
      <c r="Z338" s="143">
        <v>38850</v>
      </c>
      <c r="AA338" s="143" t="s">
        <v>168</v>
      </c>
      <c r="AB338" s="148"/>
      <c r="AC338" s="149"/>
      <c r="AD338" s="143" t="s">
        <v>91</v>
      </c>
      <c r="AE338" s="143"/>
      <c r="AF338" s="143"/>
      <c r="AG338" s="143"/>
      <c r="AH338" s="143"/>
      <c r="AI338" s="143"/>
      <c r="AJ338" s="143"/>
      <c r="AK338" s="143"/>
      <c r="AL338" s="149"/>
      <c r="AM338" s="148"/>
      <c r="AN338" s="143"/>
      <c r="AO338" s="143"/>
      <c r="AP338" s="147"/>
      <c r="AQ338" s="143"/>
      <c r="AR338" s="143"/>
      <c r="AS338" s="143"/>
      <c r="AT338" s="138"/>
      <c r="AU338" s="143"/>
      <c r="AV338" s="143"/>
      <c r="AW338" s="143"/>
      <c r="AX338" s="143"/>
      <c r="AY338" s="143"/>
      <c r="AZ338" s="143"/>
      <c r="BA338" s="143"/>
      <c r="BB338" s="143"/>
      <c r="BC338" s="143"/>
      <c r="BD338" s="143"/>
      <c r="BE338" s="143"/>
      <c r="BF338" s="143">
        <f t="shared" si="16"/>
        <v>0</v>
      </c>
      <c r="BG338" s="151">
        <f t="shared" si="15"/>
        <v>0</v>
      </c>
      <c r="BH338" s="151">
        <f t="shared" si="18"/>
        <v>0</v>
      </c>
      <c r="BI338" s="151"/>
      <c r="BJ338" s="143"/>
      <c r="BK338" s="143"/>
      <c r="BL338" s="143"/>
      <c r="BM338" s="144">
        <v>0</v>
      </c>
      <c r="BN338" s="153" t="s">
        <v>1496</v>
      </c>
      <c r="BO338" s="144" t="s">
        <v>103</v>
      </c>
      <c r="BP338" s="203" t="s">
        <v>3582</v>
      </c>
      <c r="BQ338" s="203" t="s">
        <v>3273</v>
      </c>
    </row>
    <row r="339" spans="1:69" ht="41.1" customHeight="1">
      <c r="A339" s="218" t="s">
        <v>1420</v>
      </c>
      <c r="B339" s="218" t="s">
        <v>1497</v>
      </c>
      <c r="C339" s="143">
        <v>600</v>
      </c>
      <c r="D339" s="135">
        <v>44565</v>
      </c>
      <c r="E339" s="135">
        <v>44572</v>
      </c>
      <c r="F339" s="147">
        <v>44574</v>
      </c>
      <c r="G339" s="135" t="s">
        <v>1498</v>
      </c>
      <c r="H339" s="147">
        <v>44585</v>
      </c>
      <c r="I339" s="147">
        <v>44585</v>
      </c>
      <c r="J339" s="147">
        <v>44587</v>
      </c>
      <c r="K339" s="135">
        <v>44658</v>
      </c>
      <c r="L339" s="135">
        <v>44655</v>
      </c>
      <c r="M339" s="135" t="s">
        <v>76</v>
      </c>
      <c r="N339" s="135">
        <v>44768</v>
      </c>
      <c r="O339" s="135">
        <v>44768</v>
      </c>
      <c r="P339" s="135">
        <v>44769</v>
      </c>
      <c r="Q339" s="135"/>
      <c r="R339" s="143"/>
      <c r="S339" s="143"/>
      <c r="T339" s="143"/>
      <c r="U339" s="143">
        <v>4</v>
      </c>
      <c r="V339" s="143">
        <v>120285</v>
      </c>
      <c r="W339" s="143" t="str">
        <f ca="1">IF(H339="",IF(D339="","",IF(U339+V339&lt;15,"Données Nb pers ou RFR manquantes",IF(COUNTA(INDIRECT("TabRFR["&amp;YEAR(D339)&amp;"]"))&lt;&gt;COUNTA(TabRFR[Recherche RFR]),"Data RFR manquantes", IF(V339&lt;=INDEX(TabRFR[[2021]:[2025]],MATCH(BD!U339&amp;"-Très modestes",TabRFR[Recherche RFR],0),MATCH(TEXT(YEAR(BD!D339),"Standard"),TabRFR[[#Headers],[2021]:[2025]],0)),"Très Modeste",IF(V339&lt;=INDEX(TabRFR[[2021]:[2025]],MATCH(BD!U339&amp;"-modestes",TabRFR[Recherche RFR],0),MATCH(TEXT(YEAR(BD!D339),"Standard"),TabRFR[[#Headers],[2021]:[2025]],0)),"Modeste",IF(V339&lt;=INDEX(TabRFR[[2021]:[2025]],MATCH(BD!U339&amp;"-Intermédiaire",TabRFR[Recherche RFR],0),MATCH(TEXT(YEAR(BD!D339),"Standard"),TabRFR[[#Headers],[2021]:[2025]],0)),"Intermédiaire","Supérieur")))))),IF(D339="","",IF(U339+V339&lt;15,"Données Nb pers ou RFR manquantes",IF(COUNTA(INDIRECT("TabRFR["&amp;YEAR(H339)&amp;"]"))&lt;&gt;COUNTA(TabRFR[Recherche RFR]),"Data RFR manquantes", IF(V339&lt;=INDEX(TabRFR[[2021]:[2025]],MATCH(BD!U339&amp;"-Très modestes",TabRFR[Recherche RFR],0),MATCH(TEXT(YEAR(BD!H339),"Standard"),TabRFR[[#Headers],[2021]:[2025]],0)),"Très Modeste",IF(V339&lt;=INDEX(TabRFR[[2021]:[2025]],MATCH(BD!U339&amp;"-modestes",TabRFR[Recherche RFR],0),MATCH(TEXT(YEAR(BD!H339),"Standard"),TabRFR[[#Headers],[2021]:[2025]],0)),"Modeste",IF(V339&lt;=INDEX(TabRFR[[2021]:[2025]],MATCH(BD!U339&amp;"-Intermédiaire",TabRFR[Recherche RFR],0),MATCH(TEXT(YEAR(BD!H339),"Standard"),TabRFR[[#Headers],[2021]:[2025]],0)),"Intermédiaire","Supérieur")))))))</f>
        <v>Supérieur</v>
      </c>
      <c r="X339" s="143"/>
      <c r="Y339" s="143" t="s">
        <v>1499</v>
      </c>
      <c r="Z339" s="143">
        <v>38500</v>
      </c>
      <c r="AA339" s="143" t="s">
        <v>108</v>
      </c>
      <c r="AB339" s="148"/>
      <c r="AC339" s="149"/>
      <c r="AD339" s="143" t="s">
        <v>91</v>
      </c>
      <c r="AE339" s="143"/>
      <c r="AF339" s="143"/>
      <c r="AG339" s="143"/>
      <c r="AH339" s="143"/>
      <c r="AI339" s="135" t="s">
        <v>285</v>
      </c>
      <c r="AJ339" s="143" t="s">
        <v>108</v>
      </c>
      <c r="AK339" s="143" t="s">
        <v>286</v>
      </c>
      <c r="AL339" s="150" t="s">
        <v>287</v>
      </c>
      <c r="AM339" s="148">
        <v>476069938</v>
      </c>
      <c r="AN339" s="143"/>
      <c r="AO339" s="150" t="s">
        <v>102</v>
      </c>
      <c r="AP339" s="147">
        <v>44822</v>
      </c>
      <c r="AQ339" s="135" t="s">
        <v>3449</v>
      </c>
      <c r="AR339" s="143">
        <v>1970</v>
      </c>
      <c r="AS339" s="143" t="s">
        <v>3413</v>
      </c>
      <c r="AT339" s="135" t="s">
        <v>3446</v>
      </c>
      <c r="AU339" s="143" t="s">
        <v>693</v>
      </c>
      <c r="AV339" s="143" t="s">
        <v>1500</v>
      </c>
      <c r="AW339" s="143">
        <v>40</v>
      </c>
      <c r="AX339" s="143">
        <v>5.3</v>
      </c>
      <c r="AY339" s="143">
        <v>75</v>
      </c>
      <c r="AZ339" s="143">
        <v>0.1024</v>
      </c>
      <c r="BA339" s="143" t="s">
        <v>101</v>
      </c>
      <c r="BB339" s="143"/>
      <c r="BC339" s="143">
        <f>460+450+170+2609+310</f>
        <v>3999</v>
      </c>
      <c r="BD339" s="143"/>
      <c r="BE339" s="143">
        <v>270</v>
      </c>
      <c r="BF339" s="143">
        <f t="shared" si="16"/>
        <v>4269</v>
      </c>
      <c r="BG339" s="143">
        <f t="shared" si="15"/>
        <v>234.79499999999999</v>
      </c>
      <c r="BH339" s="143">
        <f t="shared" si="18"/>
        <v>4503.7950000000001</v>
      </c>
      <c r="BI339" s="151">
        <v>4200</v>
      </c>
      <c r="BJ339" s="143" t="s">
        <v>144</v>
      </c>
      <c r="BK339" s="143"/>
      <c r="BL339" s="143"/>
      <c r="BM339" s="144" t="s">
        <v>3592</v>
      </c>
      <c r="BN339" s="143">
        <v>2022</v>
      </c>
      <c r="BO339" s="144" t="s">
        <v>143</v>
      </c>
      <c r="BP339" s="144">
        <v>2022</v>
      </c>
      <c r="BQ339" s="203" t="s">
        <v>144</v>
      </c>
    </row>
    <row r="340" spans="1:69" ht="41.1" customHeight="1">
      <c r="A340" s="218" t="s">
        <v>1420</v>
      </c>
      <c r="B340" s="218" t="s">
        <v>1501</v>
      </c>
      <c r="C340" s="143">
        <v>600</v>
      </c>
      <c r="D340" s="135">
        <v>44568</v>
      </c>
      <c r="E340" s="135">
        <v>44572</v>
      </c>
      <c r="F340" s="147">
        <v>44574</v>
      </c>
      <c r="G340" s="135" t="s">
        <v>1502</v>
      </c>
      <c r="H340" s="147">
        <v>44601</v>
      </c>
      <c r="I340" s="147">
        <v>44601</v>
      </c>
      <c r="J340" s="147">
        <v>44575</v>
      </c>
      <c r="K340" s="135">
        <v>44613</v>
      </c>
      <c r="L340" s="135">
        <v>44609</v>
      </c>
      <c r="M340" s="135" t="s">
        <v>1503</v>
      </c>
      <c r="N340" s="135">
        <v>44622</v>
      </c>
      <c r="O340" s="135">
        <v>44622</v>
      </c>
      <c r="P340" s="135">
        <v>44623</v>
      </c>
      <c r="Q340" s="135"/>
      <c r="R340" s="143"/>
      <c r="S340" s="143"/>
      <c r="T340" s="143"/>
      <c r="U340" s="143">
        <v>1</v>
      </c>
      <c r="V340" s="143">
        <v>27820</v>
      </c>
      <c r="W340" s="143" t="str">
        <f ca="1">IF(H340="",IF(D340="","",IF(U340+V340&lt;15,"Données Nb pers ou RFR manquantes",IF(COUNTA(INDIRECT("TabRFR["&amp;YEAR(D340)&amp;"]"))&lt;&gt;COUNTA(TabRFR[Recherche RFR]),"Data RFR manquantes", IF(V340&lt;=INDEX(TabRFR[[2021]:[2025]],MATCH(BD!U340&amp;"-Très modestes",TabRFR[Recherche RFR],0),MATCH(TEXT(YEAR(BD!D340),"Standard"),TabRFR[[#Headers],[2021]:[2025]],0)),"Très Modeste",IF(V340&lt;=INDEX(TabRFR[[2021]:[2025]],MATCH(BD!U340&amp;"-modestes",TabRFR[Recherche RFR],0),MATCH(TEXT(YEAR(BD!D340),"Standard"),TabRFR[[#Headers],[2021]:[2025]],0)),"Modeste",IF(V340&lt;=INDEX(TabRFR[[2021]:[2025]],MATCH(BD!U340&amp;"-Intermédiaire",TabRFR[Recherche RFR],0),MATCH(TEXT(YEAR(BD!D340),"Standard"),TabRFR[[#Headers],[2021]:[2025]],0)),"Intermédiaire","Supérieur")))))),IF(D340="","",IF(U340+V340&lt;15,"Données Nb pers ou RFR manquantes",IF(COUNTA(INDIRECT("TabRFR["&amp;YEAR(H340)&amp;"]"))&lt;&gt;COUNTA(TabRFR[Recherche RFR]),"Data RFR manquantes", IF(V340&lt;=INDEX(TabRFR[[2021]:[2025]],MATCH(BD!U340&amp;"-Très modestes",TabRFR[Recherche RFR],0),MATCH(TEXT(YEAR(BD!H340),"Standard"),TabRFR[[#Headers],[2021]:[2025]],0)),"Très Modeste",IF(V340&lt;=INDEX(TabRFR[[2021]:[2025]],MATCH(BD!U340&amp;"-modestes",TabRFR[Recherche RFR],0),MATCH(TEXT(YEAR(BD!H340),"Standard"),TabRFR[[#Headers],[2021]:[2025]],0)),"Modeste",IF(V340&lt;=INDEX(TabRFR[[2021]:[2025]],MATCH(BD!U340&amp;"-Intermédiaire",TabRFR[Recherche RFR],0),MATCH(TEXT(YEAR(BD!H340),"Standard"),TabRFR[[#Headers],[2021]:[2025]],0)),"Intermédiaire","Supérieur")))))))</f>
        <v>Intermédiaire</v>
      </c>
      <c r="X340" s="143"/>
      <c r="Y340" s="143" t="s">
        <v>1504</v>
      </c>
      <c r="Z340" s="143">
        <v>38140</v>
      </c>
      <c r="AA340" s="143" t="s">
        <v>159</v>
      </c>
      <c r="AB340" s="160"/>
      <c r="AC340" s="149"/>
      <c r="AD340" s="143" t="s">
        <v>91</v>
      </c>
      <c r="AE340" s="143" t="s">
        <v>76</v>
      </c>
      <c r="AF340" s="143" t="s">
        <v>76</v>
      </c>
      <c r="AG340" s="143" t="s">
        <v>76</v>
      </c>
      <c r="AH340" s="143" t="s">
        <v>76</v>
      </c>
      <c r="AI340" s="135" t="s">
        <v>872</v>
      </c>
      <c r="AJ340" s="143" t="s">
        <v>873</v>
      </c>
      <c r="AK340" s="143" t="s">
        <v>874</v>
      </c>
      <c r="AL340" s="150" t="s">
        <v>875</v>
      </c>
      <c r="AM340" s="148">
        <v>676354364</v>
      </c>
      <c r="AN340" s="143" t="s">
        <v>76</v>
      </c>
      <c r="AO340" s="150" t="s">
        <v>102</v>
      </c>
      <c r="AP340" s="147">
        <v>44860</v>
      </c>
      <c r="AQ340" s="135" t="s">
        <v>3496</v>
      </c>
      <c r="AR340" s="153" t="s">
        <v>172</v>
      </c>
      <c r="AS340" s="143" t="s">
        <v>3413</v>
      </c>
      <c r="AT340" s="143" t="s">
        <v>98</v>
      </c>
      <c r="AU340" s="143" t="s">
        <v>430</v>
      </c>
      <c r="AV340" s="143" t="s">
        <v>1505</v>
      </c>
      <c r="AW340" s="143">
        <v>15</v>
      </c>
      <c r="AX340" s="143">
        <v>7.8</v>
      </c>
      <c r="AY340" s="143">
        <v>82</v>
      </c>
      <c r="AZ340" s="155"/>
      <c r="BA340" s="143" t="s">
        <v>126</v>
      </c>
      <c r="BB340" s="143"/>
      <c r="BC340" s="143">
        <v>4735.29</v>
      </c>
      <c r="BD340" s="143"/>
      <c r="BE340" s="143">
        <v>3411.46</v>
      </c>
      <c r="BF340" s="143">
        <f t="shared" si="16"/>
        <v>8146.75</v>
      </c>
      <c r="BG340" s="151">
        <v>431.57</v>
      </c>
      <c r="BH340" s="151">
        <f t="shared" si="18"/>
        <v>8578.32</v>
      </c>
      <c r="BI340" s="151">
        <v>8278.32</v>
      </c>
      <c r="BJ340" s="143" t="s">
        <v>115</v>
      </c>
      <c r="BK340" s="143"/>
      <c r="BL340" s="143"/>
      <c r="BM340" s="144" t="s">
        <v>3592</v>
      </c>
      <c r="BN340" s="143">
        <v>2022</v>
      </c>
      <c r="BO340" s="144" t="s">
        <v>143</v>
      </c>
      <c r="BP340" s="143" t="s">
        <v>3583</v>
      </c>
      <c r="BQ340" s="203" t="s">
        <v>3274</v>
      </c>
    </row>
    <row r="341" spans="1:69" ht="41.1" customHeight="1">
      <c r="A341" s="218" t="s">
        <v>1420</v>
      </c>
      <c r="B341" s="218" t="s">
        <v>1506</v>
      </c>
      <c r="C341" s="143">
        <v>1000</v>
      </c>
      <c r="D341" s="135">
        <v>44567</v>
      </c>
      <c r="E341" s="135">
        <v>44572</v>
      </c>
      <c r="F341" s="147"/>
      <c r="G341" s="135"/>
      <c r="H341" s="147">
        <v>44574</v>
      </c>
      <c r="I341" s="147">
        <v>44574</v>
      </c>
      <c r="J341" s="147">
        <v>44575</v>
      </c>
      <c r="K341" s="135">
        <v>44879</v>
      </c>
      <c r="L341" s="135">
        <v>44826</v>
      </c>
      <c r="M341" s="135" t="s">
        <v>76</v>
      </c>
      <c r="N341" s="135">
        <v>44895</v>
      </c>
      <c r="O341" s="135">
        <v>44895</v>
      </c>
      <c r="P341" s="135">
        <v>44897</v>
      </c>
      <c r="Q341" s="135"/>
      <c r="R341" s="143"/>
      <c r="S341" s="143"/>
      <c r="T341" s="143"/>
      <c r="U341" s="143">
        <v>4</v>
      </c>
      <c r="V341" s="143">
        <v>33455</v>
      </c>
      <c r="W341" s="143" t="str">
        <f ca="1">IF(H341="",IF(D341="","",IF(U341+V341&lt;15,"Données Nb pers ou RFR manquantes",IF(COUNTA(INDIRECT("TabRFR["&amp;YEAR(D341)&amp;"]"))&lt;&gt;COUNTA(TabRFR[Recherche RFR]),"Data RFR manquantes", IF(V341&lt;=INDEX(TabRFR[[2021]:[2025]],MATCH(BD!U341&amp;"-Très modestes",TabRFR[Recherche RFR],0),MATCH(TEXT(YEAR(BD!D341),"Standard"),TabRFR[[#Headers],[2021]:[2025]],0)),"Très Modeste",IF(V341&lt;=INDEX(TabRFR[[2021]:[2025]],MATCH(BD!U341&amp;"-modestes",TabRFR[Recherche RFR],0),MATCH(TEXT(YEAR(BD!D341),"Standard"),TabRFR[[#Headers],[2021]:[2025]],0)),"Modeste",IF(V341&lt;=INDEX(TabRFR[[2021]:[2025]],MATCH(BD!U341&amp;"-Intermédiaire",TabRFR[Recherche RFR],0),MATCH(TEXT(YEAR(BD!D341),"Standard"),TabRFR[[#Headers],[2021]:[2025]],0)),"Intermédiaire","Supérieur")))))),IF(D341="","",IF(U341+V341&lt;15,"Données Nb pers ou RFR manquantes",IF(COUNTA(INDIRECT("TabRFR["&amp;YEAR(H341)&amp;"]"))&lt;&gt;COUNTA(TabRFR[Recherche RFR]),"Data RFR manquantes", IF(V341&lt;=INDEX(TabRFR[[2021]:[2025]],MATCH(BD!U341&amp;"-Très modestes",TabRFR[Recherche RFR],0),MATCH(TEXT(YEAR(BD!H341),"Standard"),TabRFR[[#Headers],[2021]:[2025]],0)),"Très Modeste",IF(V341&lt;=INDEX(TabRFR[[2021]:[2025]],MATCH(BD!U341&amp;"-modestes",TabRFR[Recherche RFR],0),MATCH(TEXT(YEAR(BD!H341),"Standard"),TabRFR[[#Headers],[2021]:[2025]],0)),"Modeste",IF(V341&lt;=INDEX(TabRFR[[2021]:[2025]],MATCH(BD!U341&amp;"-Intermédiaire",TabRFR[Recherche RFR],0),MATCH(TEXT(YEAR(BD!H341),"Standard"),TabRFR[[#Headers],[2021]:[2025]],0)),"Intermédiaire","Supérieur")))))))</f>
        <v>Modeste</v>
      </c>
      <c r="X341" s="143"/>
      <c r="Y341" s="143" t="s">
        <v>1507</v>
      </c>
      <c r="Z341" s="143">
        <v>38620</v>
      </c>
      <c r="AA341" s="143" t="s">
        <v>262</v>
      </c>
      <c r="AB341" s="148"/>
      <c r="AC341" s="149"/>
      <c r="AD341" s="143" t="s">
        <v>91</v>
      </c>
      <c r="AE341" s="143"/>
      <c r="AF341" s="143"/>
      <c r="AG341" s="143"/>
      <c r="AH341" s="143"/>
      <c r="AI341" s="143" t="s">
        <v>668</v>
      </c>
      <c r="AJ341" s="143" t="s">
        <v>669</v>
      </c>
      <c r="AK341" s="143" t="s">
        <v>1508</v>
      </c>
      <c r="AL341" s="150" t="s">
        <v>671</v>
      </c>
      <c r="AM341" s="148" t="s">
        <v>1509</v>
      </c>
      <c r="AN341" s="143"/>
      <c r="AO341" s="150" t="s">
        <v>144</v>
      </c>
      <c r="AP341" s="147">
        <v>44643</v>
      </c>
      <c r="AQ341" s="143" t="s">
        <v>3413</v>
      </c>
      <c r="AR341" s="143">
        <v>1980</v>
      </c>
      <c r="AS341" s="143" t="s">
        <v>3413</v>
      </c>
      <c r="AT341" s="143" t="s">
        <v>98</v>
      </c>
      <c r="AU341" s="143" t="s">
        <v>276</v>
      </c>
      <c r="AV341" s="143" t="s">
        <v>1510</v>
      </c>
      <c r="AW341" s="143">
        <v>20</v>
      </c>
      <c r="AX341" s="143">
        <v>8</v>
      </c>
      <c r="AY341" s="143">
        <v>80.8</v>
      </c>
      <c r="AZ341" s="143" t="s">
        <v>1511</v>
      </c>
      <c r="BA341" s="143" t="s">
        <v>126</v>
      </c>
      <c r="BB341" s="143"/>
      <c r="BC341" s="143">
        <f>7235+183.22+322.94+75.7+78.88-174</f>
        <v>7721.74</v>
      </c>
      <c r="BD341" s="143"/>
      <c r="BE341" s="143">
        <v>480</v>
      </c>
      <c r="BF341" s="143">
        <f t="shared" si="16"/>
        <v>8201.74</v>
      </c>
      <c r="BG341" s="151">
        <f>BF341*0.055</f>
        <v>451.09569999999997</v>
      </c>
      <c r="BH341" s="151">
        <f t="shared" si="18"/>
        <v>8652.8356999999996</v>
      </c>
      <c r="BI341" s="151">
        <f>(7732.88+200)*1.055</f>
        <v>8369.1883999999991</v>
      </c>
      <c r="BJ341" s="143" t="s">
        <v>144</v>
      </c>
      <c r="BK341" s="143"/>
      <c r="BL341" s="143"/>
      <c r="BM341" s="144" t="s">
        <v>3592</v>
      </c>
      <c r="BN341" s="143">
        <v>2022</v>
      </c>
      <c r="BO341" s="135" t="s">
        <v>155</v>
      </c>
      <c r="BP341" s="143" t="s">
        <v>3583</v>
      </c>
      <c r="BQ341" s="203" t="s">
        <v>144</v>
      </c>
    </row>
    <row r="342" spans="1:69" ht="41.1" customHeight="1">
      <c r="A342" s="218" t="s">
        <v>1420</v>
      </c>
      <c r="B342" s="218" t="s">
        <v>1512</v>
      </c>
      <c r="C342" s="143">
        <v>1000</v>
      </c>
      <c r="D342" s="135">
        <v>44571</v>
      </c>
      <c r="E342" s="135">
        <v>44572</v>
      </c>
      <c r="F342" s="147"/>
      <c r="G342" s="135"/>
      <c r="H342" s="147">
        <v>44574</v>
      </c>
      <c r="I342" s="147">
        <v>44574</v>
      </c>
      <c r="J342" s="147">
        <v>44575</v>
      </c>
      <c r="K342" s="135">
        <v>44697</v>
      </c>
      <c r="L342" s="135">
        <v>44620</v>
      </c>
      <c r="M342" s="135" t="s">
        <v>76</v>
      </c>
      <c r="N342" s="135">
        <v>44768</v>
      </c>
      <c r="O342" s="135">
        <v>44768</v>
      </c>
      <c r="P342" s="135">
        <v>44769</v>
      </c>
      <c r="Q342" s="135"/>
      <c r="R342" s="143"/>
      <c r="S342" s="143"/>
      <c r="T342" s="143"/>
      <c r="U342" s="143">
        <v>2</v>
      </c>
      <c r="V342" s="143">
        <v>12797</v>
      </c>
      <c r="W342" s="143" t="str">
        <f ca="1">IF(H342="",IF(D342="","",IF(U342+V342&lt;15,"Données Nb pers ou RFR manquantes",IF(COUNTA(INDIRECT("TabRFR["&amp;YEAR(D342)&amp;"]"))&lt;&gt;COUNTA(TabRFR[Recherche RFR]),"Data RFR manquantes", IF(V342&lt;=INDEX(TabRFR[[2021]:[2025]],MATCH(BD!U342&amp;"-Très modestes",TabRFR[Recherche RFR],0),MATCH(TEXT(YEAR(BD!D342),"Standard"),TabRFR[[#Headers],[2021]:[2025]],0)),"Très Modeste",IF(V342&lt;=INDEX(TabRFR[[2021]:[2025]],MATCH(BD!U342&amp;"-modestes",TabRFR[Recherche RFR],0),MATCH(TEXT(YEAR(BD!D342),"Standard"),TabRFR[[#Headers],[2021]:[2025]],0)),"Modeste",IF(V342&lt;=INDEX(TabRFR[[2021]:[2025]],MATCH(BD!U342&amp;"-Intermédiaire",TabRFR[Recherche RFR],0),MATCH(TEXT(YEAR(BD!D342),"Standard"),TabRFR[[#Headers],[2021]:[2025]],0)),"Intermédiaire","Supérieur")))))),IF(D342="","",IF(U342+V342&lt;15,"Données Nb pers ou RFR manquantes",IF(COUNTA(INDIRECT("TabRFR["&amp;YEAR(H342)&amp;"]"))&lt;&gt;COUNTA(TabRFR[Recherche RFR]),"Data RFR manquantes", IF(V342&lt;=INDEX(TabRFR[[2021]:[2025]],MATCH(BD!U342&amp;"-Très modestes",TabRFR[Recherche RFR],0),MATCH(TEXT(YEAR(BD!H342),"Standard"),TabRFR[[#Headers],[2021]:[2025]],0)),"Très Modeste",IF(V342&lt;=INDEX(TabRFR[[2021]:[2025]],MATCH(BD!U342&amp;"-modestes",TabRFR[Recherche RFR],0),MATCH(TEXT(YEAR(BD!H342),"Standard"),TabRFR[[#Headers],[2021]:[2025]],0)),"Modeste",IF(V342&lt;=INDEX(TabRFR[[2021]:[2025]],MATCH(BD!U342&amp;"-Intermédiaire",TabRFR[Recherche RFR],0),MATCH(TEXT(YEAR(BD!H342),"Standard"),TabRFR[[#Headers],[2021]:[2025]],0)),"Intermédiaire","Supérieur")))))))</f>
        <v>Très Modeste</v>
      </c>
      <c r="X342" s="143"/>
      <c r="Y342" s="143" t="s">
        <v>1513</v>
      </c>
      <c r="Z342" s="143">
        <v>38850</v>
      </c>
      <c r="AA342" s="143" t="s">
        <v>193</v>
      </c>
      <c r="AB342" s="148"/>
      <c r="AC342" s="149"/>
      <c r="AD342" s="143" t="s">
        <v>91</v>
      </c>
      <c r="AE342" s="143"/>
      <c r="AF342" s="143"/>
      <c r="AG342" s="143"/>
      <c r="AH342" s="143"/>
      <c r="AI342" s="143" t="s">
        <v>92</v>
      </c>
      <c r="AJ342" s="143" t="s">
        <v>93</v>
      </c>
      <c r="AK342" s="143" t="s">
        <v>1459</v>
      </c>
      <c r="AL342" s="150" t="s">
        <v>95</v>
      </c>
      <c r="AM342" s="148" t="s">
        <v>96</v>
      </c>
      <c r="AN342" s="143"/>
      <c r="AO342" s="150" t="s">
        <v>144</v>
      </c>
      <c r="AP342" s="147">
        <v>44821</v>
      </c>
      <c r="AQ342" s="143" t="s">
        <v>3413</v>
      </c>
      <c r="AR342" s="143">
        <v>2000</v>
      </c>
      <c r="AS342" s="143" t="s">
        <v>3413</v>
      </c>
      <c r="AT342" s="143" t="s">
        <v>98</v>
      </c>
      <c r="AU342" s="143" t="s">
        <v>99</v>
      </c>
      <c r="AV342" s="143" t="s">
        <v>1514</v>
      </c>
      <c r="AW342" s="143">
        <v>14</v>
      </c>
      <c r="AX342" s="143">
        <v>6.1</v>
      </c>
      <c r="AY342" s="143">
        <v>94.3</v>
      </c>
      <c r="AZ342" s="143">
        <v>3.0400000000000002E-3</v>
      </c>
      <c r="BA342" s="143" t="s">
        <v>101</v>
      </c>
      <c r="BB342" s="143"/>
      <c r="BC342" s="143">
        <f>3600+1295+185+193</f>
        <v>5273</v>
      </c>
      <c r="BD342" s="143"/>
      <c r="BE342" s="143">
        <v>790</v>
      </c>
      <c r="BF342" s="143">
        <f t="shared" si="16"/>
        <v>6063</v>
      </c>
      <c r="BG342" s="151">
        <f>BF342*0.055</f>
        <v>333.46499999999997</v>
      </c>
      <c r="BH342" s="151">
        <f t="shared" si="18"/>
        <v>6396.4650000000001</v>
      </c>
      <c r="BI342" s="151">
        <v>6396.46</v>
      </c>
      <c r="BJ342" s="143" t="s">
        <v>144</v>
      </c>
      <c r="BK342" s="143"/>
      <c r="BL342" s="143"/>
      <c r="BM342" s="144" t="s">
        <v>3592</v>
      </c>
      <c r="BN342" s="143">
        <v>2022</v>
      </c>
      <c r="BO342" s="135" t="s">
        <v>155</v>
      </c>
      <c r="BP342" s="143" t="s">
        <v>3583</v>
      </c>
      <c r="BQ342" s="203" t="s">
        <v>144</v>
      </c>
    </row>
    <row r="343" spans="1:69" ht="41.1" customHeight="1">
      <c r="A343" s="218" t="s">
        <v>1420</v>
      </c>
      <c r="B343" s="218" t="s">
        <v>1515</v>
      </c>
      <c r="C343" s="143">
        <v>1000</v>
      </c>
      <c r="D343" s="135">
        <v>44571</v>
      </c>
      <c r="E343" s="135">
        <v>44572</v>
      </c>
      <c r="F343" s="147"/>
      <c r="G343" s="135"/>
      <c r="H343" s="147">
        <v>44574</v>
      </c>
      <c r="I343" s="147">
        <v>44574</v>
      </c>
      <c r="J343" s="147">
        <v>44578</v>
      </c>
      <c r="K343" s="135">
        <v>44697</v>
      </c>
      <c r="L343" s="135">
        <v>44645</v>
      </c>
      <c r="M343" s="135" t="s">
        <v>76</v>
      </c>
      <c r="N343" s="135">
        <v>44768</v>
      </c>
      <c r="O343" s="135">
        <v>44768</v>
      </c>
      <c r="P343" s="135">
        <v>44769</v>
      </c>
      <c r="Q343" s="135"/>
      <c r="R343" s="143"/>
      <c r="S343" s="143"/>
      <c r="T343" s="143"/>
      <c r="U343" s="143">
        <v>2</v>
      </c>
      <c r="V343" s="143">
        <v>28413</v>
      </c>
      <c r="W343" s="143" t="str">
        <f ca="1">IF(H343="",IF(D343="","",IF(U343+V343&lt;15,"Données Nb pers ou RFR manquantes",IF(COUNTA(INDIRECT("TabRFR["&amp;YEAR(D343)&amp;"]"))&lt;&gt;COUNTA(TabRFR[Recherche RFR]),"Data RFR manquantes", IF(V343&lt;=INDEX(TabRFR[[2021]:[2025]],MATCH(BD!U343&amp;"-Très modestes",TabRFR[Recherche RFR],0),MATCH(TEXT(YEAR(BD!D343),"Standard"),TabRFR[[#Headers],[2021]:[2025]],0)),"Très Modeste",IF(V343&lt;=INDEX(TabRFR[[2021]:[2025]],MATCH(BD!U343&amp;"-modestes",TabRFR[Recherche RFR],0),MATCH(TEXT(YEAR(BD!D343),"Standard"),TabRFR[[#Headers],[2021]:[2025]],0)),"Modeste",IF(V343&lt;=INDEX(TabRFR[[2021]:[2025]],MATCH(BD!U343&amp;"-Intermédiaire",TabRFR[Recherche RFR],0),MATCH(TEXT(YEAR(BD!D343),"Standard"),TabRFR[[#Headers],[2021]:[2025]],0)),"Intermédiaire","Supérieur")))))),IF(D343="","",IF(U343+V343&lt;15,"Données Nb pers ou RFR manquantes",IF(COUNTA(INDIRECT("TabRFR["&amp;YEAR(H343)&amp;"]"))&lt;&gt;COUNTA(TabRFR[Recherche RFR]),"Data RFR manquantes", IF(V343&lt;=INDEX(TabRFR[[2021]:[2025]],MATCH(BD!U343&amp;"-Très modestes",TabRFR[Recherche RFR],0),MATCH(TEXT(YEAR(BD!H343),"Standard"),TabRFR[[#Headers],[2021]:[2025]],0)),"Très Modeste",IF(V343&lt;=INDEX(TabRFR[[2021]:[2025]],MATCH(BD!U343&amp;"-modestes",TabRFR[Recherche RFR],0),MATCH(TEXT(YEAR(BD!H343),"Standard"),TabRFR[[#Headers],[2021]:[2025]],0)),"Modeste",IF(V343&lt;=INDEX(TabRFR[[2021]:[2025]],MATCH(BD!U343&amp;"-Intermédiaire",TabRFR[Recherche RFR],0),MATCH(TEXT(YEAR(BD!H343),"Standard"),TabRFR[[#Headers],[2021]:[2025]],0)),"Intermédiaire","Supérieur")))))))</f>
        <v>Modeste</v>
      </c>
      <c r="X343" s="143"/>
      <c r="Y343" s="143" t="s">
        <v>1513</v>
      </c>
      <c r="Z343" s="143">
        <v>38850</v>
      </c>
      <c r="AA343" s="143" t="s">
        <v>193</v>
      </c>
      <c r="AB343" s="148"/>
      <c r="AC343" s="149"/>
      <c r="AD343" s="143" t="s">
        <v>91</v>
      </c>
      <c r="AE343" s="143"/>
      <c r="AF343" s="143"/>
      <c r="AG343" s="143"/>
      <c r="AH343" s="143"/>
      <c r="AI343" s="143" t="s">
        <v>92</v>
      </c>
      <c r="AJ343" s="143" t="s">
        <v>93</v>
      </c>
      <c r="AK343" s="143" t="s">
        <v>1459</v>
      </c>
      <c r="AL343" s="150" t="s">
        <v>95</v>
      </c>
      <c r="AM343" s="148" t="s">
        <v>96</v>
      </c>
      <c r="AN343" s="143"/>
      <c r="AO343" s="150" t="s">
        <v>144</v>
      </c>
      <c r="AP343" s="147">
        <v>44821</v>
      </c>
      <c r="AQ343" s="143" t="s">
        <v>3413</v>
      </c>
      <c r="AR343" s="143">
        <v>1998</v>
      </c>
      <c r="AS343" s="143" t="s">
        <v>3413</v>
      </c>
      <c r="AT343" s="143" t="s">
        <v>98</v>
      </c>
      <c r="AU343" s="143" t="s">
        <v>99</v>
      </c>
      <c r="AV343" s="143" t="s">
        <v>1514</v>
      </c>
      <c r="AW343" s="143">
        <v>14</v>
      </c>
      <c r="AX343" s="143">
        <v>6.1</v>
      </c>
      <c r="AY343" s="143">
        <v>94.3</v>
      </c>
      <c r="AZ343" s="143">
        <v>3.0400000000000002E-3</v>
      </c>
      <c r="BA343" s="143" t="s">
        <v>101</v>
      </c>
      <c r="BB343" s="143"/>
      <c r="BC343" s="143">
        <f>3600+1295+185+193</f>
        <v>5273</v>
      </c>
      <c r="BD343" s="143"/>
      <c r="BE343" s="143">
        <v>790</v>
      </c>
      <c r="BF343" s="143">
        <f t="shared" si="16"/>
        <v>6063</v>
      </c>
      <c r="BG343" s="151">
        <f>BF343*0.055</f>
        <v>333.46499999999997</v>
      </c>
      <c r="BH343" s="151">
        <f t="shared" si="18"/>
        <v>6396.4650000000001</v>
      </c>
      <c r="BI343" s="151">
        <v>6396.46</v>
      </c>
      <c r="BJ343" s="143" t="s">
        <v>144</v>
      </c>
      <c r="BK343" s="143"/>
      <c r="BL343" s="143"/>
      <c r="BM343" s="144" t="s">
        <v>3592</v>
      </c>
      <c r="BN343" s="143">
        <v>2022</v>
      </c>
      <c r="BO343" s="135" t="s">
        <v>155</v>
      </c>
      <c r="BP343" s="143" t="s">
        <v>3583</v>
      </c>
      <c r="BQ343" s="203" t="s">
        <v>144</v>
      </c>
    </row>
    <row r="344" spans="1:69" ht="41.1" customHeight="1">
      <c r="A344" s="145" t="s">
        <v>1420</v>
      </c>
      <c r="B344" s="145" t="s">
        <v>1516</v>
      </c>
      <c r="C344" s="143">
        <v>600</v>
      </c>
      <c r="D344" s="135">
        <v>44571</v>
      </c>
      <c r="E344" s="135">
        <v>44572</v>
      </c>
      <c r="F344" s="147">
        <v>44574</v>
      </c>
      <c r="G344" s="135" t="s">
        <v>1498</v>
      </c>
      <c r="H344" s="147"/>
      <c r="I344" s="147"/>
      <c r="J344" s="147"/>
      <c r="K344" s="135">
        <v>45063</v>
      </c>
      <c r="L344" s="135">
        <v>45033</v>
      </c>
      <c r="M344" s="135" t="s">
        <v>76</v>
      </c>
      <c r="N344" s="135"/>
      <c r="O344" s="135"/>
      <c r="P344" s="135"/>
      <c r="Q344" s="135">
        <v>44930</v>
      </c>
      <c r="R344" s="143" t="s">
        <v>1517</v>
      </c>
      <c r="S344" s="143"/>
      <c r="T344" s="143"/>
      <c r="U344" s="143">
        <v>2</v>
      </c>
      <c r="V344" s="143">
        <v>32457</v>
      </c>
      <c r="W344" s="143" t="str">
        <f ca="1">IF(H344="",IF(D344="","",IF(U344+V344&lt;15,"Données Nb pers ou RFR manquantes",IF(COUNTA(INDIRECT("TabRFR["&amp;YEAR(D344)&amp;"]"))&lt;&gt;COUNTA(TabRFR[Recherche RFR]),"Data RFR manquantes", IF(V344&lt;=INDEX(TabRFR[[2021]:[2025]],MATCH(BD!U344&amp;"-Très modestes",TabRFR[Recherche RFR],0),MATCH(TEXT(YEAR(BD!D344),"Standard"),TabRFR[[#Headers],[2021]:[2025]],0)),"Très Modeste",IF(V344&lt;=INDEX(TabRFR[[2021]:[2025]],MATCH(BD!U344&amp;"-modestes",TabRFR[Recherche RFR],0),MATCH(TEXT(YEAR(BD!D344),"Standard"),TabRFR[[#Headers],[2021]:[2025]],0)),"Modeste",IF(V344&lt;=INDEX(TabRFR[[2021]:[2025]],MATCH(BD!U344&amp;"-Intermédiaire",TabRFR[Recherche RFR],0),MATCH(TEXT(YEAR(BD!D344),"Standard"),TabRFR[[#Headers],[2021]:[2025]],0)),"Intermédiaire","Supérieur")))))),IF(D344="","",IF(U344+V344&lt;15,"Données Nb pers ou RFR manquantes",IF(COUNTA(INDIRECT("TabRFR["&amp;YEAR(H344)&amp;"]"))&lt;&gt;COUNTA(TabRFR[Recherche RFR]),"Data RFR manquantes", IF(V344&lt;=INDEX(TabRFR[[2021]:[2025]],MATCH(BD!U344&amp;"-Très modestes",TabRFR[Recherche RFR],0),MATCH(TEXT(YEAR(BD!H344),"Standard"),TabRFR[[#Headers],[2021]:[2025]],0)),"Très Modeste",IF(V344&lt;=INDEX(TabRFR[[2021]:[2025]],MATCH(BD!U344&amp;"-modestes",TabRFR[Recherche RFR],0),MATCH(TEXT(YEAR(BD!H344),"Standard"),TabRFR[[#Headers],[2021]:[2025]],0)),"Modeste",IF(V344&lt;=INDEX(TabRFR[[2021]:[2025]],MATCH(BD!U344&amp;"-Intermédiaire",TabRFR[Recherche RFR],0),MATCH(TEXT(YEAR(BD!H344),"Standard"),TabRFR[[#Headers],[2021]:[2025]],0)),"Intermédiaire","Supérieur")))))))</f>
        <v>Intermédiaire</v>
      </c>
      <c r="X344" s="143"/>
      <c r="Y344" s="143" t="s">
        <v>1518</v>
      </c>
      <c r="Z344" s="143">
        <v>38620</v>
      </c>
      <c r="AA344" s="143" t="s">
        <v>680</v>
      </c>
      <c r="AB344" s="148"/>
      <c r="AC344" s="149"/>
      <c r="AD344" s="143" t="s">
        <v>91</v>
      </c>
      <c r="AE344" s="143"/>
      <c r="AF344" s="143"/>
      <c r="AG344" s="143"/>
      <c r="AH344" s="143"/>
      <c r="AI344" s="135" t="s">
        <v>1988</v>
      </c>
      <c r="AJ344" s="143" t="s">
        <v>93</v>
      </c>
      <c r="AK344" s="143" t="s">
        <v>1519</v>
      </c>
      <c r="AL344" s="150" t="s">
        <v>95</v>
      </c>
      <c r="AM344" s="148" t="s">
        <v>96</v>
      </c>
      <c r="AN344" s="143"/>
      <c r="AO344" s="150" t="s">
        <v>144</v>
      </c>
      <c r="AP344" s="147">
        <v>45186</v>
      </c>
      <c r="AQ344" s="135" t="s">
        <v>3496</v>
      </c>
      <c r="AR344" s="143">
        <v>1999</v>
      </c>
      <c r="AS344" s="143" t="s">
        <v>3413</v>
      </c>
      <c r="AT344" s="143" t="s">
        <v>98</v>
      </c>
      <c r="AU344" s="143" t="s">
        <v>1520</v>
      </c>
      <c r="AV344" s="143" t="s">
        <v>1521</v>
      </c>
      <c r="AW344" s="143"/>
      <c r="AX344" s="143"/>
      <c r="AY344" s="143"/>
      <c r="AZ344" s="143"/>
      <c r="BA344" s="143" t="s">
        <v>101</v>
      </c>
      <c r="BB344" s="143"/>
      <c r="BC344" s="143">
        <f>4290+996+193</f>
        <v>5479</v>
      </c>
      <c r="BD344" s="143"/>
      <c r="BE344" s="143">
        <v>790</v>
      </c>
      <c r="BF344" s="143">
        <f t="shared" si="16"/>
        <v>6269</v>
      </c>
      <c r="BG344" s="151">
        <f>BF344*0.055</f>
        <v>344.79500000000002</v>
      </c>
      <c r="BH344" s="151">
        <f t="shared" si="18"/>
        <v>6613.7950000000001</v>
      </c>
      <c r="BI344" s="151">
        <v>6613.8</v>
      </c>
      <c r="BJ344" s="143" t="s">
        <v>102</v>
      </c>
      <c r="BK344" s="143"/>
      <c r="BL344" s="143"/>
      <c r="BM344" s="144">
        <v>0</v>
      </c>
      <c r="BN344" s="153" t="s">
        <v>1496</v>
      </c>
      <c r="BO344" s="144" t="s">
        <v>103</v>
      </c>
      <c r="BP344" s="203" t="s">
        <v>3582</v>
      </c>
      <c r="BQ344" s="203" t="s">
        <v>3273</v>
      </c>
    </row>
    <row r="345" spans="1:69" ht="41.1" customHeight="1">
      <c r="A345" s="218" t="s">
        <v>1420</v>
      </c>
      <c r="B345" s="218" t="s">
        <v>1522</v>
      </c>
      <c r="C345" s="143">
        <v>1000</v>
      </c>
      <c r="D345" s="135">
        <v>44558</v>
      </c>
      <c r="E345" s="135">
        <v>44578</v>
      </c>
      <c r="F345" s="147">
        <v>44585</v>
      </c>
      <c r="G345" s="135" t="s">
        <v>1523</v>
      </c>
      <c r="H345" s="147">
        <v>44601</v>
      </c>
      <c r="I345" s="147">
        <v>44601</v>
      </c>
      <c r="J345" s="147">
        <v>44575</v>
      </c>
      <c r="K345" s="135">
        <v>44711</v>
      </c>
      <c r="L345" s="135">
        <v>44691</v>
      </c>
      <c r="M345" s="135" t="s">
        <v>76</v>
      </c>
      <c r="N345" s="135">
        <v>44768</v>
      </c>
      <c r="O345" s="135">
        <v>44768</v>
      </c>
      <c r="P345" s="135">
        <v>44769</v>
      </c>
      <c r="Q345" s="135"/>
      <c r="R345" s="143"/>
      <c r="S345" s="143"/>
      <c r="T345" s="143"/>
      <c r="U345" s="143">
        <v>3</v>
      </c>
      <c r="V345" s="143">
        <v>29404</v>
      </c>
      <c r="W345" s="143" t="str">
        <f ca="1">IF(H345="",IF(D345="","",IF(U345+V345&lt;15,"Données Nb pers ou RFR manquantes",IF(COUNTA(INDIRECT("TabRFR["&amp;YEAR(D345)&amp;"]"))&lt;&gt;COUNTA(TabRFR[Recherche RFR]),"Data RFR manquantes", IF(V345&lt;=INDEX(TabRFR[[2021]:[2025]],MATCH(BD!U345&amp;"-Très modestes",TabRFR[Recherche RFR],0),MATCH(TEXT(YEAR(BD!D345),"Standard"),TabRFR[[#Headers],[2021]:[2025]],0)),"Très Modeste",IF(V345&lt;=INDEX(TabRFR[[2021]:[2025]],MATCH(BD!U345&amp;"-modestes",TabRFR[Recherche RFR],0),MATCH(TEXT(YEAR(BD!D345),"Standard"),TabRFR[[#Headers],[2021]:[2025]],0)),"Modeste",IF(V345&lt;=INDEX(TabRFR[[2021]:[2025]],MATCH(BD!U345&amp;"-Intermédiaire",TabRFR[Recherche RFR],0),MATCH(TEXT(YEAR(BD!D345),"Standard"),TabRFR[[#Headers],[2021]:[2025]],0)),"Intermédiaire","Supérieur")))))),IF(D345="","",IF(U345+V345&lt;15,"Données Nb pers ou RFR manquantes",IF(COUNTA(INDIRECT("TabRFR["&amp;YEAR(H345)&amp;"]"))&lt;&gt;COUNTA(TabRFR[Recherche RFR]),"Data RFR manquantes", IF(V345&lt;=INDEX(TabRFR[[2021]:[2025]],MATCH(BD!U345&amp;"-Très modestes",TabRFR[Recherche RFR],0),MATCH(TEXT(YEAR(BD!H345),"Standard"),TabRFR[[#Headers],[2021]:[2025]],0)),"Très Modeste",IF(V345&lt;=INDEX(TabRFR[[2021]:[2025]],MATCH(BD!U345&amp;"-modestes",TabRFR[Recherche RFR],0),MATCH(TEXT(YEAR(BD!H345),"Standard"),TabRFR[[#Headers],[2021]:[2025]],0)),"Modeste",IF(V345&lt;=INDEX(TabRFR[[2021]:[2025]],MATCH(BD!U345&amp;"-Intermédiaire",TabRFR[Recherche RFR],0),MATCH(TEXT(YEAR(BD!H345),"Standard"),TabRFR[[#Headers],[2021]:[2025]],0)),"Intermédiaire","Supérieur")))))))</f>
        <v>Modeste</v>
      </c>
      <c r="X345" s="143"/>
      <c r="Y345" s="143" t="s">
        <v>1524</v>
      </c>
      <c r="Z345" s="143">
        <v>38850</v>
      </c>
      <c r="AA345" s="143" t="s">
        <v>168</v>
      </c>
      <c r="AB345" s="148"/>
      <c r="AC345" s="149"/>
      <c r="AD345" s="143" t="s">
        <v>91</v>
      </c>
      <c r="AE345" s="143"/>
      <c r="AF345" s="143"/>
      <c r="AG345" s="143"/>
      <c r="AH345" s="143"/>
      <c r="AI345" s="143" t="s">
        <v>120</v>
      </c>
      <c r="AJ345" s="143" t="s">
        <v>121</v>
      </c>
      <c r="AK345" s="143" t="s">
        <v>1525</v>
      </c>
      <c r="AL345" s="150" t="s">
        <v>123</v>
      </c>
      <c r="AM345" s="148" t="s">
        <v>1526</v>
      </c>
      <c r="AN345" s="143"/>
      <c r="AO345" s="150" t="s">
        <v>144</v>
      </c>
      <c r="AP345" s="147">
        <v>44782</v>
      </c>
      <c r="AQ345" s="135" t="s">
        <v>3496</v>
      </c>
      <c r="AR345" s="143">
        <v>1981</v>
      </c>
      <c r="AS345" s="143" t="s">
        <v>3413</v>
      </c>
      <c r="AT345" s="143" t="s">
        <v>98</v>
      </c>
      <c r="AU345" s="143" t="s">
        <v>1527</v>
      </c>
      <c r="AV345" s="143" t="s">
        <v>1528</v>
      </c>
      <c r="AW345" s="143">
        <v>30</v>
      </c>
      <c r="AX345" s="143">
        <v>8</v>
      </c>
      <c r="AY345" s="143">
        <v>86.6</v>
      </c>
      <c r="AZ345" s="155"/>
      <c r="BA345" s="143" t="s">
        <v>126</v>
      </c>
      <c r="BB345" s="143"/>
      <c r="BC345" s="143">
        <v>4530</v>
      </c>
      <c r="BD345" s="143"/>
      <c r="BE345" s="143">
        <v>1030</v>
      </c>
      <c r="BF345" s="143">
        <v>4891</v>
      </c>
      <c r="BG345" s="151">
        <v>269</v>
      </c>
      <c r="BH345" s="151">
        <v>5160</v>
      </c>
      <c r="BI345" s="151">
        <v>5160</v>
      </c>
      <c r="BJ345" s="143" t="s">
        <v>102</v>
      </c>
      <c r="BK345" s="143"/>
      <c r="BL345" s="143"/>
      <c r="BM345" s="144" t="s">
        <v>3592</v>
      </c>
      <c r="BN345" s="143">
        <v>2022</v>
      </c>
      <c r="BO345" s="135" t="s">
        <v>155</v>
      </c>
      <c r="BP345" s="143" t="s">
        <v>3583</v>
      </c>
      <c r="BQ345" s="203" t="s">
        <v>144</v>
      </c>
    </row>
    <row r="346" spans="1:69" ht="41.1" customHeight="1">
      <c r="A346" s="218" t="s">
        <v>1529</v>
      </c>
      <c r="B346" s="218" t="s">
        <v>1530</v>
      </c>
      <c r="C346" s="143">
        <v>600</v>
      </c>
      <c r="D346" s="135">
        <v>44580</v>
      </c>
      <c r="E346" s="135">
        <v>44593</v>
      </c>
      <c r="F346" s="147"/>
      <c r="G346" s="135" t="s">
        <v>1531</v>
      </c>
      <c r="H346" s="147">
        <v>44623</v>
      </c>
      <c r="I346" s="147">
        <v>44623</v>
      </c>
      <c r="J346" s="147">
        <v>44628</v>
      </c>
      <c r="K346" s="135">
        <v>44767</v>
      </c>
      <c r="L346" s="135">
        <v>44715</v>
      </c>
      <c r="M346" s="135" t="s">
        <v>76</v>
      </c>
      <c r="N346" s="135">
        <v>44795</v>
      </c>
      <c r="O346" s="135">
        <v>44795</v>
      </c>
      <c r="P346" s="135">
        <v>44796</v>
      </c>
      <c r="Q346" s="135"/>
      <c r="R346" s="161"/>
      <c r="S346" s="143"/>
      <c r="T346" s="143"/>
      <c r="U346" s="143">
        <v>1</v>
      </c>
      <c r="V346" s="143">
        <v>20794</v>
      </c>
      <c r="W346" s="143" t="str">
        <f ca="1">IF(H346="",IF(D346="","",IF(U346+V346&lt;15,"Données Nb pers ou RFR manquantes",IF(COUNTA(INDIRECT("TabRFR["&amp;YEAR(D346)&amp;"]"))&lt;&gt;COUNTA(TabRFR[Recherche RFR]),"Data RFR manquantes", IF(V346&lt;=INDEX(TabRFR[[2021]:[2025]],MATCH(BD!U346&amp;"-Très modestes",TabRFR[Recherche RFR],0),MATCH(TEXT(YEAR(BD!D346),"Standard"),TabRFR[[#Headers],[2021]:[2025]],0)),"Très Modeste",IF(V346&lt;=INDEX(TabRFR[[2021]:[2025]],MATCH(BD!U346&amp;"-modestes",TabRFR[Recherche RFR],0),MATCH(TEXT(YEAR(BD!D346),"Standard"),TabRFR[[#Headers],[2021]:[2025]],0)),"Modeste",IF(V346&lt;=INDEX(TabRFR[[2021]:[2025]],MATCH(BD!U346&amp;"-Intermédiaire",TabRFR[Recherche RFR],0),MATCH(TEXT(YEAR(BD!D346),"Standard"),TabRFR[[#Headers],[2021]:[2025]],0)),"Intermédiaire","Supérieur")))))),IF(D346="","",IF(U346+V346&lt;15,"Données Nb pers ou RFR manquantes",IF(COUNTA(INDIRECT("TabRFR["&amp;YEAR(H346)&amp;"]"))&lt;&gt;COUNTA(TabRFR[Recherche RFR]),"Data RFR manquantes", IF(V346&lt;=INDEX(TabRFR[[2021]:[2025]],MATCH(BD!U346&amp;"-Très modestes",TabRFR[Recherche RFR],0),MATCH(TEXT(YEAR(BD!H346),"Standard"),TabRFR[[#Headers],[2021]:[2025]],0)),"Très Modeste",IF(V346&lt;=INDEX(TabRFR[[2021]:[2025]],MATCH(BD!U346&amp;"-modestes",TabRFR[Recherche RFR],0),MATCH(TEXT(YEAR(BD!H346),"Standard"),TabRFR[[#Headers],[2021]:[2025]],0)),"Modeste",IF(V346&lt;=INDEX(TabRFR[[2021]:[2025]],MATCH(BD!U346&amp;"-Intermédiaire",TabRFR[Recherche RFR],0),MATCH(TEXT(YEAR(BD!H346),"Standard"),TabRFR[[#Headers],[2021]:[2025]],0)),"Intermédiaire","Supérieur")))))))</f>
        <v>Intermédiaire</v>
      </c>
      <c r="X346" s="143"/>
      <c r="Y346" s="143" t="s">
        <v>1532</v>
      </c>
      <c r="Z346" s="143">
        <v>38430</v>
      </c>
      <c r="AA346" s="143" t="s">
        <v>351</v>
      </c>
      <c r="AB346" s="148"/>
      <c r="AC346" s="149"/>
      <c r="AD346" s="143"/>
      <c r="AE346" s="143"/>
      <c r="AF346" s="143"/>
      <c r="AG346" s="143"/>
      <c r="AH346" s="143"/>
      <c r="AI346" s="143" t="s">
        <v>109</v>
      </c>
      <c r="AJ346" s="143" t="s">
        <v>108</v>
      </c>
      <c r="AK346" s="143" t="s">
        <v>110</v>
      </c>
      <c r="AL346" s="149" t="s">
        <v>111</v>
      </c>
      <c r="AM346" s="148" t="s">
        <v>112</v>
      </c>
      <c r="AN346" s="143" t="s">
        <v>76</v>
      </c>
      <c r="AO346" s="150" t="s">
        <v>102</v>
      </c>
      <c r="AP346" s="147">
        <v>44868</v>
      </c>
      <c r="AQ346" s="143" t="s">
        <v>3413</v>
      </c>
      <c r="AR346" s="143">
        <v>1996</v>
      </c>
      <c r="AS346" s="143" t="s">
        <v>3413</v>
      </c>
      <c r="AT346" s="143" t="s">
        <v>98</v>
      </c>
      <c r="AU346" s="143" t="s">
        <v>113</v>
      </c>
      <c r="AV346" s="143" t="s">
        <v>1533</v>
      </c>
      <c r="AW346" s="143">
        <v>18</v>
      </c>
      <c r="AX346" s="143">
        <v>10</v>
      </c>
      <c r="AY346" s="143">
        <v>90.4</v>
      </c>
      <c r="AZ346" s="143">
        <v>3.0400000000000002E-3</v>
      </c>
      <c r="BA346" s="143" t="s">
        <v>101</v>
      </c>
      <c r="BB346" s="143"/>
      <c r="BC346" s="143">
        <v>4015</v>
      </c>
      <c r="BD346" s="143"/>
      <c r="BE346" s="143">
        <v>485</v>
      </c>
      <c r="BF346" s="143">
        <v>4500</v>
      </c>
      <c r="BG346" s="151">
        <v>2470.5</v>
      </c>
      <c r="BH346" s="151">
        <v>4747.5</v>
      </c>
      <c r="BI346" s="151">
        <v>4747.5</v>
      </c>
      <c r="BJ346" s="143" t="s">
        <v>115</v>
      </c>
      <c r="BK346" s="143"/>
      <c r="BL346" s="143"/>
      <c r="BM346" s="144" t="s">
        <v>3592</v>
      </c>
      <c r="BN346" s="143">
        <v>2022</v>
      </c>
      <c r="BO346" s="144" t="s">
        <v>143</v>
      </c>
      <c r="BP346" s="143" t="s">
        <v>3583</v>
      </c>
      <c r="BQ346" s="203" t="s">
        <v>3274</v>
      </c>
    </row>
    <row r="347" spans="1:69" s="163" customFormat="1" ht="41.1" customHeight="1">
      <c r="A347" s="218" t="s">
        <v>1420</v>
      </c>
      <c r="B347" s="218" t="s">
        <v>1534</v>
      </c>
      <c r="C347" s="143">
        <v>600</v>
      </c>
      <c r="D347" s="135">
        <v>44574</v>
      </c>
      <c r="E347" s="135">
        <v>44578</v>
      </c>
      <c r="F347" s="147">
        <v>44585</v>
      </c>
      <c r="G347" s="135" t="s">
        <v>1535</v>
      </c>
      <c r="H347" s="147">
        <v>44606</v>
      </c>
      <c r="I347" s="147">
        <v>44606</v>
      </c>
      <c r="J347" s="147">
        <v>44614</v>
      </c>
      <c r="K347" s="135">
        <v>44662</v>
      </c>
      <c r="L347" s="135">
        <v>44637</v>
      </c>
      <c r="M347" s="135"/>
      <c r="N347" s="135">
        <v>44679</v>
      </c>
      <c r="O347" s="135">
        <v>44679</v>
      </c>
      <c r="P347" s="135">
        <v>44679</v>
      </c>
      <c r="Q347" s="135"/>
      <c r="R347" s="143"/>
      <c r="S347" s="143"/>
      <c r="T347" s="143"/>
      <c r="U347" s="143">
        <v>3</v>
      </c>
      <c r="V347" s="143">
        <f>21798+22293</f>
        <v>44091</v>
      </c>
      <c r="W347" s="143" t="str">
        <f ca="1">IF(H347="",IF(D347="","",IF(U347+V347&lt;15,"Données Nb pers ou RFR manquantes",IF(COUNTA(INDIRECT("TabRFR["&amp;YEAR(D347)&amp;"]"))&lt;&gt;COUNTA(TabRFR[Recherche RFR]),"Data RFR manquantes", IF(V347&lt;=INDEX(TabRFR[[2021]:[2025]],MATCH(BD!U347&amp;"-Très modestes",TabRFR[Recherche RFR],0),MATCH(TEXT(YEAR(BD!D347),"Standard"),TabRFR[[#Headers],[2021]:[2025]],0)),"Très Modeste",IF(V347&lt;=INDEX(TabRFR[[2021]:[2025]],MATCH(BD!U347&amp;"-modestes",TabRFR[Recherche RFR],0),MATCH(TEXT(YEAR(BD!D347),"Standard"),TabRFR[[#Headers],[2021]:[2025]],0)),"Modeste",IF(V347&lt;=INDEX(TabRFR[[2021]:[2025]],MATCH(BD!U347&amp;"-Intermédiaire",TabRFR[Recherche RFR],0),MATCH(TEXT(YEAR(BD!D347),"Standard"),TabRFR[[#Headers],[2021]:[2025]],0)),"Intermédiaire","Supérieur")))))),IF(D347="","",IF(U347+V347&lt;15,"Données Nb pers ou RFR manquantes",IF(COUNTA(INDIRECT("TabRFR["&amp;YEAR(H347)&amp;"]"))&lt;&gt;COUNTA(TabRFR[Recherche RFR]),"Data RFR manquantes", IF(V347&lt;=INDEX(TabRFR[[2021]:[2025]],MATCH(BD!U347&amp;"-Très modestes",TabRFR[Recherche RFR],0),MATCH(TEXT(YEAR(BD!H347),"Standard"),TabRFR[[#Headers],[2021]:[2025]],0)),"Très Modeste",IF(V347&lt;=INDEX(TabRFR[[2021]:[2025]],MATCH(BD!U347&amp;"-modestes",TabRFR[Recherche RFR],0),MATCH(TEXT(YEAR(BD!H347),"Standard"),TabRFR[[#Headers],[2021]:[2025]],0)),"Modeste",IF(V347&lt;=INDEX(TabRFR[[2021]:[2025]],MATCH(BD!U347&amp;"-Intermédiaire",TabRFR[Recherche RFR],0),MATCH(TEXT(YEAR(BD!H347),"Standard"),TabRFR[[#Headers],[2021]:[2025]],0)),"Intermédiaire","Supérieur")))))))</f>
        <v>Intermédiaire</v>
      </c>
      <c r="X347" s="162"/>
      <c r="Y347" s="143" t="s">
        <v>1536</v>
      </c>
      <c r="Z347" s="143">
        <v>38430</v>
      </c>
      <c r="AA347" s="143" t="s">
        <v>119</v>
      </c>
      <c r="AB347" s="143"/>
      <c r="AC347" s="149"/>
      <c r="AD347" s="143" t="s">
        <v>91</v>
      </c>
      <c r="AE347" s="143"/>
      <c r="AF347" s="143"/>
      <c r="AG347" s="143"/>
      <c r="AH347" s="143"/>
      <c r="AI347" s="143" t="s">
        <v>160</v>
      </c>
      <c r="AJ347" s="143" t="s">
        <v>161</v>
      </c>
      <c r="AK347" s="143" t="s">
        <v>1429</v>
      </c>
      <c r="AL347" s="150" t="s">
        <v>228</v>
      </c>
      <c r="AM347" s="148" t="s">
        <v>1389</v>
      </c>
      <c r="AN347" s="143" t="s">
        <v>76</v>
      </c>
      <c r="AO347" s="150" t="s">
        <v>102</v>
      </c>
      <c r="AP347" s="147">
        <v>44641</v>
      </c>
      <c r="AQ347" s="135" t="s">
        <v>3449</v>
      </c>
      <c r="AR347" s="143">
        <v>1975</v>
      </c>
      <c r="AS347" s="135" t="s">
        <v>3496</v>
      </c>
      <c r="AT347" s="135" t="s">
        <v>3446</v>
      </c>
      <c r="AU347" s="143" t="s">
        <v>1430</v>
      </c>
      <c r="AV347" s="143" t="s">
        <v>1537</v>
      </c>
      <c r="AW347" s="143">
        <v>34</v>
      </c>
      <c r="AX347" s="143">
        <v>8.8000000000000007</v>
      </c>
      <c r="AY347" s="143">
        <v>78.2</v>
      </c>
      <c r="AZ347" s="143">
        <v>0.1</v>
      </c>
      <c r="BA347" s="143" t="s">
        <v>101</v>
      </c>
      <c r="BB347" s="143"/>
      <c r="BC347" s="143">
        <f>115+2563+1109+920</f>
        <v>4707</v>
      </c>
      <c r="BD347" s="143"/>
      <c r="BE347" s="143">
        <v>891</v>
      </c>
      <c r="BF347" s="143">
        <f>BC347+BE347</f>
        <v>5598</v>
      </c>
      <c r="BG347" s="151">
        <f>BF347*0.055</f>
        <v>307.89</v>
      </c>
      <c r="BH347" s="151">
        <f>BF347*1.055</f>
        <v>5905.8899999999994</v>
      </c>
      <c r="BI347" s="151">
        <v>6050</v>
      </c>
      <c r="BJ347" s="143" t="s">
        <v>103</v>
      </c>
      <c r="BK347" s="143"/>
      <c r="BL347" s="143"/>
      <c r="BM347" s="144" t="s">
        <v>3592</v>
      </c>
      <c r="BN347" s="143">
        <v>2022</v>
      </c>
      <c r="BO347" s="144" t="s">
        <v>143</v>
      </c>
      <c r="BP347" s="144">
        <v>2022</v>
      </c>
      <c r="BQ347" s="203" t="s">
        <v>3274</v>
      </c>
    </row>
    <row r="348" spans="1:69" ht="41.1" customHeight="1">
      <c r="A348" s="218" t="s">
        <v>1420</v>
      </c>
      <c r="B348" s="218" t="s">
        <v>1538</v>
      </c>
      <c r="C348" s="143">
        <v>600</v>
      </c>
      <c r="D348" s="135">
        <v>44578</v>
      </c>
      <c r="E348" s="135">
        <v>44578</v>
      </c>
      <c r="F348" s="147">
        <v>44585</v>
      </c>
      <c r="G348" s="135" t="s">
        <v>1539</v>
      </c>
      <c r="H348" s="147">
        <v>44615</v>
      </c>
      <c r="I348" s="147">
        <v>44615</v>
      </c>
      <c r="J348" s="147">
        <v>44617</v>
      </c>
      <c r="K348" s="135">
        <v>44896</v>
      </c>
      <c r="L348" s="135">
        <v>44887</v>
      </c>
      <c r="M348" s="135" t="s">
        <v>76</v>
      </c>
      <c r="N348" s="135">
        <v>44915</v>
      </c>
      <c r="O348" s="135">
        <v>44915</v>
      </c>
      <c r="P348" s="135">
        <v>44932</v>
      </c>
      <c r="Q348" s="135"/>
      <c r="R348" s="143"/>
      <c r="S348" s="143"/>
      <c r="T348" s="143"/>
      <c r="U348" s="143">
        <v>2</v>
      </c>
      <c r="V348" s="143">
        <f>12527+23458</f>
        <v>35985</v>
      </c>
      <c r="W348" s="143" t="str">
        <f ca="1">IF(H348="",IF(D348="","",IF(U348+V348&lt;15,"Données Nb pers ou RFR manquantes",IF(COUNTA(INDIRECT("TabRFR["&amp;YEAR(D348)&amp;"]"))&lt;&gt;COUNTA(TabRFR[Recherche RFR]),"Data RFR manquantes", IF(V348&lt;=INDEX(TabRFR[[2021]:[2025]],MATCH(BD!U348&amp;"-Très modestes",TabRFR[Recherche RFR],0),MATCH(TEXT(YEAR(BD!D348),"Standard"),TabRFR[[#Headers],[2021]:[2025]],0)),"Très Modeste",IF(V348&lt;=INDEX(TabRFR[[2021]:[2025]],MATCH(BD!U348&amp;"-modestes",TabRFR[Recherche RFR],0),MATCH(TEXT(YEAR(BD!D348),"Standard"),TabRFR[[#Headers],[2021]:[2025]],0)),"Modeste",IF(V348&lt;=INDEX(TabRFR[[2021]:[2025]],MATCH(BD!U348&amp;"-Intermédiaire",TabRFR[Recherche RFR],0),MATCH(TEXT(YEAR(BD!D348),"Standard"),TabRFR[[#Headers],[2021]:[2025]],0)),"Intermédiaire","Supérieur")))))),IF(D348="","",IF(U348+V348&lt;15,"Données Nb pers ou RFR manquantes",IF(COUNTA(INDIRECT("TabRFR["&amp;YEAR(H348)&amp;"]"))&lt;&gt;COUNTA(TabRFR[Recherche RFR]),"Data RFR manquantes", IF(V348&lt;=INDEX(TabRFR[[2021]:[2025]],MATCH(BD!U348&amp;"-Très modestes",TabRFR[Recherche RFR],0),MATCH(TEXT(YEAR(BD!H348),"Standard"),TabRFR[[#Headers],[2021]:[2025]],0)),"Très Modeste",IF(V348&lt;=INDEX(TabRFR[[2021]:[2025]],MATCH(BD!U348&amp;"-modestes",TabRFR[Recherche RFR],0),MATCH(TEXT(YEAR(BD!H348),"Standard"),TabRFR[[#Headers],[2021]:[2025]],0)),"Modeste",IF(V348&lt;=INDEX(TabRFR[[2021]:[2025]],MATCH(BD!U348&amp;"-Intermédiaire",TabRFR[Recherche RFR],0),MATCH(TEXT(YEAR(BD!H348),"Standard"),TabRFR[[#Headers],[2021]:[2025]],0)),"Intermédiaire","Supérieur")))))))</f>
        <v>Intermédiaire</v>
      </c>
      <c r="X348" s="164"/>
      <c r="Y348" s="143" t="s">
        <v>1540</v>
      </c>
      <c r="Z348" s="143">
        <v>38430</v>
      </c>
      <c r="AA348" s="143" t="s">
        <v>119</v>
      </c>
      <c r="AB348" s="148"/>
      <c r="AC348" s="149"/>
      <c r="AD348" s="143" t="s">
        <v>91</v>
      </c>
      <c r="AE348" s="143"/>
      <c r="AF348" s="143"/>
      <c r="AG348" s="143"/>
      <c r="AH348" s="143"/>
      <c r="AI348" s="143" t="s">
        <v>120</v>
      </c>
      <c r="AJ348" s="143" t="s">
        <v>121</v>
      </c>
      <c r="AK348" s="143" t="s">
        <v>1525</v>
      </c>
      <c r="AL348" s="150" t="s">
        <v>123</v>
      </c>
      <c r="AM348" s="148" t="s">
        <v>1526</v>
      </c>
      <c r="AN348" s="143"/>
      <c r="AO348" s="156" t="s">
        <v>144</v>
      </c>
      <c r="AP348" s="147">
        <v>44782</v>
      </c>
      <c r="AQ348" s="143" t="s">
        <v>3413</v>
      </c>
      <c r="AR348" s="143">
        <v>2001</v>
      </c>
      <c r="AS348" s="143" t="s">
        <v>3413</v>
      </c>
      <c r="AT348" s="143" t="s">
        <v>98</v>
      </c>
      <c r="AU348" s="143" t="s">
        <v>1541</v>
      </c>
      <c r="AV348" s="143" t="s">
        <v>1542</v>
      </c>
      <c r="AW348" s="143">
        <v>15</v>
      </c>
      <c r="AX348" s="143">
        <v>10.4</v>
      </c>
      <c r="AY348" s="143">
        <v>79.8</v>
      </c>
      <c r="AZ348" s="143">
        <v>145</v>
      </c>
      <c r="BA348" s="143" t="s">
        <v>126</v>
      </c>
      <c r="BB348" s="143"/>
      <c r="BC348" s="143">
        <f>3851+138+274+255+105+332+110</f>
        <v>5065</v>
      </c>
      <c r="BD348" s="143"/>
      <c r="BE348" s="143">
        <v>617</v>
      </c>
      <c r="BF348" s="143">
        <f>BC348+BE348</f>
        <v>5682</v>
      </c>
      <c r="BG348" s="151">
        <f>BF348*0.055</f>
        <v>312.51</v>
      </c>
      <c r="BH348" s="151">
        <f>BF348+BG348</f>
        <v>5994.51</v>
      </c>
      <c r="BI348" s="151">
        <v>5994.51</v>
      </c>
      <c r="BJ348" s="143" t="s">
        <v>102</v>
      </c>
      <c r="BK348" s="143"/>
      <c r="BL348" s="143"/>
      <c r="BM348" s="144" t="s">
        <v>3592</v>
      </c>
      <c r="BN348" s="143">
        <v>2022</v>
      </c>
      <c r="BO348" s="144" t="s">
        <v>143</v>
      </c>
      <c r="BP348" s="143" t="s">
        <v>3583</v>
      </c>
      <c r="BQ348" s="203" t="s">
        <v>144</v>
      </c>
    </row>
    <row r="349" spans="1:69" ht="41.1" customHeight="1">
      <c r="A349" s="218" t="s">
        <v>1420</v>
      </c>
      <c r="B349" s="218" t="s">
        <v>1543</v>
      </c>
      <c r="C349" s="143">
        <v>1000</v>
      </c>
      <c r="D349" s="135">
        <v>44579</v>
      </c>
      <c r="E349" s="135">
        <v>44579</v>
      </c>
      <c r="F349" s="147">
        <v>44585</v>
      </c>
      <c r="G349" s="135" t="s">
        <v>1544</v>
      </c>
      <c r="H349" s="147">
        <v>44585</v>
      </c>
      <c r="I349" s="147">
        <v>44585</v>
      </c>
      <c r="J349" s="147">
        <v>44587</v>
      </c>
      <c r="K349" s="135">
        <v>44837</v>
      </c>
      <c r="L349" s="135">
        <v>44813</v>
      </c>
      <c r="M349" s="135" t="s">
        <v>76</v>
      </c>
      <c r="N349" s="135">
        <v>44873</v>
      </c>
      <c r="O349" s="135">
        <v>44873</v>
      </c>
      <c r="P349" s="135">
        <v>44879</v>
      </c>
      <c r="Q349" s="135"/>
      <c r="R349" s="143"/>
      <c r="S349" s="143"/>
      <c r="T349" s="143"/>
      <c r="U349" s="143">
        <v>3</v>
      </c>
      <c r="V349" s="143">
        <v>27515</v>
      </c>
      <c r="W349" s="143" t="str">
        <f ca="1">IF(H349="",IF(D349="","",IF(U349+V349&lt;15,"Données Nb pers ou RFR manquantes",IF(COUNTA(INDIRECT("TabRFR["&amp;YEAR(D349)&amp;"]"))&lt;&gt;COUNTA(TabRFR[Recherche RFR]),"Data RFR manquantes", IF(V349&lt;=INDEX(TabRFR[[2021]:[2025]],MATCH(BD!U349&amp;"-Très modestes",TabRFR[Recherche RFR],0),MATCH(TEXT(YEAR(BD!D349),"Standard"),TabRFR[[#Headers],[2021]:[2025]],0)),"Très Modeste",IF(V349&lt;=INDEX(TabRFR[[2021]:[2025]],MATCH(BD!U349&amp;"-modestes",TabRFR[Recherche RFR],0),MATCH(TEXT(YEAR(BD!D349),"Standard"),TabRFR[[#Headers],[2021]:[2025]],0)),"Modeste",IF(V349&lt;=INDEX(TabRFR[[2021]:[2025]],MATCH(BD!U349&amp;"-Intermédiaire",TabRFR[Recherche RFR],0),MATCH(TEXT(YEAR(BD!D349),"Standard"),TabRFR[[#Headers],[2021]:[2025]],0)),"Intermédiaire","Supérieur")))))),IF(D349="","",IF(U349+V349&lt;15,"Données Nb pers ou RFR manquantes",IF(COUNTA(INDIRECT("TabRFR["&amp;YEAR(H349)&amp;"]"))&lt;&gt;COUNTA(TabRFR[Recherche RFR]),"Data RFR manquantes", IF(V349&lt;=INDEX(TabRFR[[2021]:[2025]],MATCH(BD!U349&amp;"-Très modestes",TabRFR[Recherche RFR],0),MATCH(TEXT(YEAR(BD!H349),"Standard"),TabRFR[[#Headers],[2021]:[2025]],0)),"Très Modeste",IF(V349&lt;=INDEX(TabRFR[[2021]:[2025]],MATCH(BD!U349&amp;"-modestes",TabRFR[Recherche RFR],0),MATCH(TEXT(YEAR(BD!H349),"Standard"),TabRFR[[#Headers],[2021]:[2025]],0)),"Modeste",IF(V349&lt;=INDEX(TabRFR[[2021]:[2025]],MATCH(BD!U349&amp;"-Intermédiaire",TabRFR[Recherche RFR],0),MATCH(TEXT(YEAR(BD!H349),"Standard"),TabRFR[[#Headers],[2021]:[2025]],0)),"Intermédiaire","Supérieur")))))))</f>
        <v>Modeste</v>
      </c>
      <c r="X349" s="143"/>
      <c r="Y349" s="143" t="s">
        <v>1545</v>
      </c>
      <c r="Z349" s="143">
        <v>38430</v>
      </c>
      <c r="AA349" s="143" t="s">
        <v>119</v>
      </c>
      <c r="AB349" s="148"/>
      <c r="AC349" s="149"/>
      <c r="AD349" s="143" t="s">
        <v>91</v>
      </c>
      <c r="AE349" s="143"/>
      <c r="AF349" s="143"/>
      <c r="AG349" s="143"/>
      <c r="AH349" s="143"/>
      <c r="AI349" s="143" t="s">
        <v>1246</v>
      </c>
      <c r="AJ349" s="143" t="s">
        <v>108</v>
      </c>
      <c r="AK349" s="143" t="s">
        <v>1247</v>
      </c>
      <c r="AL349" s="150" t="s">
        <v>1248</v>
      </c>
      <c r="AM349" s="148" t="s">
        <v>1546</v>
      </c>
      <c r="AN349" s="143"/>
      <c r="AO349" s="158" t="s">
        <v>144</v>
      </c>
      <c r="AP349" s="147">
        <v>44582</v>
      </c>
      <c r="AQ349" s="135" t="s">
        <v>3449</v>
      </c>
      <c r="AR349" s="143">
        <v>1972</v>
      </c>
      <c r="AS349" s="143" t="s">
        <v>3413</v>
      </c>
      <c r="AT349" s="143" t="s">
        <v>98</v>
      </c>
      <c r="AU349" s="143" t="s">
        <v>1547</v>
      </c>
      <c r="AV349" s="143" t="s">
        <v>1548</v>
      </c>
      <c r="AW349" s="143">
        <v>12</v>
      </c>
      <c r="AX349" s="143">
        <v>9.1</v>
      </c>
      <c r="AY349" s="143">
        <v>88.7</v>
      </c>
      <c r="AZ349" s="143">
        <v>9.0399999999999994E-3</v>
      </c>
      <c r="BA349" s="143" t="s">
        <v>101</v>
      </c>
      <c r="BB349" s="143"/>
      <c r="BC349" s="143">
        <f>3700+145+115+650+125+245+25+75</f>
        <v>5080</v>
      </c>
      <c r="BD349" s="143"/>
      <c r="BE349" s="143">
        <v>1365.5</v>
      </c>
      <c r="BF349" s="143">
        <f>BC349+BE349</f>
        <v>6445.5</v>
      </c>
      <c r="BG349" s="151">
        <f>BF349*0.055</f>
        <v>354.5025</v>
      </c>
      <c r="BH349" s="151">
        <f>BF349*1.055</f>
        <v>6800.0024999999996</v>
      </c>
      <c r="BI349" s="151">
        <v>6800</v>
      </c>
      <c r="BJ349" s="143" t="s">
        <v>144</v>
      </c>
      <c r="BK349" s="143"/>
      <c r="BL349" s="143"/>
      <c r="BM349" s="144" t="s">
        <v>3592</v>
      </c>
      <c r="BN349" s="143">
        <v>2022</v>
      </c>
      <c r="BO349" s="135" t="s">
        <v>155</v>
      </c>
      <c r="BP349" s="143" t="s">
        <v>3583</v>
      </c>
      <c r="BQ349" s="203" t="s">
        <v>144</v>
      </c>
    </row>
    <row r="350" spans="1:69" ht="41.1" customHeight="1">
      <c r="A350" s="218" t="s">
        <v>1529</v>
      </c>
      <c r="B350" s="218" t="s">
        <v>1549</v>
      </c>
      <c r="C350" s="143">
        <v>600</v>
      </c>
      <c r="D350" s="135">
        <v>44582</v>
      </c>
      <c r="E350" s="135">
        <v>44593</v>
      </c>
      <c r="F350" s="147">
        <v>44594</v>
      </c>
      <c r="G350" s="135" t="s">
        <v>1550</v>
      </c>
      <c r="H350" s="147">
        <v>44616</v>
      </c>
      <c r="I350" s="147">
        <v>44616</v>
      </c>
      <c r="J350" s="147">
        <v>44620</v>
      </c>
      <c r="K350" s="135">
        <v>44704</v>
      </c>
      <c r="L350" s="135">
        <v>44672</v>
      </c>
      <c r="M350" s="135" t="s">
        <v>76</v>
      </c>
      <c r="N350" s="135">
        <v>44768</v>
      </c>
      <c r="O350" s="135">
        <v>44768</v>
      </c>
      <c r="P350" s="135">
        <v>44769</v>
      </c>
      <c r="Q350" s="135"/>
      <c r="R350" s="143"/>
      <c r="S350" s="143"/>
      <c r="T350" s="143"/>
      <c r="U350" s="143">
        <v>2</v>
      </c>
      <c r="V350" s="143">
        <v>40192</v>
      </c>
      <c r="W350" s="143" t="str">
        <f ca="1">IF(H350="",IF(D350="","",IF(U350+V350&lt;15,"Données Nb pers ou RFR manquantes",IF(COUNTA(INDIRECT("TabRFR["&amp;YEAR(D350)&amp;"]"))&lt;&gt;COUNTA(TabRFR[Recherche RFR]),"Data RFR manquantes", IF(V350&lt;=INDEX(TabRFR[[2021]:[2025]],MATCH(BD!U350&amp;"-Très modestes",TabRFR[Recherche RFR],0),MATCH(TEXT(YEAR(BD!D350),"Standard"),TabRFR[[#Headers],[2021]:[2025]],0)),"Très Modeste",IF(V350&lt;=INDEX(TabRFR[[2021]:[2025]],MATCH(BD!U350&amp;"-modestes",TabRFR[Recherche RFR],0),MATCH(TEXT(YEAR(BD!D350),"Standard"),TabRFR[[#Headers],[2021]:[2025]],0)),"Modeste",IF(V350&lt;=INDEX(TabRFR[[2021]:[2025]],MATCH(BD!U350&amp;"-Intermédiaire",TabRFR[Recherche RFR],0),MATCH(TEXT(YEAR(BD!D350),"Standard"),TabRFR[[#Headers],[2021]:[2025]],0)),"Intermédiaire","Supérieur")))))),IF(D350="","",IF(U350+V350&lt;15,"Données Nb pers ou RFR manquantes",IF(COUNTA(INDIRECT("TabRFR["&amp;YEAR(H350)&amp;"]"))&lt;&gt;COUNTA(TabRFR[Recherche RFR]),"Data RFR manquantes", IF(V350&lt;=INDEX(TabRFR[[2021]:[2025]],MATCH(BD!U350&amp;"-Très modestes",TabRFR[Recherche RFR],0),MATCH(TEXT(YEAR(BD!H350),"Standard"),TabRFR[[#Headers],[2021]:[2025]],0)),"Très Modeste",IF(V350&lt;=INDEX(TabRFR[[2021]:[2025]],MATCH(BD!U350&amp;"-modestes",TabRFR[Recherche RFR],0),MATCH(TEXT(YEAR(BD!H350),"Standard"),TabRFR[[#Headers],[2021]:[2025]],0)),"Modeste",IF(V350&lt;=INDEX(TabRFR[[2021]:[2025]],MATCH(BD!U350&amp;"-Intermédiaire",TabRFR[Recherche RFR],0),MATCH(TEXT(YEAR(BD!H350),"Standard"),TabRFR[[#Headers],[2021]:[2025]],0)),"Intermédiaire","Supérieur")))))))</f>
        <v>Intermédiaire</v>
      </c>
      <c r="X350" s="143"/>
      <c r="Y350" s="143" t="s">
        <v>1551</v>
      </c>
      <c r="Z350" s="143">
        <v>38140</v>
      </c>
      <c r="AA350" s="143" t="s">
        <v>504</v>
      </c>
      <c r="AB350" s="148"/>
      <c r="AC350" s="149"/>
      <c r="AD350" s="143" t="s">
        <v>91</v>
      </c>
      <c r="AE350" s="143"/>
      <c r="AF350" s="143"/>
      <c r="AG350" s="143"/>
      <c r="AH350" s="143"/>
      <c r="AI350" s="143" t="s">
        <v>886</v>
      </c>
      <c r="AJ350" s="143" t="s">
        <v>887</v>
      </c>
      <c r="AK350" s="143" t="s">
        <v>888</v>
      </c>
      <c r="AL350" s="150" t="s">
        <v>889</v>
      </c>
      <c r="AM350" s="148">
        <v>476042368</v>
      </c>
      <c r="AN350" s="143" t="s">
        <v>76</v>
      </c>
      <c r="AO350" s="150" t="s">
        <v>102</v>
      </c>
      <c r="AP350" s="147">
        <v>44708</v>
      </c>
      <c r="AQ350" s="143" t="s">
        <v>3413</v>
      </c>
      <c r="AR350" s="143" t="s">
        <v>172</v>
      </c>
      <c r="AS350" s="143" t="s">
        <v>3413</v>
      </c>
      <c r="AT350" s="135" t="s">
        <v>3446</v>
      </c>
      <c r="AU350" s="143" t="s">
        <v>890</v>
      </c>
      <c r="AV350" s="143" t="s">
        <v>1552</v>
      </c>
      <c r="AW350" s="143">
        <v>30</v>
      </c>
      <c r="AX350" s="143">
        <v>8</v>
      </c>
      <c r="AY350" s="143">
        <v>78</v>
      </c>
      <c r="AZ350" s="143">
        <v>0.1</v>
      </c>
      <c r="BA350" s="143" t="s">
        <v>101</v>
      </c>
      <c r="BB350" s="143"/>
      <c r="BC350" s="143">
        <v>1828.39</v>
      </c>
      <c r="BD350" s="143"/>
      <c r="BE350" s="143">
        <v>1039.5</v>
      </c>
      <c r="BF350" s="143">
        <v>2867.89</v>
      </c>
      <c r="BG350" s="151">
        <v>157.72999999999999</v>
      </c>
      <c r="BH350" s="151">
        <v>3025.62</v>
      </c>
      <c r="BI350" s="151">
        <v>3025.62</v>
      </c>
      <c r="BJ350" s="143" t="s">
        <v>115</v>
      </c>
      <c r="BK350" s="143"/>
      <c r="BL350" s="143"/>
      <c r="BM350" s="144" t="s">
        <v>3592</v>
      </c>
      <c r="BN350" s="143">
        <v>2022</v>
      </c>
      <c r="BO350" s="144" t="s">
        <v>143</v>
      </c>
      <c r="BP350" s="144">
        <v>2022</v>
      </c>
      <c r="BQ350" s="203" t="s">
        <v>3274</v>
      </c>
    </row>
    <row r="351" spans="1:69" ht="41.1" customHeight="1">
      <c r="A351" s="145" t="s">
        <v>1529</v>
      </c>
      <c r="B351" s="145" t="s">
        <v>1553</v>
      </c>
      <c r="C351" s="143">
        <v>600</v>
      </c>
      <c r="D351" s="135">
        <v>44585</v>
      </c>
      <c r="E351" s="135">
        <v>44593</v>
      </c>
      <c r="F351" s="147">
        <v>44594</v>
      </c>
      <c r="G351" s="135" t="s">
        <v>1554</v>
      </c>
      <c r="H351" s="147"/>
      <c r="I351" s="147"/>
      <c r="J351" s="147"/>
      <c r="K351" s="135"/>
      <c r="L351" s="135"/>
      <c r="M351" s="135"/>
      <c r="N351" s="135"/>
      <c r="O351" s="135"/>
      <c r="P351" s="135"/>
      <c r="Q351" s="135">
        <v>44601</v>
      </c>
      <c r="R351" s="143" t="s">
        <v>1555</v>
      </c>
      <c r="S351" s="143"/>
      <c r="T351" s="143"/>
      <c r="U351" s="143">
        <v>2</v>
      </c>
      <c r="V351" s="143">
        <v>65722</v>
      </c>
      <c r="W351" s="143" t="str">
        <f ca="1">IF(H351="",IF(D351="","",IF(U351+V351&lt;15,"Données Nb pers ou RFR manquantes",IF(COUNTA(INDIRECT("TabRFR["&amp;YEAR(D351)&amp;"]"))&lt;&gt;COUNTA(TabRFR[Recherche RFR]),"Data RFR manquantes", IF(V351&lt;=INDEX(TabRFR[[2021]:[2025]],MATCH(BD!U351&amp;"-Très modestes",TabRFR[Recherche RFR],0),MATCH(TEXT(YEAR(BD!D351),"Standard"),TabRFR[[#Headers],[2021]:[2025]],0)),"Très Modeste",IF(V351&lt;=INDEX(TabRFR[[2021]:[2025]],MATCH(BD!U351&amp;"-modestes",TabRFR[Recherche RFR],0),MATCH(TEXT(YEAR(BD!D351),"Standard"),TabRFR[[#Headers],[2021]:[2025]],0)),"Modeste",IF(V351&lt;=INDEX(TabRFR[[2021]:[2025]],MATCH(BD!U351&amp;"-Intermédiaire",TabRFR[Recherche RFR],0),MATCH(TEXT(YEAR(BD!D351),"Standard"),TabRFR[[#Headers],[2021]:[2025]],0)),"Intermédiaire","Supérieur")))))),IF(D351="","",IF(U351+V351&lt;15,"Données Nb pers ou RFR manquantes",IF(COUNTA(INDIRECT("TabRFR["&amp;YEAR(H351)&amp;"]"))&lt;&gt;COUNTA(TabRFR[Recherche RFR]),"Data RFR manquantes", IF(V351&lt;=INDEX(TabRFR[[2021]:[2025]],MATCH(BD!U351&amp;"-Très modestes",TabRFR[Recherche RFR],0),MATCH(TEXT(YEAR(BD!H351),"Standard"),TabRFR[[#Headers],[2021]:[2025]],0)),"Très Modeste",IF(V351&lt;=INDEX(TabRFR[[2021]:[2025]],MATCH(BD!U351&amp;"-modestes",TabRFR[Recherche RFR],0),MATCH(TEXT(YEAR(BD!H351),"Standard"),TabRFR[[#Headers],[2021]:[2025]],0)),"Modeste",IF(V351&lt;=INDEX(TabRFR[[2021]:[2025]],MATCH(BD!U351&amp;"-Intermédiaire",TabRFR[Recherche RFR],0),MATCH(TEXT(YEAR(BD!H351),"Standard"),TabRFR[[#Headers],[2021]:[2025]],0)),"Intermédiaire","Supérieur")))))))</f>
        <v>Supérieur</v>
      </c>
      <c r="X351" s="143"/>
      <c r="Y351" s="143" t="s">
        <v>936</v>
      </c>
      <c r="Z351" s="143">
        <v>38500</v>
      </c>
      <c r="AA351" s="143" t="s">
        <v>108</v>
      </c>
      <c r="AB351" s="148"/>
      <c r="AC351" s="149"/>
      <c r="AD351" s="143" t="s">
        <v>91</v>
      </c>
      <c r="AE351" s="143"/>
      <c r="AF351" s="143"/>
      <c r="AG351" s="143"/>
      <c r="AH351" s="143"/>
      <c r="AI351" s="143" t="s">
        <v>1556</v>
      </c>
      <c r="AJ351" s="143" t="s">
        <v>119</v>
      </c>
      <c r="AK351" s="143"/>
      <c r="AL351" s="150" t="s">
        <v>1557</v>
      </c>
      <c r="AM351" s="148" t="s">
        <v>1558</v>
      </c>
      <c r="AN351" s="143"/>
      <c r="AO351" s="143"/>
      <c r="AP351" s="147"/>
      <c r="AQ351" s="143"/>
      <c r="AR351" s="143" t="s">
        <v>172</v>
      </c>
      <c r="AS351" s="143" t="s">
        <v>3413</v>
      </c>
      <c r="AT351" s="135" t="s">
        <v>3446</v>
      </c>
      <c r="AU351" s="143" t="s">
        <v>488</v>
      </c>
      <c r="AV351" s="143" t="s">
        <v>1559</v>
      </c>
      <c r="AW351" s="143">
        <v>24</v>
      </c>
      <c r="AX351" s="143">
        <v>8</v>
      </c>
      <c r="AY351" s="143">
        <v>77</v>
      </c>
      <c r="AZ351" s="143">
        <v>0.09</v>
      </c>
      <c r="BA351" s="143" t="s">
        <v>101</v>
      </c>
      <c r="BB351" s="143"/>
      <c r="BC351" s="143">
        <v>2350</v>
      </c>
      <c r="BD351" s="143"/>
      <c r="BE351" s="143">
        <v>800</v>
      </c>
      <c r="BF351" s="143">
        <v>3150</v>
      </c>
      <c r="BG351" s="151">
        <v>173.25</v>
      </c>
      <c r="BH351" s="151">
        <v>3323.25</v>
      </c>
      <c r="BI351" s="151"/>
      <c r="BJ351" s="143" t="s">
        <v>102</v>
      </c>
      <c r="BK351" s="143"/>
      <c r="BL351" s="143"/>
      <c r="BM351" s="144">
        <v>0</v>
      </c>
      <c r="BN351" s="153" t="s">
        <v>1496</v>
      </c>
      <c r="BO351" s="144" t="s">
        <v>103</v>
      </c>
      <c r="BP351" s="203" t="s">
        <v>3582</v>
      </c>
      <c r="BQ351" s="203" t="s">
        <v>3273</v>
      </c>
    </row>
    <row r="352" spans="1:69" ht="41.1" customHeight="1">
      <c r="A352" s="219" t="s">
        <v>1529</v>
      </c>
      <c r="B352" s="219" t="s">
        <v>1560</v>
      </c>
      <c r="C352" s="143">
        <v>600</v>
      </c>
      <c r="D352" s="135">
        <v>44586</v>
      </c>
      <c r="E352" s="135">
        <v>44593</v>
      </c>
      <c r="F352" s="147">
        <v>44594</v>
      </c>
      <c r="G352" s="135" t="s">
        <v>1561</v>
      </c>
      <c r="H352" s="147">
        <v>44650</v>
      </c>
      <c r="I352" s="147">
        <v>44650</v>
      </c>
      <c r="J352" s="147">
        <v>44655</v>
      </c>
      <c r="K352" s="135"/>
      <c r="L352" s="135"/>
      <c r="M352" s="135" t="s">
        <v>3389</v>
      </c>
      <c r="N352" s="135"/>
      <c r="O352" s="135"/>
      <c r="P352" s="135"/>
      <c r="Q352" s="135"/>
      <c r="R352" s="143"/>
      <c r="S352" s="143"/>
      <c r="T352" s="143"/>
      <c r="U352" s="143">
        <v>4</v>
      </c>
      <c r="V352" s="143">
        <v>48553</v>
      </c>
      <c r="W352" s="143" t="str">
        <f ca="1">IF(H352="",IF(D352="","",IF(U352+V352&lt;15,"Données Nb pers ou RFR manquantes",IF(COUNTA(INDIRECT("TabRFR["&amp;YEAR(D352)&amp;"]"))&lt;&gt;COUNTA(TabRFR[Recherche RFR]),"Data RFR manquantes", IF(V352&lt;=INDEX(TabRFR[[2021]:[2025]],MATCH(BD!U352&amp;"-Très modestes",TabRFR[Recherche RFR],0),MATCH(TEXT(YEAR(BD!D352),"Standard"),TabRFR[[#Headers],[2021]:[2025]],0)),"Très Modeste",IF(V352&lt;=INDEX(TabRFR[[2021]:[2025]],MATCH(BD!U352&amp;"-modestes",TabRFR[Recherche RFR],0),MATCH(TEXT(YEAR(BD!D352),"Standard"),TabRFR[[#Headers],[2021]:[2025]],0)),"Modeste",IF(V352&lt;=INDEX(TabRFR[[2021]:[2025]],MATCH(BD!U352&amp;"-Intermédiaire",TabRFR[Recherche RFR],0),MATCH(TEXT(YEAR(BD!D352),"Standard"),TabRFR[[#Headers],[2021]:[2025]],0)),"Intermédiaire","Supérieur")))))),IF(D352="","",IF(U352+V352&lt;15,"Données Nb pers ou RFR manquantes",IF(COUNTA(INDIRECT("TabRFR["&amp;YEAR(H352)&amp;"]"))&lt;&gt;COUNTA(TabRFR[Recherche RFR]),"Data RFR manquantes", IF(V352&lt;=INDEX(TabRFR[[2021]:[2025]],MATCH(BD!U352&amp;"-Très modestes",TabRFR[Recherche RFR],0),MATCH(TEXT(YEAR(BD!H352),"Standard"),TabRFR[[#Headers],[2021]:[2025]],0)),"Très Modeste",IF(V352&lt;=INDEX(TabRFR[[2021]:[2025]],MATCH(BD!U352&amp;"-modestes",TabRFR[Recherche RFR],0),MATCH(TEXT(YEAR(BD!H352),"Standard"),TabRFR[[#Headers],[2021]:[2025]],0)),"Modeste",IF(V352&lt;=INDEX(TabRFR[[2021]:[2025]],MATCH(BD!U352&amp;"-Intermédiaire",TabRFR[Recherche RFR],0),MATCH(TEXT(YEAR(BD!H352),"Standard"),TabRFR[[#Headers],[2021]:[2025]],0)),"Intermédiaire","Supérieur")))))))</f>
        <v>Intermédiaire</v>
      </c>
      <c r="X352" s="143"/>
      <c r="Y352" s="143" t="s">
        <v>1562</v>
      </c>
      <c r="Z352" s="143">
        <v>38850</v>
      </c>
      <c r="AA352" s="143" t="s">
        <v>435</v>
      </c>
      <c r="AB352" s="148"/>
      <c r="AC352" s="149"/>
      <c r="AD352" s="143" t="s">
        <v>91</v>
      </c>
      <c r="AE352" s="143"/>
      <c r="AF352" s="143"/>
      <c r="AG352" s="143"/>
      <c r="AH352" s="143"/>
      <c r="AI352" s="143" t="s">
        <v>267</v>
      </c>
      <c r="AJ352" s="143" t="s">
        <v>268</v>
      </c>
      <c r="AK352" s="143" t="s">
        <v>1563</v>
      </c>
      <c r="AL352" s="150" t="s">
        <v>270</v>
      </c>
      <c r="AM352" s="148" t="s">
        <v>1490</v>
      </c>
      <c r="AN352" s="143"/>
      <c r="AO352" s="150" t="s">
        <v>144</v>
      </c>
      <c r="AP352" s="147">
        <v>44633</v>
      </c>
      <c r="AQ352" s="135" t="s">
        <v>3496</v>
      </c>
      <c r="AR352" s="143">
        <v>1985</v>
      </c>
      <c r="AS352" s="143" t="s">
        <v>3413</v>
      </c>
      <c r="AT352" s="138" t="s">
        <v>98</v>
      </c>
      <c r="AU352" s="143" t="s">
        <v>1564</v>
      </c>
      <c r="AV352" s="143" t="s">
        <v>1565</v>
      </c>
      <c r="AW352" s="143">
        <v>12</v>
      </c>
      <c r="AX352" s="143">
        <v>10.199999999999999</v>
      </c>
      <c r="AY352" s="143">
        <v>90.8</v>
      </c>
      <c r="AZ352" s="143">
        <v>7.7600000000000004E-3</v>
      </c>
      <c r="BA352" s="143" t="s">
        <v>101</v>
      </c>
      <c r="BB352" s="143"/>
      <c r="BC352" s="143">
        <v>4276.6899999999996</v>
      </c>
      <c r="BD352" s="143"/>
      <c r="BE352" s="143">
        <v>926</v>
      </c>
      <c r="BF352" s="143">
        <v>4942.5600000000004</v>
      </c>
      <c r="BG352" s="151">
        <v>260.13</v>
      </c>
      <c r="BH352" s="151">
        <v>5214.3999999999996</v>
      </c>
      <c r="BI352" s="151"/>
      <c r="BJ352" s="143" t="s">
        <v>102</v>
      </c>
      <c r="BK352" s="143"/>
      <c r="BL352" s="143"/>
      <c r="BM352" s="144" t="s">
        <v>3592</v>
      </c>
      <c r="BN352" s="143">
        <v>2022</v>
      </c>
      <c r="BO352" s="144" t="s">
        <v>143</v>
      </c>
      <c r="BP352" s="143" t="s">
        <v>3583</v>
      </c>
      <c r="BQ352" s="203"/>
    </row>
    <row r="353" spans="1:69" ht="41.1" customHeight="1">
      <c r="A353" s="218" t="s">
        <v>1529</v>
      </c>
      <c r="B353" s="218" t="s">
        <v>1566</v>
      </c>
      <c r="C353" s="143">
        <v>600</v>
      </c>
      <c r="D353" s="135">
        <v>44587</v>
      </c>
      <c r="E353" s="135">
        <v>44593</v>
      </c>
      <c r="F353" s="147"/>
      <c r="G353" s="135"/>
      <c r="H353" s="147">
        <v>44594</v>
      </c>
      <c r="I353" s="147">
        <v>44594</v>
      </c>
      <c r="J353" s="147">
        <v>44575</v>
      </c>
      <c r="K353" s="135">
        <v>44663</v>
      </c>
      <c r="L353" s="135">
        <v>44657</v>
      </c>
      <c r="M353" s="135"/>
      <c r="N353" s="135">
        <v>44665</v>
      </c>
      <c r="O353" s="135">
        <v>44665</v>
      </c>
      <c r="P353" s="135">
        <v>44666</v>
      </c>
      <c r="Q353" s="135"/>
      <c r="R353" s="143"/>
      <c r="S353" s="143"/>
      <c r="T353" s="143"/>
      <c r="U353" s="143">
        <v>2</v>
      </c>
      <c r="V353" s="143">
        <v>35380</v>
      </c>
      <c r="W353" s="143" t="str">
        <f ca="1">IF(H353="",IF(D353="","",IF(U353+V353&lt;15,"Données Nb pers ou RFR manquantes",IF(COUNTA(INDIRECT("TabRFR["&amp;YEAR(D353)&amp;"]"))&lt;&gt;COUNTA(TabRFR[Recherche RFR]),"Data RFR manquantes", IF(V353&lt;=INDEX(TabRFR[[2021]:[2025]],MATCH(BD!U353&amp;"-Très modestes",TabRFR[Recherche RFR],0),MATCH(TEXT(YEAR(BD!D353),"Standard"),TabRFR[[#Headers],[2021]:[2025]],0)),"Très Modeste",IF(V353&lt;=INDEX(TabRFR[[2021]:[2025]],MATCH(BD!U353&amp;"-modestes",TabRFR[Recherche RFR],0),MATCH(TEXT(YEAR(BD!D353),"Standard"),TabRFR[[#Headers],[2021]:[2025]],0)),"Modeste",IF(V353&lt;=INDEX(TabRFR[[2021]:[2025]],MATCH(BD!U353&amp;"-Intermédiaire",TabRFR[Recherche RFR],0),MATCH(TEXT(YEAR(BD!D353),"Standard"),TabRFR[[#Headers],[2021]:[2025]],0)),"Intermédiaire","Supérieur")))))),IF(D353="","",IF(U353+V353&lt;15,"Données Nb pers ou RFR manquantes",IF(COUNTA(INDIRECT("TabRFR["&amp;YEAR(H353)&amp;"]"))&lt;&gt;COUNTA(TabRFR[Recherche RFR]),"Data RFR manquantes", IF(V353&lt;=INDEX(TabRFR[[2021]:[2025]],MATCH(BD!U353&amp;"-Très modestes",TabRFR[Recherche RFR],0),MATCH(TEXT(YEAR(BD!H353),"Standard"),TabRFR[[#Headers],[2021]:[2025]],0)),"Très Modeste",IF(V353&lt;=INDEX(TabRFR[[2021]:[2025]],MATCH(BD!U353&amp;"-modestes",TabRFR[Recherche RFR],0),MATCH(TEXT(YEAR(BD!H353),"Standard"),TabRFR[[#Headers],[2021]:[2025]],0)),"Modeste",IF(V353&lt;=INDEX(TabRFR[[2021]:[2025]],MATCH(BD!U353&amp;"-Intermédiaire",TabRFR[Recherche RFR],0),MATCH(TEXT(YEAR(BD!H353),"Standard"),TabRFR[[#Headers],[2021]:[2025]],0)),"Intermédiaire","Supérieur")))))))</f>
        <v>Intermédiaire</v>
      </c>
      <c r="X353" s="143"/>
      <c r="Y353" s="143" t="s">
        <v>1567</v>
      </c>
      <c r="Z353" s="165">
        <v>38850</v>
      </c>
      <c r="AA353" s="143" t="s">
        <v>1568</v>
      </c>
      <c r="AB353" s="148"/>
      <c r="AC353" s="149"/>
      <c r="AD353" s="143" t="s">
        <v>91</v>
      </c>
      <c r="AE353" s="143"/>
      <c r="AF353" s="143"/>
      <c r="AG353" s="143"/>
      <c r="AH353" s="143"/>
      <c r="AI353" s="143" t="s">
        <v>298</v>
      </c>
      <c r="AJ353" s="143" t="s">
        <v>299</v>
      </c>
      <c r="AK353" s="143" t="s">
        <v>340</v>
      </c>
      <c r="AL353" s="150" t="s">
        <v>301</v>
      </c>
      <c r="AM353" s="148" t="s">
        <v>1485</v>
      </c>
      <c r="AN353" s="143"/>
      <c r="AO353" s="156" t="s">
        <v>144</v>
      </c>
      <c r="AP353" s="147">
        <v>44798</v>
      </c>
      <c r="AQ353" s="143" t="s">
        <v>3413</v>
      </c>
      <c r="AR353" s="143" t="s">
        <v>1569</v>
      </c>
      <c r="AS353" s="143" t="s">
        <v>3413</v>
      </c>
      <c r="AT353" s="143" t="s">
        <v>98</v>
      </c>
      <c r="AU353" s="143" t="s">
        <v>1547</v>
      </c>
      <c r="AV353" s="143" t="s">
        <v>1570</v>
      </c>
      <c r="AW353" s="143">
        <v>17</v>
      </c>
      <c r="AX353" s="143">
        <v>5.2</v>
      </c>
      <c r="AY353" s="143">
        <v>89.5</v>
      </c>
      <c r="AZ353" s="143">
        <v>9.0399999999999994E-3</v>
      </c>
      <c r="BA353" s="143" t="s">
        <v>101</v>
      </c>
      <c r="BB353" s="143"/>
      <c r="BC353" s="143">
        <v>2716</v>
      </c>
      <c r="BD353" s="143"/>
      <c r="BE353" s="143">
        <v>877</v>
      </c>
      <c r="BF353" s="143">
        <v>3593</v>
      </c>
      <c r="BG353" s="151">
        <v>197.62</v>
      </c>
      <c r="BH353" s="151">
        <v>3790.62</v>
      </c>
      <c r="BI353" s="151">
        <v>3790.62</v>
      </c>
      <c r="BJ353" s="143" t="s">
        <v>102</v>
      </c>
      <c r="BK353" s="143"/>
      <c r="BL353" s="143"/>
      <c r="BM353" s="144" t="s">
        <v>3592</v>
      </c>
      <c r="BN353" s="143">
        <v>2022</v>
      </c>
      <c r="BO353" s="144" t="s">
        <v>143</v>
      </c>
      <c r="BP353" s="143" t="s">
        <v>3583</v>
      </c>
      <c r="BQ353" s="203" t="s">
        <v>144</v>
      </c>
    </row>
    <row r="354" spans="1:69" ht="41.1" customHeight="1">
      <c r="A354" s="218" t="s">
        <v>1529</v>
      </c>
      <c r="B354" s="218" t="s">
        <v>1571</v>
      </c>
      <c r="C354" s="143">
        <v>600</v>
      </c>
      <c r="D354" s="135">
        <v>44589</v>
      </c>
      <c r="E354" s="135">
        <v>44593</v>
      </c>
      <c r="F354" s="147">
        <v>44594</v>
      </c>
      <c r="G354" s="135" t="s">
        <v>1572</v>
      </c>
      <c r="H354" s="147">
        <v>44609</v>
      </c>
      <c r="I354" s="147">
        <v>44609</v>
      </c>
      <c r="J354" s="147">
        <v>44614</v>
      </c>
      <c r="K354" s="135">
        <v>44719</v>
      </c>
      <c r="L354" s="135">
        <v>44656</v>
      </c>
      <c r="M354" s="135" t="s">
        <v>76</v>
      </c>
      <c r="N354" s="135">
        <v>44769</v>
      </c>
      <c r="O354" s="135">
        <v>44769</v>
      </c>
      <c r="P354" s="135">
        <v>44770</v>
      </c>
      <c r="Q354" s="135"/>
      <c r="R354" s="143"/>
      <c r="S354" s="143"/>
      <c r="T354" s="143"/>
      <c r="U354" s="143">
        <v>2</v>
      </c>
      <c r="V354" s="143">
        <v>63338</v>
      </c>
      <c r="W354" s="143" t="str">
        <f ca="1">IF(H354="",IF(D354="","",IF(U354+V354&lt;15,"Données Nb pers ou RFR manquantes",IF(COUNTA(INDIRECT("TabRFR["&amp;YEAR(D354)&amp;"]"))&lt;&gt;COUNTA(TabRFR[Recherche RFR]),"Data RFR manquantes", IF(V354&lt;=INDEX(TabRFR[[2021]:[2025]],MATCH(BD!U354&amp;"-Très modestes",TabRFR[Recherche RFR],0),MATCH(TEXT(YEAR(BD!D354),"Standard"),TabRFR[[#Headers],[2021]:[2025]],0)),"Très Modeste",IF(V354&lt;=INDEX(TabRFR[[2021]:[2025]],MATCH(BD!U354&amp;"-modestes",TabRFR[Recherche RFR],0),MATCH(TEXT(YEAR(BD!D354),"Standard"),TabRFR[[#Headers],[2021]:[2025]],0)),"Modeste",IF(V354&lt;=INDEX(TabRFR[[2021]:[2025]],MATCH(BD!U354&amp;"-Intermédiaire",TabRFR[Recherche RFR],0),MATCH(TEXT(YEAR(BD!D354),"Standard"),TabRFR[[#Headers],[2021]:[2025]],0)),"Intermédiaire","Supérieur")))))),IF(D354="","",IF(U354+V354&lt;15,"Données Nb pers ou RFR manquantes",IF(COUNTA(INDIRECT("TabRFR["&amp;YEAR(H354)&amp;"]"))&lt;&gt;COUNTA(TabRFR[Recherche RFR]),"Data RFR manquantes", IF(V354&lt;=INDEX(TabRFR[[2021]:[2025]],MATCH(BD!U354&amp;"-Très modestes",TabRFR[Recherche RFR],0),MATCH(TEXT(YEAR(BD!H354),"Standard"),TabRFR[[#Headers],[2021]:[2025]],0)),"Très Modeste",IF(V354&lt;=INDEX(TabRFR[[2021]:[2025]],MATCH(BD!U354&amp;"-modestes",TabRFR[Recherche RFR],0),MATCH(TEXT(YEAR(BD!H354),"Standard"),TabRFR[[#Headers],[2021]:[2025]],0)),"Modeste",IF(V354&lt;=INDEX(TabRFR[[2021]:[2025]],MATCH(BD!U354&amp;"-Intermédiaire",TabRFR[Recherche RFR],0),MATCH(TEXT(YEAR(BD!H354),"Standard"),TabRFR[[#Headers],[2021]:[2025]],0)),"Intermédiaire","Supérieur")))))))</f>
        <v>Supérieur</v>
      </c>
      <c r="X354" s="143"/>
      <c r="Y354" s="143" t="s">
        <v>1573</v>
      </c>
      <c r="Z354" s="143">
        <v>38500</v>
      </c>
      <c r="AA354" s="143" t="s">
        <v>108</v>
      </c>
      <c r="AB354" s="148"/>
      <c r="AC354" s="149"/>
      <c r="AD354" s="143" t="s">
        <v>91</v>
      </c>
      <c r="AE354" s="143"/>
      <c r="AF354" s="143"/>
      <c r="AG354" s="143"/>
      <c r="AH354" s="143"/>
      <c r="AI354" s="135" t="s">
        <v>285</v>
      </c>
      <c r="AJ354" s="143" t="s">
        <v>108</v>
      </c>
      <c r="AK354" s="143" t="s">
        <v>286</v>
      </c>
      <c r="AL354" s="150" t="s">
        <v>287</v>
      </c>
      <c r="AM354" s="148">
        <v>476069938</v>
      </c>
      <c r="AN354" s="143"/>
      <c r="AO354" s="158" t="s">
        <v>102</v>
      </c>
      <c r="AP354" s="147">
        <v>44822</v>
      </c>
      <c r="AQ354" s="143" t="s">
        <v>3413</v>
      </c>
      <c r="AR354" s="143" t="s">
        <v>236</v>
      </c>
      <c r="AS354" s="143" t="s">
        <v>3413</v>
      </c>
      <c r="AT354" s="135" t="s">
        <v>3446</v>
      </c>
      <c r="AU354" s="143" t="s">
        <v>469</v>
      </c>
      <c r="AV354" s="143" t="s">
        <v>1574</v>
      </c>
      <c r="AW354" s="143">
        <v>30</v>
      </c>
      <c r="AX354" s="143">
        <v>5</v>
      </c>
      <c r="AY354" s="143">
        <v>82</v>
      </c>
      <c r="AZ354" s="143">
        <v>0.06</v>
      </c>
      <c r="BA354" s="143" t="s">
        <v>101</v>
      </c>
      <c r="BB354" s="143"/>
      <c r="BC354" s="143">
        <v>3590</v>
      </c>
      <c r="BD354" s="143"/>
      <c r="BE354" s="143">
        <v>1140</v>
      </c>
      <c r="BF354" s="143">
        <v>4730</v>
      </c>
      <c r="BG354" s="143">
        <v>260.17</v>
      </c>
      <c r="BH354" s="143">
        <v>4990.17</v>
      </c>
      <c r="BI354" s="151">
        <v>4990.17</v>
      </c>
      <c r="BJ354" s="143" t="s">
        <v>102</v>
      </c>
      <c r="BK354" s="143"/>
      <c r="BL354" s="143"/>
      <c r="BM354" s="144" t="s">
        <v>3592</v>
      </c>
      <c r="BN354" s="143">
        <v>2022</v>
      </c>
      <c r="BO354" s="144" t="s">
        <v>143</v>
      </c>
      <c r="BP354" s="144">
        <v>2022</v>
      </c>
      <c r="BQ354" s="203" t="s">
        <v>144</v>
      </c>
    </row>
    <row r="355" spans="1:69" ht="41.1" customHeight="1">
      <c r="A355" s="218" t="s">
        <v>1529</v>
      </c>
      <c r="B355" s="218" t="s">
        <v>1575</v>
      </c>
      <c r="C355" s="143">
        <v>600</v>
      </c>
      <c r="D355" s="135">
        <v>44592</v>
      </c>
      <c r="E355" s="135">
        <v>44593</v>
      </c>
      <c r="F355" s="147"/>
      <c r="G355" s="135"/>
      <c r="H355" s="147">
        <v>44594</v>
      </c>
      <c r="I355" s="147">
        <v>44594</v>
      </c>
      <c r="J355" s="147">
        <v>44575</v>
      </c>
      <c r="K355" s="135">
        <v>44736</v>
      </c>
      <c r="L355" s="135">
        <v>44715</v>
      </c>
      <c r="M355" s="135" t="s">
        <v>1576</v>
      </c>
      <c r="N355" s="135">
        <v>44816</v>
      </c>
      <c r="O355" s="135">
        <v>44816</v>
      </c>
      <c r="P355" s="135">
        <v>44824</v>
      </c>
      <c r="Q355" s="135"/>
      <c r="R355" s="143"/>
      <c r="S355" s="143"/>
      <c r="T355" s="143"/>
      <c r="U355" s="143">
        <v>2</v>
      </c>
      <c r="V355" s="143">
        <v>43950</v>
      </c>
      <c r="W355" s="143" t="str">
        <f ca="1">IF(H355="",IF(D355="","",IF(U355+V355&lt;15,"Données Nb pers ou RFR manquantes",IF(COUNTA(INDIRECT("TabRFR["&amp;YEAR(D355)&amp;"]"))&lt;&gt;COUNTA(TabRFR[Recherche RFR]),"Data RFR manquantes", IF(V355&lt;=INDEX(TabRFR[[2021]:[2025]],MATCH(BD!U355&amp;"-Très modestes",TabRFR[Recherche RFR],0),MATCH(TEXT(YEAR(BD!D355),"Standard"),TabRFR[[#Headers],[2021]:[2025]],0)),"Très Modeste",IF(V355&lt;=INDEX(TabRFR[[2021]:[2025]],MATCH(BD!U355&amp;"-modestes",TabRFR[Recherche RFR],0),MATCH(TEXT(YEAR(BD!D355),"Standard"),TabRFR[[#Headers],[2021]:[2025]],0)),"Modeste",IF(V355&lt;=INDEX(TabRFR[[2021]:[2025]],MATCH(BD!U355&amp;"-Intermédiaire",TabRFR[Recherche RFR],0),MATCH(TEXT(YEAR(BD!D355),"Standard"),TabRFR[[#Headers],[2021]:[2025]],0)),"Intermédiaire","Supérieur")))))),IF(D355="","",IF(U355+V355&lt;15,"Données Nb pers ou RFR manquantes",IF(COUNTA(INDIRECT("TabRFR["&amp;YEAR(H355)&amp;"]"))&lt;&gt;COUNTA(TabRFR[Recherche RFR]),"Data RFR manquantes", IF(V355&lt;=INDEX(TabRFR[[2021]:[2025]],MATCH(BD!U355&amp;"-Très modestes",TabRFR[Recherche RFR],0),MATCH(TEXT(YEAR(BD!H355),"Standard"),TabRFR[[#Headers],[2021]:[2025]],0)),"Très Modeste",IF(V355&lt;=INDEX(TabRFR[[2021]:[2025]],MATCH(BD!U355&amp;"-modestes",TabRFR[Recherche RFR],0),MATCH(TEXT(YEAR(BD!H355),"Standard"),TabRFR[[#Headers],[2021]:[2025]],0)),"Modeste",IF(V355&lt;=INDEX(TabRFR[[2021]:[2025]],MATCH(BD!U355&amp;"-Intermédiaire",TabRFR[Recherche RFR],0),MATCH(TEXT(YEAR(BD!H355),"Standard"),TabRFR[[#Headers],[2021]:[2025]],0)),"Intermédiaire","Supérieur")))))))</f>
        <v>Supérieur</v>
      </c>
      <c r="X355" s="143"/>
      <c r="Y355" s="143" t="s">
        <v>167</v>
      </c>
      <c r="Z355" s="143">
        <v>38850</v>
      </c>
      <c r="AA355" s="143" t="s">
        <v>168</v>
      </c>
      <c r="AB355" s="148"/>
      <c r="AC355" s="149"/>
      <c r="AD355" s="143" t="s">
        <v>91</v>
      </c>
      <c r="AE355" s="143"/>
      <c r="AF355" s="143"/>
      <c r="AG355" s="143"/>
      <c r="AH355" s="143"/>
      <c r="AI355" s="143" t="s">
        <v>135</v>
      </c>
      <c r="AJ355" s="143" t="s">
        <v>136</v>
      </c>
      <c r="AK355" s="143" t="s">
        <v>137</v>
      </c>
      <c r="AL355" s="149" t="s">
        <v>138</v>
      </c>
      <c r="AM355" s="148" t="s">
        <v>1577</v>
      </c>
      <c r="AN355" s="143" t="s">
        <v>76</v>
      </c>
      <c r="AO355" s="150" t="s">
        <v>102</v>
      </c>
      <c r="AP355" s="147">
        <v>44774</v>
      </c>
      <c r="AQ355" s="135" t="s">
        <v>3496</v>
      </c>
      <c r="AR355" s="143">
        <v>1980</v>
      </c>
      <c r="AS355" s="143" t="s">
        <v>3413</v>
      </c>
      <c r="AT355" s="143" t="s">
        <v>98</v>
      </c>
      <c r="AU355" s="143" t="s">
        <v>361</v>
      </c>
      <c r="AV355" s="143" t="s">
        <v>1578</v>
      </c>
      <c r="AW355" s="143">
        <v>11</v>
      </c>
      <c r="AX355" s="143">
        <v>10</v>
      </c>
      <c r="AY355" s="143">
        <v>91.2</v>
      </c>
      <c r="AZ355" s="143">
        <v>0.01</v>
      </c>
      <c r="BA355" s="143" t="s">
        <v>126</v>
      </c>
      <c r="BB355" s="143"/>
      <c r="BC355" s="143">
        <v>4030</v>
      </c>
      <c r="BD355" s="143"/>
      <c r="BE355" s="143">
        <v>1213.25</v>
      </c>
      <c r="BF355" s="143">
        <v>5180</v>
      </c>
      <c r="BG355" s="151">
        <v>284.89999999999998</v>
      </c>
      <c r="BH355" s="151">
        <v>5464.9</v>
      </c>
      <c r="BI355" s="151">
        <v>5464.9</v>
      </c>
      <c r="BJ355" s="143" t="s">
        <v>102</v>
      </c>
      <c r="BK355" s="143"/>
      <c r="BL355" s="143"/>
      <c r="BM355" s="144" t="s">
        <v>3592</v>
      </c>
      <c r="BN355" s="143">
        <v>2022</v>
      </c>
      <c r="BO355" s="144" t="s">
        <v>143</v>
      </c>
      <c r="BP355" s="143" t="s">
        <v>3583</v>
      </c>
      <c r="BQ355" s="203" t="s">
        <v>144</v>
      </c>
    </row>
    <row r="356" spans="1:69" ht="41.1" customHeight="1">
      <c r="A356" s="218" t="s">
        <v>1529</v>
      </c>
      <c r="B356" s="218" t="s">
        <v>1579</v>
      </c>
      <c r="C356" s="143">
        <v>1000</v>
      </c>
      <c r="D356" s="135">
        <v>44581</v>
      </c>
      <c r="E356" s="135">
        <v>44593</v>
      </c>
      <c r="F356" s="147"/>
      <c r="G356" s="135"/>
      <c r="H356" s="147">
        <v>44599</v>
      </c>
      <c r="I356" s="147">
        <v>44599</v>
      </c>
      <c r="J356" s="147">
        <v>44575</v>
      </c>
      <c r="K356" s="135">
        <v>44679</v>
      </c>
      <c r="L356" s="135">
        <v>44670</v>
      </c>
      <c r="M356" s="135"/>
      <c r="N356" s="135">
        <v>44685</v>
      </c>
      <c r="O356" s="135">
        <v>44685</v>
      </c>
      <c r="P356" s="135">
        <v>44717</v>
      </c>
      <c r="Q356" s="135"/>
      <c r="R356" s="143"/>
      <c r="S356" s="143"/>
      <c r="T356" s="143"/>
      <c r="U356" s="143">
        <v>1</v>
      </c>
      <c r="V356" s="143">
        <v>6684</v>
      </c>
      <c r="W356" s="143" t="str">
        <f ca="1">IF(H356="",IF(D356="","",IF(U356+V356&lt;15,"Données Nb pers ou RFR manquantes",IF(COUNTA(INDIRECT("TabRFR["&amp;YEAR(D356)&amp;"]"))&lt;&gt;COUNTA(TabRFR[Recherche RFR]),"Data RFR manquantes", IF(V356&lt;=INDEX(TabRFR[[2021]:[2025]],MATCH(BD!U356&amp;"-Très modestes",TabRFR[Recherche RFR],0),MATCH(TEXT(YEAR(BD!D356),"Standard"),TabRFR[[#Headers],[2021]:[2025]],0)),"Très Modeste",IF(V356&lt;=INDEX(TabRFR[[2021]:[2025]],MATCH(BD!U356&amp;"-modestes",TabRFR[Recherche RFR],0),MATCH(TEXT(YEAR(BD!D356),"Standard"),TabRFR[[#Headers],[2021]:[2025]],0)),"Modeste",IF(V356&lt;=INDEX(TabRFR[[2021]:[2025]],MATCH(BD!U356&amp;"-Intermédiaire",TabRFR[Recherche RFR],0),MATCH(TEXT(YEAR(BD!D356),"Standard"),TabRFR[[#Headers],[2021]:[2025]],0)),"Intermédiaire","Supérieur")))))),IF(D356="","",IF(U356+V356&lt;15,"Données Nb pers ou RFR manquantes",IF(COUNTA(INDIRECT("TabRFR["&amp;YEAR(H356)&amp;"]"))&lt;&gt;COUNTA(TabRFR[Recherche RFR]),"Data RFR manquantes", IF(V356&lt;=INDEX(TabRFR[[2021]:[2025]],MATCH(BD!U356&amp;"-Très modestes",TabRFR[Recherche RFR],0),MATCH(TEXT(YEAR(BD!H356),"Standard"),TabRFR[[#Headers],[2021]:[2025]],0)),"Très Modeste",IF(V356&lt;=INDEX(TabRFR[[2021]:[2025]],MATCH(BD!U356&amp;"-modestes",TabRFR[Recherche RFR],0),MATCH(TEXT(YEAR(BD!H356),"Standard"),TabRFR[[#Headers],[2021]:[2025]],0)),"Modeste",IF(V356&lt;=INDEX(TabRFR[[2021]:[2025]],MATCH(BD!U356&amp;"-Intermédiaire",TabRFR[Recherche RFR],0),MATCH(TEXT(YEAR(BD!H356),"Standard"),TabRFR[[#Headers],[2021]:[2025]],0)),"Intermédiaire","Supérieur")))))))</f>
        <v>Très Modeste</v>
      </c>
      <c r="X356" s="143"/>
      <c r="Y356" s="143" t="s">
        <v>1254</v>
      </c>
      <c r="Z356" s="143">
        <v>38850</v>
      </c>
      <c r="AA356" s="143" t="s">
        <v>435</v>
      </c>
      <c r="AB356" s="148"/>
      <c r="AC356" s="149"/>
      <c r="AD356" s="143" t="s">
        <v>91</v>
      </c>
      <c r="AE356" s="143"/>
      <c r="AF356" s="143"/>
      <c r="AG356" s="143"/>
      <c r="AH356" s="143"/>
      <c r="AI356" s="135" t="s">
        <v>285</v>
      </c>
      <c r="AJ356" s="143" t="s">
        <v>108</v>
      </c>
      <c r="AK356" s="143" t="s">
        <v>286</v>
      </c>
      <c r="AL356" s="150" t="s">
        <v>287</v>
      </c>
      <c r="AM356" s="148">
        <v>476069938</v>
      </c>
      <c r="AN356" s="143"/>
      <c r="AO356" s="150" t="s">
        <v>102</v>
      </c>
      <c r="AP356" s="147">
        <v>44822</v>
      </c>
      <c r="AQ356" s="135" t="s">
        <v>3449</v>
      </c>
      <c r="AR356" s="143">
        <v>1930</v>
      </c>
      <c r="AS356" s="143" t="s">
        <v>3413</v>
      </c>
      <c r="AT356" s="143" t="s">
        <v>98</v>
      </c>
      <c r="AU356" s="143" t="s">
        <v>1580</v>
      </c>
      <c r="AV356" s="143" t="s">
        <v>1581</v>
      </c>
      <c r="AW356" s="143">
        <v>14</v>
      </c>
      <c r="AX356" s="143">
        <v>6</v>
      </c>
      <c r="AY356" s="143">
        <v>88</v>
      </c>
      <c r="AZ356" s="143">
        <v>5.6000000000000001E-2</v>
      </c>
      <c r="BA356" s="143" t="s">
        <v>101</v>
      </c>
      <c r="BB356" s="143"/>
      <c r="BC356" s="143">
        <v>5788</v>
      </c>
      <c r="BD356" s="143"/>
      <c r="BE356" s="143">
        <v>840</v>
      </c>
      <c r="BF356" s="143">
        <v>6628</v>
      </c>
      <c r="BG356" s="143">
        <v>364.56</v>
      </c>
      <c r="BH356" s="143">
        <v>6771</v>
      </c>
      <c r="BI356" s="151">
        <v>6992.56</v>
      </c>
      <c r="BJ356" s="143" t="s">
        <v>102</v>
      </c>
      <c r="BK356" s="143"/>
      <c r="BL356" s="143"/>
      <c r="BM356" s="144" t="s">
        <v>3592</v>
      </c>
      <c r="BN356" s="143">
        <v>2022</v>
      </c>
      <c r="BO356" s="135" t="s">
        <v>155</v>
      </c>
      <c r="BP356" s="143" t="s">
        <v>3583</v>
      </c>
      <c r="BQ356" s="203" t="s">
        <v>144</v>
      </c>
    </row>
    <row r="357" spans="1:69" ht="41.1" customHeight="1">
      <c r="A357" s="145" t="s">
        <v>1529</v>
      </c>
      <c r="B357" s="145" t="s">
        <v>1582</v>
      </c>
      <c r="C357" s="143">
        <v>600</v>
      </c>
      <c r="D357" s="135">
        <v>44585</v>
      </c>
      <c r="E357" s="135">
        <v>44593</v>
      </c>
      <c r="F357" s="147"/>
      <c r="G357" s="135" t="s">
        <v>1583</v>
      </c>
      <c r="H357" s="147"/>
      <c r="I357" s="147"/>
      <c r="J357" s="147"/>
      <c r="K357" s="135"/>
      <c r="L357" s="135"/>
      <c r="M357" s="135"/>
      <c r="N357" s="135"/>
      <c r="O357" s="135"/>
      <c r="P357" s="135"/>
      <c r="Q357" s="135">
        <v>44601</v>
      </c>
      <c r="R357" s="143" t="s">
        <v>1584</v>
      </c>
      <c r="S357" s="143"/>
      <c r="T357" s="143"/>
      <c r="U357" s="143">
        <v>3</v>
      </c>
      <c r="V357" s="143">
        <v>41960</v>
      </c>
      <c r="W357" s="143" t="str">
        <f ca="1">IF(H357="",IF(D357="","",IF(U357+V357&lt;15,"Données Nb pers ou RFR manquantes",IF(COUNTA(INDIRECT("TabRFR["&amp;YEAR(D357)&amp;"]"))&lt;&gt;COUNTA(TabRFR[Recherche RFR]),"Data RFR manquantes", IF(V357&lt;=INDEX(TabRFR[[2021]:[2025]],MATCH(BD!U357&amp;"-Très modestes",TabRFR[Recherche RFR],0),MATCH(TEXT(YEAR(BD!D357),"Standard"),TabRFR[[#Headers],[2021]:[2025]],0)),"Très Modeste",IF(V357&lt;=INDEX(TabRFR[[2021]:[2025]],MATCH(BD!U357&amp;"-modestes",TabRFR[Recherche RFR],0),MATCH(TEXT(YEAR(BD!D357),"Standard"),TabRFR[[#Headers],[2021]:[2025]],0)),"Modeste",IF(V357&lt;=INDEX(TabRFR[[2021]:[2025]],MATCH(BD!U357&amp;"-Intermédiaire",TabRFR[Recherche RFR],0),MATCH(TEXT(YEAR(BD!D357),"Standard"),TabRFR[[#Headers],[2021]:[2025]],0)),"Intermédiaire","Supérieur")))))),IF(D357="","",IF(U357+V357&lt;15,"Données Nb pers ou RFR manquantes",IF(COUNTA(INDIRECT("TabRFR["&amp;YEAR(H357)&amp;"]"))&lt;&gt;COUNTA(TabRFR[Recherche RFR]),"Data RFR manquantes", IF(V357&lt;=INDEX(TabRFR[[2021]:[2025]],MATCH(BD!U357&amp;"-Très modestes",TabRFR[Recherche RFR],0),MATCH(TEXT(YEAR(BD!H357),"Standard"),TabRFR[[#Headers],[2021]:[2025]],0)),"Très Modeste",IF(V357&lt;=INDEX(TabRFR[[2021]:[2025]],MATCH(BD!U357&amp;"-modestes",TabRFR[Recherche RFR],0),MATCH(TEXT(YEAR(BD!H357),"Standard"),TabRFR[[#Headers],[2021]:[2025]],0)),"Modeste",IF(V357&lt;=INDEX(TabRFR[[2021]:[2025]],MATCH(BD!U357&amp;"-Intermédiaire",TabRFR[Recherche RFR],0),MATCH(TEXT(YEAR(BD!H357),"Standard"),TabRFR[[#Headers],[2021]:[2025]],0)),"Intermédiaire","Supérieur")))))))</f>
        <v>Intermédiaire</v>
      </c>
      <c r="X357" s="143"/>
      <c r="Y357" s="143" t="s">
        <v>1585</v>
      </c>
      <c r="Z357" s="143">
        <v>38340</v>
      </c>
      <c r="AA357" s="143" t="s">
        <v>266</v>
      </c>
      <c r="AB357" s="148"/>
      <c r="AC357" s="149"/>
      <c r="AD357" s="143" t="s">
        <v>91</v>
      </c>
      <c r="AE357" s="143"/>
      <c r="AF357" s="143"/>
      <c r="AG357" s="143"/>
      <c r="AH357" s="143"/>
      <c r="AI357" s="143"/>
      <c r="AJ357" s="143"/>
      <c r="AK357" s="143"/>
      <c r="AL357" s="149"/>
      <c r="AM357" s="148"/>
      <c r="AN357" s="143"/>
      <c r="AO357" s="143"/>
      <c r="AP357" s="147"/>
      <c r="AQ357" s="143"/>
      <c r="AR357" s="143"/>
      <c r="AS357" s="143"/>
      <c r="AT357" s="138"/>
      <c r="AU357" s="143"/>
      <c r="AV357" s="143"/>
      <c r="AW357" s="143"/>
      <c r="AX357" s="143"/>
      <c r="AY357" s="143"/>
      <c r="AZ357" s="143"/>
      <c r="BA357" s="143"/>
      <c r="BB357" s="143"/>
      <c r="BC357" s="143"/>
      <c r="BD357" s="143"/>
      <c r="BE357" s="143"/>
      <c r="BF357" s="143"/>
      <c r="BG357" s="151"/>
      <c r="BH357" s="151"/>
      <c r="BI357" s="151"/>
      <c r="BJ357" s="143"/>
      <c r="BK357" s="143"/>
      <c r="BL357" s="143"/>
      <c r="BM357" s="144">
        <v>0</v>
      </c>
      <c r="BN357" s="153" t="s">
        <v>1496</v>
      </c>
      <c r="BO357" s="144" t="s">
        <v>103</v>
      </c>
      <c r="BP357" s="203" t="s">
        <v>3582</v>
      </c>
      <c r="BQ357" s="203" t="s">
        <v>3273</v>
      </c>
    </row>
    <row r="358" spans="1:69" ht="41.1" customHeight="1">
      <c r="A358" s="218" t="s">
        <v>1529</v>
      </c>
      <c r="B358" s="218" t="s">
        <v>1586</v>
      </c>
      <c r="C358" s="143">
        <v>1000</v>
      </c>
      <c r="D358" s="135">
        <v>44585</v>
      </c>
      <c r="E358" s="135">
        <v>44593</v>
      </c>
      <c r="F358" s="147">
        <v>44599</v>
      </c>
      <c r="G358" s="135" t="s">
        <v>1587</v>
      </c>
      <c r="H358" s="147">
        <v>44635</v>
      </c>
      <c r="I358" s="147">
        <v>44635</v>
      </c>
      <c r="J358" s="147">
        <v>44655</v>
      </c>
      <c r="K358" s="135">
        <v>44742</v>
      </c>
      <c r="L358" s="135">
        <v>44655</v>
      </c>
      <c r="M358" s="135" t="s">
        <v>1088</v>
      </c>
      <c r="N358" s="135">
        <v>44823</v>
      </c>
      <c r="O358" s="135">
        <v>44823</v>
      </c>
      <c r="P358" s="135">
        <v>44824</v>
      </c>
      <c r="Q358" s="135"/>
      <c r="R358" s="143"/>
      <c r="S358" s="143"/>
      <c r="T358" s="143"/>
      <c r="U358" s="143">
        <v>2</v>
      </c>
      <c r="V358" s="143">
        <v>17226</v>
      </c>
      <c r="W358" s="143" t="str">
        <f ca="1">IF(H358="",IF(D358="","",IF(U358+V358&lt;15,"Données Nb pers ou RFR manquantes",IF(COUNTA(INDIRECT("TabRFR["&amp;YEAR(D358)&amp;"]"))&lt;&gt;COUNTA(TabRFR[Recherche RFR]),"Data RFR manquantes", IF(V358&lt;=INDEX(TabRFR[[2021]:[2025]],MATCH(BD!U358&amp;"-Très modestes",TabRFR[Recherche RFR],0),MATCH(TEXT(YEAR(BD!D358),"Standard"),TabRFR[[#Headers],[2021]:[2025]],0)),"Très Modeste",IF(V358&lt;=INDEX(TabRFR[[2021]:[2025]],MATCH(BD!U358&amp;"-modestes",TabRFR[Recherche RFR],0),MATCH(TEXT(YEAR(BD!D358),"Standard"),TabRFR[[#Headers],[2021]:[2025]],0)),"Modeste",IF(V358&lt;=INDEX(TabRFR[[2021]:[2025]],MATCH(BD!U358&amp;"-Intermédiaire",TabRFR[Recherche RFR],0),MATCH(TEXT(YEAR(BD!D358),"Standard"),TabRFR[[#Headers],[2021]:[2025]],0)),"Intermédiaire","Supérieur")))))),IF(D358="","",IF(U358+V358&lt;15,"Données Nb pers ou RFR manquantes",IF(COUNTA(INDIRECT("TabRFR["&amp;YEAR(H358)&amp;"]"))&lt;&gt;COUNTA(TabRFR[Recherche RFR]),"Data RFR manquantes", IF(V358&lt;=INDEX(TabRFR[[2021]:[2025]],MATCH(BD!U358&amp;"-Très modestes",TabRFR[Recherche RFR],0),MATCH(TEXT(YEAR(BD!H358),"Standard"),TabRFR[[#Headers],[2021]:[2025]],0)),"Très Modeste",IF(V358&lt;=INDEX(TabRFR[[2021]:[2025]],MATCH(BD!U358&amp;"-modestes",TabRFR[Recherche RFR],0),MATCH(TEXT(YEAR(BD!H358),"Standard"),TabRFR[[#Headers],[2021]:[2025]],0)),"Modeste",IF(V358&lt;=INDEX(TabRFR[[2021]:[2025]],MATCH(BD!U358&amp;"-Intermédiaire",TabRFR[Recherche RFR],0),MATCH(TEXT(YEAR(BD!H358),"Standard"),TabRFR[[#Headers],[2021]:[2025]],0)),"Intermédiaire","Supérieur")))))))</f>
        <v>Très Modeste</v>
      </c>
      <c r="X358" s="143"/>
      <c r="Y358" s="143" t="s">
        <v>1588</v>
      </c>
      <c r="Z358" s="143">
        <v>38500</v>
      </c>
      <c r="AA358" s="143" t="s">
        <v>108</v>
      </c>
      <c r="AB358" s="148"/>
      <c r="AC358" s="149"/>
      <c r="AD358" s="143" t="s">
        <v>414</v>
      </c>
      <c r="AE358" s="143">
        <v>2</v>
      </c>
      <c r="AF358" s="143" t="s">
        <v>1589</v>
      </c>
      <c r="AG358" s="143">
        <v>38500</v>
      </c>
      <c r="AH358" s="143" t="s">
        <v>108</v>
      </c>
      <c r="AI358" s="143" t="s">
        <v>1131</v>
      </c>
      <c r="AJ358" s="143" t="s">
        <v>1132</v>
      </c>
      <c r="AK358" s="143" t="s">
        <v>1133</v>
      </c>
      <c r="AL358" s="150" t="s">
        <v>1134</v>
      </c>
      <c r="AM358" s="148">
        <v>476725701</v>
      </c>
      <c r="AN358" s="143" t="s">
        <v>76</v>
      </c>
      <c r="AO358" s="150" t="s">
        <v>102</v>
      </c>
      <c r="AP358" s="147">
        <v>44958</v>
      </c>
      <c r="AQ358" s="143"/>
      <c r="AR358" s="143">
        <v>1890</v>
      </c>
      <c r="AS358" s="143" t="s">
        <v>3413</v>
      </c>
      <c r="AT358" s="135" t="s">
        <v>3446</v>
      </c>
      <c r="AU358" s="143" t="s">
        <v>488</v>
      </c>
      <c r="AV358" s="143" t="s">
        <v>1590</v>
      </c>
      <c r="AW358" s="143">
        <v>30</v>
      </c>
      <c r="AX358" s="143">
        <v>8</v>
      </c>
      <c r="AY358" s="143">
        <v>77</v>
      </c>
      <c r="AZ358" s="143">
        <v>0.1</v>
      </c>
      <c r="BA358" s="143" t="s">
        <v>101</v>
      </c>
      <c r="BB358" s="143"/>
      <c r="BC358" s="143">
        <v>1250</v>
      </c>
      <c r="BD358" s="143"/>
      <c r="BE358" s="143">
        <v>800</v>
      </c>
      <c r="BF358" s="143">
        <v>2050</v>
      </c>
      <c r="BG358" s="151">
        <v>112.75</v>
      </c>
      <c r="BH358" s="151">
        <v>2162.75</v>
      </c>
      <c r="BI358" s="151">
        <v>2162.75</v>
      </c>
      <c r="BJ358" s="143" t="s">
        <v>102</v>
      </c>
      <c r="BK358" s="143"/>
      <c r="BL358" s="143"/>
      <c r="BM358" s="144" t="s">
        <v>3592</v>
      </c>
      <c r="BN358" s="143">
        <v>2022</v>
      </c>
      <c r="BO358" s="135" t="s">
        <v>155</v>
      </c>
      <c r="BP358" s="144">
        <v>2022</v>
      </c>
      <c r="BQ358" s="203" t="s">
        <v>144</v>
      </c>
    </row>
    <row r="359" spans="1:69" ht="41.1" customHeight="1">
      <c r="A359" s="218" t="s">
        <v>1529</v>
      </c>
      <c r="B359" s="218" t="s">
        <v>1591</v>
      </c>
      <c r="C359" s="143">
        <v>600</v>
      </c>
      <c r="D359" s="135">
        <v>44586</v>
      </c>
      <c r="E359" s="135">
        <v>44593</v>
      </c>
      <c r="F359" s="147">
        <v>44599</v>
      </c>
      <c r="G359" s="135" t="s">
        <v>1592</v>
      </c>
      <c r="H359" s="147">
        <v>44609</v>
      </c>
      <c r="I359" s="147">
        <v>44609</v>
      </c>
      <c r="J359" s="147">
        <v>44614</v>
      </c>
      <c r="K359" s="135">
        <v>44859</v>
      </c>
      <c r="L359" s="135">
        <v>44853</v>
      </c>
      <c r="M359" s="135" t="s">
        <v>1593</v>
      </c>
      <c r="N359" s="135">
        <v>44875</v>
      </c>
      <c r="O359" s="135">
        <v>44875</v>
      </c>
      <c r="P359" s="135">
        <v>44880</v>
      </c>
      <c r="Q359" s="135"/>
      <c r="R359" s="143"/>
      <c r="S359" s="143"/>
      <c r="T359" s="143"/>
      <c r="U359" s="143">
        <v>3</v>
      </c>
      <c r="V359" s="143">
        <v>51669</v>
      </c>
      <c r="W359" s="143" t="str">
        <f ca="1">IF(H359="",IF(D359="","",IF(U359+V359&lt;15,"Données Nb pers ou RFR manquantes",IF(COUNTA(INDIRECT("TabRFR["&amp;YEAR(D359)&amp;"]"))&lt;&gt;COUNTA(TabRFR[Recherche RFR]),"Data RFR manquantes", IF(V359&lt;=INDEX(TabRFR[[2021]:[2025]],MATCH(BD!U359&amp;"-Très modestes",TabRFR[Recherche RFR],0),MATCH(TEXT(YEAR(BD!D359),"Standard"),TabRFR[[#Headers],[2021]:[2025]],0)),"Très Modeste",IF(V359&lt;=INDEX(TabRFR[[2021]:[2025]],MATCH(BD!U359&amp;"-modestes",TabRFR[Recherche RFR],0),MATCH(TEXT(YEAR(BD!D359),"Standard"),TabRFR[[#Headers],[2021]:[2025]],0)),"Modeste",IF(V359&lt;=INDEX(TabRFR[[2021]:[2025]],MATCH(BD!U359&amp;"-Intermédiaire",TabRFR[Recherche RFR],0),MATCH(TEXT(YEAR(BD!D359),"Standard"),TabRFR[[#Headers],[2021]:[2025]],0)),"Intermédiaire","Supérieur")))))),IF(D359="","",IF(U359+V359&lt;15,"Données Nb pers ou RFR manquantes",IF(COUNTA(INDIRECT("TabRFR["&amp;YEAR(H359)&amp;"]"))&lt;&gt;COUNTA(TabRFR[Recherche RFR]),"Data RFR manquantes", IF(V359&lt;=INDEX(TabRFR[[2021]:[2025]],MATCH(BD!U359&amp;"-Très modestes",TabRFR[Recherche RFR],0),MATCH(TEXT(YEAR(BD!H359),"Standard"),TabRFR[[#Headers],[2021]:[2025]],0)),"Très Modeste",IF(V359&lt;=INDEX(TabRFR[[2021]:[2025]],MATCH(BD!U359&amp;"-modestes",TabRFR[Recherche RFR],0),MATCH(TEXT(YEAR(BD!H359),"Standard"),TabRFR[[#Headers],[2021]:[2025]],0)),"Modeste",IF(V359&lt;=INDEX(TabRFR[[2021]:[2025]],MATCH(BD!U359&amp;"-Intermédiaire",TabRFR[Recherche RFR],0),MATCH(TEXT(YEAR(BD!H359),"Standard"),TabRFR[[#Headers],[2021]:[2025]],0)),"Intermédiaire","Supérieur")))))))</f>
        <v>Supérieur</v>
      </c>
      <c r="X359" s="143"/>
      <c r="Y359" s="143" t="s">
        <v>1594</v>
      </c>
      <c r="Z359" s="143">
        <v>38340</v>
      </c>
      <c r="AA359" s="143" t="s">
        <v>266</v>
      </c>
      <c r="AB359" s="148"/>
      <c r="AC359" s="149"/>
      <c r="AD359" s="143" t="s">
        <v>91</v>
      </c>
      <c r="AE359" s="143"/>
      <c r="AF359" s="143"/>
      <c r="AG359" s="143"/>
      <c r="AH359" s="143"/>
      <c r="AI359" s="135" t="s">
        <v>2703</v>
      </c>
      <c r="AJ359" s="143" t="s">
        <v>266</v>
      </c>
      <c r="AK359" s="143" t="s">
        <v>317</v>
      </c>
      <c r="AL359" s="150" t="s">
        <v>318</v>
      </c>
      <c r="AM359" s="148">
        <v>476500550</v>
      </c>
      <c r="AN359" s="143" t="s">
        <v>76</v>
      </c>
      <c r="AO359" s="150" t="s">
        <v>102</v>
      </c>
      <c r="AP359" s="147">
        <v>44740</v>
      </c>
      <c r="AQ359" s="135" t="s">
        <v>3449</v>
      </c>
      <c r="AR359" s="143">
        <v>1965</v>
      </c>
      <c r="AS359" s="143" t="s">
        <v>3413</v>
      </c>
      <c r="AT359" s="135" t="s">
        <v>3446</v>
      </c>
      <c r="AU359" s="143" t="s">
        <v>319</v>
      </c>
      <c r="AV359" s="143" t="s">
        <v>1273</v>
      </c>
      <c r="AW359" s="143">
        <v>32</v>
      </c>
      <c r="AX359" s="143">
        <v>7</v>
      </c>
      <c r="AY359" s="143">
        <v>77.8</v>
      </c>
      <c r="AZ359" s="143">
        <v>0.08</v>
      </c>
      <c r="BA359" s="143" t="s">
        <v>101</v>
      </c>
      <c r="BB359" s="143"/>
      <c r="BC359" s="143">
        <v>3713.91</v>
      </c>
      <c r="BD359" s="143"/>
      <c r="BE359" s="143">
        <v>900</v>
      </c>
      <c r="BF359" s="143">
        <v>4493.91</v>
      </c>
      <c r="BG359" s="151">
        <v>247.17</v>
      </c>
      <c r="BH359" s="151">
        <v>4741.08</v>
      </c>
      <c r="BI359" s="151">
        <v>4741.08</v>
      </c>
      <c r="BJ359" s="143" t="s">
        <v>115</v>
      </c>
      <c r="BK359" s="143"/>
      <c r="BL359" s="143"/>
      <c r="BM359" s="144" t="s">
        <v>3592</v>
      </c>
      <c r="BN359" s="143">
        <v>2022</v>
      </c>
      <c r="BO359" s="144" t="s">
        <v>143</v>
      </c>
      <c r="BP359" s="144">
        <v>2022</v>
      </c>
      <c r="BQ359" s="203" t="s">
        <v>3274</v>
      </c>
    </row>
    <row r="360" spans="1:69" ht="41.1" customHeight="1">
      <c r="A360" s="145" t="s">
        <v>1529</v>
      </c>
      <c r="B360" s="145" t="s">
        <v>1595</v>
      </c>
      <c r="C360" s="146" t="s">
        <v>1596</v>
      </c>
      <c r="D360" s="135"/>
      <c r="E360" s="135"/>
      <c r="F360" s="147"/>
      <c r="G360" s="135"/>
      <c r="H360" s="147"/>
      <c r="I360" s="147"/>
      <c r="J360" s="147"/>
      <c r="K360" s="135"/>
      <c r="L360" s="135"/>
      <c r="M360" s="135"/>
      <c r="N360" s="135"/>
      <c r="O360" s="135"/>
      <c r="P360" s="135"/>
      <c r="Q360" s="135">
        <v>1</v>
      </c>
      <c r="R360" s="143"/>
      <c r="S360" s="143"/>
      <c r="T360" s="143"/>
      <c r="U360" s="143"/>
      <c r="V360" s="143"/>
      <c r="W360" s="143" t="str">
        <f ca="1">IF(H360="",IF(D360="","",IF(U360+V360&lt;15,"Données Nb pers ou RFR manquantes",IF(COUNTA(INDIRECT("TabRFR["&amp;YEAR(D360)&amp;"]"))&lt;&gt;COUNTA(TabRFR[Recherche RFR]),"Data RFR manquantes", IF(V360&lt;=INDEX(TabRFR[[2021]:[2025]],MATCH(BD!U360&amp;"-Très modestes",TabRFR[Recherche RFR],0),MATCH(TEXT(YEAR(BD!D360),"Standard"),TabRFR[[#Headers],[2021]:[2025]],0)),"Très Modeste",IF(V360&lt;=INDEX(TabRFR[[2021]:[2025]],MATCH(BD!U360&amp;"-modestes",TabRFR[Recherche RFR],0),MATCH(TEXT(YEAR(BD!D360),"Standard"),TabRFR[[#Headers],[2021]:[2025]],0)),"Modeste",IF(V360&lt;=INDEX(TabRFR[[2021]:[2025]],MATCH(BD!U360&amp;"-Intermédiaire",TabRFR[Recherche RFR],0),MATCH(TEXT(YEAR(BD!D360),"Standard"),TabRFR[[#Headers],[2021]:[2025]],0)),"Intermédiaire","Supérieur")))))),IF(D360="","",IF(U360+V360&lt;15,"Données Nb pers ou RFR manquantes",IF(COUNTA(INDIRECT("TabRFR["&amp;YEAR(H360)&amp;"]"))&lt;&gt;COUNTA(TabRFR[Recherche RFR]),"Data RFR manquantes", IF(V360&lt;=INDEX(TabRFR[[2021]:[2025]],MATCH(BD!U360&amp;"-Très modestes",TabRFR[Recherche RFR],0),MATCH(TEXT(YEAR(BD!H360),"Standard"),TabRFR[[#Headers],[2021]:[2025]],0)),"Très Modeste",IF(V360&lt;=INDEX(TabRFR[[2021]:[2025]],MATCH(BD!U360&amp;"-modestes",TabRFR[Recherche RFR],0),MATCH(TEXT(YEAR(BD!H360),"Standard"),TabRFR[[#Headers],[2021]:[2025]],0)),"Modeste",IF(V360&lt;=INDEX(TabRFR[[2021]:[2025]],MATCH(BD!U360&amp;"-Intermédiaire",TabRFR[Recherche RFR],0),MATCH(TEXT(YEAR(BD!H360),"Standard"),TabRFR[[#Headers],[2021]:[2025]],0)),"Intermédiaire","Supérieur")))))))</f>
        <v/>
      </c>
      <c r="X360" s="143"/>
      <c r="Y360" s="143"/>
      <c r="Z360" s="143"/>
      <c r="AA360" s="143"/>
      <c r="AB360" s="148"/>
      <c r="AC360" s="149"/>
      <c r="AD360" s="143"/>
      <c r="AE360" s="143"/>
      <c r="AF360" s="143"/>
      <c r="AG360" s="143"/>
      <c r="AH360" s="143"/>
      <c r="AI360" s="143"/>
      <c r="AJ360" s="143"/>
      <c r="AK360" s="143"/>
      <c r="AL360" s="149"/>
      <c r="AM360" s="148"/>
      <c r="AN360" s="143"/>
      <c r="AO360" s="143"/>
      <c r="AP360" s="147"/>
      <c r="AQ360" s="143"/>
      <c r="AR360" s="143"/>
      <c r="AS360" s="143"/>
      <c r="AT360" s="138"/>
      <c r="AU360" s="143"/>
      <c r="AV360" s="143"/>
      <c r="AW360" s="143"/>
      <c r="AX360" s="143"/>
      <c r="AY360" s="143"/>
      <c r="AZ360" s="143"/>
      <c r="BA360" s="143"/>
      <c r="BB360" s="143"/>
      <c r="BC360" s="143"/>
      <c r="BD360" s="143"/>
      <c r="BE360" s="143"/>
      <c r="BF360" s="143"/>
      <c r="BG360" s="151"/>
      <c r="BH360" s="151"/>
      <c r="BI360" s="151"/>
      <c r="BJ360" s="143"/>
      <c r="BK360" s="143"/>
      <c r="BL360" s="143"/>
      <c r="BM360" s="144">
        <v>0</v>
      </c>
      <c r="BN360" s="144" t="s">
        <v>103</v>
      </c>
      <c r="BO360" s="144" t="s">
        <v>103</v>
      </c>
      <c r="BP360" s="203" t="s">
        <v>3582</v>
      </c>
      <c r="BQ360" s="203" t="s">
        <v>3273</v>
      </c>
    </row>
    <row r="361" spans="1:69" s="167" customFormat="1" ht="41.1" customHeight="1">
      <c r="A361" s="218" t="s">
        <v>1529</v>
      </c>
      <c r="B361" s="218" t="s">
        <v>1597</v>
      </c>
      <c r="C361" s="143">
        <v>600</v>
      </c>
      <c r="D361" s="135">
        <v>44593</v>
      </c>
      <c r="E361" s="135">
        <v>44593</v>
      </c>
      <c r="F361" s="147"/>
      <c r="G361" s="135"/>
      <c r="H361" s="147">
        <v>44599</v>
      </c>
      <c r="I361" s="147">
        <v>44599</v>
      </c>
      <c r="J361" s="147">
        <v>44575</v>
      </c>
      <c r="K361" s="135">
        <v>44725</v>
      </c>
      <c r="L361" s="135">
        <v>44719</v>
      </c>
      <c r="M361" s="135" t="s">
        <v>1088</v>
      </c>
      <c r="N361" s="166">
        <v>44795</v>
      </c>
      <c r="O361" s="166">
        <v>44795</v>
      </c>
      <c r="P361" s="135">
        <v>44796</v>
      </c>
      <c r="Q361" s="135"/>
      <c r="R361" s="143"/>
      <c r="S361" s="143"/>
      <c r="T361" s="143"/>
      <c r="U361" s="143">
        <v>2</v>
      </c>
      <c r="V361" s="143">
        <v>72722</v>
      </c>
      <c r="W361" s="143" t="str">
        <f ca="1">IF(H361="",IF(D361="","",IF(U361+V361&lt;15,"Données Nb pers ou RFR manquantes",IF(COUNTA(INDIRECT("TabRFR["&amp;YEAR(D361)&amp;"]"))&lt;&gt;COUNTA(TabRFR[Recherche RFR]),"Data RFR manquantes", IF(V361&lt;=INDEX(TabRFR[[2021]:[2025]],MATCH(BD!U361&amp;"-Très modestes",TabRFR[Recherche RFR],0),MATCH(TEXT(YEAR(BD!D361),"Standard"),TabRFR[[#Headers],[2021]:[2025]],0)),"Très Modeste",IF(V361&lt;=INDEX(TabRFR[[2021]:[2025]],MATCH(BD!U361&amp;"-modestes",TabRFR[Recherche RFR],0),MATCH(TEXT(YEAR(BD!D361),"Standard"),TabRFR[[#Headers],[2021]:[2025]],0)),"Modeste",IF(V361&lt;=INDEX(TabRFR[[2021]:[2025]],MATCH(BD!U361&amp;"-Intermédiaire",TabRFR[Recherche RFR],0),MATCH(TEXT(YEAR(BD!D361),"Standard"),TabRFR[[#Headers],[2021]:[2025]],0)),"Intermédiaire","Supérieur")))))),IF(D361="","",IF(U361+V361&lt;15,"Données Nb pers ou RFR manquantes",IF(COUNTA(INDIRECT("TabRFR["&amp;YEAR(H361)&amp;"]"))&lt;&gt;COUNTA(TabRFR[Recherche RFR]),"Data RFR manquantes", IF(V361&lt;=INDEX(TabRFR[[2021]:[2025]],MATCH(BD!U361&amp;"-Très modestes",TabRFR[Recherche RFR],0),MATCH(TEXT(YEAR(BD!H361),"Standard"),TabRFR[[#Headers],[2021]:[2025]],0)),"Très Modeste",IF(V361&lt;=INDEX(TabRFR[[2021]:[2025]],MATCH(BD!U361&amp;"-modestes",TabRFR[Recherche RFR],0),MATCH(TEXT(YEAR(BD!H361),"Standard"),TabRFR[[#Headers],[2021]:[2025]],0)),"Modeste",IF(V361&lt;=INDEX(TabRFR[[2021]:[2025]],MATCH(BD!U361&amp;"-Intermédiaire",TabRFR[Recherche RFR],0),MATCH(TEXT(YEAR(BD!H361),"Standard"),TabRFR[[#Headers],[2021]:[2025]],0)),"Intermédiaire","Supérieur")))))))</f>
        <v>Supérieur</v>
      </c>
      <c r="X361" s="143"/>
      <c r="Y361" s="143" t="s">
        <v>1327</v>
      </c>
      <c r="Z361" s="143">
        <v>38500</v>
      </c>
      <c r="AA361" s="143" t="s">
        <v>108</v>
      </c>
      <c r="AB361" s="148"/>
      <c r="AC361" s="149"/>
      <c r="AD361" s="143"/>
      <c r="AE361" s="143"/>
      <c r="AF361" s="143"/>
      <c r="AG361" s="143"/>
      <c r="AH361" s="143"/>
      <c r="AI361" s="135" t="s">
        <v>285</v>
      </c>
      <c r="AJ361" s="143" t="s">
        <v>108</v>
      </c>
      <c r="AK361" s="143" t="s">
        <v>286</v>
      </c>
      <c r="AL361" s="150" t="s">
        <v>287</v>
      </c>
      <c r="AM361" s="148">
        <v>476069938</v>
      </c>
      <c r="AN361" s="143"/>
      <c r="AO361" s="150" t="s">
        <v>102</v>
      </c>
      <c r="AP361" s="147">
        <v>44822</v>
      </c>
      <c r="AQ361" s="143" t="s">
        <v>3413</v>
      </c>
      <c r="AR361" s="143" t="s">
        <v>172</v>
      </c>
      <c r="AS361" s="143" t="s">
        <v>3413</v>
      </c>
      <c r="AT361" s="135" t="s">
        <v>3446</v>
      </c>
      <c r="AU361" s="143" t="s">
        <v>532</v>
      </c>
      <c r="AV361" s="143" t="s">
        <v>1598</v>
      </c>
      <c r="AW361" s="143">
        <v>40</v>
      </c>
      <c r="AX361" s="143">
        <v>6</v>
      </c>
      <c r="AY361" s="143">
        <v>83</v>
      </c>
      <c r="AZ361" s="143">
        <v>7.0000000000000007E-2</v>
      </c>
      <c r="BA361" s="143" t="s">
        <v>101</v>
      </c>
      <c r="BB361" s="143"/>
      <c r="BC361" s="143">
        <v>3686.6</v>
      </c>
      <c r="BD361" s="143"/>
      <c r="BE361" s="143">
        <v>720.97</v>
      </c>
      <c r="BF361" s="143">
        <v>4407.57</v>
      </c>
      <c r="BG361" s="143">
        <v>242.43</v>
      </c>
      <c r="BH361" s="143">
        <v>4650</v>
      </c>
      <c r="BI361" s="151">
        <v>4650</v>
      </c>
      <c r="BJ361" s="143" t="s">
        <v>102</v>
      </c>
      <c r="BK361" s="143"/>
      <c r="BL361" s="143"/>
      <c r="BM361" s="144" t="s">
        <v>3592</v>
      </c>
      <c r="BN361" s="143">
        <v>2022</v>
      </c>
      <c r="BO361" s="144" t="s">
        <v>143</v>
      </c>
      <c r="BP361" s="144">
        <v>2022</v>
      </c>
      <c r="BQ361" s="203" t="s">
        <v>144</v>
      </c>
    </row>
    <row r="362" spans="1:69" ht="41.1" customHeight="1">
      <c r="A362" s="218" t="s">
        <v>1529</v>
      </c>
      <c r="B362" s="218" t="s">
        <v>1599</v>
      </c>
      <c r="C362" s="143">
        <v>600</v>
      </c>
      <c r="D362" s="135">
        <v>44594</v>
      </c>
      <c r="E362" s="135">
        <v>44595</v>
      </c>
      <c r="F362" s="147"/>
      <c r="G362" s="135"/>
      <c r="H362" s="147">
        <v>44601</v>
      </c>
      <c r="I362" s="147">
        <v>44601</v>
      </c>
      <c r="J362" s="147">
        <v>44575</v>
      </c>
      <c r="K362" s="135">
        <v>44697</v>
      </c>
      <c r="L362" s="135">
        <v>44684</v>
      </c>
      <c r="M362" s="135" t="s">
        <v>76</v>
      </c>
      <c r="N362" s="135">
        <v>44768</v>
      </c>
      <c r="O362" s="135">
        <v>44768</v>
      </c>
      <c r="P362" s="135">
        <v>44769</v>
      </c>
      <c r="Q362" s="135"/>
      <c r="R362" s="143"/>
      <c r="S362" s="143"/>
      <c r="T362" s="143"/>
      <c r="U362" s="143">
        <v>2</v>
      </c>
      <c r="V362" s="143">
        <v>40069</v>
      </c>
      <c r="W362" s="143" t="str">
        <f ca="1">IF(H362="",IF(D362="","",IF(U362+V362&lt;15,"Données Nb pers ou RFR manquantes",IF(COUNTA(INDIRECT("TabRFR["&amp;YEAR(D362)&amp;"]"))&lt;&gt;COUNTA(TabRFR[Recherche RFR]),"Data RFR manquantes", IF(V362&lt;=INDEX(TabRFR[[2021]:[2025]],MATCH(BD!U362&amp;"-Très modestes",TabRFR[Recherche RFR],0),MATCH(TEXT(YEAR(BD!D362),"Standard"),TabRFR[[#Headers],[2021]:[2025]],0)),"Très Modeste",IF(V362&lt;=INDEX(TabRFR[[2021]:[2025]],MATCH(BD!U362&amp;"-modestes",TabRFR[Recherche RFR],0),MATCH(TEXT(YEAR(BD!D362),"Standard"),TabRFR[[#Headers],[2021]:[2025]],0)),"Modeste",IF(V362&lt;=INDEX(TabRFR[[2021]:[2025]],MATCH(BD!U362&amp;"-Intermédiaire",TabRFR[Recherche RFR],0),MATCH(TEXT(YEAR(BD!D362),"Standard"),TabRFR[[#Headers],[2021]:[2025]],0)),"Intermédiaire","Supérieur")))))),IF(D362="","",IF(U362+V362&lt;15,"Données Nb pers ou RFR manquantes",IF(COUNTA(INDIRECT("TabRFR["&amp;YEAR(H362)&amp;"]"))&lt;&gt;COUNTA(TabRFR[Recherche RFR]),"Data RFR manquantes", IF(V362&lt;=INDEX(TabRFR[[2021]:[2025]],MATCH(BD!U362&amp;"-Très modestes",TabRFR[Recherche RFR],0),MATCH(TEXT(YEAR(BD!H362),"Standard"),TabRFR[[#Headers],[2021]:[2025]],0)),"Très Modeste",IF(V362&lt;=INDEX(TabRFR[[2021]:[2025]],MATCH(BD!U362&amp;"-modestes",TabRFR[Recherche RFR],0),MATCH(TEXT(YEAR(BD!H362),"Standard"),TabRFR[[#Headers],[2021]:[2025]],0)),"Modeste",IF(V362&lt;=INDEX(TabRFR[[2021]:[2025]],MATCH(BD!U362&amp;"-Intermédiaire",TabRFR[Recherche RFR],0),MATCH(TEXT(YEAR(BD!H362),"Standard"),TabRFR[[#Headers],[2021]:[2025]],0)),"Intermédiaire","Supérieur")))))))</f>
        <v>Intermédiaire</v>
      </c>
      <c r="X362" s="143"/>
      <c r="Y362" s="143" t="s">
        <v>764</v>
      </c>
      <c r="Z362" s="143">
        <v>38960</v>
      </c>
      <c r="AA362" s="143" t="s">
        <v>360</v>
      </c>
      <c r="AB362" s="148"/>
      <c r="AC362" s="149"/>
      <c r="AD362" s="143" t="s">
        <v>91</v>
      </c>
      <c r="AE362" s="143"/>
      <c r="AF362" s="143"/>
      <c r="AG362" s="143"/>
      <c r="AH362" s="143"/>
      <c r="AI362" s="143" t="s">
        <v>250</v>
      </c>
      <c r="AJ362" s="143" t="s">
        <v>121</v>
      </c>
      <c r="AK362" s="143" t="s">
        <v>251</v>
      </c>
      <c r="AL362" s="150" t="s">
        <v>252</v>
      </c>
      <c r="AM362" s="148">
        <v>476452433</v>
      </c>
      <c r="AN362" s="143" t="s">
        <v>76</v>
      </c>
      <c r="AO362" s="150" t="s">
        <v>102</v>
      </c>
      <c r="AP362" s="147">
        <v>44620</v>
      </c>
      <c r="AQ362" s="135" t="s">
        <v>3496</v>
      </c>
      <c r="AR362" s="143">
        <v>1988</v>
      </c>
      <c r="AS362" s="143" t="s">
        <v>3413</v>
      </c>
      <c r="AT362" s="135" t="s">
        <v>3446</v>
      </c>
      <c r="AU362" s="143" t="s">
        <v>253</v>
      </c>
      <c r="AV362" s="143" t="s">
        <v>1600</v>
      </c>
      <c r="AW362" s="143">
        <v>25</v>
      </c>
      <c r="AX362" s="143">
        <v>6</v>
      </c>
      <c r="AY362" s="143">
        <v>83</v>
      </c>
      <c r="AZ362" s="143">
        <v>7.0000000000000007E-2</v>
      </c>
      <c r="BA362" s="143" t="s">
        <v>101</v>
      </c>
      <c r="BB362" s="143"/>
      <c r="BC362" s="143">
        <v>6259.19</v>
      </c>
      <c r="BD362" s="143"/>
      <c r="BE362" s="143">
        <v>1014.78</v>
      </c>
      <c r="BF362" s="143">
        <v>6813.97</v>
      </c>
      <c r="BG362" s="151">
        <v>374.77</v>
      </c>
      <c r="BH362" s="151">
        <v>7188.74</v>
      </c>
      <c r="BI362" s="151">
        <v>7188.74</v>
      </c>
      <c r="BJ362" s="143" t="s">
        <v>102</v>
      </c>
      <c r="BK362" s="143"/>
      <c r="BL362" s="143"/>
      <c r="BM362" s="144" t="s">
        <v>3592</v>
      </c>
      <c r="BN362" s="143">
        <v>2022</v>
      </c>
      <c r="BO362" s="144" t="s">
        <v>143</v>
      </c>
      <c r="BP362" s="144">
        <v>2022</v>
      </c>
      <c r="BQ362" s="203" t="s">
        <v>144</v>
      </c>
    </row>
    <row r="363" spans="1:69" ht="41.1" customHeight="1">
      <c r="A363" s="218" t="s">
        <v>1529</v>
      </c>
      <c r="B363" s="218" t="s">
        <v>1601</v>
      </c>
      <c r="C363" s="143">
        <v>1000</v>
      </c>
      <c r="D363" s="135">
        <v>44594</v>
      </c>
      <c r="E363" s="135">
        <v>44595</v>
      </c>
      <c r="F363" s="147"/>
      <c r="G363" s="135"/>
      <c r="H363" s="147">
        <v>44616</v>
      </c>
      <c r="I363" s="147">
        <v>44616</v>
      </c>
      <c r="J363" s="147">
        <v>44620</v>
      </c>
      <c r="K363" s="135">
        <v>44739</v>
      </c>
      <c r="L363" s="135">
        <v>44712</v>
      </c>
      <c r="M363" s="135" t="s">
        <v>76</v>
      </c>
      <c r="N363" s="135">
        <v>44769</v>
      </c>
      <c r="O363" s="135">
        <v>44769</v>
      </c>
      <c r="P363" s="135">
        <v>44770</v>
      </c>
      <c r="Q363" s="135"/>
      <c r="R363" s="143"/>
      <c r="S363" s="143"/>
      <c r="T363" s="143"/>
      <c r="U363" s="143">
        <v>2</v>
      </c>
      <c r="V363" s="143">
        <v>27745</v>
      </c>
      <c r="W363" s="143" t="str">
        <f ca="1">IF(H363="",IF(D363="","",IF(U363+V363&lt;15,"Données Nb pers ou RFR manquantes",IF(COUNTA(INDIRECT("TabRFR["&amp;YEAR(D363)&amp;"]"))&lt;&gt;COUNTA(TabRFR[Recherche RFR]),"Data RFR manquantes", IF(V363&lt;=INDEX(TabRFR[[2021]:[2025]],MATCH(BD!U363&amp;"-Très modestes",TabRFR[Recherche RFR],0),MATCH(TEXT(YEAR(BD!D363),"Standard"),TabRFR[[#Headers],[2021]:[2025]],0)),"Très Modeste",IF(V363&lt;=INDEX(TabRFR[[2021]:[2025]],MATCH(BD!U363&amp;"-modestes",TabRFR[Recherche RFR],0),MATCH(TEXT(YEAR(BD!D363),"Standard"),TabRFR[[#Headers],[2021]:[2025]],0)),"Modeste",IF(V363&lt;=INDEX(TabRFR[[2021]:[2025]],MATCH(BD!U363&amp;"-Intermédiaire",TabRFR[Recherche RFR],0),MATCH(TEXT(YEAR(BD!D363),"Standard"),TabRFR[[#Headers],[2021]:[2025]],0)),"Intermédiaire","Supérieur")))))),IF(D363="","",IF(U363+V363&lt;15,"Données Nb pers ou RFR manquantes",IF(COUNTA(INDIRECT("TabRFR["&amp;YEAR(H363)&amp;"]"))&lt;&gt;COUNTA(TabRFR[Recherche RFR]),"Data RFR manquantes", IF(V363&lt;=INDEX(TabRFR[[2021]:[2025]],MATCH(BD!U363&amp;"-Très modestes",TabRFR[Recherche RFR],0),MATCH(TEXT(YEAR(BD!H363),"Standard"),TabRFR[[#Headers],[2021]:[2025]],0)),"Très Modeste",IF(V363&lt;=INDEX(TabRFR[[2021]:[2025]],MATCH(BD!U363&amp;"-modestes",TabRFR[Recherche RFR],0),MATCH(TEXT(YEAR(BD!H363),"Standard"),TabRFR[[#Headers],[2021]:[2025]],0)),"Modeste",IF(V363&lt;=INDEX(TabRFR[[2021]:[2025]],MATCH(BD!U363&amp;"-Intermédiaire",TabRFR[Recherche RFR],0),MATCH(TEXT(YEAR(BD!H363),"Standard"),TabRFR[[#Headers],[2021]:[2025]],0)),"Intermédiaire","Supérieur")))))))</f>
        <v>Modeste</v>
      </c>
      <c r="X363" s="143"/>
      <c r="Y363" s="143" t="s">
        <v>1602</v>
      </c>
      <c r="Z363" s="143">
        <v>38140</v>
      </c>
      <c r="AA363" s="143" t="s">
        <v>219</v>
      </c>
      <c r="AB363" s="148"/>
      <c r="AC363" s="149"/>
      <c r="AD363" s="143"/>
      <c r="AE363" s="143"/>
      <c r="AF363" s="143"/>
      <c r="AG363" s="143"/>
      <c r="AH363" s="143"/>
      <c r="AI363" s="135" t="s">
        <v>285</v>
      </c>
      <c r="AJ363" s="143" t="s">
        <v>108</v>
      </c>
      <c r="AK363" s="143" t="s">
        <v>286</v>
      </c>
      <c r="AL363" s="150" t="s">
        <v>287</v>
      </c>
      <c r="AM363" s="148">
        <v>476069938</v>
      </c>
      <c r="AN363" s="143"/>
      <c r="AO363" s="150" t="s">
        <v>102</v>
      </c>
      <c r="AP363" s="147">
        <v>44822</v>
      </c>
      <c r="AQ363" s="143" t="s">
        <v>1955</v>
      </c>
      <c r="AR363" s="143" t="s">
        <v>172</v>
      </c>
      <c r="AS363" s="143" t="s">
        <v>3413</v>
      </c>
      <c r="AT363" s="135" t="s">
        <v>3446</v>
      </c>
      <c r="AU363" s="143" t="s">
        <v>532</v>
      </c>
      <c r="AV363" s="143" t="s">
        <v>1603</v>
      </c>
      <c r="AW363" s="143">
        <v>17</v>
      </c>
      <c r="AX363" s="143">
        <v>9</v>
      </c>
      <c r="AY363" s="143">
        <v>79.5</v>
      </c>
      <c r="AZ363" s="143">
        <v>8.4080000000000002E-2</v>
      </c>
      <c r="BA363" s="143" t="s">
        <v>101</v>
      </c>
      <c r="BB363" s="143"/>
      <c r="BC363" s="143">
        <v>6582.95</v>
      </c>
      <c r="BD363" s="143"/>
      <c r="BE363" s="143">
        <v>300</v>
      </c>
      <c r="BF363" s="143">
        <v>6882.95</v>
      </c>
      <c r="BG363" s="143">
        <v>390.21</v>
      </c>
      <c r="BH363" s="143">
        <v>7273.16</v>
      </c>
      <c r="BI363" s="151">
        <v>7261.54</v>
      </c>
      <c r="BJ363" s="143" t="s">
        <v>115</v>
      </c>
      <c r="BK363" s="143"/>
      <c r="BL363" s="143"/>
      <c r="BM363" s="144" t="s">
        <v>3592</v>
      </c>
      <c r="BN363" s="143">
        <v>2022</v>
      </c>
      <c r="BO363" s="135" t="s">
        <v>155</v>
      </c>
      <c r="BP363" s="144">
        <v>2022</v>
      </c>
      <c r="BQ363" s="203" t="s">
        <v>3274</v>
      </c>
    </row>
    <row r="364" spans="1:69" ht="41.1" customHeight="1">
      <c r="A364" s="218" t="s">
        <v>1529</v>
      </c>
      <c r="B364" s="218" t="s">
        <v>1604</v>
      </c>
      <c r="C364" s="143">
        <v>600</v>
      </c>
      <c r="D364" s="135">
        <v>44594</v>
      </c>
      <c r="E364" s="135">
        <v>44595</v>
      </c>
      <c r="F364" s="147" t="s">
        <v>1605</v>
      </c>
      <c r="G364" s="135"/>
      <c r="H364" s="147">
        <v>44601</v>
      </c>
      <c r="I364" s="147">
        <v>44601</v>
      </c>
      <c r="J364" s="147">
        <v>44575</v>
      </c>
      <c r="K364" s="135">
        <v>44750</v>
      </c>
      <c r="L364" s="135">
        <v>44740</v>
      </c>
      <c r="M364" s="135" t="s">
        <v>76</v>
      </c>
      <c r="N364" s="135">
        <v>44769</v>
      </c>
      <c r="O364" s="135">
        <v>44769</v>
      </c>
      <c r="P364" s="135">
        <v>44770</v>
      </c>
      <c r="Q364" s="135"/>
      <c r="R364" s="143"/>
      <c r="S364" s="143"/>
      <c r="T364" s="143"/>
      <c r="U364" s="143">
        <v>2</v>
      </c>
      <c r="V364" s="143">
        <v>40271</v>
      </c>
      <c r="W364" s="143" t="str">
        <f ca="1">IF(H364="",IF(D364="","",IF(U364+V364&lt;15,"Données Nb pers ou RFR manquantes",IF(COUNTA(INDIRECT("TabRFR["&amp;YEAR(D364)&amp;"]"))&lt;&gt;COUNTA(TabRFR[Recherche RFR]),"Data RFR manquantes", IF(V364&lt;=INDEX(TabRFR[[2021]:[2025]],MATCH(BD!U364&amp;"-Très modestes",TabRFR[Recherche RFR],0),MATCH(TEXT(YEAR(BD!D364),"Standard"),TabRFR[[#Headers],[2021]:[2025]],0)),"Très Modeste",IF(V364&lt;=INDEX(TabRFR[[2021]:[2025]],MATCH(BD!U364&amp;"-modestes",TabRFR[Recherche RFR],0),MATCH(TEXT(YEAR(BD!D364),"Standard"),TabRFR[[#Headers],[2021]:[2025]],0)),"Modeste",IF(V364&lt;=INDEX(TabRFR[[2021]:[2025]],MATCH(BD!U364&amp;"-Intermédiaire",TabRFR[Recherche RFR],0),MATCH(TEXT(YEAR(BD!D364),"Standard"),TabRFR[[#Headers],[2021]:[2025]],0)),"Intermédiaire","Supérieur")))))),IF(D364="","",IF(U364+V364&lt;15,"Données Nb pers ou RFR manquantes",IF(COUNTA(INDIRECT("TabRFR["&amp;YEAR(H364)&amp;"]"))&lt;&gt;COUNTA(TabRFR[Recherche RFR]),"Data RFR manquantes", IF(V364&lt;=INDEX(TabRFR[[2021]:[2025]],MATCH(BD!U364&amp;"-Très modestes",TabRFR[Recherche RFR],0),MATCH(TEXT(YEAR(BD!H364),"Standard"),TabRFR[[#Headers],[2021]:[2025]],0)),"Très Modeste",IF(V364&lt;=INDEX(TabRFR[[2021]:[2025]],MATCH(BD!U364&amp;"-modestes",TabRFR[Recherche RFR],0),MATCH(TEXT(YEAR(BD!H364),"Standard"),TabRFR[[#Headers],[2021]:[2025]],0)),"Modeste",IF(V364&lt;=INDEX(TabRFR[[2021]:[2025]],MATCH(BD!U364&amp;"-Intermédiaire",TabRFR[Recherche RFR],0),MATCH(TEXT(YEAR(BD!H364),"Standard"),TabRFR[[#Headers],[2021]:[2025]],0)),"Intermédiaire","Supérieur")))))))</f>
        <v>Intermédiaire</v>
      </c>
      <c r="X364" s="143"/>
      <c r="Y364" s="143" t="s">
        <v>1606</v>
      </c>
      <c r="Z364" s="143">
        <v>38850</v>
      </c>
      <c r="AA364" s="143" t="s">
        <v>168</v>
      </c>
      <c r="AB364" s="148"/>
      <c r="AC364" s="149"/>
      <c r="AD364" s="143" t="s">
        <v>91</v>
      </c>
      <c r="AE364" s="143"/>
      <c r="AF364" s="143"/>
      <c r="AG364" s="143"/>
      <c r="AH364" s="143"/>
      <c r="AI364" s="135" t="s">
        <v>285</v>
      </c>
      <c r="AJ364" s="143" t="s">
        <v>108</v>
      </c>
      <c r="AK364" s="143" t="s">
        <v>286</v>
      </c>
      <c r="AL364" s="150" t="s">
        <v>287</v>
      </c>
      <c r="AM364" s="148">
        <v>476069938</v>
      </c>
      <c r="AN364" s="143"/>
      <c r="AO364" s="150" t="s">
        <v>102</v>
      </c>
      <c r="AP364" s="147">
        <v>44822</v>
      </c>
      <c r="AQ364" s="135" t="s">
        <v>3496</v>
      </c>
      <c r="AR364" s="143">
        <v>1989</v>
      </c>
      <c r="AS364" s="143" t="s">
        <v>3413</v>
      </c>
      <c r="AT364" s="143" t="s">
        <v>98</v>
      </c>
      <c r="AU364" s="143" t="s">
        <v>214</v>
      </c>
      <c r="AV364" s="143" t="s">
        <v>1607</v>
      </c>
      <c r="AW364" s="143">
        <v>15</v>
      </c>
      <c r="AX364" s="143">
        <v>7.3</v>
      </c>
      <c r="AY364" s="143">
        <v>91.9</v>
      </c>
      <c r="AZ364" s="143">
        <v>5.4400000000000004E-3</v>
      </c>
      <c r="BA364" s="143" t="s">
        <v>101</v>
      </c>
      <c r="BB364" s="143"/>
      <c r="BC364" s="143">
        <v>5105</v>
      </c>
      <c r="BD364" s="143"/>
      <c r="BE364" s="143">
        <v>591</v>
      </c>
      <c r="BF364" s="143">
        <v>5696</v>
      </c>
      <c r="BG364" s="143">
        <v>313.29000000000002</v>
      </c>
      <c r="BH364" s="143">
        <v>6009.29</v>
      </c>
      <c r="BI364" s="151">
        <v>6009.29</v>
      </c>
      <c r="BJ364" s="143" t="s">
        <v>115</v>
      </c>
      <c r="BK364" s="143"/>
      <c r="BL364" s="143"/>
      <c r="BM364" s="144" t="s">
        <v>3592</v>
      </c>
      <c r="BN364" s="143">
        <v>2022</v>
      </c>
      <c r="BO364" s="144" t="s">
        <v>143</v>
      </c>
      <c r="BP364" s="143" t="s">
        <v>3583</v>
      </c>
      <c r="BQ364" s="203" t="s">
        <v>3274</v>
      </c>
    </row>
    <row r="365" spans="1:69" ht="41.1" customHeight="1">
      <c r="A365" s="145" t="s">
        <v>1529</v>
      </c>
      <c r="B365" s="145" t="s">
        <v>1608</v>
      </c>
      <c r="C365" s="146" t="s">
        <v>1596</v>
      </c>
      <c r="D365" s="135"/>
      <c r="E365" s="135"/>
      <c r="F365" s="147"/>
      <c r="G365" s="135"/>
      <c r="H365" s="147"/>
      <c r="I365" s="147"/>
      <c r="J365" s="147"/>
      <c r="K365" s="135"/>
      <c r="L365" s="135"/>
      <c r="M365" s="135"/>
      <c r="N365" s="135"/>
      <c r="O365" s="135"/>
      <c r="P365" s="135"/>
      <c r="Q365" s="135">
        <v>1</v>
      </c>
      <c r="R365" s="143"/>
      <c r="S365" s="143"/>
      <c r="T365" s="143"/>
      <c r="U365" s="143"/>
      <c r="V365" s="143"/>
      <c r="W365" s="143" t="str">
        <f ca="1">IF(H365="",IF(D365="","",IF(U365+V365&lt;15,"Données Nb pers ou RFR manquantes",IF(COUNTA(INDIRECT("TabRFR["&amp;YEAR(D365)&amp;"]"))&lt;&gt;COUNTA(TabRFR[Recherche RFR]),"Data RFR manquantes", IF(V365&lt;=INDEX(TabRFR[[2021]:[2025]],MATCH(BD!U365&amp;"-Très modestes",TabRFR[Recherche RFR],0),MATCH(TEXT(YEAR(BD!D365),"Standard"),TabRFR[[#Headers],[2021]:[2025]],0)),"Très Modeste",IF(V365&lt;=INDEX(TabRFR[[2021]:[2025]],MATCH(BD!U365&amp;"-modestes",TabRFR[Recherche RFR],0),MATCH(TEXT(YEAR(BD!D365),"Standard"),TabRFR[[#Headers],[2021]:[2025]],0)),"Modeste",IF(V365&lt;=INDEX(TabRFR[[2021]:[2025]],MATCH(BD!U365&amp;"-Intermédiaire",TabRFR[Recherche RFR],0),MATCH(TEXT(YEAR(BD!D365),"Standard"),TabRFR[[#Headers],[2021]:[2025]],0)),"Intermédiaire","Supérieur")))))),IF(D365="","",IF(U365+V365&lt;15,"Données Nb pers ou RFR manquantes",IF(COUNTA(INDIRECT("TabRFR["&amp;YEAR(H365)&amp;"]"))&lt;&gt;COUNTA(TabRFR[Recherche RFR]),"Data RFR manquantes", IF(V365&lt;=INDEX(TabRFR[[2021]:[2025]],MATCH(BD!U365&amp;"-Très modestes",TabRFR[Recherche RFR],0),MATCH(TEXT(YEAR(BD!H365),"Standard"),TabRFR[[#Headers],[2021]:[2025]],0)),"Très Modeste",IF(V365&lt;=INDEX(TabRFR[[2021]:[2025]],MATCH(BD!U365&amp;"-modestes",TabRFR[Recherche RFR],0),MATCH(TEXT(YEAR(BD!H365),"Standard"),TabRFR[[#Headers],[2021]:[2025]],0)),"Modeste",IF(V365&lt;=INDEX(TabRFR[[2021]:[2025]],MATCH(BD!U365&amp;"-Intermédiaire",TabRFR[Recherche RFR],0),MATCH(TEXT(YEAR(BD!H365),"Standard"),TabRFR[[#Headers],[2021]:[2025]],0)),"Intermédiaire","Supérieur")))))))</f>
        <v/>
      </c>
      <c r="X365" s="143"/>
      <c r="Y365" s="143"/>
      <c r="Z365" s="143"/>
      <c r="AA365" s="143"/>
      <c r="AB365" s="148"/>
      <c r="AC365" s="149"/>
      <c r="AD365" s="143"/>
      <c r="AE365" s="143"/>
      <c r="AF365" s="143"/>
      <c r="AG365" s="143"/>
      <c r="AH365" s="143"/>
      <c r="AI365" s="143"/>
      <c r="AJ365" s="143"/>
      <c r="AK365" s="143"/>
      <c r="AL365" s="149"/>
      <c r="AM365" s="148"/>
      <c r="AN365" s="143"/>
      <c r="AO365" s="143"/>
      <c r="AP365" s="147"/>
      <c r="AQ365" s="143"/>
      <c r="AR365" s="143"/>
      <c r="AS365" s="143"/>
      <c r="AT365" s="143"/>
      <c r="AU365" s="143"/>
      <c r="AV365" s="143"/>
      <c r="AW365" s="143"/>
      <c r="AX365" s="143"/>
      <c r="AY365" s="143"/>
      <c r="AZ365" s="143"/>
      <c r="BA365" s="143"/>
      <c r="BB365" s="143"/>
      <c r="BC365" s="143"/>
      <c r="BD365" s="143"/>
      <c r="BE365" s="143"/>
      <c r="BF365" s="143"/>
      <c r="BG365" s="151"/>
      <c r="BH365" s="151"/>
      <c r="BI365" s="151"/>
      <c r="BJ365" s="143"/>
      <c r="BK365" s="143"/>
      <c r="BL365" s="143"/>
      <c r="BM365" s="144">
        <v>0</v>
      </c>
      <c r="BN365" s="144" t="s">
        <v>103</v>
      </c>
      <c r="BO365" s="144" t="s">
        <v>103</v>
      </c>
      <c r="BP365" s="203" t="s">
        <v>3582</v>
      </c>
      <c r="BQ365" s="203" t="s">
        <v>3273</v>
      </c>
    </row>
    <row r="366" spans="1:69" ht="41.1" customHeight="1">
      <c r="A366" s="145" t="s">
        <v>1420</v>
      </c>
      <c r="B366" s="145" t="s">
        <v>1609</v>
      </c>
      <c r="C366" s="143">
        <v>1000</v>
      </c>
      <c r="D366" s="135">
        <v>44599</v>
      </c>
      <c r="E366" s="135">
        <v>44603</v>
      </c>
      <c r="F366" s="147"/>
      <c r="G366" s="135" t="s">
        <v>1610</v>
      </c>
      <c r="H366" s="147"/>
      <c r="I366" s="147"/>
      <c r="J366" s="147"/>
      <c r="K366" s="135"/>
      <c r="L366" s="135"/>
      <c r="M366" s="135"/>
      <c r="N366" s="135"/>
      <c r="O366" s="135"/>
      <c r="P366" s="135"/>
      <c r="Q366" s="135">
        <v>44930</v>
      </c>
      <c r="R366" s="143" t="s">
        <v>1611</v>
      </c>
      <c r="S366" s="143"/>
      <c r="T366" s="143"/>
      <c r="U366" s="143">
        <v>4</v>
      </c>
      <c r="V366" s="143">
        <v>35077</v>
      </c>
      <c r="W366" s="143" t="str">
        <f ca="1">IF(H366="",IF(D366="","",IF(U366+V366&lt;15,"Données Nb pers ou RFR manquantes",IF(COUNTA(INDIRECT("TabRFR["&amp;YEAR(D366)&amp;"]"))&lt;&gt;COUNTA(TabRFR[Recherche RFR]),"Data RFR manquantes", IF(V366&lt;=INDEX(TabRFR[[2021]:[2025]],MATCH(BD!U366&amp;"-Très modestes",TabRFR[Recherche RFR],0),MATCH(TEXT(YEAR(BD!D366),"Standard"),TabRFR[[#Headers],[2021]:[2025]],0)),"Très Modeste",IF(V366&lt;=INDEX(TabRFR[[2021]:[2025]],MATCH(BD!U366&amp;"-modestes",TabRFR[Recherche RFR],0),MATCH(TEXT(YEAR(BD!D366),"Standard"),TabRFR[[#Headers],[2021]:[2025]],0)),"Modeste",IF(V366&lt;=INDEX(TabRFR[[2021]:[2025]],MATCH(BD!U366&amp;"-Intermédiaire",TabRFR[Recherche RFR],0),MATCH(TEXT(YEAR(BD!D366),"Standard"),TabRFR[[#Headers],[2021]:[2025]],0)),"Intermédiaire","Supérieur")))))),IF(D366="","",IF(U366+V366&lt;15,"Données Nb pers ou RFR manquantes",IF(COUNTA(INDIRECT("TabRFR["&amp;YEAR(H366)&amp;"]"))&lt;&gt;COUNTA(TabRFR[Recherche RFR]),"Data RFR manquantes", IF(V366&lt;=INDEX(TabRFR[[2021]:[2025]],MATCH(BD!U366&amp;"-Très modestes",TabRFR[Recherche RFR],0),MATCH(TEXT(YEAR(BD!H366),"Standard"),TabRFR[[#Headers],[2021]:[2025]],0)),"Très Modeste",IF(V366&lt;=INDEX(TabRFR[[2021]:[2025]],MATCH(BD!U366&amp;"-modestes",TabRFR[Recherche RFR],0),MATCH(TEXT(YEAR(BD!H366),"Standard"),TabRFR[[#Headers],[2021]:[2025]],0)),"Modeste",IF(V366&lt;=INDEX(TabRFR[[2021]:[2025]],MATCH(BD!U366&amp;"-Intermédiaire",TabRFR[Recherche RFR],0),MATCH(TEXT(YEAR(BD!H366),"Standard"),TabRFR[[#Headers],[2021]:[2025]],0)),"Intermédiaire","Supérieur")))))))</f>
        <v>Modeste</v>
      </c>
      <c r="X366" s="143"/>
      <c r="Y366" s="143" t="s">
        <v>388</v>
      </c>
      <c r="Z366" s="143">
        <v>38340</v>
      </c>
      <c r="AA366" s="143" t="s">
        <v>266</v>
      </c>
      <c r="AB366" s="148"/>
      <c r="AC366" s="149"/>
      <c r="AD366" s="143" t="s">
        <v>91</v>
      </c>
      <c r="AE366" s="143"/>
      <c r="AF366" s="143"/>
      <c r="AG366" s="143"/>
      <c r="AH366" s="143"/>
      <c r="AI366" s="143" t="s">
        <v>1612</v>
      </c>
      <c r="AJ366" s="143" t="s">
        <v>741</v>
      </c>
      <c r="AK366" s="143" t="s">
        <v>1613</v>
      </c>
      <c r="AL366" s="149" t="s">
        <v>1614</v>
      </c>
      <c r="AM366" s="148" t="s">
        <v>1615</v>
      </c>
      <c r="AN366" s="143" t="s">
        <v>1616</v>
      </c>
      <c r="AO366" s="143" t="s">
        <v>115</v>
      </c>
      <c r="AP366" s="147">
        <v>44848</v>
      </c>
      <c r="AQ366" s="143"/>
      <c r="AR366" s="143"/>
      <c r="AS366" s="143"/>
      <c r="AT366" s="143"/>
      <c r="AU366" s="143"/>
      <c r="AV366" s="143"/>
      <c r="AW366" s="143"/>
      <c r="AX366" s="143"/>
      <c r="AY366" s="143"/>
      <c r="AZ366" s="143"/>
      <c r="BA366" s="143"/>
      <c r="BB366" s="143"/>
      <c r="BC366" s="143"/>
      <c r="BD366" s="143"/>
      <c r="BE366" s="143"/>
      <c r="BF366" s="143"/>
      <c r="BG366" s="151"/>
      <c r="BH366" s="151"/>
      <c r="BI366" s="151"/>
      <c r="BJ366" s="143"/>
      <c r="BK366" s="143"/>
      <c r="BL366" s="143"/>
      <c r="BM366" s="144">
        <v>0</v>
      </c>
      <c r="BN366" s="153" t="s">
        <v>1496</v>
      </c>
      <c r="BO366" s="144" t="s">
        <v>103</v>
      </c>
      <c r="BP366" s="203" t="s">
        <v>3582</v>
      </c>
      <c r="BQ366" s="203" t="s">
        <v>3273</v>
      </c>
    </row>
    <row r="367" spans="1:69" ht="41.1" customHeight="1">
      <c r="A367" s="218" t="s">
        <v>1420</v>
      </c>
      <c r="B367" s="218" t="s">
        <v>1617</v>
      </c>
      <c r="C367" s="143">
        <v>600</v>
      </c>
      <c r="D367" s="135">
        <v>44600</v>
      </c>
      <c r="E367" s="135">
        <v>44603</v>
      </c>
      <c r="F367" s="147" t="s">
        <v>76</v>
      </c>
      <c r="G367" s="135" t="s">
        <v>76</v>
      </c>
      <c r="H367" s="147">
        <v>44606</v>
      </c>
      <c r="I367" s="147">
        <v>44606</v>
      </c>
      <c r="J367" s="147">
        <v>44614</v>
      </c>
      <c r="K367" s="135">
        <v>44824</v>
      </c>
      <c r="L367" s="135">
        <v>44813</v>
      </c>
      <c r="M367" s="135" t="s">
        <v>76</v>
      </c>
      <c r="N367" s="135">
        <v>44873</v>
      </c>
      <c r="O367" s="135">
        <v>44873</v>
      </c>
      <c r="P367" s="135">
        <v>44879</v>
      </c>
      <c r="Q367" s="135"/>
      <c r="R367" s="143"/>
      <c r="S367" s="143"/>
      <c r="T367" s="143"/>
      <c r="U367" s="143">
        <v>3</v>
      </c>
      <c r="V367" s="143">
        <v>66831</v>
      </c>
      <c r="W367" s="143" t="str">
        <f ca="1">IF(H367="",IF(D367="","",IF(U367+V367&lt;15,"Données Nb pers ou RFR manquantes",IF(COUNTA(INDIRECT("TabRFR["&amp;YEAR(D367)&amp;"]"))&lt;&gt;COUNTA(TabRFR[Recherche RFR]),"Data RFR manquantes", IF(V367&lt;=INDEX(TabRFR[[2021]:[2025]],MATCH(BD!U367&amp;"-Très modestes",TabRFR[Recherche RFR],0),MATCH(TEXT(YEAR(BD!D367),"Standard"),TabRFR[[#Headers],[2021]:[2025]],0)),"Très Modeste",IF(V367&lt;=INDEX(TabRFR[[2021]:[2025]],MATCH(BD!U367&amp;"-modestes",TabRFR[Recherche RFR],0),MATCH(TEXT(YEAR(BD!D367),"Standard"),TabRFR[[#Headers],[2021]:[2025]],0)),"Modeste",IF(V367&lt;=INDEX(TabRFR[[2021]:[2025]],MATCH(BD!U367&amp;"-Intermédiaire",TabRFR[Recherche RFR],0),MATCH(TEXT(YEAR(BD!D367),"Standard"),TabRFR[[#Headers],[2021]:[2025]],0)),"Intermédiaire","Supérieur")))))),IF(D367="","",IF(U367+V367&lt;15,"Données Nb pers ou RFR manquantes",IF(COUNTA(INDIRECT("TabRFR["&amp;YEAR(H367)&amp;"]"))&lt;&gt;COUNTA(TabRFR[Recherche RFR]),"Data RFR manquantes", IF(V367&lt;=INDEX(TabRFR[[2021]:[2025]],MATCH(BD!U367&amp;"-Très modestes",TabRFR[Recherche RFR],0),MATCH(TEXT(YEAR(BD!H367),"Standard"),TabRFR[[#Headers],[2021]:[2025]],0)),"Très Modeste",IF(V367&lt;=INDEX(TabRFR[[2021]:[2025]],MATCH(BD!U367&amp;"-modestes",TabRFR[Recherche RFR],0),MATCH(TEXT(YEAR(BD!H367),"Standard"),TabRFR[[#Headers],[2021]:[2025]],0)),"Modeste",IF(V367&lt;=INDEX(TabRFR[[2021]:[2025]],MATCH(BD!U367&amp;"-Intermédiaire",TabRFR[Recherche RFR],0),MATCH(TEXT(YEAR(BD!H367),"Standard"),TabRFR[[#Headers],[2021]:[2025]],0)),"Intermédiaire","Supérieur")))))))</f>
        <v>Supérieur</v>
      </c>
      <c r="X367" s="143"/>
      <c r="Y367" s="143" t="s">
        <v>1618</v>
      </c>
      <c r="Z367" s="143">
        <v>38430</v>
      </c>
      <c r="AA367" s="143" t="s">
        <v>119</v>
      </c>
      <c r="AB367" s="148"/>
      <c r="AC367" s="149"/>
      <c r="AD367" s="143" t="s">
        <v>91</v>
      </c>
      <c r="AE367" s="143"/>
      <c r="AF367" s="143"/>
      <c r="AG367" s="143"/>
      <c r="AH367" s="143"/>
      <c r="AI367" s="143" t="s">
        <v>169</v>
      </c>
      <c r="AJ367" s="143" t="s">
        <v>119</v>
      </c>
      <c r="AK367" s="143" t="s">
        <v>170</v>
      </c>
      <c r="AL367" s="149" t="s">
        <v>171</v>
      </c>
      <c r="AM367" s="148">
        <v>476355605</v>
      </c>
      <c r="AN367" s="143" t="s">
        <v>76</v>
      </c>
      <c r="AO367" s="150" t="s">
        <v>102</v>
      </c>
      <c r="AP367" s="147">
        <v>44860</v>
      </c>
      <c r="AQ367" s="135" t="s">
        <v>3496</v>
      </c>
      <c r="AR367" s="143">
        <v>1995</v>
      </c>
      <c r="AS367" s="143" t="s">
        <v>3413</v>
      </c>
      <c r="AT367" s="135" t="s">
        <v>3446</v>
      </c>
      <c r="AU367" s="143" t="s">
        <v>173</v>
      </c>
      <c r="AV367" s="143" t="s">
        <v>1619</v>
      </c>
      <c r="AW367" s="143">
        <v>17</v>
      </c>
      <c r="AX367" s="143">
        <v>8.1999999999999993</v>
      </c>
      <c r="AY367" s="143">
        <v>81.5</v>
      </c>
      <c r="AZ367" s="143">
        <v>0.1</v>
      </c>
      <c r="BA367" s="143" t="s">
        <v>101</v>
      </c>
      <c r="BB367" s="143"/>
      <c r="BC367" s="143">
        <f>704.52+43.52+226.13+737.16+110.12+69.05+107.68+70.86+68.69+145.5+609.8+3050+218+89.6+45.35</f>
        <v>6295.9800000000005</v>
      </c>
      <c r="BD367" s="143"/>
      <c r="BE367" s="143">
        <f>525+412.45</f>
        <v>937.45</v>
      </c>
      <c r="BF367" s="143">
        <f>BC367+BE367</f>
        <v>7233.43</v>
      </c>
      <c r="BG367" s="151">
        <f>BF367*0.055</f>
        <v>397.83865000000003</v>
      </c>
      <c r="BH367" s="151">
        <f>BF367*1.055</f>
        <v>7631.26865</v>
      </c>
      <c r="BI367" s="151">
        <v>7631.27</v>
      </c>
      <c r="BJ367" s="143" t="s">
        <v>115</v>
      </c>
      <c r="BK367" s="143"/>
      <c r="BL367" s="143"/>
      <c r="BM367" s="144" t="s">
        <v>3592</v>
      </c>
      <c r="BN367" s="143">
        <v>2022</v>
      </c>
      <c r="BO367" s="144" t="s">
        <v>143</v>
      </c>
      <c r="BP367" s="144">
        <v>2022</v>
      </c>
      <c r="BQ367" s="203" t="s">
        <v>3274</v>
      </c>
    </row>
    <row r="368" spans="1:69" ht="41.1" customHeight="1">
      <c r="A368" s="218" t="s">
        <v>1420</v>
      </c>
      <c r="B368" s="218" t="s">
        <v>1620</v>
      </c>
      <c r="C368" s="143">
        <v>1000</v>
      </c>
      <c r="D368" s="135">
        <v>44601</v>
      </c>
      <c r="E368" s="135">
        <v>44603</v>
      </c>
      <c r="F368" s="147" t="s">
        <v>76</v>
      </c>
      <c r="G368" s="135" t="s">
        <v>76</v>
      </c>
      <c r="H368" s="147">
        <v>44606</v>
      </c>
      <c r="I368" s="147">
        <v>44606</v>
      </c>
      <c r="J368" s="147">
        <v>44614</v>
      </c>
      <c r="K368" s="135">
        <v>44971</v>
      </c>
      <c r="L368" s="135">
        <v>44681</v>
      </c>
      <c r="M368" s="135" t="s">
        <v>76</v>
      </c>
      <c r="N368" s="135">
        <v>45002</v>
      </c>
      <c r="O368" s="135">
        <v>45002</v>
      </c>
      <c r="P368" s="135">
        <v>45005</v>
      </c>
      <c r="Q368" s="135"/>
      <c r="R368" s="143"/>
      <c r="S368" s="143"/>
      <c r="T368" s="143"/>
      <c r="U368" s="143">
        <v>1</v>
      </c>
      <c r="V368" s="143">
        <v>11636</v>
      </c>
      <c r="W368" s="143" t="str">
        <f ca="1">IF(H368="",IF(D368="","",IF(U368+V368&lt;15,"Données Nb pers ou RFR manquantes",IF(COUNTA(INDIRECT("TabRFR["&amp;YEAR(D368)&amp;"]"))&lt;&gt;COUNTA(TabRFR[Recherche RFR]),"Data RFR manquantes", IF(V368&lt;=INDEX(TabRFR[[2021]:[2025]],MATCH(BD!U368&amp;"-Très modestes",TabRFR[Recherche RFR],0),MATCH(TEXT(YEAR(BD!D368),"Standard"),TabRFR[[#Headers],[2021]:[2025]],0)),"Très Modeste",IF(V368&lt;=INDEX(TabRFR[[2021]:[2025]],MATCH(BD!U368&amp;"-modestes",TabRFR[Recherche RFR],0),MATCH(TEXT(YEAR(BD!D368),"Standard"),TabRFR[[#Headers],[2021]:[2025]],0)),"Modeste",IF(V368&lt;=INDEX(TabRFR[[2021]:[2025]],MATCH(BD!U368&amp;"-Intermédiaire",TabRFR[Recherche RFR],0),MATCH(TEXT(YEAR(BD!D368),"Standard"),TabRFR[[#Headers],[2021]:[2025]],0)),"Intermédiaire","Supérieur")))))),IF(D368="","",IF(U368+V368&lt;15,"Données Nb pers ou RFR manquantes",IF(COUNTA(INDIRECT("TabRFR["&amp;YEAR(H368)&amp;"]"))&lt;&gt;COUNTA(TabRFR[Recherche RFR]),"Data RFR manquantes", IF(V368&lt;=INDEX(TabRFR[[2021]:[2025]],MATCH(BD!U368&amp;"-Très modestes",TabRFR[Recherche RFR],0),MATCH(TEXT(YEAR(BD!H368),"Standard"),TabRFR[[#Headers],[2021]:[2025]],0)),"Très Modeste",IF(V368&lt;=INDEX(TabRFR[[2021]:[2025]],MATCH(BD!U368&amp;"-modestes",TabRFR[Recherche RFR],0),MATCH(TEXT(YEAR(BD!H368),"Standard"),TabRFR[[#Headers],[2021]:[2025]],0)),"Modeste",IF(V368&lt;=INDEX(TabRFR[[2021]:[2025]],MATCH(BD!U368&amp;"-Intermédiaire",TabRFR[Recherche RFR],0),MATCH(TEXT(YEAR(BD!H368),"Standard"),TabRFR[[#Headers],[2021]:[2025]],0)),"Intermédiaire","Supérieur")))))))</f>
        <v>Très Modeste</v>
      </c>
      <c r="X368" s="143"/>
      <c r="Y368" s="143" t="s">
        <v>1621</v>
      </c>
      <c r="Z368" s="143">
        <v>38620</v>
      </c>
      <c r="AA368" s="143" t="s">
        <v>262</v>
      </c>
      <c r="AB368" s="148"/>
      <c r="AC368" s="149"/>
      <c r="AD368" s="143" t="s">
        <v>91</v>
      </c>
      <c r="AE368" s="143"/>
      <c r="AF368" s="143"/>
      <c r="AG368" s="143"/>
      <c r="AH368" s="143"/>
      <c r="AI368" s="143" t="s">
        <v>92</v>
      </c>
      <c r="AJ368" s="143" t="s">
        <v>93</v>
      </c>
      <c r="AK368" s="143" t="s">
        <v>1459</v>
      </c>
      <c r="AL368" s="150" t="s">
        <v>95</v>
      </c>
      <c r="AM368" s="148" t="s">
        <v>96</v>
      </c>
      <c r="AN368" s="143" t="s">
        <v>76</v>
      </c>
      <c r="AO368" s="156" t="s">
        <v>102</v>
      </c>
      <c r="AP368" s="147">
        <v>44821</v>
      </c>
      <c r="AQ368" s="135" t="s">
        <v>3323</v>
      </c>
      <c r="AR368" s="143">
        <v>1985</v>
      </c>
      <c r="AS368" s="143" t="s">
        <v>3413</v>
      </c>
      <c r="AT368" s="143" t="s">
        <v>98</v>
      </c>
      <c r="AU368" s="143" t="s">
        <v>99</v>
      </c>
      <c r="AV368" s="143" t="s">
        <v>1622</v>
      </c>
      <c r="AW368" s="143">
        <v>17</v>
      </c>
      <c r="AX368" s="143">
        <v>12</v>
      </c>
      <c r="AY368" s="143">
        <v>93</v>
      </c>
      <c r="AZ368" s="143">
        <v>0.01</v>
      </c>
      <c r="BA368" s="143" t="s">
        <v>101</v>
      </c>
      <c r="BB368" s="143"/>
      <c r="BC368" s="143">
        <f>4700+795+95+193+397+228</f>
        <v>6408</v>
      </c>
      <c r="BD368" s="143"/>
      <c r="BE368" s="143">
        <v>980</v>
      </c>
      <c r="BF368" s="143">
        <f>BC368+BE368</f>
        <v>7388</v>
      </c>
      <c r="BG368" s="151">
        <f>BF368*0.055</f>
        <v>406.34</v>
      </c>
      <c r="BH368" s="151">
        <f>BF368*1.055</f>
        <v>7794.3399999999992</v>
      </c>
      <c r="BI368" s="151"/>
      <c r="BJ368" s="143" t="s">
        <v>102</v>
      </c>
      <c r="BK368" s="143"/>
      <c r="BL368" s="143"/>
      <c r="BM368" s="144" t="s">
        <v>3592</v>
      </c>
      <c r="BN368" s="143">
        <v>2022</v>
      </c>
      <c r="BO368" s="135" t="s">
        <v>155</v>
      </c>
      <c r="BP368" s="143" t="s">
        <v>3583</v>
      </c>
      <c r="BQ368" s="203" t="s">
        <v>144</v>
      </c>
    </row>
    <row r="369" spans="1:69" ht="41.1" customHeight="1">
      <c r="A369" s="145" t="s">
        <v>1420</v>
      </c>
      <c r="B369" s="145" t="s">
        <v>1623</v>
      </c>
      <c r="C369" s="143">
        <f ca="1">IF(W369="Très modeste",1000,IF(W369="Modeste",1000,IF(W369="Intermédiaire",600,IF(W369="Supérieur",600,"Non calculé"))))</f>
        <v>600</v>
      </c>
      <c r="D369" s="135">
        <v>44603</v>
      </c>
      <c r="E369" s="135">
        <v>44607</v>
      </c>
      <c r="F369" s="147">
        <v>44615</v>
      </c>
      <c r="G369" s="135" t="s">
        <v>3287</v>
      </c>
      <c r="H369" s="147"/>
      <c r="I369" s="147"/>
      <c r="J369" s="147"/>
      <c r="K369" s="135"/>
      <c r="L369" s="135"/>
      <c r="M369" s="135"/>
      <c r="N369" s="135"/>
      <c r="O369" s="135"/>
      <c r="P369" s="135"/>
      <c r="Q369" s="135">
        <v>45253</v>
      </c>
      <c r="R369" s="143" t="s">
        <v>3296</v>
      </c>
      <c r="S369" s="143"/>
      <c r="T369" s="143"/>
      <c r="U369" s="143">
        <v>2</v>
      </c>
      <c r="V369" s="143">
        <f>30661+13164</f>
        <v>43825</v>
      </c>
      <c r="W369" s="143" t="str">
        <f ca="1">IF(H369="",IF(D369="","",IF(U369+V369&lt;15,"Données Nb pers ou RFR manquantes",IF(COUNTA(INDIRECT("TabRFR["&amp;YEAR(D369)&amp;"]"))&lt;&gt;COUNTA(TabRFR[Recherche RFR]),"Data RFR manquantes", IF(V369&lt;=INDEX(TabRFR[[2021]:[2025]],MATCH(BD!U369&amp;"-Très modestes",TabRFR[Recherche RFR],0),MATCH(TEXT(YEAR(BD!D369),"Standard"),TabRFR[[#Headers],[2021]:[2025]],0)),"Très Modeste",IF(V369&lt;=INDEX(TabRFR[[2021]:[2025]],MATCH(BD!U369&amp;"-modestes",TabRFR[Recherche RFR],0),MATCH(TEXT(YEAR(BD!D369),"Standard"),TabRFR[[#Headers],[2021]:[2025]],0)),"Modeste",IF(V369&lt;=INDEX(TabRFR[[2021]:[2025]],MATCH(BD!U369&amp;"-Intermédiaire",TabRFR[Recherche RFR],0),MATCH(TEXT(YEAR(BD!D369),"Standard"),TabRFR[[#Headers],[2021]:[2025]],0)),"Intermédiaire","Supérieur")))))),IF(D369="","",IF(U369+V369&lt;15,"Données Nb pers ou RFR manquantes",IF(COUNTA(INDIRECT("TabRFR["&amp;YEAR(H369)&amp;"]"))&lt;&gt;COUNTA(TabRFR[Recherche RFR]),"Data RFR manquantes", IF(V369&lt;=INDEX(TabRFR[[2021]:[2025]],MATCH(BD!U369&amp;"-Très modestes",TabRFR[Recherche RFR],0),MATCH(TEXT(YEAR(BD!H369),"Standard"),TabRFR[[#Headers],[2021]:[2025]],0)),"Très Modeste",IF(V369&lt;=INDEX(TabRFR[[2021]:[2025]],MATCH(BD!U369&amp;"-modestes",TabRFR[Recherche RFR],0),MATCH(TEXT(YEAR(BD!H369),"Standard"),TabRFR[[#Headers],[2021]:[2025]],0)),"Modeste",IF(V369&lt;=INDEX(TabRFR[[2021]:[2025]],MATCH(BD!U369&amp;"-Intermédiaire",TabRFR[Recherche RFR],0),MATCH(TEXT(YEAR(BD!H369),"Standard"),TabRFR[[#Headers],[2021]:[2025]],0)),"Intermédiaire","Supérieur")))))))</f>
        <v>Supérieur</v>
      </c>
      <c r="X369" s="143"/>
      <c r="Y369" s="143" t="s">
        <v>1624</v>
      </c>
      <c r="Z369" s="143">
        <v>38500</v>
      </c>
      <c r="AA369" s="143" t="s">
        <v>108</v>
      </c>
      <c r="AB369" s="148"/>
      <c r="AC369" s="149"/>
      <c r="AD369" s="143" t="s">
        <v>91</v>
      </c>
      <c r="AE369" s="143"/>
      <c r="AF369" s="143"/>
      <c r="AG369" s="143"/>
      <c r="AH369" s="143"/>
      <c r="AI369" s="143" t="s">
        <v>740</v>
      </c>
      <c r="AJ369" s="143" t="s">
        <v>1625</v>
      </c>
      <c r="AK369" s="143" t="s">
        <v>1626</v>
      </c>
      <c r="AL369" s="150" t="s">
        <v>1627</v>
      </c>
      <c r="AM369" s="148" t="s">
        <v>1628</v>
      </c>
      <c r="AN369" s="143" t="s">
        <v>76</v>
      </c>
      <c r="AO369" s="158" t="s">
        <v>102</v>
      </c>
      <c r="AP369" s="147">
        <v>44763</v>
      </c>
      <c r="AQ369" s="143" t="s">
        <v>3413</v>
      </c>
      <c r="AR369" s="143" t="s">
        <v>172</v>
      </c>
      <c r="AS369" s="143" t="s">
        <v>3413</v>
      </c>
      <c r="AT369" s="143"/>
      <c r="AU369" s="143"/>
      <c r="AV369" s="143"/>
      <c r="AW369" s="143"/>
      <c r="AX369" s="143"/>
      <c r="AY369" s="143"/>
      <c r="AZ369" s="143"/>
      <c r="BA369" s="143"/>
      <c r="BB369" s="143"/>
      <c r="BC369" s="143"/>
      <c r="BD369" s="143"/>
      <c r="BE369" s="143"/>
      <c r="BF369" s="143"/>
      <c r="BG369" s="151"/>
      <c r="BH369" s="151"/>
      <c r="BI369" s="151"/>
      <c r="BJ369" s="143"/>
      <c r="BK369" s="143"/>
      <c r="BL369" s="143"/>
      <c r="BM369" s="144">
        <v>0</v>
      </c>
      <c r="BN369" s="153" t="s">
        <v>1496</v>
      </c>
      <c r="BO369" s="144" t="s">
        <v>143</v>
      </c>
      <c r="BP369" s="203" t="s">
        <v>3582</v>
      </c>
      <c r="BQ369" s="203" t="s">
        <v>3273</v>
      </c>
    </row>
    <row r="370" spans="1:69" ht="41.1" customHeight="1">
      <c r="A370" s="218" t="s">
        <v>1420</v>
      </c>
      <c r="B370" s="218" t="s">
        <v>1629</v>
      </c>
      <c r="C370" s="143">
        <v>1000</v>
      </c>
      <c r="D370" s="135">
        <v>44603</v>
      </c>
      <c r="E370" s="135">
        <v>44607</v>
      </c>
      <c r="F370" s="147" t="s">
        <v>76</v>
      </c>
      <c r="G370" s="135" t="s">
        <v>76</v>
      </c>
      <c r="H370" s="147">
        <v>44615</v>
      </c>
      <c r="I370" s="147">
        <v>44615</v>
      </c>
      <c r="J370" s="147">
        <v>44617</v>
      </c>
      <c r="K370" s="135">
        <v>44656</v>
      </c>
      <c r="L370" s="135">
        <v>44653</v>
      </c>
      <c r="M370" s="135"/>
      <c r="N370" s="135">
        <v>44665</v>
      </c>
      <c r="O370" s="135">
        <v>44665</v>
      </c>
      <c r="P370" s="135">
        <v>44666</v>
      </c>
      <c r="Q370" s="135"/>
      <c r="R370" s="143"/>
      <c r="S370" s="143"/>
      <c r="T370" s="143"/>
      <c r="U370" s="143">
        <v>2</v>
      </c>
      <c r="V370" s="143">
        <v>8876</v>
      </c>
      <c r="W370" s="143" t="str">
        <f ca="1">IF(H370="",IF(D370="","",IF(U370+V370&lt;15,"Données Nb pers ou RFR manquantes",IF(COUNTA(INDIRECT("TabRFR["&amp;YEAR(D370)&amp;"]"))&lt;&gt;COUNTA(TabRFR[Recherche RFR]),"Data RFR manquantes", IF(V370&lt;=INDEX(TabRFR[[2021]:[2025]],MATCH(BD!U370&amp;"-Très modestes",TabRFR[Recherche RFR],0),MATCH(TEXT(YEAR(BD!D370),"Standard"),TabRFR[[#Headers],[2021]:[2025]],0)),"Très Modeste",IF(V370&lt;=INDEX(TabRFR[[2021]:[2025]],MATCH(BD!U370&amp;"-modestes",TabRFR[Recherche RFR],0),MATCH(TEXT(YEAR(BD!D370),"Standard"),TabRFR[[#Headers],[2021]:[2025]],0)),"Modeste",IF(V370&lt;=INDEX(TabRFR[[2021]:[2025]],MATCH(BD!U370&amp;"-Intermédiaire",TabRFR[Recherche RFR],0),MATCH(TEXT(YEAR(BD!D370),"Standard"),TabRFR[[#Headers],[2021]:[2025]],0)),"Intermédiaire","Supérieur")))))),IF(D370="","",IF(U370+V370&lt;15,"Données Nb pers ou RFR manquantes",IF(COUNTA(INDIRECT("TabRFR["&amp;YEAR(H370)&amp;"]"))&lt;&gt;COUNTA(TabRFR[Recherche RFR]),"Data RFR manquantes", IF(V370&lt;=INDEX(TabRFR[[2021]:[2025]],MATCH(BD!U370&amp;"-Très modestes",TabRFR[Recherche RFR],0),MATCH(TEXT(YEAR(BD!H370),"Standard"),TabRFR[[#Headers],[2021]:[2025]],0)),"Très Modeste",IF(V370&lt;=INDEX(TabRFR[[2021]:[2025]],MATCH(BD!U370&amp;"-modestes",TabRFR[Recherche RFR],0),MATCH(TEXT(YEAR(BD!H370),"Standard"),TabRFR[[#Headers],[2021]:[2025]],0)),"Modeste",IF(V370&lt;=INDEX(TabRFR[[2021]:[2025]],MATCH(BD!U370&amp;"-Intermédiaire",TabRFR[Recherche RFR],0),MATCH(TEXT(YEAR(BD!H370),"Standard"),TabRFR[[#Headers],[2021]:[2025]],0)),"Intermédiaire","Supérieur")))))))</f>
        <v>Très Modeste</v>
      </c>
      <c r="X370" s="143"/>
      <c r="Y370" s="143" t="s">
        <v>1630</v>
      </c>
      <c r="Z370" s="143">
        <v>38730</v>
      </c>
      <c r="AA370" s="143" t="s">
        <v>148</v>
      </c>
      <c r="AB370" s="148"/>
      <c r="AC370" s="149"/>
      <c r="AD370" s="143" t="s">
        <v>91</v>
      </c>
      <c r="AE370" s="143"/>
      <c r="AF370" s="143"/>
      <c r="AG370" s="143"/>
      <c r="AH370" s="143"/>
      <c r="AI370" s="143" t="s">
        <v>298</v>
      </c>
      <c r="AJ370" s="143" t="s">
        <v>299</v>
      </c>
      <c r="AK370" s="143" t="s">
        <v>300</v>
      </c>
      <c r="AL370" s="150" t="s">
        <v>301</v>
      </c>
      <c r="AM370" s="148" t="s">
        <v>1485</v>
      </c>
      <c r="AN370" s="143" t="s">
        <v>76</v>
      </c>
      <c r="AO370" s="156" t="s">
        <v>144</v>
      </c>
      <c r="AP370" s="147">
        <v>44798</v>
      </c>
      <c r="AQ370" s="143" t="s">
        <v>3413</v>
      </c>
      <c r="AR370" s="143">
        <v>2000</v>
      </c>
      <c r="AS370" s="143" t="s">
        <v>3413</v>
      </c>
      <c r="AT370" s="143" t="s">
        <v>98</v>
      </c>
      <c r="AU370" s="143" t="s">
        <v>113</v>
      </c>
      <c r="AV370" s="143" t="s">
        <v>1631</v>
      </c>
      <c r="AW370" s="143">
        <v>11</v>
      </c>
      <c r="AX370" s="143">
        <v>7.8</v>
      </c>
      <c r="AY370" s="143">
        <v>90.2</v>
      </c>
      <c r="AZ370" s="143">
        <v>6.0000000000000001E-3</v>
      </c>
      <c r="BA370" s="143" t="s">
        <v>101</v>
      </c>
      <c r="BB370" s="143"/>
      <c r="BC370" s="143">
        <f>1163+3746</f>
        <v>4909</v>
      </c>
      <c r="BD370" s="143"/>
      <c r="BE370" s="143">
        <v>806.67</v>
      </c>
      <c r="BF370" s="143">
        <f t="shared" ref="BF370:BF376" si="19">BC370+BE370</f>
        <v>5715.67</v>
      </c>
      <c r="BG370" s="151">
        <f t="shared" ref="BG370:BG376" si="20">BF370*0.055</f>
        <v>314.36185</v>
      </c>
      <c r="BH370" s="151">
        <f>BF370+BG370</f>
        <v>6030.0318500000003</v>
      </c>
      <c r="BI370" s="151">
        <v>6030.03</v>
      </c>
      <c r="BJ370" s="143" t="s">
        <v>102</v>
      </c>
      <c r="BK370" s="143"/>
      <c r="BL370" s="143"/>
      <c r="BM370" s="144" t="s">
        <v>3592</v>
      </c>
      <c r="BN370" s="143">
        <v>2022</v>
      </c>
      <c r="BO370" s="135" t="s">
        <v>155</v>
      </c>
      <c r="BP370" s="143" t="s">
        <v>3583</v>
      </c>
      <c r="BQ370" s="203" t="s">
        <v>144</v>
      </c>
    </row>
    <row r="371" spans="1:69" ht="41.1" customHeight="1">
      <c r="A371" s="218" t="s">
        <v>1420</v>
      </c>
      <c r="B371" s="218" t="s">
        <v>1632</v>
      </c>
      <c r="C371" s="143">
        <v>600</v>
      </c>
      <c r="D371" s="135">
        <v>44607</v>
      </c>
      <c r="E371" s="135">
        <v>44607</v>
      </c>
      <c r="F371" s="147">
        <v>44615</v>
      </c>
      <c r="G371" s="135" t="s">
        <v>1633</v>
      </c>
      <c r="H371" s="147">
        <v>44624</v>
      </c>
      <c r="I371" s="147">
        <v>44624</v>
      </c>
      <c r="J371" s="147">
        <v>44628</v>
      </c>
      <c r="K371" s="135">
        <v>44711</v>
      </c>
      <c r="L371" s="135">
        <v>44705</v>
      </c>
      <c r="M371" s="135" t="s">
        <v>76</v>
      </c>
      <c r="N371" s="135">
        <v>44768</v>
      </c>
      <c r="O371" s="135">
        <v>44768</v>
      </c>
      <c r="P371" s="135">
        <v>44769</v>
      </c>
      <c r="Q371" s="135"/>
      <c r="R371" s="143"/>
      <c r="S371" s="143"/>
      <c r="T371" s="143"/>
      <c r="U371" s="143">
        <v>2</v>
      </c>
      <c r="V371" s="143">
        <v>33847</v>
      </c>
      <c r="W371" s="143" t="str">
        <f ca="1">IF(H371="",IF(D371="","",IF(U371+V371&lt;15,"Données Nb pers ou RFR manquantes",IF(COUNTA(INDIRECT("TabRFR["&amp;YEAR(D371)&amp;"]"))&lt;&gt;COUNTA(TabRFR[Recherche RFR]),"Data RFR manquantes", IF(V371&lt;=INDEX(TabRFR[[2021]:[2025]],MATCH(BD!U371&amp;"-Très modestes",TabRFR[Recherche RFR],0),MATCH(TEXT(YEAR(BD!D371),"Standard"),TabRFR[[#Headers],[2021]:[2025]],0)),"Très Modeste",IF(V371&lt;=INDEX(TabRFR[[2021]:[2025]],MATCH(BD!U371&amp;"-modestes",TabRFR[Recherche RFR],0),MATCH(TEXT(YEAR(BD!D371),"Standard"),TabRFR[[#Headers],[2021]:[2025]],0)),"Modeste",IF(V371&lt;=INDEX(TabRFR[[2021]:[2025]],MATCH(BD!U371&amp;"-Intermédiaire",TabRFR[Recherche RFR],0),MATCH(TEXT(YEAR(BD!D371),"Standard"),TabRFR[[#Headers],[2021]:[2025]],0)),"Intermédiaire","Supérieur")))))),IF(D371="","",IF(U371+V371&lt;15,"Données Nb pers ou RFR manquantes",IF(COUNTA(INDIRECT("TabRFR["&amp;YEAR(H371)&amp;"]"))&lt;&gt;COUNTA(TabRFR[Recherche RFR]),"Data RFR manquantes", IF(V371&lt;=INDEX(TabRFR[[2021]:[2025]],MATCH(BD!U371&amp;"-Très modestes",TabRFR[Recherche RFR],0),MATCH(TEXT(YEAR(BD!H371),"Standard"),TabRFR[[#Headers],[2021]:[2025]],0)),"Très Modeste",IF(V371&lt;=INDEX(TabRFR[[2021]:[2025]],MATCH(BD!U371&amp;"-modestes",TabRFR[Recherche RFR],0),MATCH(TEXT(YEAR(BD!H371),"Standard"),TabRFR[[#Headers],[2021]:[2025]],0)),"Modeste",IF(V371&lt;=INDEX(TabRFR[[2021]:[2025]],MATCH(BD!U371&amp;"-Intermédiaire",TabRFR[Recherche RFR],0),MATCH(TEXT(YEAR(BD!H371),"Standard"),TabRFR[[#Headers],[2021]:[2025]],0)),"Intermédiaire","Supérieur")))))))</f>
        <v>Intermédiaire</v>
      </c>
      <c r="X371" s="143"/>
      <c r="Y371" s="143" t="s">
        <v>928</v>
      </c>
      <c r="Z371" s="143">
        <v>38340</v>
      </c>
      <c r="AA371" s="143" t="s">
        <v>413</v>
      </c>
      <c r="AB371" s="148"/>
      <c r="AC371" s="149"/>
      <c r="AD371" s="143" t="s">
        <v>91</v>
      </c>
      <c r="AE371" s="143"/>
      <c r="AF371" s="143"/>
      <c r="AG371" s="143"/>
      <c r="AH371" s="143"/>
      <c r="AI371" s="135" t="s">
        <v>2703</v>
      </c>
      <c r="AJ371" s="143" t="s">
        <v>266</v>
      </c>
      <c r="AK371" s="143" t="s">
        <v>317</v>
      </c>
      <c r="AL371" s="150" t="s">
        <v>318</v>
      </c>
      <c r="AM371" s="148">
        <v>476500550</v>
      </c>
      <c r="AN371" s="143" t="s">
        <v>76</v>
      </c>
      <c r="AO371" s="158" t="s">
        <v>102</v>
      </c>
      <c r="AP371" s="147">
        <v>44740</v>
      </c>
      <c r="AQ371" s="143" t="s">
        <v>3413</v>
      </c>
      <c r="AR371" s="143" t="s">
        <v>213</v>
      </c>
      <c r="AS371" s="143" t="s">
        <v>3413</v>
      </c>
      <c r="AT371" s="135" t="s">
        <v>3446</v>
      </c>
      <c r="AU371" s="143" t="s">
        <v>1634</v>
      </c>
      <c r="AV371" s="143">
        <v>800</v>
      </c>
      <c r="AW371" s="143">
        <v>30</v>
      </c>
      <c r="AX371" s="143">
        <v>7</v>
      </c>
      <c r="AY371" s="143">
        <v>75</v>
      </c>
      <c r="AZ371" s="143">
        <v>0.12</v>
      </c>
      <c r="BA371" s="143" t="s">
        <v>101</v>
      </c>
      <c r="BB371" s="143"/>
      <c r="BC371" s="143">
        <f>49.38+22.13+79.48+2625+245.2</f>
        <v>3021.1899999999996</v>
      </c>
      <c r="BD371" s="143"/>
      <c r="BE371" s="143">
        <f>73.76+900</f>
        <v>973.76</v>
      </c>
      <c r="BF371" s="143">
        <f t="shared" si="19"/>
        <v>3994.95</v>
      </c>
      <c r="BG371" s="151">
        <f t="shared" si="20"/>
        <v>219.72225</v>
      </c>
      <c r="BH371" s="151">
        <f>BF371*1.055</f>
        <v>4214.6722499999996</v>
      </c>
      <c r="BI371" s="151">
        <v>4113.51</v>
      </c>
      <c r="BJ371" s="143" t="s">
        <v>102</v>
      </c>
      <c r="BK371" s="143"/>
      <c r="BL371" s="143"/>
      <c r="BM371" s="144" t="s">
        <v>3592</v>
      </c>
      <c r="BN371" s="143">
        <v>2022</v>
      </c>
      <c r="BO371" s="144" t="s">
        <v>143</v>
      </c>
      <c r="BP371" s="144">
        <v>2022</v>
      </c>
      <c r="BQ371" s="203" t="s">
        <v>144</v>
      </c>
    </row>
    <row r="372" spans="1:69" ht="41.1" customHeight="1">
      <c r="A372" s="218" t="s">
        <v>1420</v>
      </c>
      <c r="B372" s="218" t="s">
        <v>1635</v>
      </c>
      <c r="C372" s="143">
        <v>600</v>
      </c>
      <c r="D372" s="135">
        <v>44607</v>
      </c>
      <c r="E372" s="135">
        <v>44608</v>
      </c>
      <c r="F372" s="147">
        <v>44615</v>
      </c>
      <c r="G372" s="135" t="s">
        <v>1498</v>
      </c>
      <c r="H372" s="147">
        <v>44624</v>
      </c>
      <c r="I372" s="147">
        <v>44624</v>
      </c>
      <c r="J372" s="147">
        <v>44628</v>
      </c>
      <c r="K372" s="135">
        <v>44820</v>
      </c>
      <c r="L372" s="135">
        <v>44757</v>
      </c>
      <c r="M372" s="135" t="s">
        <v>76</v>
      </c>
      <c r="N372" s="135">
        <v>44833</v>
      </c>
      <c r="O372" s="135">
        <v>44833</v>
      </c>
      <c r="P372" s="135">
        <v>44833</v>
      </c>
      <c r="Q372" s="135"/>
      <c r="R372" s="143"/>
      <c r="S372" s="143"/>
      <c r="T372" s="143"/>
      <c r="U372" s="143">
        <v>2</v>
      </c>
      <c r="V372" s="143">
        <v>54714</v>
      </c>
      <c r="W372" s="143" t="str">
        <f ca="1">IF(H372="",IF(D372="","",IF(U372+V372&lt;15,"Données Nb pers ou RFR manquantes",IF(COUNTA(INDIRECT("TabRFR["&amp;YEAR(D372)&amp;"]"))&lt;&gt;COUNTA(TabRFR[Recherche RFR]),"Data RFR manquantes", IF(V372&lt;=INDEX(TabRFR[[2021]:[2025]],MATCH(BD!U372&amp;"-Très modestes",TabRFR[Recherche RFR],0),MATCH(TEXT(YEAR(BD!D372),"Standard"),TabRFR[[#Headers],[2021]:[2025]],0)),"Très Modeste",IF(V372&lt;=INDEX(TabRFR[[2021]:[2025]],MATCH(BD!U372&amp;"-modestes",TabRFR[Recherche RFR],0),MATCH(TEXT(YEAR(BD!D372),"Standard"),TabRFR[[#Headers],[2021]:[2025]],0)),"Modeste",IF(V372&lt;=INDEX(TabRFR[[2021]:[2025]],MATCH(BD!U372&amp;"-Intermédiaire",TabRFR[Recherche RFR],0),MATCH(TEXT(YEAR(BD!D372),"Standard"),TabRFR[[#Headers],[2021]:[2025]],0)),"Intermédiaire","Supérieur")))))),IF(D372="","",IF(U372+V372&lt;15,"Données Nb pers ou RFR manquantes",IF(COUNTA(INDIRECT("TabRFR["&amp;YEAR(H372)&amp;"]"))&lt;&gt;COUNTA(TabRFR[Recherche RFR]),"Data RFR manquantes", IF(V372&lt;=INDEX(TabRFR[[2021]:[2025]],MATCH(BD!U372&amp;"-Très modestes",TabRFR[Recherche RFR],0),MATCH(TEXT(YEAR(BD!H372),"Standard"),TabRFR[[#Headers],[2021]:[2025]],0)),"Très Modeste",IF(V372&lt;=INDEX(TabRFR[[2021]:[2025]],MATCH(BD!U372&amp;"-modestes",TabRFR[Recherche RFR],0),MATCH(TEXT(YEAR(BD!H372),"Standard"),TabRFR[[#Headers],[2021]:[2025]],0)),"Modeste",IF(V372&lt;=INDEX(TabRFR[[2021]:[2025]],MATCH(BD!U372&amp;"-Intermédiaire",TabRFR[Recherche RFR],0),MATCH(TEXT(YEAR(BD!H372),"Standard"),TabRFR[[#Headers],[2021]:[2025]],0)),"Intermédiaire","Supérieur")))))))</f>
        <v>Supérieur</v>
      </c>
      <c r="X372" s="143"/>
      <c r="Y372" s="143" t="s">
        <v>1636</v>
      </c>
      <c r="Z372" s="143">
        <v>38500</v>
      </c>
      <c r="AA372" s="143" t="s">
        <v>134</v>
      </c>
      <c r="AB372" s="148"/>
      <c r="AC372" s="149"/>
      <c r="AD372" s="143" t="s">
        <v>91</v>
      </c>
      <c r="AE372" s="143"/>
      <c r="AF372" s="143"/>
      <c r="AG372" s="143"/>
      <c r="AH372" s="143"/>
      <c r="AI372" s="143" t="s">
        <v>120</v>
      </c>
      <c r="AJ372" s="143" t="s">
        <v>121</v>
      </c>
      <c r="AK372" s="143" t="s">
        <v>1525</v>
      </c>
      <c r="AL372" s="150" t="s">
        <v>123</v>
      </c>
      <c r="AM372" s="148" t="s">
        <v>1469</v>
      </c>
      <c r="AN372" s="143" t="s">
        <v>76</v>
      </c>
      <c r="AO372" s="156" t="s">
        <v>144</v>
      </c>
      <c r="AP372" s="147">
        <v>44782</v>
      </c>
      <c r="AQ372" s="135" t="s">
        <v>3449</v>
      </c>
      <c r="AR372" s="143">
        <v>1985</v>
      </c>
      <c r="AS372" s="143" t="s">
        <v>3413</v>
      </c>
      <c r="AT372" s="143" t="s">
        <v>98</v>
      </c>
      <c r="AU372" s="143" t="s">
        <v>1541</v>
      </c>
      <c r="AV372" s="143" t="s">
        <v>1637</v>
      </c>
      <c r="AW372" s="143">
        <v>9</v>
      </c>
      <c r="AX372" s="143">
        <v>8</v>
      </c>
      <c r="AY372" s="143">
        <v>86.6</v>
      </c>
      <c r="AZ372" s="143">
        <v>30</v>
      </c>
      <c r="BA372" s="143" t="s">
        <v>126</v>
      </c>
      <c r="BB372" s="143"/>
      <c r="BC372" s="143">
        <f>3466.35+94.79+218.01+33.18+366.82+270.14+147.87</f>
        <v>4597.16</v>
      </c>
      <c r="BD372" s="143"/>
      <c r="BE372" s="143">
        <v>616.11</v>
      </c>
      <c r="BF372" s="143">
        <f t="shared" si="19"/>
        <v>5213.2699999999995</v>
      </c>
      <c r="BG372" s="151">
        <f t="shared" si="20"/>
        <v>286.72985</v>
      </c>
      <c r="BH372" s="151">
        <f>BF372*1.055</f>
        <v>5499.9998499999992</v>
      </c>
      <c r="BI372" s="151">
        <v>5500</v>
      </c>
      <c r="BJ372" s="143" t="s">
        <v>102</v>
      </c>
      <c r="BK372" s="143"/>
      <c r="BL372" s="143"/>
      <c r="BM372" s="144" t="s">
        <v>3592</v>
      </c>
      <c r="BN372" s="143">
        <v>2022</v>
      </c>
      <c r="BO372" s="144" t="s">
        <v>143</v>
      </c>
      <c r="BP372" s="143" t="s">
        <v>3583</v>
      </c>
      <c r="BQ372" s="203" t="s">
        <v>144</v>
      </c>
    </row>
    <row r="373" spans="1:69" ht="41.1" customHeight="1">
      <c r="A373" s="218" t="s">
        <v>1420</v>
      </c>
      <c r="B373" s="218" t="s">
        <v>1638</v>
      </c>
      <c r="C373" s="143">
        <v>600</v>
      </c>
      <c r="D373" s="135">
        <v>44607</v>
      </c>
      <c r="E373" s="135">
        <v>44608</v>
      </c>
      <c r="F373" s="147">
        <v>44615</v>
      </c>
      <c r="G373" s="135" t="s">
        <v>1639</v>
      </c>
      <c r="H373" s="147">
        <v>44624</v>
      </c>
      <c r="I373" s="147">
        <v>44624</v>
      </c>
      <c r="J373" s="147">
        <v>44628</v>
      </c>
      <c r="K373" s="135">
        <v>44777</v>
      </c>
      <c r="L373" s="135">
        <v>44752</v>
      </c>
      <c r="M373" s="135" t="s">
        <v>76</v>
      </c>
      <c r="N373" s="135">
        <v>44795</v>
      </c>
      <c r="O373" s="135">
        <v>44795</v>
      </c>
      <c r="P373" s="135">
        <v>44796</v>
      </c>
      <c r="Q373" s="135"/>
      <c r="R373" s="143"/>
      <c r="S373" s="143"/>
      <c r="T373" s="143"/>
      <c r="U373" s="143">
        <v>2</v>
      </c>
      <c r="V373" s="143">
        <f>24298+14475</f>
        <v>38773</v>
      </c>
      <c r="W373" s="143" t="str">
        <f ca="1">IF(H373="",IF(D373="","",IF(U373+V373&lt;15,"Données Nb pers ou RFR manquantes",IF(COUNTA(INDIRECT("TabRFR["&amp;YEAR(D373)&amp;"]"))&lt;&gt;COUNTA(TabRFR[Recherche RFR]),"Data RFR manquantes", IF(V373&lt;=INDEX(TabRFR[[2021]:[2025]],MATCH(BD!U373&amp;"-Très modestes",TabRFR[Recherche RFR],0),MATCH(TEXT(YEAR(BD!D373),"Standard"),TabRFR[[#Headers],[2021]:[2025]],0)),"Très Modeste",IF(V373&lt;=INDEX(TabRFR[[2021]:[2025]],MATCH(BD!U373&amp;"-modestes",TabRFR[Recherche RFR],0),MATCH(TEXT(YEAR(BD!D373),"Standard"),TabRFR[[#Headers],[2021]:[2025]],0)),"Modeste",IF(V373&lt;=INDEX(TabRFR[[2021]:[2025]],MATCH(BD!U373&amp;"-Intermédiaire",TabRFR[Recherche RFR],0),MATCH(TEXT(YEAR(BD!D373),"Standard"),TabRFR[[#Headers],[2021]:[2025]],0)),"Intermédiaire","Supérieur")))))),IF(D373="","",IF(U373+V373&lt;15,"Données Nb pers ou RFR manquantes",IF(COUNTA(INDIRECT("TabRFR["&amp;YEAR(H373)&amp;"]"))&lt;&gt;COUNTA(TabRFR[Recherche RFR]),"Data RFR manquantes", IF(V373&lt;=INDEX(TabRFR[[2021]:[2025]],MATCH(BD!U373&amp;"-Très modestes",TabRFR[Recherche RFR],0),MATCH(TEXT(YEAR(BD!H373),"Standard"),TabRFR[[#Headers],[2021]:[2025]],0)),"Très Modeste",IF(V373&lt;=INDEX(TabRFR[[2021]:[2025]],MATCH(BD!U373&amp;"-modestes",TabRFR[Recherche RFR],0),MATCH(TEXT(YEAR(BD!H373),"Standard"),TabRFR[[#Headers],[2021]:[2025]],0)),"Modeste",IF(V373&lt;=INDEX(TabRFR[[2021]:[2025]],MATCH(BD!U373&amp;"-Intermédiaire",TabRFR[Recherche RFR],0),MATCH(TEXT(YEAR(BD!H373),"Standard"),TabRFR[[#Headers],[2021]:[2025]],0)),"Intermédiaire","Supérieur")))))))</f>
        <v>Intermédiaire</v>
      </c>
      <c r="X373" s="143"/>
      <c r="Y373" s="143" t="s">
        <v>1640</v>
      </c>
      <c r="Z373" s="143">
        <v>38500</v>
      </c>
      <c r="AA373" s="143" t="s">
        <v>108</v>
      </c>
      <c r="AB373" s="148"/>
      <c r="AC373" s="149"/>
      <c r="AD373" s="143" t="s">
        <v>91</v>
      </c>
      <c r="AE373" s="143"/>
      <c r="AF373" s="143"/>
      <c r="AG373" s="143"/>
      <c r="AH373" s="143"/>
      <c r="AI373" s="143" t="s">
        <v>109</v>
      </c>
      <c r="AJ373" s="143" t="s">
        <v>108</v>
      </c>
      <c r="AK373" s="143" t="s">
        <v>1641</v>
      </c>
      <c r="AL373" s="150" t="s">
        <v>111</v>
      </c>
      <c r="AM373" s="148" t="s">
        <v>112</v>
      </c>
      <c r="AN373" s="143" t="s">
        <v>76</v>
      </c>
      <c r="AO373" s="158" t="s">
        <v>144</v>
      </c>
      <c r="AP373" s="147">
        <v>44868</v>
      </c>
      <c r="AQ373" s="143" t="s">
        <v>3413</v>
      </c>
      <c r="AR373" s="143">
        <v>1980</v>
      </c>
      <c r="AS373" s="143" t="s">
        <v>3413</v>
      </c>
      <c r="AT373" s="143" t="s">
        <v>98</v>
      </c>
      <c r="AU373" s="143" t="s">
        <v>113</v>
      </c>
      <c r="AV373" s="143" t="s">
        <v>1642</v>
      </c>
      <c r="AW373" s="143">
        <v>11</v>
      </c>
      <c r="AX373" s="143">
        <v>7.8</v>
      </c>
      <c r="AY373" s="143">
        <v>90.2</v>
      </c>
      <c r="AZ373" s="143">
        <v>6.0000000000000001E-3</v>
      </c>
      <c r="BA373" s="143" t="s">
        <v>101</v>
      </c>
      <c r="BB373" s="143"/>
      <c r="BC373" s="143">
        <f>4192+2570.44+1026+30</f>
        <v>7818.4400000000005</v>
      </c>
      <c r="BD373" s="143"/>
      <c r="BE373" s="143">
        <f>520+20</f>
        <v>540</v>
      </c>
      <c r="BF373" s="143">
        <f t="shared" si="19"/>
        <v>8358.44</v>
      </c>
      <c r="BG373" s="151">
        <f t="shared" si="20"/>
        <v>459.71420000000001</v>
      </c>
      <c r="BH373" s="151">
        <f>BF373+BG373</f>
        <v>8818.1542000000009</v>
      </c>
      <c r="BI373" s="151">
        <v>8396.15</v>
      </c>
      <c r="BJ373" s="143" t="s">
        <v>103</v>
      </c>
      <c r="BK373" s="143"/>
      <c r="BL373" s="143"/>
      <c r="BM373" s="144" t="s">
        <v>3592</v>
      </c>
      <c r="BN373" s="143">
        <v>2022</v>
      </c>
      <c r="BO373" s="144" t="s">
        <v>143</v>
      </c>
      <c r="BP373" s="143" t="s">
        <v>3583</v>
      </c>
      <c r="BQ373" s="203" t="s">
        <v>3274</v>
      </c>
    </row>
    <row r="374" spans="1:69" ht="41.1" customHeight="1">
      <c r="A374" s="218" t="s">
        <v>1420</v>
      </c>
      <c r="B374" s="218" t="s">
        <v>1643</v>
      </c>
      <c r="C374" s="143">
        <v>1000</v>
      </c>
      <c r="D374" s="135">
        <v>44607</v>
      </c>
      <c r="E374" s="135">
        <v>44608</v>
      </c>
      <c r="F374" s="147">
        <v>44615</v>
      </c>
      <c r="G374" s="135" t="s">
        <v>1644</v>
      </c>
      <c r="H374" s="147">
        <v>44630</v>
      </c>
      <c r="I374" s="147">
        <v>44630</v>
      </c>
      <c r="J374" s="147">
        <v>44635</v>
      </c>
      <c r="K374" s="135">
        <v>44642</v>
      </c>
      <c r="L374" s="135">
        <v>44636</v>
      </c>
      <c r="M374" s="135"/>
      <c r="N374" s="135">
        <v>44650</v>
      </c>
      <c r="O374" s="135">
        <v>44650</v>
      </c>
      <c r="P374" s="135">
        <v>44652</v>
      </c>
      <c r="Q374" s="135"/>
      <c r="R374" s="143"/>
      <c r="S374" s="143"/>
      <c r="T374" s="143"/>
      <c r="U374" s="143">
        <v>4</v>
      </c>
      <c r="V374" s="143">
        <v>26652</v>
      </c>
      <c r="W374" s="143" t="str">
        <f ca="1">IF(H374="",IF(D374="","",IF(U374+V374&lt;15,"Données Nb pers ou RFR manquantes",IF(COUNTA(INDIRECT("TabRFR["&amp;YEAR(D374)&amp;"]"))&lt;&gt;COUNTA(TabRFR[Recherche RFR]),"Data RFR manquantes", IF(V374&lt;=INDEX(TabRFR[[2021]:[2025]],MATCH(BD!U374&amp;"-Très modestes",TabRFR[Recherche RFR],0),MATCH(TEXT(YEAR(BD!D374),"Standard"),TabRFR[[#Headers],[2021]:[2025]],0)),"Très Modeste",IF(V374&lt;=INDEX(TabRFR[[2021]:[2025]],MATCH(BD!U374&amp;"-modestes",TabRFR[Recherche RFR],0),MATCH(TEXT(YEAR(BD!D374),"Standard"),TabRFR[[#Headers],[2021]:[2025]],0)),"Modeste",IF(V374&lt;=INDEX(TabRFR[[2021]:[2025]],MATCH(BD!U374&amp;"-Intermédiaire",TabRFR[Recherche RFR],0),MATCH(TEXT(YEAR(BD!D374),"Standard"),TabRFR[[#Headers],[2021]:[2025]],0)),"Intermédiaire","Supérieur")))))),IF(D374="","",IF(U374+V374&lt;15,"Données Nb pers ou RFR manquantes",IF(COUNTA(INDIRECT("TabRFR["&amp;YEAR(H374)&amp;"]"))&lt;&gt;COUNTA(TabRFR[Recherche RFR]),"Data RFR manquantes", IF(V374&lt;=INDEX(TabRFR[[2021]:[2025]],MATCH(BD!U374&amp;"-Très modestes",TabRFR[Recherche RFR],0),MATCH(TEXT(YEAR(BD!H374),"Standard"),TabRFR[[#Headers],[2021]:[2025]],0)),"Très Modeste",IF(V374&lt;=INDEX(TabRFR[[2021]:[2025]],MATCH(BD!U374&amp;"-modestes",TabRFR[Recherche RFR],0),MATCH(TEXT(YEAR(BD!H374),"Standard"),TabRFR[[#Headers],[2021]:[2025]],0)),"Modeste",IF(V374&lt;=INDEX(TabRFR[[2021]:[2025]],MATCH(BD!U374&amp;"-Intermédiaire",TabRFR[Recherche RFR],0),MATCH(TEXT(YEAR(BD!H374),"Standard"),TabRFR[[#Headers],[2021]:[2025]],0)),"Intermédiaire","Supérieur")))))))</f>
        <v>Très Modeste</v>
      </c>
      <c r="X374" s="143"/>
      <c r="Y374" s="143" t="s">
        <v>1645</v>
      </c>
      <c r="Z374" s="143">
        <v>38850</v>
      </c>
      <c r="AA374" s="143" t="s">
        <v>148</v>
      </c>
      <c r="AB374" s="148"/>
      <c r="AC374" s="149"/>
      <c r="AD374" s="143" t="s">
        <v>91</v>
      </c>
      <c r="AE374" s="143"/>
      <c r="AF374" s="143"/>
      <c r="AG374" s="143"/>
      <c r="AH374" s="143"/>
      <c r="AI374" s="143" t="s">
        <v>298</v>
      </c>
      <c r="AJ374" s="143" t="s">
        <v>299</v>
      </c>
      <c r="AK374" s="143" t="s">
        <v>300</v>
      </c>
      <c r="AL374" s="150" t="s">
        <v>301</v>
      </c>
      <c r="AM374" s="148" t="s">
        <v>1485</v>
      </c>
      <c r="AN374" s="143" t="s">
        <v>76</v>
      </c>
      <c r="AO374" s="156" t="s">
        <v>144</v>
      </c>
      <c r="AP374" s="147">
        <v>44798</v>
      </c>
      <c r="AQ374" s="135" t="s">
        <v>3449</v>
      </c>
      <c r="AR374" s="143">
        <v>1975</v>
      </c>
      <c r="AS374" s="143" t="s">
        <v>3413</v>
      </c>
      <c r="AT374" s="143" t="s">
        <v>98</v>
      </c>
      <c r="AU374" s="143" t="s">
        <v>113</v>
      </c>
      <c r="AV374" s="143" t="s">
        <v>1646</v>
      </c>
      <c r="AW374" s="143">
        <v>17</v>
      </c>
      <c r="AX374" s="143">
        <v>8.1</v>
      </c>
      <c r="AY374" s="143">
        <v>90.9</v>
      </c>
      <c r="AZ374" s="143">
        <v>2E-3</v>
      </c>
      <c r="BA374" s="143" t="s">
        <v>101</v>
      </c>
      <c r="BB374" s="143"/>
      <c r="BC374" s="143">
        <f>70+38+376+81+162+210+117+3020+1.67</f>
        <v>4075.67</v>
      </c>
      <c r="BD374" s="143"/>
      <c r="BE374" s="143">
        <f>760+190</f>
        <v>950</v>
      </c>
      <c r="BF374" s="143">
        <f t="shared" si="19"/>
        <v>5025.67</v>
      </c>
      <c r="BG374" s="151">
        <f t="shared" si="20"/>
        <v>276.41185000000002</v>
      </c>
      <c r="BH374" s="151">
        <f>BF374+BG374</f>
        <v>5302.0818500000005</v>
      </c>
      <c r="BI374" s="151">
        <v>5302.08</v>
      </c>
      <c r="BJ374" s="143" t="s">
        <v>102</v>
      </c>
      <c r="BK374" s="143"/>
      <c r="BL374" s="143"/>
      <c r="BM374" s="144" t="s">
        <v>3592</v>
      </c>
      <c r="BN374" s="143">
        <v>2022</v>
      </c>
      <c r="BO374" s="135" t="s">
        <v>155</v>
      </c>
      <c r="BP374" s="143" t="s">
        <v>3583</v>
      </c>
      <c r="BQ374" s="203" t="s">
        <v>144</v>
      </c>
    </row>
    <row r="375" spans="1:69" ht="41.1" customHeight="1">
      <c r="A375" s="218" t="s">
        <v>1420</v>
      </c>
      <c r="B375" s="218" t="s">
        <v>1647</v>
      </c>
      <c r="C375" s="143">
        <v>1000</v>
      </c>
      <c r="D375" s="135">
        <v>44607</v>
      </c>
      <c r="E375" s="135">
        <v>44608</v>
      </c>
      <c r="F375" s="147">
        <v>44615</v>
      </c>
      <c r="G375" s="135" t="s">
        <v>1498</v>
      </c>
      <c r="H375" s="147">
        <v>44624</v>
      </c>
      <c r="I375" s="147">
        <v>44624</v>
      </c>
      <c r="J375" s="147">
        <v>44628</v>
      </c>
      <c r="K375" s="135">
        <v>44635</v>
      </c>
      <c r="L375" s="135">
        <v>44631</v>
      </c>
      <c r="M375" s="135"/>
      <c r="N375" s="135">
        <v>44658</v>
      </c>
      <c r="O375" s="135">
        <v>44658</v>
      </c>
      <c r="P375" s="135">
        <v>44662</v>
      </c>
      <c r="Q375" s="135"/>
      <c r="R375" s="143"/>
      <c r="S375" s="143"/>
      <c r="T375" s="143"/>
      <c r="U375" s="143">
        <v>1</v>
      </c>
      <c r="V375" s="143">
        <v>15166</v>
      </c>
      <c r="W375" s="143" t="str">
        <f ca="1">IF(H375="",IF(D375="","",IF(U375+V375&lt;15,"Données Nb pers ou RFR manquantes",IF(COUNTA(INDIRECT("TabRFR["&amp;YEAR(D375)&amp;"]"))&lt;&gt;COUNTA(TabRFR[Recherche RFR]),"Data RFR manquantes", IF(V375&lt;=INDEX(TabRFR[[2021]:[2025]],MATCH(BD!U375&amp;"-Très modestes",TabRFR[Recherche RFR],0),MATCH(TEXT(YEAR(BD!D375),"Standard"),TabRFR[[#Headers],[2021]:[2025]],0)),"Très Modeste",IF(V375&lt;=INDEX(TabRFR[[2021]:[2025]],MATCH(BD!U375&amp;"-modestes",TabRFR[Recherche RFR],0),MATCH(TEXT(YEAR(BD!D375),"Standard"),TabRFR[[#Headers],[2021]:[2025]],0)),"Modeste",IF(V375&lt;=INDEX(TabRFR[[2021]:[2025]],MATCH(BD!U375&amp;"-Intermédiaire",TabRFR[Recherche RFR],0),MATCH(TEXT(YEAR(BD!D375),"Standard"),TabRFR[[#Headers],[2021]:[2025]],0)),"Intermédiaire","Supérieur")))))),IF(D375="","",IF(U375+V375&lt;15,"Données Nb pers ou RFR manquantes",IF(COUNTA(INDIRECT("TabRFR["&amp;YEAR(H375)&amp;"]"))&lt;&gt;COUNTA(TabRFR[Recherche RFR]),"Data RFR manquantes", IF(V375&lt;=INDEX(TabRFR[[2021]:[2025]],MATCH(BD!U375&amp;"-Très modestes",TabRFR[Recherche RFR],0),MATCH(TEXT(YEAR(BD!H375),"Standard"),TabRFR[[#Headers],[2021]:[2025]],0)),"Très Modeste",IF(V375&lt;=INDEX(TabRFR[[2021]:[2025]],MATCH(BD!U375&amp;"-modestes",TabRFR[Recherche RFR],0),MATCH(TEXT(YEAR(BD!H375),"Standard"),TabRFR[[#Headers],[2021]:[2025]],0)),"Modeste",IF(V375&lt;=INDEX(TabRFR[[2021]:[2025]],MATCH(BD!U375&amp;"-Intermédiaire",TabRFR[Recherche RFR],0),MATCH(TEXT(YEAR(BD!H375),"Standard"),TabRFR[[#Headers],[2021]:[2025]],0)),"Intermédiaire","Supérieur")))))))</f>
        <v>Très Modeste</v>
      </c>
      <c r="X375" s="143"/>
      <c r="Y375" s="143" t="s">
        <v>1648</v>
      </c>
      <c r="Z375" s="143">
        <v>38500</v>
      </c>
      <c r="AA375" s="143" t="s">
        <v>134</v>
      </c>
      <c r="AB375" s="148"/>
      <c r="AC375" s="149"/>
      <c r="AD375" s="143" t="s">
        <v>91</v>
      </c>
      <c r="AE375" s="143"/>
      <c r="AF375" s="143"/>
      <c r="AG375" s="143"/>
      <c r="AH375" s="143"/>
      <c r="AI375" s="143" t="s">
        <v>298</v>
      </c>
      <c r="AJ375" s="143" t="s">
        <v>299</v>
      </c>
      <c r="AK375" s="143" t="s">
        <v>300</v>
      </c>
      <c r="AL375" s="150" t="s">
        <v>301</v>
      </c>
      <c r="AM375" s="148" t="s">
        <v>1485</v>
      </c>
      <c r="AN375" s="143" t="s">
        <v>76</v>
      </c>
      <c r="AO375" s="159" t="s">
        <v>144</v>
      </c>
      <c r="AP375" s="147">
        <v>44798</v>
      </c>
      <c r="AQ375" s="143" t="s">
        <v>3413</v>
      </c>
      <c r="AR375" s="143">
        <v>2000</v>
      </c>
      <c r="AS375" s="143" t="s">
        <v>3413</v>
      </c>
      <c r="AT375" s="143" t="s">
        <v>98</v>
      </c>
      <c r="AU375" s="143" t="s">
        <v>113</v>
      </c>
      <c r="AV375" s="143" t="s">
        <v>1649</v>
      </c>
      <c r="AW375" s="143">
        <v>18</v>
      </c>
      <c r="AX375" s="143">
        <v>10</v>
      </c>
      <c r="AY375" s="143">
        <v>90.4</v>
      </c>
      <c r="AZ375" s="143">
        <v>3.0400000000000002E-3</v>
      </c>
      <c r="BA375" s="143" t="s">
        <v>101</v>
      </c>
      <c r="BB375" s="143"/>
      <c r="BC375" s="143">
        <f>1881+3222+1.67</f>
        <v>5104.67</v>
      </c>
      <c r="BD375" s="143"/>
      <c r="BE375" s="143">
        <v>805</v>
      </c>
      <c r="BF375" s="143">
        <f t="shared" si="19"/>
        <v>5909.67</v>
      </c>
      <c r="BG375" s="151">
        <f t="shared" si="20"/>
        <v>325.03185000000002</v>
      </c>
      <c r="BH375" s="151">
        <f>BF375*1.055</f>
        <v>6234.7018499999995</v>
      </c>
      <c r="BI375" s="151">
        <v>6234.7</v>
      </c>
      <c r="BJ375" s="143" t="s">
        <v>115</v>
      </c>
      <c r="BK375" s="143"/>
      <c r="BL375" s="143"/>
      <c r="BM375" s="144" t="s">
        <v>3592</v>
      </c>
      <c r="BN375" s="143">
        <v>2022</v>
      </c>
      <c r="BO375" s="135" t="s">
        <v>155</v>
      </c>
      <c r="BP375" s="143" t="s">
        <v>3583</v>
      </c>
      <c r="BQ375" s="203" t="s">
        <v>3274</v>
      </c>
    </row>
    <row r="376" spans="1:69" ht="41.1" customHeight="1">
      <c r="A376" s="218" t="s">
        <v>1420</v>
      </c>
      <c r="B376" s="218" t="s">
        <v>1650</v>
      </c>
      <c r="C376" s="143">
        <v>600</v>
      </c>
      <c r="D376" s="135">
        <v>44613</v>
      </c>
      <c r="E376" s="135">
        <v>44614</v>
      </c>
      <c r="F376" s="147">
        <v>44615</v>
      </c>
      <c r="G376" s="135" t="s">
        <v>1651</v>
      </c>
      <c r="H376" s="147">
        <v>44665</v>
      </c>
      <c r="I376" s="147">
        <v>44665</v>
      </c>
      <c r="J376" s="147">
        <v>44673</v>
      </c>
      <c r="K376" s="135">
        <v>44708</v>
      </c>
      <c r="L376" s="135">
        <v>44697</v>
      </c>
      <c r="M376" s="135" t="s">
        <v>76</v>
      </c>
      <c r="N376" s="135">
        <v>44768</v>
      </c>
      <c r="O376" s="135">
        <v>44768</v>
      </c>
      <c r="P376" s="135">
        <v>44769</v>
      </c>
      <c r="Q376" s="135"/>
      <c r="R376" s="143"/>
      <c r="S376" s="143"/>
      <c r="T376" s="143"/>
      <c r="U376" s="143">
        <v>3</v>
      </c>
      <c r="V376" s="143">
        <v>41767</v>
      </c>
      <c r="W376" s="143" t="str">
        <f ca="1">IF(H376="",IF(D376="","",IF(U376+V376&lt;15,"Données Nb pers ou RFR manquantes",IF(COUNTA(INDIRECT("TabRFR["&amp;YEAR(D376)&amp;"]"))&lt;&gt;COUNTA(TabRFR[Recherche RFR]),"Data RFR manquantes", IF(V376&lt;=INDEX(TabRFR[[2021]:[2025]],MATCH(BD!U376&amp;"-Très modestes",TabRFR[Recherche RFR],0),MATCH(TEXT(YEAR(BD!D376),"Standard"),TabRFR[[#Headers],[2021]:[2025]],0)),"Très Modeste",IF(V376&lt;=INDEX(TabRFR[[2021]:[2025]],MATCH(BD!U376&amp;"-modestes",TabRFR[Recherche RFR],0),MATCH(TEXT(YEAR(BD!D376),"Standard"),TabRFR[[#Headers],[2021]:[2025]],0)),"Modeste",IF(V376&lt;=INDEX(TabRFR[[2021]:[2025]],MATCH(BD!U376&amp;"-Intermédiaire",TabRFR[Recherche RFR],0),MATCH(TEXT(YEAR(BD!D376),"Standard"),TabRFR[[#Headers],[2021]:[2025]],0)),"Intermédiaire","Supérieur")))))),IF(D376="","",IF(U376+V376&lt;15,"Données Nb pers ou RFR manquantes",IF(COUNTA(INDIRECT("TabRFR["&amp;YEAR(H376)&amp;"]"))&lt;&gt;COUNTA(TabRFR[Recherche RFR]),"Data RFR manquantes", IF(V376&lt;=INDEX(TabRFR[[2021]:[2025]],MATCH(BD!U376&amp;"-Très modestes",TabRFR[Recherche RFR],0),MATCH(TEXT(YEAR(BD!H376),"Standard"),TabRFR[[#Headers],[2021]:[2025]],0)),"Très Modeste",IF(V376&lt;=INDEX(TabRFR[[2021]:[2025]],MATCH(BD!U376&amp;"-modestes",TabRFR[Recherche RFR],0),MATCH(TEXT(YEAR(BD!H376),"Standard"),TabRFR[[#Headers],[2021]:[2025]],0)),"Modeste",IF(V376&lt;=INDEX(TabRFR[[2021]:[2025]],MATCH(BD!U376&amp;"-Intermédiaire",TabRFR[Recherche RFR],0),MATCH(TEXT(YEAR(BD!H376),"Standard"),TabRFR[[#Headers],[2021]:[2025]],0)),"Intermédiaire","Supérieur")))))))</f>
        <v>Intermédiaire</v>
      </c>
      <c r="X376" s="143"/>
      <c r="Y376" s="143" t="s">
        <v>1652</v>
      </c>
      <c r="Z376" s="143">
        <v>38340</v>
      </c>
      <c r="AA376" s="143" t="s">
        <v>266</v>
      </c>
      <c r="AB376" s="148"/>
      <c r="AC376" s="149"/>
      <c r="AD376" s="143" t="s">
        <v>91</v>
      </c>
      <c r="AE376" s="143"/>
      <c r="AF376" s="143"/>
      <c r="AG376" s="143"/>
      <c r="AH376" s="143"/>
      <c r="AI376" s="143" t="s">
        <v>185</v>
      </c>
      <c r="AJ376" s="143" t="s">
        <v>1394</v>
      </c>
      <c r="AK376" s="143" t="s">
        <v>186</v>
      </c>
      <c r="AL376" s="149" t="s">
        <v>187</v>
      </c>
      <c r="AM376" s="148" t="s">
        <v>1395</v>
      </c>
      <c r="AN376" s="143" t="s">
        <v>76</v>
      </c>
      <c r="AO376" s="159" t="s">
        <v>144</v>
      </c>
      <c r="AP376" s="147">
        <v>44798</v>
      </c>
      <c r="AQ376" s="135" t="s">
        <v>3496</v>
      </c>
      <c r="AR376" s="143">
        <v>1988</v>
      </c>
      <c r="AS376" s="143" t="s">
        <v>3413</v>
      </c>
      <c r="AT376" s="143" t="s">
        <v>98</v>
      </c>
      <c r="AU376" s="143" t="s">
        <v>1653</v>
      </c>
      <c r="AV376" s="143" t="s">
        <v>1654</v>
      </c>
      <c r="AW376" s="143">
        <v>15</v>
      </c>
      <c r="AX376" s="143">
        <v>8.5</v>
      </c>
      <c r="AY376" s="143">
        <v>91.3</v>
      </c>
      <c r="AZ376" s="143">
        <v>3.4399999999999999E-3</v>
      </c>
      <c r="BA376" s="143" t="s">
        <v>101</v>
      </c>
      <c r="BB376" s="143"/>
      <c r="BC376" s="143">
        <f>5647.9+340.5+317.35+448.5+35</f>
        <v>6789.25</v>
      </c>
      <c r="BD376" s="143"/>
      <c r="BE376" s="143">
        <v>690</v>
      </c>
      <c r="BF376" s="143">
        <f t="shared" si="19"/>
        <v>7479.25</v>
      </c>
      <c r="BG376" s="151">
        <f t="shared" si="20"/>
        <v>411.35874999999999</v>
      </c>
      <c r="BH376" s="151">
        <f>BF376+BG376</f>
        <v>7890.6087500000003</v>
      </c>
      <c r="BI376" s="151">
        <f>6996.97+(847.05*1.055)</f>
        <v>7890.6077500000001</v>
      </c>
      <c r="BJ376" s="143" t="s">
        <v>102</v>
      </c>
      <c r="BK376" s="143"/>
      <c r="BL376" s="143"/>
      <c r="BM376" s="144" t="s">
        <v>3592</v>
      </c>
      <c r="BN376" s="143">
        <v>2022</v>
      </c>
      <c r="BO376" s="144" t="s">
        <v>143</v>
      </c>
      <c r="BP376" s="143" t="s">
        <v>3583</v>
      </c>
      <c r="BQ376" s="203" t="s">
        <v>144</v>
      </c>
    </row>
    <row r="377" spans="1:69" ht="41.1" customHeight="1">
      <c r="A377" s="145" t="s">
        <v>1420</v>
      </c>
      <c r="B377" s="145" t="s">
        <v>1655</v>
      </c>
      <c r="C377" s="143">
        <v>600</v>
      </c>
      <c r="D377" s="135">
        <v>44613</v>
      </c>
      <c r="E377" s="135">
        <v>44614</v>
      </c>
      <c r="F377" s="147">
        <v>44615</v>
      </c>
      <c r="G377" s="135" t="s">
        <v>1639</v>
      </c>
      <c r="H377" s="147" t="s">
        <v>76</v>
      </c>
      <c r="I377" s="147" t="s">
        <v>76</v>
      </c>
      <c r="J377" s="147" t="s">
        <v>76</v>
      </c>
      <c r="K377" s="135" t="s">
        <v>76</v>
      </c>
      <c r="L377" s="135" t="s">
        <v>76</v>
      </c>
      <c r="M377" s="135" t="s">
        <v>76</v>
      </c>
      <c r="N377" s="135" t="s">
        <v>76</v>
      </c>
      <c r="O377" s="135" t="s">
        <v>76</v>
      </c>
      <c r="P377" s="135" t="s">
        <v>76</v>
      </c>
      <c r="Q377" s="135">
        <v>44624</v>
      </c>
      <c r="R377" s="143" t="s">
        <v>1656</v>
      </c>
      <c r="S377" s="143"/>
      <c r="T377" s="143"/>
      <c r="U377" s="143">
        <v>1</v>
      </c>
      <c r="V377" s="143">
        <v>21048</v>
      </c>
      <c r="W377" s="143" t="str">
        <f ca="1">IF(H377="",IF(D377="","",IF(U377+V377&lt;15,"Données Nb pers ou RFR manquantes",IF(COUNTA(INDIRECT("TabRFR["&amp;YEAR(D377)&amp;"]"))&lt;&gt;COUNTA(TabRFR[Recherche RFR]),"Data RFR manquantes", IF(V377&lt;=INDEX(TabRFR[[2021]:[2025]],MATCH(BD!U377&amp;"-Très modestes",TabRFR[Recherche RFR],0),MATCH(TEXT(YEAR(BD!D377),"Standard"),TabRFR[[#Headers],[2021]:[2025]],0)),"Très Modeste",IF(V377&lt;=INDEX(TabRFR[[2021]:[2025]],MATCH(BD!U377&amp;"-modestes",TabRFR[Recherche RFR],0),MATCH(TEXT(YEAR(BD!D377),"Standard"),TabRFR[[#Headers],[2021]:[2025]],0)),"Modeste",IF(V377&lt;=INDEX(TabRFR[[2021]:[2025]],MATCH(BD!U377&amp;"-Intermédiaire",TabRFR[Recherche RFR],0),MATCH(TEXT(YEAR(BD!D377),"Standard"),TabRFR[[#Headers],[2021]:[2025]],0)),"Intermédiaire","Supérieur")))))),IF(D377="","",IF(U377+V377&lt;15,"Données Nb pers ou RFR manquantes",IF(COUNTA(INDIRECT("TabRFR["&amp;YEAR(H377)&amp;"]"))&lt;&gt;COUNTA(TabRFR[Recherche RFR]),"Data RFR manquantes", IF(V377&lt;=INDEX(TabRFR[[2021]:[2025]],MATCH(BD!U377&amp;"-Très modestes",TabRFR[Recherche RFR],0),MATCH(TEXT(YEAR(BD!H377),"Standard"),TabRFR[[#Headers],[2021]:[2025]],0)),"Très Modeste",IF(V377&lt;=INDEX(TabRFR[[2021]:[2025]],MATCH(BD!U377&amp;"-modestes",TabRFR[Recherche RFR],0),MATCH(TEXT(YEAR(BD!H377),"Standard"),TabRFR[[#Headers],[2021]:[2025]],0)),"Modeste",IF(V377&lt;=INDEX(TabRFR[[2021]:[2025]],MATCH(BD!U377&amp;"-Intermédiaire",TabRFR[Recherche RFR],0),MATCH(TEXT(YEAR(BD!H377),"Standard"),TabRFR[[#Headers],[2021]:[2025]],0)),"Intermédiaire","Supérieur")))))))</f>
        <v>Data RFR manquantes</v>
      </c>
      <c r="X377" s="143"/>
      <c r="Y377" s="143" t="s">
        <v>1657</v>
      </c>
      <c r="Z377" s="143">
        <v>38430</v>
      </c>
      <c r="AA377" s="143" t="s">
        <v>119</v>
      </c>
      <c r="AB377" s="148"/>
      <c r="AC377" s="149"/>
      <c r="AD377" s="143" t="s">
        <v>91</v>
      </c>
      <c r="AE377" s="143"/>
      <c r="AF377" s="143"/>
      <c r="AG377" s="143"/>
      <c r="AH377" s="143"/>
      <c r="AI377" s="143" t="s">
        <v>120</v>
      </c>
      <c r="AJ377" s="143" t="s">
        <v>121</v>
      </c>
      <c r="AK377" s="143" t="s">
        <v>1658</v>
      </c>
      <c r="AL377" s="150" t="s">
        <v>123</v>
      </c>
      <c r="AM377" s="148" t="s">
        <v>1469</v>
      </c>
      <c r="AN377" s="143" t="s">
        <v>76</v>
      </c>
      <c r="AO377" s="156" t="s">
        <v>144</v>
      </c>
      <c r="AP377" s="147">
        <v>44782</v>
      </c>
      <c r="AQ377" s="143" t="s">
        <v>3413</v>
      </c>
      <c r="AR377" s="143">
        <v>2013</v>
      </c>
      <c r="AS377" s="143" t="s">
        <v>76</v>
      </c>
      <c r="AT377" s="143" t="s">
        <v>76</v>
      </c>
      <c r="AU377" s="143" t="s">
        <v>76</v>
      </c>
      <c r="AV377" s="143" t="s">
        <v>76</v>
      </c>
      <c r="AW377" s="143" t="s">
        <v>76</v>
      </c>
      <c r="AX377" s="143" t="s">
        <v>76</v>
      </c>
      <c r="AY377" s="143" t="s">
        <v>76</v>
      </c>
      <c r="AZ377" s="143" t="s">
        <v>76</v>
      </c>
      <c r="BA377" s="143" t="s">
        <v>76</v>
      </c>
      <c r="BB377" s="143"/>
      <c r="BC377" s="143">
        <v>0</v>
      </c>
      <c r="BD377" s="143"/>
      <c r="BE377" s="143">
        <v>0</v>
      </c>
      <c r="BF377" s="143">
        <v>0</v>
      </c>
      <c r="BG377" s="151">
        <v>0</v>
      </c>
      <c r="BH377" s="151">
        <v>0</v>
      </c>
      <c r="BI377" s="151">
        <v>0</v>
      </c>
      <c r="BJ377" s="143" t="s">
        <v>103</v>
      </c>
      <c r="BK377" s="143"/>
      <c r="BL377" s="143"/>
      <c r="BM377" s="144">
        <v>0</v>
      </c>
      <c r="BN377" s="153" t="s">
        <v>1496</v>
      </c>
      <c r="BO377" s="144" t="s">
        <v>103</v>
      </c>
      <c r="BP377" s="203" t="s">
        <v>3582</v>
      </c>
      <c r="BQ377" s="203" t="s">
        <v>3273</v>
      </c>
    </row>
    <row r="378" spans="1:69" ht="41.1" customHeight="1">
      <c r="A378" s="218" t="s">
        <v>1420</v>
      </c>
      <c r="B378" s="218" t="s">
        <v>1659</v>
      </c>
      <c r="C378" s="143">
        <v>1000</v>
      </c>
      <c r="D378" s="135">
        <v>44614</v>
      </c>
      <c r="E378" s="135">
        <v>44614</v>
      </c>
      <c r="F378" s="147">
        <v>44615</v>
      </c>
      <c r="G378" s="135" t="s">
        <v>1660</v>
      </c>
      <c r="H378" s="147">
        <v>44624</v>
      </c>
      <c r="I378" s="147">
        <v>44624</v>
      </c>
      <c r="J378" s="147">
        <v>44628</v>
      </c>
      <c r="K378" s="135">
        <v>44818</v>
      </c>
      <c r="L378" s="135">
        <v>44792</v>
      </c>
      <c r="M378" s="135" t="s">
        <v>76</v>
      </c>
      <c r="N378" s="135">
        <v>44833</v>
      </c>
      <c r="O378" s="135">
        <v>44833</v>
      </c>
      <c r="P378" s="135">
        <v>44833</v>
      </c>
      <c r="Q378" s="135"/>
      <c r="R378" s="143"/>
      <c r="S378" s="143"/>
      <c r="T378" s="143"/>
      <c r="U378" s="143">
        <v>1</v>
      </c>
      <c r="V378" s="143">
        <v>16042</v>
      </c>
      <c r="W378" s="143" t="str">
        <f ca="1">IF(H378="",IF(D378="","",IF(U378+V378&lt;15,"Données Nb pers ou RFR manquantes",IF(COUNTA(INDIRECT("TabRFR["&amp;YEAR(D378)&amp;"]"))&lt;&gt;COUNTA(TabRFR[Recherche RFR]),"Data RFR manquantes", IF(V378&lt;=INDEX(TabRFR[[2021]:[2025]],MATCH(BD!U378&amp;"-Très modestes",TabRFR[Recherche RFR],0),MATCH(TEXT(YEAR(BD!D378),"Standard"),TabRFR[[#Headers],[2021]:[2025]],0)),"Très Modeste",IF(V378&lt;=INDEX(TabRFR[[2021]:[2025]],MATCH(BD!U378&amp;"-modestes",TabRFR[Recherche RFR],0),MATCH(TEXT(YEAR(BD!D378),"Standard"),TabRFR[[#Headers],[2021]:[2025]],0)),"Modeste",IF(V378&lt;=INDEX(TabRFR[[2021]:[2025]],MATCH(BD!U378&amp;"-Intermédiaire",TabRFR[Recherche RFR],0),MATCH(TEXT(YEAR(BD!D378),"Standard"),TabRFR[[#Headers],[2021]:[2025]],0)),"Intermédiaire","Supérieur")))))),IF(D378="","",IF(U378+V378&lt;15,"Données Nb pers ou RFR manquantes",IF(COUNTA(INDIRECT("TabRFR["&amp;YEAR(H378)&amp;"]"))&lt;&gt;COUNTA(TabRFR[Recherche RFR]),"Data RFR manquantes", IF(V378&lt;=INDEX(TabRFR[[2021]:[2025]],MATCH(BD!U378&amp;"-Très modestes",TabRFR[Recherche RFR],0),MATCH(TEXT(YEAR(BD!H378),"Standard"),TabRFR[[#Headers],[2021]:[2025]],0)),"Très Modeste",IF(V378&lt;=INDEX(TabRFR[[2021]:[2025]],MATCH(BD!U378&amp;"-modestes",TabRFR[Recherche RFR],0),MATCH(TEXT(YEAR(BD!H378),"Standard"),TabRFR[[#Headers],[2021]:[2025]],0)),"Modeste",IF(V378&lt;=INDEX(TabRFR[[2021]:[2025]],MATCH(BD!U378&amp;"-Intermédiaire",TabRFR[Recherche RFR],0),MATCH(TEXT(YEAR(BD!H378),"Standard"),TabRFR[[#Headers],[2021]:[2025]],0)),"Intermédiaire","Supérieur")))))))</f>
        <v>Modeste</v>
      </c>
      <c r="X378" s="143"/>
      <c r="Y378" s="143" t="s">
        <v>1562</v>
      </c>
      <c r="Z378" s="143">
        <v>38850</v>
      </c>
      <c r="AA378" s="143" t="s">
        <v>435</v>
      </c>
      <c r="AB378" s="148"/>
      <c r="AC378" s="149"/>
      <c r="AD378" s="143" t="s">
        <v>91</v>
      </c>
      <c r="AE378" s="143"/>
      <c r="AF378" s="143"/>
      <c r="AG378" s="143"/>
      <c r="AH378" s="143"/>
      <c r="AI378" s="143" t="s">
        <v>109</v>
      </c>
      <c r="AJ378" s="143" t="s">
        <v>108</v>
      </c>
      <c r="AK378" s="143" t="s">
        <v>1641</v>
      </c>
      <c r="AL378" s="150" t="s">
        <v>111</v>
      </c>
      <c r="AM378" s="148" t="s">
        <v>112</v>
      </c>
      <c r="AN378" s="143" t="s">
        <v>76</v>
      </c>
      <c r="AO378" s="158" t="s">
        <v>144</v>
      </c>
      <c r="AP378" s="147">
        <v>44868</v>
      </c>
      <c r="AQ378" s="135" t="s">
        <v>3496</v>
      </c>
      <c r="AR378" s="143">
        <v>1990</v>
      </c>
      <c r="AS378" s="143" t="s">
        <v>3413</v>
      </c>
      <c r="AT378" s="143" t="s">
        <v>98</v>
      </c>
      <c r="AU378" s="143" t="s">
        <v>113</v>
      </c>
      <c r="AV378" s="143" t="s">
        <v>1661</v>
      </c>
      <c r="AW378" s="143">
        <v>22</v>
      </c>
      <c r="AX378" s="143">
        <v>8</v>
      </c>
      <c r="AY378" s="143">
        <v>92</v>
      </c>
      <c r="AZ378" s="143">
        <v>0.01</v>
      </c>
      <c r="BA378" s="143" t="s">
        <v>101</v>
      </c>
      <c r="BB378" s="143"/>
      <c r="BC378" s="151">
        <f>3254+227.5+92+88+101+272</f>
        <v>4034.5</v>
      </c>
      <c r="BD378" s="143"/>
      <c r="BE378" s="143">
        <f>30+455</f>
        <v>485</v>
      </c>
      <c r="BF378" s="151">
        <f>BC378+BE378</f>
        <v>4519.5</v>
      </c>
      <c r="BG378" s="151">
        <f>BF378*0.055</f>
        <v>248.57249999999999</v>
      </c>
      <c r="BH378" s="151">
        <f>BF378+BG378</f>
        <v>4768.0725000000002</v>
      </c>
      <c r="BI378" s="151">
        <v>4768.07</v>
      </c>
      <c r="BJ378" s="143" t="s">
        <v>102</v>
      </c>
      <c r="BK378" s="143"/>
      <c r="BL378" s="143"/>
      <c r="BM378" s="144" t="s">
        <v>3592</v>
      </c>
      <c r="BN378" s="143">
        <v>2022</v>
      </c>
      <c r="BO378" s="135" t="s">
        <v>155</v>
      </c>
      <c r="BP378" s="143" t="s">
        <v>3583</v>
      </c>
      <c r="BQ378" s="203" t="s">
        <v>144</v>
      </c>
    </row>
    <row r="379" spans="1:69" ht="41.1" customHeight="1">
      <c r="A379" s="218" t="s">
        <v>1420</v>
      </c>
      <c r="B379" s="218" t="s">
        <v>1662</v>
      </c>
      <c r="C379" s="143">
        <v>600</v>
      </c>
      <c r="D379" s="135">
        <v>44614</v>
      </c>
      <c r="E379" s="135">
        <v>44614</v>
      </c>
      <c r="F379" s="147">
        <v>44615</v>
      </c>
      <c r="G379" s="135" t="s">
        <v>1663</v>
      </c>
      <c r="H379" s="147">
        <v>44624</v>
      </c>
      <c r="I379" s="147">
        <v>44624</v>
      </c>
      <c r="J379" s="147">
        <v>44628</v>
      </c>
      <c r="K379" s="135">
        <v>44715</v>
      </c>
      <c r="L379" s="135">
        <v>44714</v>
      </c>
      <c r="M379" s="135" t="s">
        <v>76</v>
      </c>
      <c r="N379" s="135">
        <v>44768</v>
      </c>
      <c r="O379" s="135">
        <v>44768</v>
      </c>
      <c r="P379" s="135">
        <v>44769</v>
      </c>
      <c r="Q379" s="135"/>
      <c r="R379" s="143"/>
      <c r="S379" s="143"/>
      <c r="T379" s="143"/>
      <c r="U379" s="143">
        <v>2</v>
      </c>
      <c r="V379" s="143">
        <v>57894</v>
      </c>
      <c r="W379" s="143" t="str">
        <f ca="1">IF(H379="",IF(D379="","",IF(U379+V379&lt;15,"Données Nb pers ou RFR manquantes",IF(COUNTA(INDIRECT("TabRFR["&amp;YEAR(D379)&amp;"]"))&lt;&gt;COUNTA(TabRFR[Recherche RFR]),"Data RFR manquantes", IF(V379&lt;=INDEX(TabRFR[[2021]:[2025]],MATCH(BD!U379&amp;"-Très modestes",TabRFR[Recherche RFR],0),MATCH(TEXT(YEAR(BD!D379),"Standard"),TabRFR[[#Headers],[2021]:[2025]],0)),"Très Modeste",IF(V379&lt;=INDEX(TabRFR[[2021]:[2025]],MATCH(BD!U379&amp;"-modestes",TabRFR[Recherche RFR],0),MATCH(TEXT(YEAR(BD!D379),"Standard"),TabRFR[[#Headers],[2021]:[2025]],0)),"Modeste",IF(V379&lt;=INDEX(TabRFR[[2021]:[2025]],MATCH(BD!U379&amp;"-Intermédiaire",TabRFR[Recherche RFR],0),MATCH(TEXT(YEAR(BD!D379),"Standard"),TabRFR[[#Headers],[2021]:[2025]],0)),"Intermédiaire","Supérieur")))))),IF(D379="","",IF(U379+V379&lt;15,"Données Nb pers ou RFR manquantes",IF(COUNTA(INDIRECT("TabRFR["&amp;YEAR(H379)&amp;"]"))&lt;&gt;COUNTA(TabRFR[Recherche RFR]),"Data RFR manquantes", IF(V379&lt;=INDEX(TabRFR[[2021]:[2025]],MATCH(BD!U379&amp;"-Très modestes",TabRFR[Recherche RFR],0),MATCH(TEXT(YEAR(BD!H379),"Standard"),TabRFR[[#Headers],[2021]:[2025]],0)),"Très Modeste",IF(V379&lt;=INDEX(TabRFR[[2021]:[2025]],MATCH(BD!U379&amp;"-modestes",TabRFR[Recherche RFR],0),MATCH(TEXT(YEAR(BD!H379),"Standard"),TabRFR[[#Headers],[2021]:[2025]],0)),"Modeste",IF(V379&lt;=INDEX(TabRFR[[2021]:[2025]],MATCH(BD!U379&amp;"-Intermédiaire",TabRFR[Recherche RFR],0),MATCH(TEXT(YEAR(BD!H379),"Standard"),TabRFR[[#Headers],[2021]:[2025]],0)),"Intermédiaire","Supérieur")))))))</f>
        <v>Supérieur</v>
      </c>
      <c r="X379" s="143"/>
      <c r="Y379" s="143" t="s">
        <v>1664</v>
      </c>
      <c r="Z379" s="143">
        <v>38210</v>
      </c>
      <c r="AA379" s="143" t="s">
        <v>202</v>
      </c>
      <c r="AB379" s="148"/>
      <c r="AC379" s="149"/>
      <c r="AD379" s="143" t="s">
        <v>91</v>
      </c>
      <c r="AE379" s="143"/>
      <c r="AF379" s="143"/>
      <c r="AG379" s="143"/>
      <c r="AH379" s="143"/>
      <c r="AI379" s="143" t="s">
        <v>1665</v>
      </c>
      <c r="AJ379" s="143" t="s">
        <v>121</v>
      </c>
      <c r="AK379" s="143" t="s">
        <v>251</v>
      </c>
      <c r="AL379" s="150" t="s">
        <v>252</v>
      </c>
      <c r="AM379" s="148">
        <v>476452433</v>
      </c>
      <c r="AN379" s="143" t="s">
        <v>76</v>
      </c>
      <c r="AO379" s="150" t="s">
        <v>102</v>
      </c>
      <c r="AP379" s="147">
        <v>44954</v>
      </c>
      <c r="AQ379" s="135" t="s">
        <v>3449</v>
      </c>
      <c r="AR379" s="143">
        <v>1987</v>
      </c>
      <c r="AS379" s="143" t="s">
        <v>3413</v>
      </c>
      <c r="AT379" s="143" t="s">
        <v>98</v>
      </c>
      <c r="AU379" s="143" t="s">
        <v>311</v>
      </c>
      <c r="AV379" s="143" t="s">
        <v>1666</v>
      </c>
      <c r="AW379" s="143">
        <v>14</v>
      </c>
      <c r="AX379" s="143">
        <v>11.1</v>
      </c>
      <c r="AY379" s="143">
        <v>80.3</v>
      </c>
      <c r="AZ379" s="143">
        <v>39</v>
      </c>
      <c r="BA379" s="143" t="s">
        <v>126</v>
      </c>
      <c r="BB379" s="143"/>
      <c r="BC379" s="143">
        <f>5387+24+428+564.82+87.66+255.86+285+185</f>
        <v>7217.3399999999992</v>
      </c>
      <c r="BD379" s="143"/>
      <c r="BE379" s="143">
        <f>500+410+400</f>
        <v>1310</v>
      </c>
      <c r="BF379" s="143">
        <f>BC379+BE379</f>
        <v>8527.34</v>
      </c>
      <c r="BG379" s="151">
        <f>BF379*0.055</f>
        <v>469.00370000000004</v>
      </c>
      <c r="BH379" s="151">
        <f>BF379+BG379</f>
        <v>8996.3436999999994</v>
      </c>
      <c r="BI379" s="151">
        <v>8996.34</v>
      </c>
      <c r="BJ379" s="143" t="s">
        <v>115</v>
      </c>
      <c r="BK379" s="143"/>
      <c r="BL379" s="143"/>
      <c r="BM379" s="144" t="s">
        <v>3592</v>
      </c>
      <c r="BN379" s="143">
        <v>2022</v>
      </c>
      <c r="BO379" s="144" t="s">
        <v>143</v>
      </c>
      <c r="BP379" s="143" t="s">
        <v>3583</v>
      </c>
      <c r="BQ379" s="203" t="s">
        <v>3274</v>
      </c>
    </row>
    <row r="380" spans="1:69" ht="41.1" customHeight="1">
      <c r="A380" s="218" t="s">
        <v>1529</v>
      </c>
      <c r="B380" s="218" t="s">
        <v>1667</v>
      </c>
      <c r="C380" s="143">
        <v>600</v>
      </c>
      <c r="D380" s="135">
        <v>44615</v>
      </c>
      <c r="E380" s="135">
        <v>44615</v>
      </c>
      <c r="F380" s="147">
        <v>44616</v>
      </c>
      <c r="G380" s="135" t="s">
        <v>1668</v>
      </c>
      <c r="H380" s="147">
        <v>44622</v>
      </c>
      <c r="I380" s="147">
        <v>44622</v>
      </c>
      <c r="J380" s="147">
        <v>44628</v>
      </c>
      <c r="K380" s="135">
        <v>44698</v>
      </c>
      <c r="L380" s="135">
        <v>44692</v>
      </c>
      <c r="M380" s="135" t="s">
        <v>76</v>
      </c>
      <c r="N380" s="135">
        <v>44768</v>
      </c>
      <c r="O380" s="135">
        <v>44768</v>
      </c>
      <c r="P380" s="135">
        <v>44769</v>
      </c>
      <c r="Q380" s="135"/>
      <c r="R380" s="143"/>
      <c r="S380" s="143"/>
      <c r="T380" s="143"/>
      <c r="U380" s="143">
        <v>4</v>
      </c>
      <c r="V380" s="143">
        <v>58954</v>
      </c>
      <c r="W380" s="143" t="str">
        <f ca="1">IF(H380="",IF(D380="","",IF(U380+V380&lt;15,"Données Nb pers ou RFR manquantes",IF(COUNTA(INDIRECT("TabRFR["&amp;YEAR(D380)&amp;"]"))&lt;&gt;COUNTA(TabRFR[Recherche RFR]),"Data RFR manquantes", IF(V380&lt;=INDEX(TabRFR[[2021]:[2025]],MATCH(BD!U380&amp;"-Très modestes",TabRFR[Recherche RFR],0),MATCH(TEXT(YEAR(BD!D380),"Standard"),TabRFR[[#Headers],[2021]:[2025]],0)),"Très Modeste",IF(V380&lt;=INDEX(TabRFR[[2021]:[2025]],MATCH(BD!U380&amp;"-modestes",TabRFR[Recherche RFR],0),MATCH(TEXT(YEAR(BD!D380),"Standard"),TabRFR[[#Headers],[2021]:[2025]],0)),"Modeste",IF(V380&lt;=INDEX(TabRFR[[2021]:[2025]],MATCH(BD!U380&amp;"-Intermédiaire",TabRFR[Recherche RFR],0),MATCH(TEXT(YEAR(BD!D380),"Standard"),TabRFR[[#Headers],[2021]:[2025]],0)),"Intermédiaire","Supérieur")))))),IF(D380="","",IF(U380+V380&lt;15,"Données Nb pers ou RFR manquantes",IF(COUNTA(INDIRECT("TabRFR["&amp;YEAR(H380)&amp;"]"))&lt;&gt;COUNTA(TabRFR[Recherche RFR]),"Data RFR manquantes", IF(V380&lt;=INDEX(TabRFR[[2021]:[2025]],MATCH(BD!U380&amp;"-Très modestes",TabRFR[Recherche RFR],0),MATCH(TEXT(YEAR(BD!H380),"Standard"),TabRFR[[#Headers],[2021]:[2025]],0)),"Très Modeste",IF(V380&lt;=INDEX(TabRFR[[2021]:[2025]],MATCH(BD!U380&amp;"-modestes",TabRFR[Recherche RFR],0),MATCH(TEXT(YEAR(BD!H380),"Standard"),TabRFR[[#Headers],[2021]:[2025]],0)),"Modeste",IF(V380&lt;=INDEX(TabRFR[[2021]:[2025]],MATCH(BD!U380&amp;"-Intermédiaire",TabRFR[Recherche RFR],0),MATCH(TEXT(YEAR(BD!H380),"Standard"),TabRFR[[#Headers],[2021]:[2025]],0)),"Intermédiaire","Supérieur")))))))</f>
        <v>Intermédiaire</v>
      </c>
      <c r="X380" s="143"/>
      <c r="Y380" s="143" t="s">
        <v>1669</v>
      </c>
      <c r="Z380" s="143">
        <v>38960</v>
      </c>
      <c r="AA380" s="143" t="s">
        <v>209</v>
      </c>
      <c r="AB380" s="148"/>
      <c r="AC380" s="149"/>
      <c r="AD380" s="143" t="s">
        <v>91</v>
      </c>
      <c r="AE380" s="143"/>
      <c r="AF380" s="143"/>
      <c r="AG380" s="143"/>
      <c r="AH380" s="143"/>
      <c r="AI380" s="143" t="s">
        <v>185</v>
      </c>
      <c r="AJ380" s="143" t="s">
        <v>1394</v>
      </c>
      <c r="AK380" s="143" t="s">
        <v>186</v>
      </c>
      <c r="AL380" s="149" t="s">
        <v>1418</v>
      </c>
      <c r="AM380" s="148" t="s">
        <v>1395</v>
      </c>
      <c r="AN380" s="143" t="s">
        <v>76</v>
      </c>
      <c r="AO380" s="156" t="s">
        <v>144</v>
      </c>
      <c r="AP380" s="147">
        <v>44798</v>
      </c>
      <c r="AQ380" s="135" t="s">
        <v>3496</v>
      </c>
      <c r="AR380" s="143">
        <v>1998</v>
      </c>
      <c r="AS380" s="143" t="s">
        <v>3413</v>
      </c>
      <c r="AT380" s="143" t="s">
        <v>98</v>
      </c>
      <c r="AU380" s="143" t="s">
        <v>1670</v>
      </c>
      <c r="AV380" s="143" t="s">
        <v>1475</v>
      </c>
      <c r="AW380" s="143">
        <v>20</v>
      </c>
      <c r="AX380" s="143">
        <v>7.9</v>
      </c>
      <c r="AY380" s="143">
        <v>89</v>
      </c>
      <c r="AZ380" s="143">
        <v>1.7999999999999999E-2</v>
      </c>
      <c r="BA380" s="143" t="s">
        <v>101</v>
      </c>
      <c r="BB380" s="143"/>
      <c r="BC380" s="143">
        <v>7445.35</v>
      </c>
      <c r="BD380" s="143"/>
      <c r="BE380" s="143">
        <v>630</v>
      </c>
      <c r="BF380" s="143">
        <v>8075.35</v>
      </c>
      <c r="BG380" s="151">
        <v>444.14</v>
      </c>
      <c r="BH380" s="151">
        <v>8519.49</v>
      </c>
      <c r="BI380" s="151">
        <v>8519.49</v>
      </c>
      <c r="BJ380" s="143" t="s">
        <v>102</v>
      </c>
      <c r="BK380" s="143"/>
      <c r="BL380" s="143"/>
      <c r="BM380" s="144" t="s">
        <v>3592</v>
      </c>
      <c r="BN380" s="143">
        <v>2022</v>
      </c>
      <c r="BO380" s="144" t="s">
        <v>143</v>
      </c>
      <c r="BP380" s="143" t="s">
        <v>3583</v>
      </c>
      <c r="BQ380" s="203" t="s">
        <v>144</v>
      </c>
    </row>
    <row r="381" spans="1:69" ht="41.1" customHeight="1">
      <c r="A381" s="218" t="s">
        <v>1529</v>
      </c>
      <c r="B381" s="218" t="s">
        <v>1671</v>
      </c>
      <c r="C381" s="143">
        <v>600</v>
      </c>
      <c r="D381" s="135">
        <v>44617</v>
      </c>
      <c r="E381" s="135">
        <v>44617</v>
      </c>
      <c r="F381" s="147">
        <v>44621</v>
      </c>
      <c r="G381" s="135" t="s">
        <v>1672</v>
      </c>
      <c r="H381" s="147">
        <v>44665</v>
      </c>
      <c r="I381" s="147">
        <v>44665</v>
      </c>
      <c r="J381" s="147">
        <v>44673</v>
      </c>
      <c r="K381" s="135">
        <v>44683</v>
      </c>
      <c r="L381" s="135">
        <v>44683</v>
      </c>
      <c r="M381" s="135"/>
      <c r="N381" s="135">
        <v>44685</v>
      </c>
      <c r="O381" s="135">
        <v>44685</v>
      </c>
      <c r="P381" s="135">
        <v>44687</v>
      </c>
      <c r="Q381" s="135"/>
      <c r="R381" s="143"/>
      <c r="S381" s="143"/>
      <c r="T381" s="143"/>
      <c r="U381" s="143">
        <v>2</v>
      </c>
      <c r="V381" s="143">
        <v>64698</v>
      </c>
      <c r="W381" s="143" t="str">
        <f ca="1">IF(H381="",IF(D381="","",IF(U381+V381&lt;15,"Données Nb pers ou RFR manquantes",IF(COUNTA(INDIRECT("TabRFR["&amp;YEAR(D381)&amp;"]"))&lt;&gt;COUNTA(TabRFR[Recherche RFR]),"Data RFR manquantes", IF(V381&lt;=INDEX(TabRFR[[2021]:[2025]],MATCH(BD!U381&amp;"-Très modestes",TabRFR[Recherche RFR],0),MATCH(TEXT(YEAR(BD!D381),"Standard"),TabRFR[[#Headers],[2021]:[2025]],0)),"Très Modeste",IF(V381&lt;=INDEX(TabRFR[[2021]:[2025]],MATCH(BD!U381&amp;"-modestes",TabRFR[Recherche RFR],0),MATCH(TEXT(YEAR(BD!D381),"Standard"),TabRFR[[#Headers],[2021]:[2025]],0)),"Modeste",IF(V381&lt;=INDEX(TabRFR[[2021]:[2025]],MATCH(BD!U381&amp;"-Intermédiaire",TabRFR[Recherche RFR],0),MATCH(TEXT(YEAR(BD!D381),"Standard"),TabRFR[[#Headers],[2021]:[2025]],0)),"Intermédiaire","Supérieur")))))),IF(D381="","",IF(U381+V381&lt;15,"Données Nb pers ou RFR manquantes",IF(COUNTA(INDIRECT("TabRFR["&amp;YEAR(H381)&amp;"]"))&lt;&gt;COUNTA(TabRFR[Recherche RFR]),"Data RFR manquantes", IF(V381&lt;=INDEX(TabRFR[[2021]:[2025]],MATCH(BD!U381&amp;"-Très modestes",TabRFR[Recherche RFR],0),MATCH(TEXT(YEAR(BD!H381),"Standard"),TabRFR[[#Headers],[2021]:[2025]],0)),"Très Modeste",IF(V381&lt;=INDEX(TabRFR[[2021]:[2025]],MATCH(BD!U381&amp;"-modestes",TabRFR[Recherche RFR],0),MATCH(TEXT(YEAR(BD!H381),"Standard"),TabRFR[[#Headers],[2021]:[2025]],0)),"Modeste",IF(V381&lt;=INDEX(TabRFR[[2021]:[2025]],MATCH(BD!U381&amp;"-Intermédiaire",TabRFR[Recherche RFR],0),MATCH(TEXT(YEAR(BD!H381),"Standard"),TabRFR[[#Headers],[2021]:[2025]],0)),"Intermédiaire","Supérieur")))))))</f>
        <v>Supérieur</v>
      </c>
      <c r="X381" s="143"/>
      <c r="Y381" s="143" t="s">
        <v>1673</v>
      </c>
      <c r="Z381" s="143">
        <v>38210</v>
      </c>
      <c r="AA381" s="143" t="s">
        <v>202</v>
      </c>
      <c r="AB381" s="148"/>
      <c r="AC381" s="149"/>
      <c r="AD381" s="143" t="s">
        <v>91</v>
      </c>
      <c r="AE381" s="143"/>
      <c r="AF381" s="143"/>
      <c r="AG381" s="143"/>
      <c r="AH381" s="143"/>
      <c r="AI381" s="143" t="s">
        <v>169</v>
      </c>
      <c r="AJ381" s="143" t="s">
        <v>119</v>
      </c>
      <c r="AK381" s="143" t="s">
        <v>170</v>
      </c>
      <c r="AL381" s="149" t="s">
        <v>171</v>
      </c>
      <c r="AM381" s="148">
        <v>476355605</v>
      </c>
      <c r="AN381" s="143" t="s">
        <v>76</v>
      </c>
      <c r="AO381" s="150" t="s">
        <v>102</v>
      </c>
      <c r="AP381" s="147">
        <v>44860</v>
      </c>
      <c r="AQ381" s="135" t="s">
        <v>3496</v>
      </c>
      <c r="AR381" s="143">
        <v>1992</v>
      </c>
      <c r="AS381" s="135" t="s">
        <v>3496</v>
      </c>
      <c r="AT381" s="135" t="s">
        <v>3446</v>
      </c>
      <c r="AU381" s="143" t="s">
        <v>173</v>
      </c>
      <c r="AV381" s="143" t="s">
        <v>1674</v>
      </c>
      <c r="AW381" s="143">
        <v>23</v>
      </c>
      <c r="AX381" s="143">
        <v>10</v>
      </c>
      <c r="AY381" s="143">
        <v>78</v>
      </c>
      <c r="AZ381" s="143">
        <v>7.0000000000000007E-2</v>
      </c>
      <c r="BA381" s="143" t="s">
        <v>101</v>
      </c>
      <c r="BB381" s="143"/>
      <c r="BC381" s="143">
        <v>4796.67</v>
      </c>
      <c r="BD381" s="143"/>
      <c r="BE381" s="143">
        <v>1559.8</v>
      </c>
      <c r="BF381" s="143">
        <v>6356.47</v>
      </c>
      <c r="BG381" s="151">
        <v>349.61</v>
      </c>
      <c r="BH381" s="151">
        <v>6706.08</v>
      </c>
      <c r="BI381" s="151">
        <v>6706.08</v>
      </c>
      <c r="BJ381" s="143" t="s">
        <v>102</v>
      </c>
      <c r="BK381" s="143"/>
      <c r="BL381" s="143"/>
      <c r="BM381" s="144" t="s">
        <v>3592</v>
      </c>
      <c r="BN381" s="143">
        <v>2022</v>
      </c>
      <c r="BO381" s="144" t="s">
        <v>143</v>
      </c>
      <c r="BP381" s="144">
        <v>2022</v>
      </c>
      <c r="BQ381" s="203" t="s">
        <v>144</v>
      </c>
    </row>
    <row r="382" spans="1:69" ht="41.1" customHeight="1">
      <c r="A382" s="218" t="s">
        <v>1529</v>
      </c>
      <c r="B382" s="218" t="s">
        <v>1675</v>
      </c>
      <c r="C382" s="143">
        <v>600</v>
      </c>
      <c r="D382" s="135">
        <v>44617</v>
      </c>
      <c r="E382" s="135">
        <v>44620</v>
      </c>
      <c r="F382" s="147">
        <v>44622</v>
      </c>
      <c r="G382" s="135" t="s">
        <v>1676</v>
      </c>
      <c r="H382" s="147">
        <v>44650</v>
      </c>
      <c r="I382" s="147">
        <v>44650</v>
      </c>
      <c r="J382" s="147">
        <v>44655</v>
      </c>
      <c r="K382" s="135">
        <v>44706</v>
      </c>
      <c r="L382" s="135">
        <v>44701</v>
      </c>
      <c r="M382" s="135" t="s">
        <v>76</v>
      </c>
      <c r="N382" s="135">
        <v>44768</v>
      </c>
      <c r="O382" s="135">
        <v>44768</v>
      </c>
      <c r="P382" s="135">
        <v>44769</v>
      </c>
      <c r="Q382" s="135"/>
      <c r="R382" s="143"/>
      <c r="S382" s="143"/>
      <c r="T382" s="143"/>
      <c r="U382" s="143">
        <v>3</v>
      </c>
      <c r="V382" s="143">
        <v>56659</v>
      </c>
      <c r="W382" s="143" t="str">
        <f ca="1">IF(H382="",IF(D382="","",IF(U382+V382&lt;15,"Données Nb pers ou RFR manquantes",IF(COUNTA(INDIRECT("TabRFR["&amp;YEAR(D382)&amp;"]"))&lt;&gt;COUNTA(TabRFR[Recherche RFR]),"Data RFR manquantes", IF(V382&lt;=INDEX(TabRFR[[2021]:[2025]],MATCH(BD!U382&amp;"-Très modestes",TabRFR[Recherche RFR],0),MATCH(TEXT(YEAR(BD!D382),"Standard"),TabRFR[[#Headers],[2021]:[2025]],0)),"Très Modeste",IF(V382&lt;=INDEX(TabRFR[[2021]:[2025]],MATCH(BD!U382&amp;"-modestes",TabRFR[Recherche RFR],0),MATCH(TEXT(YEAR(BD!D382),"Standard"),TabRFR[[#Headers],[2021]:[2025]],0)),"Modeste",IF(V382&lt;=INDEX(TabRFR[[2021]:[2025]],MATCH(BD!U382&amp;"-Intermédiaire",TabRFR[Recherche RFR],0),MATCH(TEXT(YEAR(BD!D382),"Standard"),TabRFR[[#Headers],[2021]:[2025]],0)),"Intermédiaire","Supérieur")))))),IF(D382="","",IF(U382+V382&lt;15,"Données Nb pers ou RFR manquantes",IF(COUNTA(INDIRECT("TabRFR["&amp;YEAR(H382)&amp;"]"))&lt;&gt;COUNTA(TabRFR[Recherche RFR]),"Data RFR manquantes", IF(V382&lt;=INDEX(TabRFR[[2021]:[2025]],MATCH(BD!U382&amp;"-Très modestes",TabRFR[Recherche RFR],0),MATCH(TEXT(YEAR(BD!H382),"Standard"),TabRFR[[#Headers],[2021]:[2025]],0)),"Très Modeste",IF(V382&lt;=INDEX(TabRFR[[2021]:[2025]],MATCH(BD!U382&amp;"-modestes",TabRFR[Recherche RFR],0),MATCH(TEXT(YEAR(BD!H382),"Standard"),TabRFR[[#Headers],[2021]:[2025]],0)),"Modeste",IF(V382&lt;=INDEX(TabRFR[[2021]:[2025]],MATCH(BD!U382&amp;"-Intermédiaire",TabRFR[Recherche RFR],0),MATCH(TEXT(YEAR(BD!H382),"Standard"),TabRFR[[#Headers],[2021]:[2025]],0)),"Intermédiaire","Supérieur")))))))</f>
        <v>Supérieur</v>
      </c>
      <c r="X382" s="143"/>
      <c r="Y382" s="143" t="s">
        <v>1678</v>
      </c>
      <c r="Z382" s="143">
        <v>38430</v>
      </c>
      <c r="AA382" s="143" t="s">
        <v>351</v>
      </c>
      <c r="AB382" s="148"/>
      <c r="AC382" s="149"/>
      <c r="AD382" s="143" t="s">
        <v>91</v>
      </c>
      <c r="AE382" s="143"/>
      <c r="AF382" s="143"/>
      <c r="AG382" s="143"/>
      <c r="AH382" s="143"/>
      <c r="AI382" s="143" t="s">
        <v>120</v>
      </c>
      <c r="AJ382" s="143" t="s">
        <v>121</v>
      </c>
      <c r="AK382" s="143" t="s">
        <v>1658</v>
      </c>
      <c r="AL382" s="150" t="s">
        <v>123</v>
      </c>
      <c r="AM382" s="148" t="s">
        <v>1469</v>
      </c>
      <c r="AN382" s="143" t="s">
        <v>76</v>
      </c>
      <c r="AO382" s="156" t="s">
        <v>144</v>
      </c>
      <c r="AP382" s="147">
        <v>44782</v>
      </c>
      <c r="AQ382" s="143" t="s">
        <v>3413</v>
      </c>
      <c r="AR382" s="143">
        <v>2001</v>
      </c>
      <c r="AS382" s="143" t="s">
        <v>3413</v>
      </c>
      <c r="AT382" s="143" t="s">
        <v>98</v>
      </c>
      <c r="AU382" s="143" t="s">
        <v>194</v>
      </c>
      <c r="AV382" s="143" t="s">
        <v>1679</v>
      </c>
      <c r="AW382" s="143">
        <v>15</v>
      </c>
      <c r="AX382" s="143">
        <v>9.6</v>
      </c>
      <c r="AY382" s="143">
        <v>82</v>
      </c>
      <c r="AZ382" s="143"/>
      <c r="BA382" s="143" t="s">
        <v>126</v>
      </c>
      <c r="BB382" s="143"/>
      <c r="BC382" s="143">
        <v>4768.96</v>
      </c>
      <c r="BD382" s="143"/>
      <c r="BE382" s="143">
        <v>450</v>
      </c>
      <c r="BF382" s="143">
        <v>5218.96</v>
      </c>
      <c r="BG382" s="151">
        <v>287.04000000000002</v>
      </c>
      <c r="BH382" s="151">
        <v>5506</v>
      </c>
      <c r="BI382" s="151">
        <v>5506</v>
      </c>
      <c r="BJ382" s="143" t="s">
        <v>115</v>
      </c>
      <c r="BK382" s="143"/>
      <c r="BL382" s="143"/>
      <c r="BM382" s="144" t="s">
        <v>3592</v>
      </c>
      <c r="BN382" s="143">
        <v>2022</v>
      </c>
      <c r="BO382" s="144" t="s">
        <v>143</v>
      </c>
      <c r="BP382" s="143" t="s">
        <v>3583</v>
      </c>
      <c r="BQ382" s="203" t="s">
        <v>3274</v>
      </c>
    </row>
    <row r="383" spans="1:69" ht="41.1" customHeight="1">
      <c r="A383" s="218" t="s">
        <v>1529</v>
      </c>
      <c r="B383" s="218" t="s">
        <v>1680</v>
      </c>
      <c r="C383" s="143">
        <v>1000</v>
      </c>
      <c r="D383" s="135">
        <v>44620</v>
      </c>
      <c r="E383" s="135">
        <v>44620</v>
      </c>
      <c r="F383" s="147">
        <v>44622</v>
      </c>
      <c r="G383" s="135" t="s">
        <v>1681</v>
      </c>
      <c r="H383" s="147">
        <v>44622</v>
      </c>
      <c r="I383" s="147">
        <v>44622</v>
      </c>
      <c r="J383" s="147">
        <v>44628</v>
      </c>
      <c r="K383" s="135">
        <v>44966</v>
      </c>
      <c r="L383" s="135">
        <v>44820</v>
      </c>
      <c r="M383" s="135" t="s">
        <v>76</v>
      </c>
      <c r="N383" s="135">
        <v>45001</v>
      </c>
      <c r="O383" s="135">
        <v>45002</v>
      </c>
      <c r="P383" s="135">
        <v>45005</v>
      </c>
      <c r="Q383" s="135"/>
      <c r="R383" s="143"/>
      <c r="S383" s="143"/>
      <c r="T383" s="143"/>
      <c r="U383" s="143">
        <v>3</v>
      </c>
      <c r="V383" s="143">
        <v>30465</v>
      </c>
      <c r="W383" s="143" t="str">
        <f ca="1">IF(H383="",IF(D383="","",IF(U383+V383&lt;15,"Données Nb pers ou RFR manquantes",IF(COUNTA(INDIRECT("TabRFR["&amp;YEAR(D383)&amp;"]"))&lt;&gt;COUNTA(TabRFR[Recherche RFR]),"Data RFR manquantes", IF(V383&lt;=INDEX(TabRFR[[2021]:[2025]],MATCH(BD!U383&amp;"-Très modestes",TabRFR[Recherche RFR],0),MATCH(TEXT(YEAR(BD!D383),"Standard"),TabRFR[[#Headers],[2021]:[2025]],0)),"Très Modeste",IF(V383&lt;=INDEX(TabRFR[[2021]:[2025]],MATCH(BD!U383&amp;"-modestes",TabRFR[Recherche RFR],0),MATCH(TEXT(YEAR(BD!D383),"Standard"),TabRFR[[#Headers],[2021]:[2025]],0)),"Modeste",IF(V383&lt;=INDEX(TabRFR[[2021]:[2025]],MATCH(BD!U383&amp;"-Intermédiaire",TabRFR[Recherche RFR],0),MATCH(TEXT(YEAR(BD!D383),"Standard"),TabRFR[[#Headers],[2021]:[2025]],0)),"Intermédiaire","Supérieur")))))),IF(D383="","",IF(U383+V383&lt;15,"Données Nb pers ou RFR manquantes",IF(COUNTA(INDIRECT("TabRFR["&amp;YEAR(H383)&amp;"]"))&lt;&gt;COUNTA(TabRFR[Recherche RFR]),"Data RFR manquantes", IF(V383&lt;=INDEX(TabRFR[[2021]:[2025]],MATCH(BD!U383&amp;"-Très modestes",TabRFR[Recherche RFR],0),MATCH(TEXT(YEAR(BD!H383),"Standard"),TabRFR[[#Headers],[2021]:[2025]],0)),"Très Modeste",IF(V383&lt;=INDEX(TabRFR[[2021]:[2025]],MATCH(BD!U383&amp;"-modestes",TabRFR[Recherche RFR],0),MATCH(TEXT(YEAR(BD!H383),"Standard"),TabRFR[[#Headers],[2021]:[2025]],0)),"Modeste",IF(V383&lt;=INDEX(TabRFR[[2021]:[2025]],MATCH(BD!U383&amp;"-Intermédiaire",TabRFR[Recherche RFR],0),MATCH(TEXT(YEAR(BD!H383),"Standard"),TabRFR[[#Headers],[2021]:[2025]],0)),"Intermédiaire","Supérieur")))))))</f>
        <v>Modeste</v>
      </c>
      <c r="X383" s="143"/>
      <c r="Y383" s="143" t="s">
        <v>1682</v>
      </c>
      <c r="Z383" s="143">
        <v>38340</v>
      </c>
      <c r="AA383" s="143" t="s">
        <v>266</v>
      </c>
      <c r="AB383" s="148"/>
      <c r="AC383" s="149"/>
      <c r="AD383" s="143" t="s">
        <v>91</v>
      </c>
      <c r="AE383" s="143"/>
      <c r="AF383" s="143"/>
      <c r="AG383" s="143"/>
      <c r="AH383" s="143"/>
      <c r="AI383" s="143" t="s">
        <v>905</v>
      </c>
      <c r="AJ383" s="143" t="s">
        <v>136</v>
      </c>
      <c r="AK383" s="143" t="s">
        <v>906</v>
      </c>
      <c r="AL383" s="150" t="s">
        <v>907</v>
      </c>
      <c r="AM383" s="148">
        <v>438920220</v>
      </c>
      <c r="AN383" s="143" t="s">
        <v>76</v>
      </c>
      <c r="AO383" s="158" t="s">
        <v>102</v>
      </c>
      <c r="AP383" s="147">
        <v>44668</v>
      </c>
      <c r="AQ383" s="135" t="s">
        <v>3449</v>
      </c>
      <c r="AR383" s="143">
        <v>1948</v>
      </c>
      <c r="AS383" s="143" t="s">
        <v>3413</v>
      </c>
      <c r="AT383" s="143" t="s">
        <v>98</v>
      </c>
      <c r="AU383" s="143" t="s">
        <v>1683</v>
      </c>
      <c r="AV383" s="143" t="s">
        <v>1684</v>
      </c>
      <c r="AW383" s="143">
        <v>14</v>
      </c>
      <c r="AX383" s="143">
        <v>8</v>
      </c>
      <c r="AY383" s="143">
        <v>94</v>
      </c>
      <c r="AZ383" s="143">
        <v>1.0319999999999999E-2</v>
      </c>
      <c r="BA383" s="143" t="s">
        <v>101</v>
      </c>
      <c r="BB383" s="143"/>
      <c r="BC383" s="143">
        <v>5861</v>
      </c>
      <c r="BD383" s="143"/>
      <c r="BE383" s="143">
        <v>333.67</v>
      </c>
      <c r="BF383" s="143">
        <v>6090</v>
      </c>
      <c r="BG383" s="151">
        <v>317.49</v>
      </c>
      <c r="BH383" s="151">
        <v>5772.51</v>
      </c>
      <c r="BI383" s="151">
        <v>6274</v>
      </c>
      <c r="BJ383" s="143" t="s">
        <v>102</v>
      </c>
      <c r="BK383" s="143"/>
      <c r="BL383" s="143"/>
      <c r="BM383" s="144" t="s">
        <v>3592</v>
      </c>
      <c r="BN383" s="143">
        <v>2022</v>
      </c>
      <c r="BO383" s="135" t="s">
        <v>155</v>
      </c>
      <c r="BP383" s="143" t="s">
        <v>3583</v>
      </c>
      <c r="BQ383" s="203" t="s">
        <v>144</v>
      </c>
    </row>
    <row r="384" spans="1:69" ht="41.1" customHeight="1">
      <c r="A384" s="218" t="s">
        <v>1529</v>
      </c>
      <c r="B384" s="218" t="s">
        <v>1685</v>
      </c>
      <c r="C384" s="143">
        <v>600</v>
      </c>
      <c r="D384" s="135">
        <v>44621</v>
      </c>
      <c r="E384" s="135">
        <v>44623</v>
      </c>
      <c r="F384" s="147"/>
      <c r="G384" s="135"/>
      <c r="H384" s="147">
        <v>44623</v>
      </c>
      <c r="I384" s="147">
        <v>44623</v>
      </c>
      <c r="J384" s="147">
        <v>44628</v>
      </c>
      <c r="K384" s="135">
        <v>44739</v>
      </c>
      <c r="L384" s="135">
        <v>44711</v>
      </c>
      <c r="M384" s="135" t="s">
        <v>76</v>
      </c>
      <c r="N384" s="135">
        <v>44769</v>
      </c>
      <c r="O384" s="135">
        <v>44769</v>
      </c>
      <c r="P384" s="135">
        <v>44770</v>
      </c>
      <c r="Q384" s="135"/>
      <c r="R384" s="143"/>
      <c r="S384" s="143"/>
      <c r="T384" s="143"/>
      <c r="U384" s="143">
        <v>2</v>
      </c>
      <c r="V384" s="143">
        <v>70584</v>
      </c>
      <c r="W384" s="143" t="str">
        <f ca="1">IF(H384="",IF(D384="","",IF(U384+V384&lt;15,"Données Nb pers ou RFR manquantes",IF(COUNTA(INDIRECT("TabRFR["&amp;YEAR(D384)&amp;"]"))&lt;&gt;COUNTA(TabRFR[Recherche RFR]),"Data RFR manquantes", IF(V384&lt;=INDEX(TabRFR[[2021]:[2025]],MATCH(BD!U384&amp;"-Très modestes",TabRFR[Recherche RFR],0),MATCH(TEXT(YEAR(BD!D384),"Standard"),TabRFR[[#Headers],[2021]:[2025]],0)),"Très Modeste",IF(V384&lt;=INDEX(TabRFR[[2021]:[2025]],MATCH(BD!U384&amp;"-modestes",TabRFR[Recherche RFR],0),MATCH(TEXT(YEAR(BD!D384),"Standard"),TabRFR[[#Headers],[2021]:[2025]],0)),"Modeste",IF(V384&lt;=INDEX(TabRFR[[2021]:[2025]],MATCH(BD!U384&amp;"-Intermédiaire",TabRFR[Recherche RFR],0),MATCH(TEXT(YEAR(BD!D384),"Standard"),TabRFR[[#Headers],[2021]:[2025]],0)),"Intermédiaire","Supérieur")))))),IF(D384="","",IF(U384+V384&lt;15,"Données Nb pers ou RFR manquantes",IF(COUNTA(INDIRECT("TabRFR["&amp;YEAR(H384)&amp;"]"))&lt;&gt;COUNTA(TabRFR[Recherche RFR]),"Data RFR manquantes", IF(V384&lt;=INDEX(TabRFR[[2021]:[2025]],MATCH(BD!U384&amp;"-Très modestes",TabRFR[Recherche RFR],0),MATCH(TEXT(YEAR(BD!H384),"Standard"),TabRFR[[#Headers],[2021]:[2025]],0)),"Très Modeste",IF(V384&lt;=INDEX(TabRFR[[2021]:[2025]],MATCH(BD!U384&amp;"-modestes",TabRFR[Recherche RFR],0),MATCH(TEXT(YEAR(BD!H384),"Standard"),TabRFR[[#Headers],[2021]:[2025]],0)),"Modeste",IF(V384&lt;=INDEX(TabRFR[[2021]:[2025]],MATCH(BD!U384&amp;"-Intermédiaire",TabRFR[Recherche RFR],0),MATCH(TEXT(YEAR(BD!H384),"Standard"),TabRFR[[#Headers],[2021]:[2025]],0)),"Intermédiaire","Supérieur")))))))</f>
        <v>Supérieur</v>
      </c>
      <c r="X384" s="143"/>
      <c r="Y384" s="143" t="s">
        <v>1686</v>
      </c>
      <c r="Z384" s="143">
        <v>38140</v>
      </c>
      <c r="AA384" s="143" t="s">
        <v>184</v>
      </c>
      <c r="AB384" s="148"/>
      <c r="AC384" s="149"/>
      <c r="AD384" s="143" t="s">
        <v>91</v>
      </c>
      <c r="AE384" s="143"/>
      <c r="AF384" s="143"/>
      <c r="AG384" s="143"/>
      <c r="AH384" s="143"/>
      <c r="AI384" s="135" t="s">
        <v>285</v>
      </c>
      <c r="AJ384" s="143" t="s">
        <v>108</v>
      </c>
      <c r="AK384" s="143" t="s">
        <v>286</v>
      </c>
      <c r="AL384" s="150" t="s">
        <v>287</v>
      </c>
      <c r="AM384" s="148">
        <v>476069938</v>
      </c>
      <c r="AN384" s="143"/>
      <c r="AO384" s="150" t="s">
        <v>102</v>
      </c>
      <c r="AP384" s="147">
        <v>44822</v>
      </c>
      <c r="AQ384" s="143" t="s">
        <v>3413</v>
      </c>
      <c r="AR384" s="143">
        <v>2001</v>
      </c>
      <c r="AS384" s="143" t="s">
        <v>3413</v>
      </c>
      <c r="AT384" s="135" t="s">
        <v>3446</v>
      </c>
      <c r="AU384" s="143" t="s">
        <v>693</v>
      </c>
      <c r="AV384" s="143" t="s">
        <v>1687</v>
      </c>
      <c r="AW384" s="143">
        <v>40</v>
      </c>
      <c r="AX384" s="143">
        <v>5.8</v>
      </c>
      <c r="AY384" s="143">
        <v>75</v>
      </c>
      <c r="AZ384" s="143">
        <v>0.1024</v>
      </c>
      <c r="BA384" s="143" t="s">
        <v>101</v>
      </c>
      <c r="BB384" s="143"/>
      <c r="BC384" s="143">
        <v>4648</v>
      </c>
      <c r="BD384" s="143"/>
      <c r="BE384" s="143">
        <v>1040</v>
      </c>
      <c r="BF384" s="143">
        <v>5688</v>
      </c>
      <c r="BG384" s="143">
        <v>312.85000000000002</v>
      </c>
      <c r="BH384" s="143">
        <v>6000.85</v>
      </c>
      <c r="BI384" s="151">
        <v>6000.85</v>
      </c>
      <c r="BJ384" s="143" t="s">
        <v>115</v>
      </c>
      <c r="BK384" s="143"/>
      <c r="BL384" s="143"/>
      <c r="BM384" s="144" t="s">
        <v>3592</v>
      </c>
      <c r="BN384" s="143">
        <v>2022</v>
      </c>
      <c r="BO384" s="144" t="s">
        <v>143</v>
      </c>
      <c r="BP384" s="144">
        <v>2022</v>
      </c>
      <c r="BQ384" s="203" t="s">
        <v>3274</v>
      </c>
    </row>
    <row r="385" spans="1:69" ht="41.1" customHeight="1">
      <c r="A385" s="218" t="s">
        <v>1529</v>
      </c>
      <c r="B385" s="218" t="s">
        <v>1688</v>
      </c>
      <c r="C385" s="143">
        <v>600</v>
      </c>
      <c r="D385" s="135">
        <v>44621</v>
      </c>
      <c r="E385" s="135">
        <v>44623</v>
      </c>
      <c r="F385" s="147"/>
      <c r="G385" s="135"/>
      <c r="H385" s="147">
        <v>44623</v>
      </c>
      <c r="I385" s="147">
        <v>44623</v>
      </c>
      <c r="J385" s="147">
        <v>44628</v>
      </c>
      <c r="K385" s="135">
        <v>44694</v>
      </c>
      <c r="L385" s="135">
        <v>44690</v>
      </c>
      <c r="M385" s="135" t="s">
        <v>76</v>
      </c>
      <c r="N385" s="135">
        <v>44768</v>
      </c>
      <c r="O385" s="135">
        <v>44768</v>
      </c>
      <c r="P385" s="135">
        <v>44769</v>
      </c>
      <c r="Q385" s="135"/>
      <c r="R385" s="143"/>
      <c r="S385" s="143"/>
      <c r="T385" s="143"/>
      <c r="U385" s="143">
        <v>2</v>
      </c>
      <c r="V385" s="143">
        <v>30125</v>
      </c>
      <c r="W385" s="143" t="str">
        <f ca="1">IF(H385="",IF(D385="","",IF(U385+V385&lt;15,"Données Nb pers ou RFR manquantes",IF(COUNTA(INDIRECT("TabRFR["&amp;YEAR(D385)&amp;"]"))&lt;&gt;COUNTA(TabRFR[Recherche RFR]),"Data RFR manquantes", IF(V385&lt;=INDEX(TabRFR[[2021]:[2025]],MATCH(BD!U385&amp;"-Très modestes",TabRFR[Recherche RFR],0),MATCH(TEXT(YEAR(BD!D385),"Standard"),TabRFR[[#Headers],[2021]:[2025]],0)),"Très Modeste",IF(V385&lt;=INDEX(TabRFR[[2021]:[2025]],MATCH(BD!U385&amp;"-modestes",TabRFR[Recherche RFR],0),MATCH(TEXT(YEAR(BD!D385),"Standard"),TabRFR[[#Headers],[2021]:[2025]],0)),"Modeste",IF(V385&lt;=INDEX(TabRFR[[2021]:[2025]],MATCH(BD!U385&amp;"-Intermédiaire",TabRFR[Recherche RFR],0),MATCH(TEXT(YEAR(BD!D385),"Standard"),TabRFR[[#Headers],[2021]:[2025]],0)),"Intermédiaire","Supérieur")))))),IF(D385="","",IF(U385+V385&lt;15,"Données Nb pers ou RFR manquantes",IF(COUNTA(INDIRECT("TabRFR["&amp;YEAR(H385)&amp;"]"))&lt;&gt;COUNTA(TabRFR[Recherche RFR]),"Data RFR manquantes", IF(V385&lt;=INDEX(TabRFR[[2021]:[2025]],MATCH(BD!U385&amp;"-Très modestes",TabRFR[Recherche RFR],0),MATCH(TEXT(YEAR(BD!H385),"Standard"),TabRFR[[#Headers],[2021]:[2025]],0)),"Très Modeste",IF(V385&lt;=INDEX(TabRFR[[2021]:[2025]],MATCH(BD!U385&amp;"-modestes",TabRFR[Recherche RFR],0),MATCH(TEXT(YEAR(BD!H385),"Standard"),TabRFR[[#Headers],[2021]:[2025]],0)),"Modeste",IF(V385&lt;=INDEX(TabRFR[[2021]:[2025]],MATCH(BD!U385&amp;"-Intermédiaire",TabRFR[Recherche RFR],0),MATCH(TEXT(YEAR(BD!H385),"Standard"),TabRFR[[#Headers],[2021]:[2025]],0)),"Intermédiaire","Supérieur")))))))</f>
        <v>Intermédiaire</v>
      </c>
      <c r="X385" s="143"/>
      <c r="Y385" s="143" t="s">
        <v>1689</v>
      </c>
      <c r="Z385" s="143">
        <v>38500</v>
      </c>
      <c r="AA385" s="143" t="s">
        <v>108</v>
      </c>
      <c r="AB385" s="148"/>
      <c r="AC385" s="149"/>
      <c r="AD385" s="143" t="s">
        <v>91</v>
      </c>
      <c r="AE385" s="143"/>
      <c r="AF385" s="143"/>
      <c r="AG385" s="143"/>
      <c r="AH385" s="143"/>
      <c r="AI385" s="135" t="s">
        <v>285</v>
      </c>
      <c r="AJ385" s="143" t="s">
        <v>108</v>
      </c>
      <c r="AK385" s="143" t="s">
        <v>286</v>
      </c>
      <c r="AL385" s="150" t="s">
        <v>287</v>
      </c>
      <c r="AM385" s="148">
        <v>476069938</v>
      </c>
      <c r="AN385" s="143"/>
      <c r="AO385" s="150" t="s">
        <v>102</v>
      </c>
      <c r="AP385" s="147">
        <v>44822</v>
      </c>
      <c r="AQ385" s="135" t="s">
        <v>3496</v>
      </c>
      <c r="AR385" s="143">
        <v>1992</v>
      </c>
      <c r="AS385" s="143" t="s">
        <v>3413</v>
      </c>
      <c r="AT385" s="135" t="s">
        <v>3446</v>
      </c>
      <c r="AU385" s="143" t="s">
        <v>532</v>
      </c>
      <c r="AV385" s="143" t="s">
        <v>1690</v>
      </c>
      <c r="AW385" s="143">
        <v>17</v>
      </c>
      <c r="AX385" s="143">
        <v>9</v>
      </c>
      <c r="AY385" s="143">
        <v>79.5</v>
      </c>
      <c r="AZ385" s="143">
        <v>8.4080000000000002E-2</v>
      </c>
      <c r="BA385" s="143" t="s">
        <v>101</v>
      </c>
      <c r="BB385" s="143"/>
      <c r="BC385" s="143">
        <v>4435</v>
      </c>
      <c r="BD385" s="143"/>
      <c r="BE385" s="143">
        <v>750</v>
      </c>
      <c r="BF385" s="143">
        <v>5185</v>
      </c>
      <c r="BG385" s="143">
        <v>285.18</v>
      </c>
      <c r="BH385" s="143">
        <v>5470.18</v>
      </c>
      <c r="BI385" s="151">
        <v>5291.89</v>
      </c>
      <c r="BJ385" s="143" t="s">
        <v>102</v>
      </c>
      <c r="BK385" s="143"/>
      <c r="BL385" s="143"/>
      <c r="BM385" s="144" t="s">
        <v>3592</v>
      </c>
      <c r="BN385" s="143">
        <v>2022</v>
      </c>
      <c r="BO385" s="144" t="s">
        <v>143</v>
      </c>
      <c r="BP385" s="144">
        <v>2022</v>
      </c>
      <c r="BQ385" s="203" t="s">
        <v>144</v>
      </c>
    </row>
    <row r="386" spans="1:69" ht="41.1" customHeight="1">
      <c r="A386" s="145" t="s">
        <v>1420</v>
      </c>
      <c r="B386" s="145" t="s">
        <v>1691</v>
      </c>
      <c r="C386" s="143">
        <v>1000</v>
      </c>
      <c r="D386" s="135">
        <v>44623</v>
      </c>
      <c r="E386" s="135">
        <v>44624</v>
      </c>
      <c r="F386" s="147">
        <v>44629</v>
      </c>
      <c r="G386" s="135" t="s">
        <v>1498</v>
      </c>
      <c r="H386" s="147" t="s">
        <v>76</v>
      </c>
      <c r="I386" s="147" t="s">
        <v>76</v>
      </c>
      <c r="J386" s="147" t="s">
        <v>76</v>
      </c>
      <c r="K386" s="135" t="s">
        <v>76</v>
      </c>
      <c r="L386" s="135" t="s">
        <v>76</v>
      </c>
      <c r="M386" s="135" t="s">
        <v>76</v>
      </c>
      <c r="N386" s="135" t="s">
        <v>76</v>
      </c>
      <c r="O386" s="135" t="s">
        <v>76</v>
      </c>
      <c r="P386" s="135" t="s">
        <v>76</v>
      </c>
      <c r="Q386" s="135">
        <v>44629</v>
      </c>
      <c r="R386" s="143" t="s">
        <v>1692</v>
      </c>
      <c r="S386" s="143"/>
      <c r="T386" s="143"/>
      <c r="U386" s="143">
        <v>2</v>
      </c>
      <c r="V386" s="143">
        <f>9061+9130</f>
        <v>18191</v>
      </c>
      <c r="W386" s="143" t="str">
        <f ca="1">IF(H386="",IF(D386="","",IF(U386+V386&lt;15,"Données Nb pers ou RFR manquantes",IF(COUNTA(INDIRECT("TabRFR["&amp;YEAR(D386)&amp;"]"))&lt;&gt;COUNTA(TabRFR[Recherche RFR]),"Data RFR manquantes", IF(V386&lt;=INDEX(TabRFR[[2021]:[2025]],MATCH(BD!U386&amp;"-Très modestes",TabRFR[Recherche RFR],0),MATCH(TEXT(YEAR(BD!D386),"Standard"),TabRFR[[#Headers],[2021]:[2025]],0)),"Très Modeste",IF(V386&lt;=INDEX(TabRFR[[2021]:[2025]],MATCH(BD!U386&amp;"-modestes",TabRFR[Recherche RFR],0),MATCH(TEXT(YEAR(BD!D386),"Standard"),TabRFR[[#Headers],[2021]:[2025]],0)),"Modeste",IF(V386&lt;=INDEX(TabRFR[[2021]:[2025]],MATCH(BD!U386&amp;"-Intermédiaire",TabRFR[Recherche RFR],0),MATCH(TEXT(YEAR(BD!D386),"Standard"),TabRFR[[#Headers],[2021]:[2025]],0)),"Intermédiaire","Supérieur")))))),IF(D386="","",IF(U386+V386&lt;15,"Données Nb pers ou RFR manquantes",IF(COUNTA(INDIRECT("TabRFR["&amp;YEAR(H386)&amp;"]"))&lt;&gt;COUNTA(TabRFR[Recherche RFR]),"Data RFR manquantes", IF(V386&lt;=INDEX(TabRFR[[2021]:[2025]],MATCH(BD!U386&amp;"-Très modestes",TabRFR[Recherche RFR],0),MATCH(TEXT(YEAR(BD!H386),"Standard"),TabRFR[[#Headers],[2021]:[2025]],0)),"Très Modeste",IF(V386&lt;=INDEX(TabRFR[[2021]:[2025]],MATCH(BD!U386&amp;"-modestes",TabRFR[Recherche RFR],0),MATCH(TEXT(YEAR(BD!H386),"Standard"),TabRFR[[#Headers],[2021]:[2025]],0)),"Modeste",IF(V386&lt;=INDEX(TabRFR[[2021]:[2025]],MATCH(BD!U386&amp;"-Intermédiaire",TabRFR[Recherche RFR],0),MATCH(TEXT(YEAR(BD!H386),"Standard"),TabRFR[[#Headers],[2021]:[2025]],0)),"Intermédiaire","Supérieur")))))))</f>
        <v>Data RFR manquantes</v>
      </c>
      <c r="X386" s="143"/>
      <c r="Y386" s="143" t="s">
        <v>1693</v>
      </c>
      <c r="Z386" s="143">
        <v>38140</v>
      </c>
      <c r="AA386" s="143" t="s">
        <v>219</v>
      </c>
      <c r="AB386" s="148"/>
      <c r="AC386" s="149"/>
      <c r="AD386" s="143" t="s">
        <v>91</v>
      </c>
      <c r="AE386" s="143"/>
      <c r="AF386" s="143"/>
      <c r="AG386" s="143"/>
      <c r="AH386" s="143"/>
      <c r="AI386" s="143" t="s">
        <v>185</v>
      </c>
      <c r="AJ386" s="143" t="s">
        <v>1394</v>
      </c>
      <c r="AK386" s="143" t="s">
        <v>186</v>
      </c>
      <c r="AL386" s="149" t="s">
        <v>187</v>
      </c>
      <c r="AM386" s="148" t="s">
        <v>1395</v>
      </c>
      <c r="AN386" s="143" t="s">
        <v>76</v>
      </c>
      <c r="AO386" s="156" t="s">
        <v>144</v>
      </c>
      <c r="AP386" s="147">
        <v>44798</v>
      </c>
      <c r="AQ386" s="143" t="s">
        <v>76</v>
      </c>
      <c r="AR386" s="143" t="s">
        <v>76</v>
      </c>
      <c r="AS386" s="143" t="s">
        <v>76</v>
      </c>
      <c r="AT386" s="143" t="s">
        <v>76</v>
      </c>
      <c r="AU386" s="143" t="s">
        <v>76</v>
      </c>
      <c r="AV386" s="143" t="s">
        <v>76</v>
      </c>
      <c r="AW386" s="143" t="s">
        <v>76</v>
      </c>
      <c r="AX386" s="143" t="s">
        <v>76</v>
      </c>
      <c r="AY386" s="143" t="s">
        <v>76</v>
      </c>
      <c r="AZ386" s="143" t="s">
        <v>76</v>
      </c>
      <c r="BA386" s="143" t="s">
        <v>76</v>
      </c>
      <c r="BB386" s="143"/>
      <c r="BC386" s="143">
        <v>0</v>
      </c>
      <c r="BD386" s="143"/>
      <c r="BE386" s="143">
        <v>0</v>
      </c>
      <c r="BF386" s="143">
        <v>0</v>
      </c>
      <c r="BG386" s="151">
        <v>0</v>
      </c>
      <c r="BH386" s="151">
        <v>0</v>
      </c>
      <c r="BI386" s="151" t="s">
        <v>76</v>
      </c>
      <c r="BJ386" s="143" t="s">
        <v>103</v>
      </c>
      <c r="BK386" s="143"/>
      <c r="BL386" s="143"/>
      <c r="BM386" s="144">
        <v>0</v>
      </c>
      <c r="BN386" s="153" t="s">
        <v>1496</v>
      </c>
      <c r="BO386" s="144" t="s">
        <v>103</v>
      </c>
      <c r="BP386" s="203" t="s">
        <v>3582</v>
      </c>
      <c r="BQ386" s="203" t="s">
        <v>3273</v>
      </c>
    </row>
    <row r="387" spans="1:69" ht="41.1" customHeight="1">
      <c r="A387" s="218" t="s">
        <v>1420</v>
      </c>
      <c r="B387" s="218" t="s">
        <v>1694</v>
      </c>
      <c r="C387" s="143">
        <v>600</v>
      </c>
      <c r="D387" s="135">
        <v>44623</v>
      </c>
      <c r="E387" s="135">
        <v>44624</v>
      </c>
      <c r="F387" s="147" t="s">
        <v>76</v>
      </c>
      <c r="G387" s="135" t="s">
        <v>76</v>
      </c>
      <c r="H387" s="147">
        <v>44630</v>
      </c>
      <c r="I387" s="147">
        <v>44630</v>
      </c>
      <c r="J387" s="147">
        <v>44635</v>
      </c>
      <c r="K387" s="135">
        <v>44719</v>
      </c>
      <c r="L387" s="135">
        <v>44687</v>
      </c>
      <c r="M387" s="135" t="s">
        <v>76</v>
      </c>
      <c r="N387" s="135">
        <v>44769</v>
      </c>
      <c r="O387" s="135">
        <v>44769</v>
      </c>
      <c r="P387" s="135">
        <v>44770</v>
      </c>
      <c r="Q387" s="135"/>
      <c r="R387" s="143"/>
      <c r="S387" s="143"/>
      <c r="T387" s="143"/>
      <c r="U387" s="143">
        <v>2</v>
      </c>
      <c r="V387" s="143">
        <v>42225</v>
      </c>
      <c r="W387" s="143" t="str">
        <f ca="1">IF(H387="",IF(D387="","",IF(U387+V387&lt;15,"Données Nb pers ou RFR manquantes",IF(COUNTA(INDIRECT("TabRFR["&amp;YEAR(D387)&amp;"]"))&lt;&gt;COUNTA(TabRFR[Recherche RFR]),"Data RFR manquantes", IF(V387&lt;=INDEX(TabRFR[[2021]:[2025]],MATCH(BD!U387&amp;"-Très modestes",TabRFR[Recherche RFR],0),MATCH(TEXT(YEAR(BD!D387),"Standard"),TabRFR[[#Headers],[2021]:[2025]],0)),"Très Modeste",IF(V387&lt;=INDEX(TabRFR[[2021]:[2025]],MATCH(BD!U387&amp;"-modestes",TabRFR[Recherche RFR],0),MATCH(TEXT(YEAR(BD!D387),"Standard"),TabRFR[[#Headers],[2021]:[2025]],0)),"Modeste",IF(V387&lt;=INDEX(TabRFR[[2021]:[2025]],MATCH(BD!U387&amp;"-Intermédiaire",TabRFR[Recherche RFR],0),MATCH(TEXT(YEAR(BD!D387),"Standard"),TabRFR[[#Headers],[2021]:[2025]],0)),"Intermédiaire","Supérieur")))))),IF(D387="","",IF(U387+V387&lt;15,"Données Nb pers ou RFR manquantes",IF(COUNTA(INDIRECT("TabRFR["&amp;YEAR(H387)&amp;"]"))&lt;&gt;COUNTA(TabRFR[Recherche RFR]),"Data RFR manquantes", IF(V387&lt;=INDEX(TabRFR[[2021]:[2025]],MATCH(BD!U387&amp;"-Très modestes",TabRFR[Recherche RFR],0),MATCH(TEXT(YEAR(BD!H387),"Standard"),TabRFR[[#Headers],[2021]:[2025]],0)),"Très Modeste",IF(V387&lt;=INDEX(TabRFR[[2021]:[2025]],MATCH(BD!U387&amp;"-modestes",TabRFR[Recherche RFR],0),MATCH(TEXT(YEAR(BD!H387),"Standard"),TabRFR[[#Headers],[2021]:[2025]],0)),"Modeste",IF(V387&lt;=INDEX(TabRFR[[2021]:[2025]],MATCH(BD!U387&amp;"-Intermédiaire",TabRFR[Recherche RFR],0),MATCH(TEXT(YEAR(BD!H387),"Standard"),TabRFR[[#Headers],[2021]:[2025]],0)),"Intermédiaire","Supérieur")))))))</f>
        <v>Intermédiaire</v>
      </c>
      <c r="X387" s="143"/>
      <c r="Y387" s="143" t="s">
        <v>483</v>
      </c>
      <c r="Z387" s="143">
        <v>38140</v>
      </c>
      <c r="AA387" s="143" t="s">
        <v>184</v>
      </c>
      <c r="AB387" s="148"/>
      <c r="AC387" s="149"/>
      <c r="AD387" s="143" t="s">
        <v>91</v>
      </c>
      <c r="AE387" s="143"/>
      <c r="AF387" s="143"/>
      <c r="AG387" s="143"/>
      <c r="AH387" s="143"/>
      <c r="AI387" s="143" t="s">
        <v>719</v>
      </c>
      <c r="AJ387" s="143" t="s">
        <v>720</v>
      </c>
      <c r="AK387" s="143" t="s">
        <v>721</v>
      </c>
      <c r="AL387" s="149" t="s">
        <v>1695</v>
      </c>
      <c r="AM387" s="148" t="s">
        <v>1696</v>
      </c>
      <c r="AN387" s="143" t="s">
        <v>76</v>
      </c>
      <c r="AO387" s="156" t="s">
        <v>144</v>
      </c>
      <c r="AP387" s="147">
        <v>44789</v>
      </c>
      <c r="AQ387" s="135" t="s">
        <v>3496</v>
      </c>
      <c r="AR387" s="143">
        <v>1987</v>
      </c>
      <c r="AS387" s="143" t="s">
        <v>3413</v>
      </c>
      <c r="AT387" s="143" t="s">
        <v>98</v>
      </c>
      <c r="AU387" s="143" t="s">
        <v>723</v>
      </c>
      <c r="AV387" s="143" t="s">
        <v>1697</v>
      </c>
      <c r="AW387" s="143">
        <v>15</v>
      </c>
      <c r="AX387" s="143">
        <v>9.1999999999999993</v>
      </c>
      <c r="AY387" s="143">
        <v>88.5</v>
      </c>
      <c r="AZ387" s="143">
        <v>9.0399999999999994E-3</v>
      </c>
      <c r="BA387" s="143" t="s">
        <v>101</v>
      </c>
      <c r="BB387" s="143"/>
      <c r="BC387" s="143">
        <f>2600+390+370+230+110</f>
        <v>3700</v>
      </c>
      <c r="BD387" s="143"/>
      <c r="BE387" s="143">
        <f>130+580</f>
        <v>710</v>
      </c>
      <c r="BF387" s="143">
        <f t="shared" ref="BF387:BF394" si="21">BC387+BE387</f>
        <v>4410</v>
      </c>
      <c r="BG387" s="151">
        <f t="shared" ref="BG387:BG394" si="22">BF387*0.055</f>
        <v>242.55</v>
      </c>
      <c r="BH387" s="151">
        <f t="shared" ref="BH387:BH394" si="23">BF387*1.055</f>
        <v>4652.5499999999993</v>
      </c>
      <c r="BI387" s="151">
        <f>4409.48*1.055</f>
        <v>4652.0013999999992</v>
      </c>
      <c r="BJ387" s="143" t="s">
        <v>102</v>
      </c>
      <c r="BK387" s="143"/>
      <c r="BL387" s="143"/>
      <c r="BM387" s="144" t="s">
        <v>3592</v>
      </c>
      <c r="BN387" s="143">
        <v>2022</v>
      </c>
      <c r="BO387" s="144" t="s">
        <v>143</v>
      </c>
      <c r="BP387" s="143" t="s">
        <v>3583</v>
      </c>
      <c r="BQ387" s="203" t="s">
        <v>144</v>
      </c>
    </row>
    <row r="388" spans="1:69" ht="41.1" customHeight="1">
      <c r="A388" s="218" t="s">
        <v>1420</v>
      </c>
      <c r="B388" s="218" t="s">
        <v>1698</v>
      </c>
      <c r="C388" s="143">
        <v>1000</v>
      </c>
      <c r="D388" s="135">
        <v>44627</v>
      </c>
      <c r="E388" s="135" t="s">
        <v>76</v>
      </c>
      <c r="F388" s="147" t="s">
        <v>76</v>
      </c>
      <c r="G388" s="135" t="s">
        <v>1699</v>
      </c>
      <c r="H388" s="147">
        <v>44630</v>
      </c>
      <c r="I388" s="147">
        <v>44630</v>
      </c>
      <c r="J388" s="147">
        <v>44636</v>
      </c>
      <c r="K388" s="135">
        <v>44894</v>
      </c>
      <c r="L388" s="135">
        <v>44881</v>
      </c>
      <c r="M388" s="135" t="s">
        <v>76</v>
      </c>
      <c r="N388" s="135">
        <v>44915</v>
      </c>
      <c r="O388" s="135">
        <v>44915</v>
      </c>
      <c r="P388" s="135">
        <v>44932</v>
      </c>
      <c r="Q388" s="135"/>
      <c r="R388" s="143"/>
      <c r="S388" s="143"/>
      <c r="T388" s="143"/>
      <c r="U388" s="143">
        <v>5</v>
      </c>
      <c r="V388" s="143">
        <v>40967</v>
      </c>
      <c r="W388" s="143" t="str">
        <f ca="1">IF(H388="",IF(D388="","",IF(U388+V388&lt;15,"Données Nb pers ou RFR manquantes",IF(COUNTA(INDIRECT("TabRFR["&amp;YEAR(D388)&amp;"]"))&lt;&gt;COUNTA(TabRFR[Recherche RFR]),"Data RFR manquantes", IF(V388&lt;=INDEX(TabRFR[[2021]:[2025]],MATCH(BD!U388&amp;"-Très modestes",TabRFR[Recherche RFR],0),MATCH(TEXT(YEAR(BD!D388),"Standard"),TabRFR[[#Headers],[2021]:[2025]],0)),"Très Modeste",IF(V388&lt;=INDEX(TabRFR[[2021]:[2025]],MATCH(BD!U388&amp;"-modestes",TabRFR[Recherche RFR],0),MATCH(TEXT(YEAR(BD!D388),"Standard"),TabRFR[[#Headers],[2021]:[2025]],0)),"Modeste",IF(V388&lt;=INDEX(TabRFR[[2021]:[2025]],MATCH(BD!U388&amp;"-Intermédiaire",TabRFR[Recherche RFR],0),MATCH(TEXT(YEAR(BD!D388),"Standard"),TabRFR[[#Headers],[2021]:[2025]],0)),"Intermédiaire","Supérieur")))))),IF(D388="","",IF(U388+V388&lt;15,"Données Nb pers ou RFR manquantes",IF(COUNTA(INDIRECT("TabRFR["&amp;YEAR(H388)&amp;"]"))&lt;&gt;COUNTA(TabRFR[Recherche RFR]),"Data RFR manquantes", IF(V388&lt;=INDEX(TabRFR[[2021]:[2025]],MATCH(BD!U388&amp;"-Très modestes",TabRFR[Recherche RFR],0),MATCH(TEXT(YEAR(BD!H388),"Standard"),TabRFR[[#Headers],[2021]:[2025]],0)),"Très Modeste",IF(V388&lt;=INDEX(TabRFR[[2021]:[2025]],MATCH(BD!U388&amp;"-modestes",TabRFR[Recherche RFR],0),MATCH(TEXT(YEAR(BD!H388),"Standard"),TabRFR[[#Headers],[2021]:[2025]],0)),"Modeste",IF(V388&lt;=INDEX(TabRFR[[2021]:[2025]],MATCH(BD!U388&amp;"-Intermédiaire",TabRFR[Recherche RFR],0),MATCH(TEXT(YEAR(BD!H388),"Standard"),TabRFR[[#Headers],[2021]:[2025]],0)),"Intermédiaire","Supérieur")))))))</f>
        <v>Modeste</v>
      </c>
      <c r="X388" s="143"/>
      <c r="Y388" s="143" t="s">
        <v>1700</v>
      </c>
      <c r="Z388" s="143">
        <v>38620</v>
      </c>
      <c r="AA388" s="143" t="s">
        <v>1239</v>
      </c>
      <c r="AB388" s="148"/>
      <c r="AC388" s="149"/>
      <c r="AD388" s="143" t="s">
        <v>91</v>
      </c>
      <c r="AE388" s="143"/>
      <c r="AF388" s="143"/>
      <c r="AG388" s="143"/>
      <c r="AH388" s="143"/>
      <c r="AI388" s="143" t="s">
        <v>109</v>
      </c>
      <c r="AJ388" s="143" t="s">
        <v>108</v>
      </c>
      <c r="AK388" s="143" t="s">
        <v>1641</v>
      </c>
      <c r="AL388" s="149" t="s">
        <v>1701</v>
      </c>
      <c r="AM388" s="148" t="s">
        <v>112</v>
      </c>
      <c r="AN388" s="143" t="s">
        <v>76</v>
      </c>
      <c r="AO388" s="150" t="s">
        <v>144</v>
      </c>
      <c r="AP388" s="147">
        <v>44868</v>
      </c>
      <c r="AQ388" s="143" t="s">
        <v>3413</v>
      </c>
      <c r="AR388" s="143">
        <v>2000</v>
      </c>
      <c r="AS388" s="143" t="s">
        <v>3413</v>
      </c>
      <c r="AT388" s="143" t="s">
        <v>98</v>
      </c>
      <c r="AU388" s="143" t="s">
        <v>113</v>
      </c>
      <c r="AV388" s="143" t="s">
        <v>1702</v>
      </c>
      <c r="AW388" s="143">
        <v>17</v>
      </c>
      <c r="AX388" s="143">
        <v>8.1</v>
      </c>
      <c r="AY388" s="143">
        <v>90.9</v>
      </c>
      <c r="AZ388" s="143">
        <v>2E-3</v>
      </c>
      <c r="BA388" s="143" t="s">
        <v>101</v>
      </c>
      <c r="BB388" s="143"/>
      <c r="BC388" s="143">
        <f>3966+280+85+101+87+62+90+22+49+70+30</f>
        <v>4842</v>
      </c>
      <c r="BD388" s="143"/>
      <c r="BE388" s="143">
        <f>50+450</f>
        <v>500</v>
      </c>
      <c r="BF388" s="143">
        <f t="shared" si="21"/>
        <v>5342</v>
      </c>
      <c r="BG388" s="151">
        <f t="shared" si="22"/>
        <v>293.81</v>
      </c>
      <c r="BH388" s="151">
        <f t="shared" si="23"/>
        <v>5635.8099999999995</v>
      </c>
      <c r="BI388" s="151">
        <v>5635.81</v>
      </c>
      <c r="BJ388" s="143" t="s">
        <v>102</v>
      </c>
      <c r="BK388" s="143"/>
      <c r="BL388" s="143"/>
      <c r="BM388" s="144" t="s">
        <v>3592</v>
      </c>
      <c r="BN388" s="143">
        <v>2022</v>
      </c>
      <c r="BO388" s="135" t="s">
        <v>155</v>
      </c>
      <c r="BP388" s="143" t="s">
        <v>3583</v>
      </c>
      <c r="BQ388" s="203" t="s">
        <v>3275</v>
      </c>
    </row>
    <row r="389" spans="1:69" ht="41.1" customHeight="1">
      <c r="A389" s="218" t="s">
        <v>1420</v>
      </c>
      <c r="B389" s="218" t="s">
        <v>1703</v>
      </c>
      <c r="C389" s="143">
        <v>1000</v>
      </c>
      <c r="D389" s="135">
        <v>44627</v>
      </c>
      <c r="E389" s="135">
        <v>44628</v>
      </c>
      <c r="F389" s="147" t="s">
        <v>76</v>
      </c>
      <c r="G389" s="135" t="s">
        <v>76</v>
      </c>
      <c r="H389" s="147">
        <v>44630</v>
      </c>
      <c r="I389" s="147">
        <v>44630</v>
      </c>
      <c r="J389" s="147">
        <v>44635</v>
      </c>
      <c r="K389" s="135">
        <v>45119</v>
      </c>
      <c r="L389" s="135">
        <v>45098</v>
      </c>
      <c r="M389" s="135" t="s">
        <v>76</v>
      </c>
      <c r="N389" s="135">
        <v>45120</v>
      </c>
      <c r="O389" s="135">
        <v>45120</v>
      </c>
      <c r="P389" s="135">
        <v>45126</v>
      </c>
      <c r="Q389" s="135"/>
      <c r="R389" s="143"/>
      <c r="S389" s="143"/>
      <c r="T389" s="143"/>
      <c r="U389" s="143">
        <v>1</v>
      </c>
      <c r="V389" s="143">
        <v>11290</v>
      </c>
      <c r="W389" s="143" t="str">
        <f ca="1">IF(H389="",IF(D389="","",IF(U389+V389&lt;15,"Données Nb pers ou RFR manquantes",IF(COUNTA(INDIRECT("TabRFR["&amp;YEAR(D389)&amp;"]"))&lt;&gt;COUNTA(TabRFR[Recherche RFR]),"Data RFR manquantes", IF(V389&lt;=INDEX(TabRFR[[2021]:[2025]],MATCH(BD!U389&amp;"-Très modestes",TabRFR[Recherche RFR],0),MATCH(TEXT(YEAR(BD!D389),"Standard"),TabRFR[[#Headers],[2021]:[2025]],0)),"Très Modeste",IF(V389&lt;=INDEX(TabRFR[[2021]:[2025]],MATCH(BD!U389&amp;"-modestes",TabRFR[Recherche RFR],0),MATCH(TEXT(YEAR(BD!D389),"Standard"),TabRFR[[#Headers],[2021]:[2025]],0)),"Modeste",IF(V389&lt;=INDEX(TabRFR[[2021]:[2025]],MATCH(BD!U389&amp;"-Intermédiaire",TabRFR[Recherche RFR],0),MATCH(TEXT(YEAR(BD!D389),"Standard"),TabRFR[[#Headers],[2021]:[2025]],0)),"Intermédiaire","Supérieur")))))),IF(D389="","",IF(U389+V389&lt;15,"Données Nb pers ou RFR manquantes",IF(COUNTA(INDIRECT("TabRFR["&amp;YEAR(H389)&amp;"]"))&lt;&gt;COUNTA(TabRFR[Recherche RFR]),"Data RFR manquantes", IF(V389&lt;=INDEX(TabRFR[[2021]:[2025]],MATCH(BD!U389&amp;"-Très modestes",TabRFR[Recherche RFR],0),MATCH(TEXT(YEAR(BD!H389),"Standard"),TabRFR[[#Headers],[2021]:[2025]],0)),"Très Modeste",IF(V389&lt;=INDEX(TabRFR[[2021]:[2025]],MATCH(BD!U389&amp;"-modestes",TabRFR[Recherche RFR],0),MATCH(TEXT(YEAR(BD!H389),"Standard"),TabRFR[[#Headers],[2021]:[2025]],0)),"Modeste",IF(V389&lt;=INDEX(TabRFR[[2021]:[2025]],MATCH(BD!U389&amp;"-Intermédiaire",TabRFR[Recherche RFR],0),MATCH(TEXT(YEAR(BD!H389),"Standard"),TabRFR[[#Headers],[2021]:[2025]],0)),"Intermédiaire","Supérieur")))))))</f>
        <v>Très Modeste</v>
      </c>
      <c r="X389" s="143"/>
      <c r="Y389" s="143" t="s">
        <v>1704</v>
      </c>
      <c r="Z389" s="143">
        <v>38730</v>
      </c>
      <c r="AA389" s="143" t="s">
        <v>148</v>
      </c>
      <c r="AB389" s="148"/>
      <c r="AC389" s="149"/>
      <c r="AD389" s="143" t="s">
        <v>91</v>
      </c>
      <c r="AE389" s="143"/>
      <c r="AF389" s="143"/>
      <c r="AG389" s="143"/>
      <c r="AH389" s="143"/>
      <c r="AI389" s="143" t="s">
        <v>92</v>
      </c>
      <c r="AJ389" s="143" t="s">
        <v>93</v>
      </c>
      <c r="AK389" s="143" t="s">
        <v>1459</v>
      </c>
      <c r="AL389" s="150" t="s">
        <v>95</v>
      </c>
      <c r="AM389" s="148" t="s">
        <v>96</v>
      </c>
      <c r="AN389" s="143" t="s">
        <v>76</v>
      </c>
      <c r="AO389" s="156" t="s">
        <v>102</v>
      </c>
      <c r="AP389" s="147">
        <v>44821</v>
      </c>
      <c r="AQ389" s="135" t="s">
        <v>3323</v>
      </c>
      <c r="AR389" s="143">
        <v>1985</v>
      </c>
      <c r="AS389" s="143" t="s">
        <v>3413</v>
      </c>
      <c r="AT389" s="143" t="s">
        <v>98</v>
      </c>
      <c r="AU389" s="143" t="s">
        <v>99</v>
      </c>
      <c r="AV389" s="143" t="s">
        <v>1521</v>
      </c>
      <c r="AW389" s="143">
        <v>16</v>
      </c>
      <c r="AX389" s="143">
        <v>9.1</v>
      </c>
      <c r="AY389" s="143">
        <v>91.8</v>
      </c>
      <c r="AZ389" s="143">
        <v>3.7599999999999999E-3</v>
      </c>
      <c r="BA389" s="143" t="s">
        <v>101</v>
      </c>
      <c r="BB389" s="143"/>
      <c r="BC389" s="143">
        <f>4210+1195+193</f>
        <v>5598</v>
      </c>
      <c r="BD389" s="143"/>
      <c r="BE389" s="143">
        <v>790</v>
      </c>
      <c r="BF389" s="143">
        <f t="shared" si="21"/>
        <v>6388</v>
      </c>
      <c r="BG389" s="151">
        <f t="shared" si="22"/>
        <v>351.34</v>
      </c>
      <c r="BH389" s="151">
        <f t="shared" si="23"/>
        <v>6739.3399999999992</v>
      </c>
      <c r="BI389" s="151">
        <v>6739.34</v>
      </c>
      <c r="BJ389" s="143" t="s">
        <v>102</v>
      </c>
      <c r="BK389" s="143"/>
      <c r="BL389" s="143"/>
      <c r="BM389" s="144" t="s">
        <v>3592</v>
      </c>
      <c r="BN389" s="143">
        <v>2022</v>
      </c>
      <c r="BO389" s="135" t="s">
        <v>155</v>
      </c>
      <c r="BP389" s="143" t="s">
        <v>3583</v>
      </c>
      <c r="BQ389" s="203" t="s">
        <v>144</v>
      </c>
    </row>
    <row r="390" spans="1:69" ht="41.1" customHeight="1">
      <c r="A390" s="218" t="s">
        <v>1705</v>
      </c>
      <c r="B390" s="218" t="s">
        <v>1706</v>
      </c>
      <c r="C390" s="143">
        <v>600</v>
      </c>
      <c r="D390" s="135">
        <v>44628</v>
      </c>
      <c r="E390" s="135">
        <v>44636</v>
      </c>
      <c r="F390" s="147">
        <v>44648</v>
      </c>
      <c r="G390" s="135" t="s">
        <v>1707</v>
      </c>
      <c r="H390" s="147">
        <v>44652</v>
      </c>
      <c r="I390" s="147">
        <v>44652</v>
      </c>
      <c r="J390" s="147">
        <v>44655</v>
      </c>
      <c r="K390" s="135">
        <v>44944</v>
      </c>
      <c r="L390" s="135">
        <v>44866</v>
      </c>
      <c r="M390" s="135" t="s">
        <v>1708</v>
      </c>
      <c r="N390" s="135">
        <v>45007</v>
      </c>
      <c r="O390" s="135">
        <v>45007</v>
      </c>
      <c r="P390" s="135">
        <v>45020</v>
      </c>
      <c r="Q390" s="135"/>
      <c r="R390" s="143"/>
      <c r="S390" s="143"/>
      <c r="T390" s="143"/>
      <c r="U390" s="143">
        <v>2</v>
      </c>
      <c r="V390" s="143">
        <v>41354</v>
      </c>
      <c r="W390" s="143" t="str">
        <f ca="1">IF(H390="",IF(D390="","",IF(U390+V390&lt;15,"Données Nb pers ou RFR manquantes",IF(COUNTA(INDIRECT("TabRFR["&amp;YEAR(D390)&amp;"]"))&lt;&gt;COUNTA(TabRFR[Recherche RFR]),"Data RFR manquantes", IF(V390&lt;=INDEX(TabRFR[[2021]:[2025]],MATCH(BD!U390&amp;"-Très modestes",TabRFR[Recherche RFR],0),MATCH(TEXT(YEAR(BD!D390),"Standard"),TabRFR[[#Headers],[2021]:[2025]],0)),"Très Modeste",IF(V390&lt;=INDEX(TabRFR[[2021]:[2025]],MATCH(BD!U390&amp;"-modestes",TabRFR[Recherche RFR],0),MATCH(TEXT(YEAR(BD!D390),"Standard"),TabRFR[[#Headers],[2021]:[2025]],0)),"Modeste",IF(V390&lt;=INDEX(TabRFR[[2021]:[2025]],MATCH(BD!U390&amp;"-Intermédiaire",TabRFR[Recherche RFR],0),MATCH(TEXT(YEAR(BD!D390),"Standard"),TabRFR[[#Headers],[2021]:[2025]],0)),"Intermédiaire","Supérieur")))))),IF(D390="","",IF(U390+V390&lt;15,"Données Nb pers ou RFR manquantes",IF(COUNTA(INDIRECT("TabRFR["&amp;YEAR(H390)&amp;"]"))&lt;&gt;COUNTA(TabRFR[Recherche RFR]),"Data RFR manquantes", IF(V390&lt;=INDEX(TabRFR[[2021]:[2025]],MATCH(BD!U390&amp;"-Très modestes",TabRFR[Recherche RFR],0),MATCH(TEXT(YEAR(BD!H390),"Standard"),TabRFR[[#Headers],[2021]:[2025]],0)),"Très Modeste",IF(V390&lt;=INDEX(TabRFR[[2021]:[2025]],MATCH(BD!U390&amp;"-modestes",TabRFR[Recherche RFR],0),MATCH(TEXT(YEAR(BD!H390),"Standard"),TabRFR[[#Headers],[2021]:[2025]],0)),"Modeste",IF(V390&lt;=INDEX(TabRFR[[2021]:[2025]],MATCH(BD!U390&amp;"-Intermédiaire",TabRFR[Recherche RFR],0),MATCH(TEXT(YEAR(BD!H390),"Standard"),TabRFR[[#Headers],[2021]:[2025]],0)),"Intermédiaire","Supérieur")))))))</f>
        <v>Intermédiaire</v>
      </c>
      <c r="X390" s="143"/>
      <c r="Y390" s="143" t="s">
        <v>553</v>
      </c>
      <c r="Z390" s="143">
        <v>38960</v>
      </c>
      <c r="AA390" s="143" t="s">
        <v>360</v>
      </c>
      <c r="AB390" s="148"/>
      <c r="AC390" s="149"/>
      <c r="AD390" s="143" t="s">
        <v>91</v>
      </c>
      <c r="AE390" s="143"/>
      <c r="AF390" s="143"/>
      <c r="AG390" s="143"/>
      <c r="AH390" s="143"/>
      <c r="AI390" s="143" t="s">
        <v>109</v>
      </c>
      <c r="AJ390" s="143" t="s">
        <v>108</v>
      </c>
      <c r="AK390" s="143" t="s">
        <v>1641</v>
      </c>
      <c r="AL390" s="149" t="s">
        <v>1701</v>
      </c>
      <c r="AM390" s="148" t="s">
        <v>112</v>
      </c>
      <c r="AN390" s="143" t="s">
        <v>76</v>
      </c>
      <c r="AO390" s="158" t="s">
        <v>144</v>
      </c>
      <c r="AP390" s="147">
        <v>44868</v>
      </c>
      <c r="AQ390" s="135" t="s">
        <v>3496</v>
      </c>
      <c r="AR390" s="143">
        <v>1990</v>
      </c>
      <c r="AS390" s="143" t="s">
        <v>3413</v>
      </c>
      <c r="AT390" s="143" t="s">
        <v>98</v>
      </c>
      <c r="AU390" s="143" t="s">
        <v>113</v>
      </c>
      <c r="AV390" s="143" t="s">
        <v>1709</v>
      </c>
      <c r="AW390" s="143">
        <v>11</v>
      </c>
      <c r="AX390" s="143">
        <v>7.8</v>
      </c>
      <c r="AY390" s="143">
        <v>90.2</v>
      </c>
      <c r="AZ390" s="143">
        <v>6.0000000000000001E-3</v>
      </c>
      <c r="BA390" s="143" t="s">
        <v>101</v>
      </c>
      <c r="BB390" s="143"/>
      <c r="BC390" s="143">
        <f>4194+595+101+142+89+60+60+47+28+45+73+20</f>
        <v>5454</v>
      </c>
      <c r="BD390" s="143"/>
      <c r="BE390" s="143">
        <f>40+455+50</f>
        <v>545</v>
      </c>
      <c r="BF390" s="143">
        <f t="shared" si="21"/>
        <v>5999</v>
      </c>
      <c r="BG390" s="151">
        <f t="shared" si="22"/>
        <v>329.94499999999999</v>
      </c>
      <c r="BH390" s="151">
        <f t="shared" si="23"/>
        <v>6328.9449999999997</v>
      </c>
      <c r="BI390" s="151">
        <v>6328.95</v>
      </c>
      <c r="BJ390" s="143" t="s">
        <v>1391</v>
      </c>
      <c r="BK390" s="143"/>
      <c r="BL390" s="143"/>
      <c r="BM390" s="144" t="s">
        <v>3592</v>
      </c>
      <c r="BN390" s="143">
        <v>2022</v>
      </c>
      <c r="BO390" s="144" t="s">
        <v>143</v>
      </c>
      <c r="BP390" s="143" t="s">
        <v>3583</v>
      </c>
      <c r="BQ390" s="203" t="s">
        <v>3274</v>
      </c>
    </row>
    <row r="391" spans="1:69" ht="41.1" customHeight="1">
      <c r="A391" s="218" t="s">
        <v>1705</v>
      </c>
      <c r="B391" s="218" t="s">
        <v>1710</v>
      </c>
      <c r="C391" s="143">
        <v>600</v>
      </c>
      <c r="D391" s="135">
        <v>44635</v>
      </c>
      <c r="E391" s="135">
        <v>44636</v>
      </c>
      <c r="F391" s="147">
        <v>44648</v>
      </c>
      <c r="G391" s="135" t="s">
        <v>1711</v>
      </c>
      <c r="H391" s="147">
        <v>44678</v>
      </c>
      <c r="I391" s="147">
        <v>44678</v>
      </c>
      <c r="J391" s="147">
        <v>44683</v>
      </c>
      <c r="K391" s="135">
        <v>44872</v>
      </c>
      <c r="L391" s="135">
        <v>44841</v>
      </c>
      <c r="M391" s="135" t="s">
        <v>76</v>
      </c>
      <c r="N391" s="135">
        <v>44874</v>
      </c>
      <c r="O391" s="135">
        <v>44874</v>
      </c>
      <c r="P391" s="135">
        <v>44879</v>
      </c>
      <c r="Q391" s="135"/>
      <c r="R391" s="143"/>
      <c r="S391" s="143"/>
      <c r="T391" s="143"/>
      <c r="U391" s="143">
        <v>2</v>
      </c>
      <c r="V391" s="143">
        <v>37372</v>
      </c>
      <c r="W391" s="143" t="str">
        <f ca="1">IF(H391="",IF(D391="","",IF(U391+V391&lt;15,"Données Nb pers ou RFR manquantes",IF(COUNTA(INDIRECT("TabRFR["&amp;YEAR(D391)&amp;"]"))&lt;&gt;COUNTA(TabRFR[Recherche RFR]),"Data RFR manquantes", IF(V391&lt;=INDEX(TabRFR[[2021]:[2025]],MATCH(BD!U391&amp;"-Très modestes",TabRFR[Recherche RFR],0),MATCH(TEXT(YEAR(BD!D391),"Standard"),TabRFR[[#Headers],[2021]:[2025]],0)),"Très Modeste",IF(V391&lt;=INDEX(TabRFR[[2021]:[2025]],MATCH(BD!U391&amp;"-modestes",TabRFR[Recherche RFR],0),MATCH(TEXT(YEAR(BD!D391),"Standard"),TabRFR[[#Headers],[2021]:[2025]],0)),"Modeste",IF(V391&lt;=INDEX(TabRFR[[2021]:[2025]],MATCH(BD!U391&amp;"-Intermédiaire",TabRFR[Recherche RFR],0),MATCH(TEXT(YEAR(BD!D391),"Standard"),TabRFR[[#Headers],[2021]:[2025]],0)),"Intermédiaire","Supérieur")))))),IF(D391="","",IF(U391+V391&lt;15,"Données Nb pers ou RFR manquantes",IF(COUNTA(INDIRECT("TabRFR["&amp;YEAR(H391)&amp;"]"))&lt;&gt;COUNTA(TabRFR[Recherche RFR]),"Data RFR manquantes", IF(V391&lt;=INDEX(TabRFR[[2021]:[2025]],MATCH(BD!U391&amp;"-Très modestes",TabRFR[Recherche RFR],0),MATCH(TEXT(YEAR(BD!H391),"Standard"),TabRFR[[#Headers],[2021]:[2025]],0)),"Très Modeste",IF(V391&lt;=INDEX(TabRFR[[2021]:[2025]],MATCH(BD!U391&amp;"-modestes",TabRFR[Recherche RFR],0),MATCH(TEXT(YEAR(BD!H391),"Standard"),TabRFR[[#Headers],[2021]:[2025]],0)),"Modeste",IF(V391&lt;=INDEX(TabRFR[[2021]:[2025]],MATCH(BD!U391&amp;"-Intermédiaire",TabRFR[Recherche RFR],0),MATCH(TEXT(YEAR(BD!H391),"Standard"),TabRFR[[#Headers],[2021]:[2025]],0)),"Intermédiaire","Supérieur")))))))</f>
        <v>Intermédiaire</v>
      </c>
      <c r="X391" s="143"/>
      <c r="Y391" s="143" t="s">
        <v>1712</v>
      </c>
      <c r="Z391" s="143">
        <v>38620</v>
      </c>
      <c r="AA391" s="143" t="s">
        <v>241</v>
      </c>
      <c r="AB391" s="148"/>
      <c r="AC391" s="149"/>
      <c r="AD391" s="143" t="s">
        <v>91</v>
      </c>
      <c r="AE391" s="143"/>
      <c r="AF391" s="143"/>
      <c r="AG391" s="143"/>
      <c r="AH391" s="143"/>
      <c r="AI391" s="143" t="s">
        <v>1713</v>
      </c>
      <c r="AJ391" s="143" t="s">
        <v>268</v>
      </c>
      <c r="AK391" s="143" t="s">
        <v>1714</v>
      </c>
      <c r="AL391" s="149"/>
      <c r="AM391" s="148">
        <v>698193037</v>
      </c>
      <c r="AN391" s="143" t="s">
        <v>267</v>
      </c>
      <c r="AO391" s="143" t="s">
        <v>102</v>
      </c>
      <c r="AP391" s="147">
        <v>44998</v>
      </c>
      <c r="AQ391" s="135" t="s">
        <v>3496</v>
      </c>
      <c r="AR391" s="143">
        <v>1989</v>
      </c>
      <c r="AS391" s="143" t="s">
        <v>3413</v>
      </c>
      <c r="AT391" s="135" t="s">
        <v>3446</v>
      </c>
      <c r="AU391" s="143" t="s">
        <v>1177</v>
      </c>
      <c r="AV391" s="143" t="s">
        <v>1715</v>
      </c>
      <c r="AW391" s="143">
        <v>20</v>
      </c>
      <c r="AX391" s="143">
        <v>8.5</v>
      </c>
      <c r="AY391" s="143">
        <v>75.400000000000006</v>
      </c>
      <c r="AZ391" s="143">
        <v>8.6400000000000005E-2</v>
      </c>
      <c r="BA391" s="143" t="s">
        <v>101</v>
      </c>
      <c r="BB391" s="143"/>
      <c r="BC391" s="143">
        <f>37.8+7.9+47.47+75.6+54.5+17.57+179.34+273.41+77.36+198.68+328.8+249.66+203.96+61.53+94.06+33.4+56.24+1318.75</f>
        <v>3316.0299999999997</v>
      </c>
      <c r="BD391" s="143"/>
      <c r="BE391" s="143">
        <v>1172.75</v>
      </c>
      <c r="BF391" s="143">
        <f t="shared" si="21"/>
        <v>4488.78</v>
      </c>
      <c r="BG391" s="151">
        <f t="shared" si="22"/>
        <v>246.88289999999998</v>
      </c>
      <c r="BH391" s="151">
        <f t="shared" si="23"/>
        <v>4735.6628999999994</v>
      </c>
      <c r="BI391" s="151">
        <v>4628.67</v>
      </c>
      <c r="BJ391" s="143" t="s">
        <v>102</v>
      </c>
      <c r="BK391" s="143"/>
      <c r="BL391" s="143"/>
      <c r="BM391" s="144" t="s">
        <v>3592</v>
      </c>
      <c r="BN391" s="143">
        <v>2022</v>
      </c>
      <c r="BO391" s="144" t="s">
        <v>143</v>
      </c>
      <c r="BP391" s="144">
        <v>2022</v>
      </c>
      <c r="BQ391" s="203" t="s">
        <v>144</v>
      </c>
    </row>
    <row r="392" spans="1:69" ht="41.1" customHeight="1">
      <c r="A392" s="218" t="s">
        <v>1705</v>
      </c>
      <c r="B392" s="218" t="s">
        <v>1716</v>
      </c>
      <c r="C392" s="143">
        <v>1000</v>
      </c>
      <c r="D392" s="135">
        <v>44637</v>
      </c>
      <c r="E392" s="135">
        <v>44638</v>
      </c>
      <c r="F392" s="147" t="s">
        <v>76</v>
      </c>
      <c r="G392" s="135" t="s">
        <v>76</v>
      </c>
      <c r="H392" s="147">
        <v>44648</v>
      </c>
      <c r="I392" s="147">
        <v>44648</v>
      </c>
      <c r="J392" s="147">
        <v>44655</v>
      </c>
      <c r="K392" s="135">
        <v>44903</v>
      </c>
      <c r="L392" s="135">
        <v>44865</v>
      </c>
      <c r="M392" s="135" t="s">
        <v>1717</v>
      </c>
      <c r="N392" s="135">
        <v>44956</v>
      </c>
      <c r="O392" s="135">
        <v>44956</v>
      </c>
      <c r="P392" s="135">
        <v>44959</v>
      </c>
      <c r="Q392" s="135"/>
      <c r="R392" s="143"/>
      <c r="S392" s="143"/>
      <c r="T392" s="143"/>
      <c r="U392" s="143">
        <v>2</v>
      </c>
      <c r="V392" s="143">
        <v>28497</v>
      </c>
      <c r="W392" s="143" t="str">
        <f ca="1">IF(H392="",IF(D392="","",IF(U392+V392&lt;15,"Données Nb pers ou RFR manquantes",IF(COUNTA(INDIRECT("TabRFR["&amp;YEAR(D392)&amp;"]"))&lt;&gt;COUNTA(TabRFR[Recherche RFR]),"Data RFR manquantes", IF(V392&lt;=INDEX(TabRFR[[2021]:[2025]],MATCH(BD!U392&amp;"-Très modestes",TabRFR[Recherche RFR],0),MATCH(TEXT(YEAR(BD!D392),"Standard"),TabRFR[[#Headers],[2021]:[2025]],0)),"Très Modeste",IF(V392&lt;=INDEX(TabRFR[[2021]:[2025]],MATCH(BD!U392&amp;"-modestes",TabRFR[Recherche RFR],0),MATCH(TEXT(YEAR(BD!D392),"Standard"),TabRFR[[#Headers],[2021]:[2025]],0)),"Modeste",IF(V392&lt;=INDEX(TabRFR[[2021]:[2025]],MATCH(BD!U392&amp;"-Intermédiaire",TabRFR[Recherche RFR],0),MATCH(TEXT(YEAR(BD!D392),"Standard"),TabRFR[[#Headers],[2021]:[2025]],0)),"Intermédiaire","Supérieur")))))),IF(D392="","",IF(U392+V392&lt;15,"Données Nb pers ou RFR manquantes",IF(COUNTA(INDIRECT("TabRFR["&amp;YEAR(H392)&amp;"]"))&lt;&gt;COUNTA(TabRFR[Recherche RFR]),"Data RFR manquantes", IF(V392&lt;=INDEX(TabRFR[[2021]:[2025]],MATCH(BD!U392&amp;"-Très modestes",TabRFR[Recherche RFR],0),MATCH(TEXT(YEAR(BD!H392),"Standard"),TabRFR[[#Headers],[2021]:[2025]],0)),"Très Modeste",IF(V392&lt;=INDEX(TabRFR[[2021]:[2025]],MATCH(BD!U392&amp;"-modestes",TabRFR[Recherche RFR],0),MATCH(TEXT(YEAR(BD!H392),"Standard"),TabRFR[[#Headers],[2021]:[2025]],0)),"Modeste",IF(V392&lt;=INDEX(TabRFR[[2021]:[2025]],MATCH(BD!U392&amp;"-Intermédiaire",TabRFR[Recherche RFR],0),MATCH(TEXT(YEAR(BD!H392),"Standard"),TabRFR[[#Headers],[2021]:[2025]],0)),"Intermédiaire","Supérieur")))))))</f>
        <v>Modeste</v>
      </c>
      <c r="X392" s="143"/>
      <c r="Y392" s="143" t="s">
        <v>1718</v>
      </c>
      <c r="Z392" s="143">
        <v>38960</v>
      </c>
      <c r="AA392" s="143" t="s">
        <v>209</v>
      </c>
      <c r="AB392" s="148"/>
      <c r="AC392" s="149"/>
      <c r="AD392" s="143" t="s">
        <v>91</v>
      </c>
      <c r="AE392" s="143"/>
      <c r="AF392" s="143"/>
      <c r="AG392" s="143"/>
      <c r="AH392" s="143"/>
      <c r="AI392" s="165" t="s">
        <v>109</v>
      </c>
      <c r="AJ392" s="143" t="s">
        <v>108</v>
      </c>
      <c r="AK392" s="143" t="s">
        <v>1641</v>
      </c>
      <c r="AL392" s="149" t="s">
        <v>1701</v>
      </c>
      <c r="AM392" s="148" t="s">
        <v>112</v>
      </c>
      <c r="AN392" s="143" t="s">
        <v>76</v>
      </c>
      <c r="AO392" s="150" t="s">
        <v>144</v>
      </c>
      <c r="AP392" s="147">
        <v>44868</v>
      </c>
      <c r="AQ392" s="135" t="s">
        <v>3449</v>
      </c>
      <c r="AR392" s="143">
        <v>1980</v>
      </c>
      <c r="AS392" s="143" t="s">
        <v>3413</v>
      </c>
      <c r="AT392" s="135" t="s">
        <v>3446</v>
      </c>
      <c r="AU392" s="143" t="s">
        <v>1719</v>
      </c>
      <c r="AV392" s="143" t="s">
        <v>1720</v>
      </c>
      <c r="AW392" s="143">
        <v>20</v>
      </c>
      <c r="AX392" s="143">
        <v>8.1999999999999993</v>
      </c>
      <c r="AY392" s="143">
        <v>69.5</v>
      </c>
      <c r="AZ392" s="143">
        <v>1000</v>
      </c>
      <c r="BA392" s="143" t="s">
        <v>126</v>
      </c>
      <c r="BB392" s="143"/>
      <c r="BC392" s="143">
        <f>3916.64+279+89.72+102.79+600+88+47+23+20</f>
        <v>5166.1499999999996</v>
      </c>
      <c r="BD392" s="143"/>
      <c r="BE392" s="143">
        <f>50+455+50</f>
        <v>555</v>
      </c>
      <c r="BF392" s="143">
        <f t="shared" si="21"/>
        <v>5721.15</v>
      </c>
      <c r="BG392" s="151">
        <f t="shared" si="22"/>
        <v>314.66325000000001</v>
      </c>
      <c r="BH392" s="151">
        <f t="shared" si="23"/>
        <v>6035.8132499999992</v>
      </c>
      <c r="BI392" s="151">
        <v>6035.81</v>
      </c>
      <c r="BJ392" s="143" t="s">
        <v>102</v>
      </c>
      <c r="BK392" s="143"/>
      <c r="BL392" s="143"/>
      <c r="BM392" s="144" t="s">
        <v>3592</v>
      </c>
      <c r="BN392" s="143">
        <v>2022</v>
      </c>
      <c r="BO392" s="135" t="s">
        <v>155</v>
      </c>
      <c r="BP392" s="144">
        <v>2022</v>
      </c>
      <c r="BQ392" s="203" t="s">
        <v>144</v>
      </c>
    </row>
    <row r="393" spans="1:69" ht="41.1" customHeight="1">
      <c r="A393" s="218" t="s">
        <v>1705</v>
      </c>
      <c r="B393" s="218" t="s">
        <v>1721</v>
      </c>
      <c r="C393" s="143">
        <v>600</v>
      </c>
      <c r="D393" s="135">
        <v>44641</v>
      </c>
      <c r="E393" s="135">
        <v>44643</v>
      </c>
      <c r="F393" s="147">
        <v>44648</v>
      </c>
      <c r="G393" s="135" t="s">
        <v>1722</v>
      </c>
      <c r="H393" s="147">
        <v>44652</v>
      </c>
      <c r="I393" s="147">
        <v>44652</v>
      </c>
      <c r="J393" s="147">
        <v>44655</v>
      </c>
      <c r="K393" s="135">
        <v>44851</v>
      </c>
      <c r="L393" s="135">
        <v>44847</v>
      </c>
      <c r="M393" s="135" t="s">
        <v>76</v>
      </c>
      <c r="N393" s="135">
        <v>44873</v>
      </c>
      <c r="O393" s="135">
        <v>44873</v>
      </c>
      <c r="P393" s="135">
        <v>44879</v>
      </c>
      <c r="Q393" s="135"/>
      <c r="R393" s="143"/>
      <c r="S393" s="143"/>
      <c r="T393" s="143"/>
      <c r="U393" s="143">
        <v>2</v>
      </c>
      <c r="V393" s="143">
        <v>42858</v>
      </c>
      <c r="W393" s="143" t="str">
        <f ca="1">IF(H393="",IF(D393="","",IF(U393+V393&lt;15,"Données Nb pers ou RFR manquantes",IF(COUNTA(INDIRECT("TabRFR["&amp;YEAR(D393)&amp;"]"))&lt;&gt;COUNTA(TabRFR[Recherche RFR]),"Data RFR manquantes", IF(V393&lt;=INDEX(TabRFR[[2021]:[2025]],MATCH(BD!U393&amp;"-Très modestes",TabRFR[Recherche RFR],0),MATCH(TEXT(YEAR(BD!D393),"Standard"),TabRFR[[#Headers],[2021]:[2025]],0)),"Très Modeste",IF(V393&lt;=INDEX(TabRFR[[2021]:[2025]],MATCH(BD!U393&amp;"-modestes",TabRFR[Recherche RFR],0),MATCH(TEXT(YEAR(BD!D393),"Standard"),TabRFR[[#Headers],[2021]:[2025]],0)),"Modeste",IF(V393&lt;=INDEX(TabRFR[[2021]:[2025]],MATCH(BD!U393&amp;"-Intermédiaire",TabRFR[Recherche RFR],0),MATCH(TEXT(YEAR(BD!D393),"Standard"),TabRFR[[#Headers],[2021]:[2025]],0)),"Intermédiaire","Supérieur")))))),IF(D393="","",IF(U393+V393&lt;15,"Données Nb pers ou RFR manquantes",IF(COUNTA(INDIRECT("TabRFR["&amp;YEAR(H393)&amp;"]"))&lt;&gt;COUNTA(TabRFR[Recherche RFR]),"Data RFR manquantes", IF(V393&lt;=INDEX(TabRFR[[2021]:[2025]],MATCH(BD!U393&amp;"-Très modestes",TabRFR[Recherche RFR],0),MATCH(TEXT(YEAR(BD!H393),"Standard"),TabRFR[[#Headers],[2021]:[2025]],0)),"Très Modeste",IF(V393&lt;=INDEX(TabRFR[[2021]:[2025]],MATCH(BD!U393&amp;"-modestes",TabRFR[Recherche RFR],0),MATCH(TEXT(YEAR(BD!H393),"Standard"),TabRFR[[#Headers],[2021]:[2025]],0)),"Modeste",IF(V393&lt;=INDEX(TabRFR[[2021]:[2025]],MATCH(BD!U393&amp;"-Intermédiaire",TabRFR[Recherche RFR],0),MATCH(TEXT(YEAR(BD!H393),"Standard"),TabRFR[[#Headers],[2021]:[2025]],0)),"Intermédiaire","Supérieur")))))))</f>
        <v>Supérieur</v>
      </c>
      <c r="X393" s="143"/>
      <c r="Y393" s="143" t="s">
        <v>1723</v>
      </c>
      <c r="Z393" s="143">
        <v>38500</v>
      </c>
      <c r="AA393" s="143" t="s">
        <v>284</v>
      </c>
      <c r="AB393" s="148"/>
      <c r="AC393" s="149"/>
      <c r="AD393" s="143" t="s">
        <v>91</v>
      </c>
      <c r="AE393" s="143"/>
      <c r="AF393" s="143"/>
      <c r="AG393" s="143"/>
      <c r="AH393" s="143"/>
      <c r="AI393" s="135" t="s">
        <v>2703</v>
      </c>
      <c r="AJ393" s="143" t="s">
        <v>266</v>
      </c>
      <c r="AK393" s="143" t="s">
        <v>317</v>
      </c>
      <c r="AL393" s="150" t="s">
        <v>318</v>
      </c>
      <c r="AM393" s="148">
        <v>476500550</v>
      </c>
      <c r="AN393" s="143" t="s">
        <v>76</v>
      </c>
      <c r="AO393" s="150" t="s">
        <v>102</v>
      </c>
      <c r="AP393" s="147">
        <v>44740</v>
      </c>
      <c r="AQ393" s="135" t="s">
        <v>3496</v>
      </c>
      <c r="AR393" s="143">
        <v>1986</v>
      </c>
      <c r="AS393" s="143" t="s">
        <v>3413</v>
      </c>
      <c r="AT393" s="135" t="s">
        <v>3446</v>
      </c>
      <c r="AU393" s="143" t="s">
        <v>319</v>
      </c>
      <c r="AV393" s="143" t="s">
        <v>1724</v>
      </c>
      <c r="AW393" s="143">
        <v>26</v>
      </c>
      <c r="AX393" s="143">
        <v>5</v>
      </c>
      <c r="AY393" s="143">
        <v>80.3</v>
      </c>
      <c r="AZ393" s="143" t="s">
        <v>1725</v>
      </c>
      <c r="BA393" s="143" t="s">
        <v>101</v>
      </c>
      <c r="BB393" s="143"/>
      <c r="BC393" s="143">
        <f>2962.5+182.53+185.2+71.09+626.4+717.38</f>
        <v>4745.1000000000004</v>
      </c>
      <c r="BD393" s="143"/>
      <c r="BE393" s="143">
        <f>245.2+49.22+1020</f>
        <v>1314.42</v>
      </c>
      <c r="BF393" s="143">
        <f t="shared" si="21"/>
        <v>6059.52</v>
      </c>
      <c r="BG393" s="151">
        <f t="shared" si="22"/>
        <v>333.27360000000004</v>
      </c>
      <c r="BH393" s="151">
        <f t="shared" si="23"/>
        <v>6392.7936</v>
      </c>
      <c r="BI393" s="151">
        <v>6582.69</v>
      </c>
      <c r="BJ393" s="143" t="s">
        <v>102</v>
      </c>
      <c r="BK393" s="143"/>
      <c r="BL393" s="143"/>
      <c r="BM393" s="144" t="s">
        <v>3592</v>
      </c>
      <c r="BN393" s="143">
        <v>2022</v>
      </c>
      <c r="BO393" s="144" t="s">
        <v>143</v>
      </c>
      <c r="BP393" s="144">
        <v>2022</v>
      </c>
      <c r="BQ393" s="203" t="s">
        <v>144</v>
      </c>
    </row>
    <row r="394" spans="1:69" ht="41.1" customHeight="1">
      <c r="A394" s="218" t="s">
        <v>1705</v>
      </c>
      <c r="B394" s="218" t="s">
        <v>1726</v>
      </c>
      <c r="C394" s="143">
        <v>600</v>
      </c>
      <c r="D394" s="135">
        <v>44642</v>
      </c>
      <c r="E394" s="135">
        <v>44643</v>
      </c>
      <c r="F394" s="147" t="s">
        <v>76</v>
      </c>
      <c r="G394" s="135" t="s">
        <v>76</v>
      </c>
      <c r="H394" s="147">
        <v>44648</v>
      </c>
      <c r="I394" s="147">
        <v>44648</v>
      </c>
      <c r="J394" s="147">
        <v>44655</v>
      </c>
      <c r="K394" s="135">
        <v>44732</v>
      </c>
      <c r="L394" s="135">
        <v>44684</v>
      </c>
      <c r="M394" s="135" t="s">
        <v>76</v>
      </c>
      <c r="N394" s="135">
        <v>44769</v>
      </c>
      <c r="O394" s="135">
        <v>44769</v>
      </c>
      <c r="P394" s="135">
        <v>44770</v>
      </c>
      <c r="Q394" s="135"/>
      <c r="R394" s="143"/>
      <c r="S394" s="143"/>
      <c r="T394" s="143"/>
      <c r="U394" s="143">
        <v>2</v>
      </c>
      <c r="V394" s="143">
        <v>46853</v>
      </c>
      <c r="W394" s="143" t="str">
        <f ca="1">IF(H394="",IF(D394="","",IF(U394+V394&lt;15,"Données Nb pers ou RFR manquantes",IF(COUNTA(INDIRECT("TabRFR["&amp;YEAR(D394)&amp;"]"))&lt;&gt;COUNTA(TabRFR[Recherche RFR]),"Data RFR manquantes", IF(V394&lt;=INDEX(TabRFR[[2021]:[2025]],MATCH(BD!U394&amp;"-Très modestes",TabRFR[Recherche RFR],0),MATCH(TEXT(YEAR(BD!D394),"Standard"),TabRFR[[#Headers],[2021]:[2025]],0)),"Très Modeste",IF(V394&lt;=INDEX(TabRFR[[2021]:[2025]],MATCH(BD!U394&amp;"-modestes",TabRFR[Recherche RFR],0),MATCH(TEXT(YEAR(BD!D394),"Standard"),TabRFR[[#Headers],[2021]:[2025]],0)),"Modeste",IF(V394&lt;=INDEX(TabRFR[[2021]:[2025]],MATCH(BD!U394&amp;"-Intermédiaire",TabRFR[Recherche RFR],0),MATCH(TEXT(YEAR(BD!D394),"Standard"),TabRFR[[#Headers],[2021]:[2025]],0)),"Intermédiaire","Supérieur")))))),IF(D394="","",IF(U394+V394&lt;15,"Données Nb pers ou RFR manquantes",IF(COUNTA(INDIRECT("TabRFR["&amp;YEAR(H394)&amp;"]"))&lt;&gt;COUNTA(TabRFR[Recherche RFR]),"Data RFR manquantes", IF(V394&lt;=INDEX(TabRFR[[2021]:[2025]],MATCH(BD!U394&amp;"-Très modestes",TabRFR[Recherche RFR],0),MATCH(TEXT(YEAR(BD!H394),"Standard"),TabRFR[[#Headers],[2021]:[2025]],0)),"Très Modeste",IF(V394&lt;=INDEX(TabRFR[[2021]:[2025]],MATCH(BD!U394&amp;"-modestes",TabRFR[Recherche RFR],0),MATCH(TEXT(YEAR(BD!H394),"Standard"),TabRFR[[#Headers],[2021]:[2025]],0)),"Modeste",IF(V394&lt;=INDEX(TabRFR[[2021]:[2025]],MATCH(BD!U394&amp;"-Intermédiaire",TabRFR[Recherche RFR],0),MATCH(TEXT(YEAR(BD!H394),"Standard"),TabRFR[[#Headers],[2021]:[2025]],0)),"Intermédiaire","Supérieur")))))))</f>
        <v>Supérieur</v>
      </c>
      <c r="X394" s="143"/>
      <c r="Y394" s="143" t="s">
        <v>1727</v>
      </c>
      <c r="Z394" s="143">
        <v>38140</v>
      </c>
      <c r="AA394" s="143" t="s">
        <v>184</v>
      </c>
      <c r="AB394" s="148"/>
      <c r="AC394" s="149"/>
      <c r="AD394" s="143" t="s">
        <v>91</v>
      </c>
      <c r="AE394" s="143"/>
      <c r="AF394" s="143"/>
      <c r="AG394" s="143"/>
      <c r="AH394" s="143"/>
      <c r="AI394" s="143" t="s">
        <v>719</v>
      </c>
      <c r="AJ394" s="143" t="s">
        <v>720</v>
      </c>
      <c r="AK394" s="143" t="s">
        <v>721</v>
      </c>
      <c r="AL394" s="149" t="s">
        <v>1695</v>
      </c>
      <c r="AM394" s="148" t="s">
        <v>1696</v>
      </c>
      <c r="AN394" s="143" t="s">
        <v>76</v>
      </c>
      <c r="AO394" s="156" t="s">
        <v>144</v>
      </c>
      <c r="AP394" s="147">
        <v>44789</v>
      </c>
      <c r="AQ394" s="135" t="s">
        <v>3496</v>
      </c>
      <c r="AR394" s="143">
        <v>1987</v>
      </c>
      <c r="AS394" s="143" t="s">
        <v>3413</v>
      </c>
      <c r="AT394" s="143" t="s">
        <v>98</v>
      </c>
      <c r="AU394" s="143" t="s">
        <v>723</v>
      </c>
      <c r="AV394" s="143" t="s">
        <v>1697</v>
      </c>
      <c r="AW394" s="143">
        <v>15</v>
      </c>
      <c r="AX394" s="143">
        <v>9.1999999999999993</v>
      </c>
      <c r="AY394" s="143">
        <v>88.5</v>
      </c>
      <c r="AZ394" s="143" t="s">
        <v>1728</v>
      </c>
      <c r="BA394" s="143" t="s">
        <v>101</v>
      </c>
      <c r="BB394" s="143"/>
      <c r="BC394" s="143">
        <f>1300+390+480+230</f>
        <v>2400</v>
      </c>
      <c r="BD394" s="143"/>
      <c r="BE394" s="143">
        <f>130+580</f>
        <v>710</v>
      </c>
      <c r="BF394" s="143">
        <f t="shared" si="21"/>
        <v>3110</v>
      </c>
      <c r="BG394" s="151">
        <f t="shared" si="22"/>
        <v>171.05</v>
      </c>
      <c r="BH394" s="151">
        <f t="shared" si="23"/>
        <v>3281.0499999999997</v>
      </c>
      <c r="BI394" s="151">
        <f>3109.95*1.055</f>
        <v>3280.9972499999994</v>
      </c>
      <c r="BJ394" s="143" t="s">
        <v>102</v>
      </c>
      <c r="BK394" s="143"/>
      <c r="BL394" s="143"/>
      <c r="BM394" s="144" t="s">
        <v>3592</v>
      </c>
      <c r="BN394" s="143">
        <v>2022</v>
      </c>
      <c r="BO394" s="144" t="s">
        <v>143</v>
      </c>
      <c r="BP394" s="143" t="s">
        <v>3583</v>
      </c>
      <c r="BQ394" s="203" t="s">
        <v>144</v>
      </c>
    </row>
    <row r="395" spans="1:69" ht="41.1" customHeight="1">
      <c r="A395" s="218" t="s">
        <v>1529</v>
      </c>
      <c r="B395" s="218" t="s">
        <v>1729</v>
      </c>
      <c r="C395" s="143">
        <v>600</v>
      </c>
      <c r="D395" s="135">
        <v>44636</v>
      </c>
      <c r="E395" s="135">
        <v>44643</v>
      </c>
      <c r="F395" s="147"/>
      <c r="G395" s="168"/>
      <c r="H395" s="147">
        <v>44650</v>
      </c>
      <c r="I395" s="147">
        <v>44650</v>
      </c>
      <c r="J395" s="147">
        <v>44655</v>
      </c>
      <c r="K395" s="135">
        <v>44853</v>
      </c>
      <c r="L395" s="135">
        <v>44832</v>
      </c>
      <c r="M395" s="135" t="s">
        <v>76</v>
      </c>
      <c r="N395" s="135">
        <v>44874</v>
      </c>
      <c r="O395" s="135">
        <v>44874</v>
      </c>
      <c r="P395" s="135">
        <v>44879</v>
      </c>
      <c r="Q395" s="135"/>
      <c r="R395" s="143"/>
      <c r="S395" s="143"/>
      <c r="T395" s="143"/>
      <c r="U395" s="143">
        <v>2</v>
      </c>
      <c r="V395" s="143">
        <v>33409</v>
      </c>
      <c r="W395" s="143" t="str">
        <f ca="1">IF(H395="",IF(D395="","",IF(U395+V395&lt;15,"Données Nb pers ou RFR manquantes",IF(COUNTA(INDIRECT("TabRFR["&amp;YEAR(D395)&amp;"]"))&lt;&gt;COUNTA(TabRFR[Recherche RFR]),"Data RFR manquantes", IF(V395&lt;=INDEX(TabRFR[[2021]:[2025]],MATCH(BD!U395&amp;"-Très modestes",TabRFR[Recherche RFR],0),MATCH(TEXT(YEAR(BD!D395),"Standard"),TabRFR[[#Headers],[2021]:[2025]],0)),"Très Modeste",IF(V395&lt;=INDEX(TabRFR[[2021]:[2025]],MATCH(BD!U395&amp;"-modestes",TabRFR[Recherche RFR],0),MATCH(TEXT(YEAR(BD!D395),"Standard"),TabRFR[[#Headers],[2021]:[2025]],0)),"Modeste",IF(V395&lt;=INDEX(TabRFR[[2021]:[2025]],MATCH(BD!U395&amp;"-Intermédiaire",TabRFR[Recherche RFR],0),MATCH(TEXT(YEAR(BD!D395),"Standard"),TabRFR[[#Headers],[2021]:[2025]],0)),"Intermédiaire","Supérieur")))))),IF(D395="","",IF(U395+V395&lt;15,"Données Nb pers ou RFR manquantes",IF(COUNTA(INDIRECT("TabRFR["&amp;YEAR(H395)&amp;"]"))&lt;&gt;COUNTA(TabRFR[Recherche RFR]),"Data RFR manquantes", IF(V395&lt;=INDEX(TabRFR[[2021]:[2025]],MATCH(BD!U395&amp;"-Très modestes",TabRFR[Recherche RFR],0),MATCH(TEXT(YEAR(BD!H395),"Standard"),TabRFR[[#Headers],[2021]:[2025]],0)),"Très Modeste",IF(V395&lt;=INDEX(TabRFR[[2021]:[2025]],MATCH(BD!U395&amp;"-modestes",TabRFR[Recherche RFR],0),MATCH(TEXT(YEAR(BD!H395),"Standard"),TabRFR[[#Headers],[2021]:[2025]],0)),"Modeste",IF(V395&lt;=INDEX(TabRFR[[2021]:[2025]],MATCH(BD!U395&amp;"-Intermédiaire",TabRFR[Recherche RFR],0),MATCH(TEXT(YEAR(BD!H395),"Standard"),TabRFR[[#Headers],[2021]:[2025]],0)),"Intermédiaire","Supérieur")))))))</f>
        <v>Intermédiaire</v>
      </c>
      <c r="X395" s="143"/>
      <c r="Y395" s="143" t="s">
        <v>1730</v>
      </c>
      <c r="Z395" s="143">
        <v>38500</v>
      </c>
      <c r="AA395" s="143" t="s">
        <v>284</v>
      </c>
      <c r="AB395" s="148"/>
      <c r="AC395" s="149"/>
      <c r="AD395" s="143" t="s">
        <v>91</v>
      </c>
      <c r="AE395" s="143"/>
      <c r="AF395" s="143"/>
      <c r="AG395" s="143"/>
      <c r="AH395" s="143"/>
      <c r="AI395" s="143" t="s">
        <v>185</v>
      </c>
      <c r="AJ395" s="143" t="s">
        <v>1394</v>
      </c>
      <c r="AK395" s="143" t="s">
        <v>186</v>
      </c>
      <c r="AL395" s="149" t="s">
        <v>187</v>
      </c>
      <c r="AM395" s="148" t="s">
        <v>1395</v>
      </c>
      <c r="AN395" s="143" t="s">
        <v>76</v>
      </c>
      <c r="AO395" s="156" t="s">
        <v>144</v>
      </c>
      <c r="AP395" s="147">
        <v>44798</v>
      </c>
      <c r="AQ395" s="135" t="s">
        <v>3496</v>
      </c>
      <c r="AR395" s="143">
        <v>1992</v>
      </c>
      <c r="AS395" s="143" t="s">
        <v>3413</v>
      </c>
      <c r="AT395" s="143" t="s">
        <v>98</v>
      </c>
      <c r="AU395" s="143" t="s">
        <v>1653</v>
      </c>
      <c r="AV395" s="143" t="s">
        <v>1731</v>
      </c>
      <c r="AW395" s="143">
        <v>14</v>
      </c>
      <c r="AX395" s="143">
        <v>11</v>
      </c>
      <c r="AY395" s="143">
        <v>90.7</v>
      </c>
      <c r="AZ395" s="143">
        <v>7.8399999999999997E-3</v>
      </c>
      <c r="BA395" s="143" t="s">
        <v>101</v>
      </c>
      <c r="BB395" s="143"/>
      <c r="BC395" s="143">
        <v>7156.9</v>
      </c>
      <c r="BD395" s="143"/>
      <c r="BE395" s="143">
        <v>730</v>
      </c>
      <c r="BF395" s="143">
        <v>7229.98</v>
      </c>
      <c r="BG395" s="151">
        <v>397.65</v>
      </c>
      <c r="BH395" s="151">
        <v>7627.63</v>
      </c>
      <c r="BI395" s="151">
        <v>7627.63</v>
      </c>
      <c r="BJ395" s="143" t="s">
        <v>102</v>
      </c>
      <c r="BK395" s="143"/>
      <c r="BL395" s="143"/>
      <c r="BM395" s="144" t="s">
        <v>3592</v>
      </c>
      <c r="BN395" s="143">
        <v>2022</v>
      </c>
      <c r="BO395" s="144" t="s">
        <v>143</v>
      </c>
      <c r="BP395" s="143" t="s">
        <v>3583</v>
      </c>
      <c r="BQ395" s="203" t="s">
        <v>144</v>
      </c>
    </row>
    <row r="396" spans="1:69" ht="41.1" customHeight="1">
      <c r="A396" s="218" t="s">
        <v>1529</v>
      </c>
      <c r="B396" s="218" t="s">
        <v>1732</v>
      </c>
      <c r="C396" s="143">
        <v>1000</v>
      </c>
      <c r="D396" s="135">
        <v>44642</v>
      </c>
      <c r="E396" s="135">
        <v>44643</v>
      </c>
      <c r="F396" s="147"/>
      <c r="G396" s="135"/>
      <c r="H396" s="147">
        <v>44650</v>
      </c>
      <c r="I396" s="147">
        <v>44650</v>
      </c>
      <c r="J396" s="147">
        <v>44655</v>
      </c>
      <c r="K396" s="135">
        <v>44690</v>
      </c>
      <c r="L396" s="135">
        <v>44666</v>
      </c>
      <c r="M396" s="135" t="s">
        <v>76</v>
      </c>
      <c r="N396" s="135">
        <v>44768</v>
      </c>
      <c r="O396" s="135">
        <v>44768</v>
      </c>
      <c r="P396" s="135">
        <v>44769</v>
      </c>
      <c r="Q396" s="135"/>
      <c r="R396" s="143"/>
      <c r="S396" s="143"/>
      <c r="T396" s="143"/>
      <c r="U396" s="143">
        <v>1</v>
      </c>
      <c r="V396" s="143">
        <v>14496</v>
      </c>
      <c r="W396" s="143" t="str">
        <f ca="1">IF(H396="",IF(D396="","",IF(U396+V396&lt;15,"Données Nb pers ou RFR manquantes",IF(COUNTA(INDIRECT("TabRFR["&amp;YEAR(D396)&amp;"]"))&lt;&gt;COUNTA(TabRFR[Recherche RFR]),"Data RFR manquantes", IF(V396&lt;=INDEX(TabRFR[[2021]:[2025]],MATCH(BD!U396&amp;"-Très modestes",TabRFR[Recherche RFR],0),MATCH(TEXT(YEAR(BD!D396),"Standard"),TabRFR[[#Headers],[2021]:[2025]],0)),"Très Modeste",IF(V396&lt;=INDEX(TabRFR[[2021]:[2025]],MATCH(BD!U396&amp;"-modestes",TabRFR[Recherche RFR],0),MATCH(TEXT(YEAR(BD!D396),"Standard"),TabRFR[[#Headers],[2021]:[2025]],0)),"Modeste",IF(V396&lt;=INDEX(TabRFR[[2021]:[2025]],MATCH(BD!U396&amp;"-Intermédiaire",TabRFR[Recherche RFR],0),MATCH(TEXT(YEAR(BD!D396),"Standard"),TabRFR[[#Headers],[2021]:[2025]],0)),"Intermédiaire","Supérieur")))))),IF(D396="","",IF(U396+V396&lt;15,"Données Nb pers ou RFR manquantes",IF(COUNTA(INDIRECT("TabRFR["&amp;YEAR(H396)&amp;"]"))&lt;&gt;COUNTA(TabRFR[Recherche RFR]),"Data RFR manquantes", IF(V396&lt;=INDEX(TabRFR[[2021]:[2025]],MATCH(BD!U396&amp;"-Très modestes",TabRFR[Recherche RFR],0),MATCH(TEXT(YEAR(BD!H396),"Standard"),TabRFR[[#Headers],[2021]:[2025]],0)),"Très Modeste",IF(V396&lt;=INDEX(TabRFR[[2021]:[2025]],MATCH(BD!U396&amp;"-modestes",TabRFR[Recherche RFR],0),MATCH(TEXT(YEAR(BD!H396),"Standard"),TabRFR[[#Headers],[2021]:[2025]],0)),"Modeste",IF(V396&lt;=INDEX(TabRFR[[2021]:[2025]],MATCH(BD!U396&amp;"-Intermédiaire",TabRFR[Recherche RFR],0),MATCH(TEXT(YEAR(BD!H396),"Standard"),TabRFR[[#Headers],[2021]:[2025]],0)),"Intermédiaire","Supérieur")))))))</f>
        <v>Très Modeste</v>
      </c>
      <c r="X396" s="143"/>
      <c r="Y396" s="143" t="s">
        <v>1733</v>
      </c>
      <c r="Z396" s="143">
        <v>38500</v>
      </c>
      <c r="AA396" s="143" t="s">
        <v>284</v>
      </c>
      <c r="AB396" s="148"/>
      <c r="AC396" s="149"/>
      <c r="AD396" s="143" t="s">
        <v>91</v>
      </c>
      <c r="AE396" s="143"/>
      <c r="AF396" s="143"/>
      <c r="AG396" s="143"/>
      <c r="AH396" s="143"/>
      <c r="AI396" s="135" t="s">
        <v>2703</v>
      </c>
      <c r="AJ396" s="143" t="s">
        <v>266</v>
      </c>
      <c r="AK396" s="143" t="s">
        <v>317</v>
      </c>
      <c r="AL396" s="150" t="s">
        <v>318</v>
      </c>
      <c r="AM396" s="148">
        <v>476500550</v>
      </c>
      <c r="AN396" s="143" t="s">
        <v>76</v>
      </c>
      <c r="AO396" s="150" t="s">
        <v>102</v>
      </c>
      <c r="AP396" s="147">
        <v>44740</v>
      </c>
      <c r="AQ396" s="135" t="s">
        <v>3496</v>
      </c>
      <c r="AR396" s="143">
        <v>1999</v>
      </c>
      <c r="AS396" s="135" t="s">
        <v>3496</v>
      </c>
      <c r="AT396" s="135" t="s">
        <v>3446</v>
      </c>
      <c r="AU396" s="143" t="s">
        <v>319</v>
      </c>
      <c r="AV396" s="143" t="s">
        <v>1734</v>
      </c>
      <c r="AW396" s="143">
        <v>40</v>
      </c>
      <c r="AX396" s="143">
        <v>16</v>
      </c>
      <c r="AY396" s="143">
        <v>79</v>
      </c>
      <c r="AZ396" s="143">
        <v>0.11</v>
      </c>
      <c r="BA396" s="143" t="s">
        <v>101</v>
      </c>
      <c r="BB396" s="143"/>
      <c r="BC396" s="143">
        <v>2857.3</v>
      </c>
      <c r="BD396" s="143"/>
      <c r="BE396" s="143">
        <v>650</v>
      </c>
      <c r="BF396" s="143">
        <v>3507.3</v>
      </c>
      <c r="BG396" s="151">
        <v>192.9</v>
      </c>
      <c r="BH396" s="151">
        <v>3700.2</v>
      </c>
      <c r="BI396" s="151">
        <v>3700.2</v>
      </c>
      <c r="BJ396" s="143" t="s">
        <v>102</v>
      </c>
      <c r="BK396" s="143"/>
      <c r="BL396" s="143"/>
      <c r="BM396" s="144" t="s">
        <v>3592</v>
      </c>
      <c r="BN396" s="143">
        <v>2022</v>
      </c>
      <c r="BO396" s="135" t="s">
        <v>155</v>
      </c>
      <c r="BP396" s="144">
        <v>2022</v>
      </c>
      <c r="BQ396" s="203" t="s">
        <v>144</v>
      </c>
    </row>
    <row r="397" spans="1:69" ht="41.1" customHeight="1">
      <c r="A397" s="218" t="s">
        <v>1705</v>
      </c>
      <c r="B397" s="218" t="s">
        <v>1735</v>
      </c>
      <c r="C397" s="143">
        <v>600</v>
      </c>
      <c r="D397" s="135">
        <v>44643</v>
      </c>
      <c r="E397" s="135">
        <v>44650</v>
      </c>
      <c r="F397" s="147" t="s">
        <v>76</v>
      </c>
      <c r="G397" s="135" t="s">
        <v>76</v>
      </c>
      <c r="H397" s="147">
        <v>44658</v>
      </c>
      <c r="I397" s="147">
        <v>44658</v>
      </c>
      <c r="J397" s="147">
        <v>44664</v>
      </c>
      <c r="K397" s="135">
        <v>44711</v>
      </c>
      <c r="L397" s="135">
        <v>44689</v>
      </c>
      <c r="M397" s="135" t="s">
        <v>76</v>
      </c>
      <c r="N397" s="135">
        <v>44768</v>
      </c>
      <c r="O397" s="135">
        <v>44768</v>
      </c>
      <c r="P397" s="135">
        <v>44769</v>
      </c>
      <c r="Q397" s="135"/>
      <c r="R397" s="143"/>
      <c r="S397" s="143"/>
      <c r="T397" s="143"/>
      <c r="U397" s="143">
        <v>2</v>
      </c>
      <c r="V397" s="143">
        <v>64405</v>
      </c>
      <c r="W397" s="143" t="str">
        <f ca="1">IF(H397="",IF(D397="","",IF(U397+V397&lt;15,"Données Nb pers ou RFR manquantes",IF(COUNTA(INDIRECT("TabRFR["&amp;YEAR(D397)&amp;"]"))&lt;&gt;COUNTA(TabRFR[Recherche RFR]),"Data RFR manquantes", IF(V397&lt;=INDEX(TabRFR[[2021]:[2025]],MATCH(BD!U397&amp;"-Très modestes",TabRFR[Recherche RFR],0),MATCH(TEXT(YEAR(BD!D397),"Standard"),TabRFR[[#Headers],[2021]:[2025]],0)),"Très Modeste",IF(V397&lt;=INDEX(TabRFR[[2021]:[2025]],MATCH(BD!U397&amp;"-modestes",TabRFR[Recherche RFR],0),MATCH(TEXT(YEAR(BD!D397),"Standard"),TabRFR[[#Headers],[2021]:[2025]],0)),"Modeste",IF(V397&lt;=INDEX(TabRFR[[2021]:[2025]],MATCH(BD!U397&amp;"-Intermédiaire",TabRFR[Recherche RFR],0),MATCH(TEXT(YEAR(BD!D397),"Standard"),TabRFR[[#Headers],[2021]:[2025]],0)),"Intermédiaire","Supérieur")))))),IF(D397="","",IF(U397+V397&lt;15,"Données Nb pers ou RFR manquantes",IF(COUNTA(INDIRECT("TabRFR["&amp;YEAR(H397)&amp;"]"))&lt;&gt;COUNTA(TabRFR[Recherche RFR]),"Data RFR manquantes", IF(V397&lt;=INDEX(TabRFR[[2021]:[2025]],MATCH(BD!U397&amp;"-Très modestes",TabRFR[Recherche RFR],0),MATCH(TEXT(YEAR(BD!H397),"Standard"),TabRFR[[#Headers],[2021]:[2025]],0)),"Très Modeste",IF(V397&lt;=INDEX(TabRFR[[2021]:[2025]],MATCH(BD!U397&amp;"-modestes",TabRFR[Recherche RFR],0),MATCH(TEXT(YEAR(BD!H397),"Standard"),TabRFR[[#Headers],[2021]:[2025]],0)),"Modeste",IF(V397&lt;=INDEX(TabRFR[[2021]:[2025]],MATCH(BD!U397&amp;"-Intermédiaire",TabRFR[Recherche RFR],0),MATCH(TEXT(YEAR(BD!H397),"Standard"),TabRFR[[#Headers],[2021]:[2025]],0)),"Intermédiaire","Supérieur")))))))</f>
        <v>Supérieur</v>
      </c>
      <c r="X397" s="143"/>
      <c r="Y397" s="143" t="s">
        <v>1736</v>
      </c>
      <c r="Z397" s="143">
        <v>38490</v>
      </c>
      <c r="AA397" s="143" t="s">
        <v>1075</v>
      </c>
      <c r="AB397" s="148"/>
      <c r="AC397" s="149"/>
      <c r="AD397" s="143" t="s">
        <v>91</v>
      </c>
      <c r="AE397" s="143"/>
      <c r="AF397" s="143"/>
      <c r="AG397" s="143"/>
      <c r="AH397" s="143"/>
      <c r="AI397" s="143" t="s">
        <v>1106</v>
      </c>
      <c r="AJ397" s="143" t="s">
        <v>1075</v>
      </c>
      <c r="AK397" s="143" t="s">
        <v>1737</v>
      </c>
      <c r="AL397" s="169" t="s">
        <v>1454</v>
      </c>
      <c r="AM397" s="148">
        <v>476663386</v>
      </c>
      <c r="AN397" s="143" t="s">
        <v>76</v>
      </c>
      <c r="AO397" s="150" t="s">
        <v>102</v>
      </c>
      <c r="AP397" s="147">
        <v>44731</v>
      </c>
      <c r="AQ397" s="135" t="s">
        <v>3449</v>
      </c>
      <c r="AR397" s="143">
        <v>2001</v>
      </c>
      <c r="AS397" s="135" t="s">
        <v>3496</v>
      </c>
      <c r="AT397" s="135" t="s">
        <v>3446</v>
      </c>
      <c r="AU397" s="143" t="s">
        <v>1738</v>
      </c>
      <c r="AV397" s="143" t="s">
        <v>1739</v>
      </c>
      <c r="AW397" s="151">
        <v>18</v>
      </c>
      <c r="AX397" s="151">
        <v>14</v>
      </c>
      <c r="AY397" s="151" t="s">
        <v>1740</v>
      </c>
      <c r="AZ397" s="151" t="s">
        <v>1741</v>
      </c>
      <c r="BA397" s="151" t="s">
        <v>101</v>
      </c>
      <c r="BB397" s="143"/>
      <c r="BC397" s="151">
        <f>5318.66+345+295+467+195</f>
        <v>6620.66</v>
      </c>
      <c r="BD397" s="143"/>
      <c r="BE397" s="151">
        <f>500+385</f>
        <v>885</v>
      </c>
      <c r="BF397" s="151">
        <f>BC397+BE397</f>
        <v>7505.66</v>
      </c>
      <c r="BG397" s="151">
        <f>BF397*0.055</f>
        <v>412.81130000000002</v>
      </c>
      <c r="BH397" s="151">
        <f t="shared" ref="BH397:BH404" si="24">BF397*1.055</f>
        <v>7918.4712999999992</v>
      </c>
      <c r="BI397" s="151">
        <f>6968+(900.92*1.055)</f>
        <v>7918.4705999999996</v>
      </c>
      <c r="BJ397" s="143" t="s">
        <v>102</v>
      </c>
      <c r="BK397" s="143"/>
      <c r="BL397" s="143"/>
      <c r="BM397" s="144" t="s">
        <v>3592</v>
      </c>
      <c r="BN397" s="143">
        <v>2022</v>
      </c>
      <c r="BO397" s="144" t="s">
        <v>143</v>
      </c>
      <c r="BP397" s="144">
        <v>2022</v>
      </c>
      <c r="BQ397" s="203" t="s">
        <v>144</v>
      </c>
    </row>
    <row r="398" spans="1:69" ht="41.1" customHeight="1">
      <c r="A398" s="218" t="s">
        <v>1705</v>
      </c>
      <c r="B398" s="218" t="s">
        <v>1742</v>
      </c>
      <c r="C398" s="143">
        <v>600</v>
      </c>
      <c r="D398" s="135">
        <v>44643</v>
      </c>
      <c r="E398" s="135">
        <v>44655</v>
      </c>
      <c r="F398" s="147" t="s">
        <v>76</v>
      </c>
      <c r="G398" s="135" t="s">
        <v>76</v>
      </c>
      <c r="H398" s="147">
        <v>44658</v>
      </c>
      <c r="I398" s="147">
        <v>44658</v>
      </c>
      <c r="J398" s="147">
        <v>44664</v>
      </c>
      <c r="K398" s="135">
        <v>44824</v>
      </c>
      <c r="L398" s="135">
        <v>44810</v>
      </c>
      <c r="M398" s="135" t="s">
        <v>1319</v>
      </c>
      <c r="N398" s="135">
        <v>44875</v>
      </c>
      <c r="O398" s="135">
        <v>44875</v>
      </c>
      <c r="P398" s="135">
        <v>44880</v>
      </c>
      <c r="Q398" s="135"/>
      <c r="R398" s="143"/>
      <c r="S398" s="143"/>
      <c r="T398" s="143"/>
      <c r="U398" s="143">
        <v>2</v>
      </c>
      <c r="V398" s="143">
        <v>42264</v>
      </c>
      <c r="W398" s="143" t="str">
        <f ca="1">IF(H398="",IF(D398="","",IF(U398+V398&lt;15,"Données Nb pers ou RFR manquantes",IF(COUNTA(INDIRECT("TabRFR["&amp;YEAR(D398)&amp;"]"))&lt;&gt;COUNTA(TabRFR[Recherche RFR]),"Data RFR manquantes", IF(V398&lt;=INDEX(TabRFR[[2021]:[2025]],MATCH(BD!U398&amp;"-Très modestes",TabRFR[Recherche RFR],0),MATCH(TEXT(YEAR(BD!D398),"Standard"),TabRFR[[#Headers],[2021]:[2025]],0)),"Très Modeste",IF(V398&lt;=INDEX(TabRFR[[2021]:[2025]],MATCH(BD!U398&amp;"-modestes",TabRFR[Recherche RFR],0),MATCH(TEXT(YEAR(BD!D398),"Standard"),TabRFR[[#Headers],[2021]:[2025]],0)),"Modeste",IF(V398&lt;=INDEX(TabRFR[[2021]:[2025]],MATCH(BD!U398&amp;"-Intermédiaire",TabRFR[Recherche RFR],0),MATCH(TEXT(YEAR(BD!D398),"Standard"),TabRFR[[#Headers],[2021]:[2025]],0)),"Intermédiaire","Supérieur")))))),IF(D398="","",IF(U398+V398&lt;15,"Données Nb pers ou RFR manquantes",IF(COUNTA(INDIRECT("TabRFR["&amp;YEAR(H398)&amp;"]"))&lt;&gt;COUNTA(TabRFR[Recherche RFR]),"Data RFR manquantes", IF(V398&lt;=INDEX(TabRFR[[2021]:[2025]],MATCH(BD!U398&amp;"-Très modestes",TabRFR[Recherche RFR],0),MATCH(TEXT(YEAR(BD!H398),"Standard"),TabRFR[[#Headers],[2021]:[2025]],0)),"Très Modeste",IF(V398&lt;=INDEX(TabRFR[[2021]:[2025]],MATCH(BD!U398&amp;"-modestes",TabRFR[Recherche RFR],0),MATCH(TEXT(YEAR(BD!H398),"Standard"),TabRFR[[#Headers],[2021]:[2025]],0)),"Modeste",IF(V398&lt;=INDEX(TabRFR[[2021]:[2025]],MATCH(BD!U398&amp;"-Intermédiaire",TabRFR[Recherche RFR],0),MATCH(TEXT(YEAR(BD!H398),"Standard"),TabRFR[[#Headers],[2021]:[2025]],0)),"Intermédiaire","Supérieur")))))))</f>
        <v>Intermédiaire</v>
      </c>
      <c r="X398" s="143"/>
      <c r="Y398" s="143" t="s">
        <v>1743</v>
      </c>
      <c r="Z398" s="143">
        <v>38210</v>
      </c>
      <c r="AA398" s="143" t="s">
        <v>202</v>
      </c>
      <c r="AB398" s="148"/>
      <c r="AC398" s="149"/>
      <c r="AD398" s="143" t="s">
        <v>91</v>
      </c>
      <c r="AE398" s="143"/>
      <c r="AF398" s="143"/>
      <c r="AG398" s="143"/>
      <c r="AH398" s="143"/>
      <c r="AI398" s="143" t="s">
        <v>1366</v>
      </c>
      <c r="AJ398" s="143" t="s">
        <v>1367</v>
      </c>
      <c r="AK398" s="143" t="s">
        <v>1744</v>
      </c>
      <c r="AL398" s="169" t="s">
        <v>1745</v>
      </c>
      <c r="AM398" s="148">
        <v>476389564</v>
      </c>
      <c r="AN398" s="143" t="s">
        <v>76</v>
      </c>
      <c r="AO398" s="156" t="s">
        <v>144</v>
      </c>
      <c r="AP398" s="147">
        <v>44867</v>
      </c>
      <c r="AQ398" s="135" t="s">
        <v>3496</v>
      </c>
      <c r="AR398" s="143">
        <v>1990</v>
      </c>
      <c r="AS398" s="143" t="s">
        <v>3413</v>
      </c>
      <c r="AT398" s="143" t="s">
        <v>98</v>
      </c>
      <c r="AU398" s="143" t="s">
        <v>1670</v>
      </c>
      <c r="AV398" s="143" t="s">
        <v>1475</v>
      </c>
      <c r="AW398" s="143">
        <v>20</v>
      </c>
      <c r="AX398" s="143" t="s">
        <v>1746</v>
      </c>
      <c r="AY398" s="143">
        <v>89</v>
      </c>
      <c r="AZ398" s="143" t="s">
        <v>1747</v>
      </c>
      <c r="BA398" s="143" t="s">
        <v>101</v>
      </c>
      <c r="BB398" s="143"/>
      <c r="BC398" s="143">
        <f>5677+269+1200.15+128.7</f>
        <v>7274.8499999999995</v>
      </c>
      <c r="BD398" s="143"/>
      <c r="BE398" s="143">
        <v>585</v>
      </c>
      <c r="BF398" s="143">
        <f>BC398+BE398</f>
        <v>7859.8499999999995</v>
      </c>
      <c r="BG398" s="151">
        <f>BF398*0.055</f>
        <v>432.29174999999998</v>
      </c>
      <c r="BH398" s="151">
        <f t="shared" si="24"/>
        <v>8292.1417499999989</v>
      </c>
      <c r="BI398" s="151">
        <v>7592.14</v>
      </c>
      <c r="BJ398" s="143" t="s">
        <v>102</v>
      </c>
      <c r="BK398" s="143"/>
      <c r="BL398" s="143"/>
      <c r="BM398" s="144" t="s">
        <v>3592</v>
      </c>
      <c r="BN398" s="143">
        <v>2022</v>
      </c>
      <c r="BO398" s="144" t="s">
        <v>143</v>
      </c>
      <c r="BP398" s="143" t="s">
        <v>3583</v>
      </c>
      <c r="BQ398" s="203" t="s">
        <v>144</v>
      </c>
    </row>
    <row r="399" spans="1:69" ht="41.1" customHeight="1">
      <c r="A399" s="218" t="s">
        <v>1705</v>
      </c>
      <c r="B399" s="218" t="s">
        <v>1748</v>
      </c>
      <c r="C399" s="143">
        <v>600</v>
      </c>
      <c r="D399" s="135">
        <v>44644</v>
      </c>
      <c r="E399" s="135">
        <v>44651</v>
      </c>
      <c r="F399" s="147" t="s">
        <v>76</v>
      </c>
      <c r="G399" s="135" t="s">
        <v>76</v>
      </c>
      <c r="H399" s="147">
        <v>44658</v>
      </c>
      <c r="I399" s="147">
        <v>44658</v>
      </c>
      <c r="J399" s="147">
        <v>44664</v>
      </c>
      <c r="K399" s="135">
        <v>44818</v>
      </c>
      <c r="L399" s="135">
        <v>44811</v>
      </c>
      <c r="M399" s="135" t="s">
        <v>76</v>
      </c>
      <c r="N399" s="135">
        <v>44873</v>
      </c>
      <c r="O399" s="135">
        <v>44873</v>
      </c>
      <c r="P399" s="135">
        <v>44879</v>
      </c>
      <c r="Q399" s="135"/>
      <c r="R399" s="143"/>
      <c r="S399" s="143"/>
      <c r="T399" s="143"/>
      <c r="U399" s="143">
        <v>2</v>
      </c>
      <c r="V399" s="143">
        <v>52044</v>
      </c>
      <c r="W399" s="143" t="str">
        <f ca="1">IF(H399="",IF(D399="","",IF(U399+V399&lt;15,"Données Nb pers ou RFR manquantes",IF(COUNTA(INDIRECT("TabRFR["&amp;YEAR(D399)&amp;"]"))&lt;&gt;COUNTA(TabRFR[Recherche RFR]),"Data RFR manquantes", IF(V399&lt;=INDEX(TabRFR[[2021]:[2025]],MATCH(BD!U399&amp;"-Très modestes",TabRFR[Recherche RFR],0),MATCH(TEXT(YEAR(BD!D399),"Standard"),TabRFR[[#Headers],[2021]:[2025]],0)),"Très Modeste",IF(V399&lt;=INDEX(TabRFR[[2021]:[2025]],MATCH(BD!U399&amp;"-modestes",TabRFR[Recherche RFR],0),MATCH(TEXT(YEAR(BD!D399),"Standard"),TabRFR[[#Headers],[2021]:[2025]],0)),"Modeste",IF(V399&lt;=INDEX(TabRFR[[2021]:[2025]],MATCH(BD!U399&amp;"-Intermédiaire",TabRFR[Recherche RFR],0),MATCH(TEXT(YEAR(BD!D399),"Standard"),TabRFR[[#Headers],[2021]:[2025]],0)),"Intermédiaire","Supérieur")))))),IF(D399="","",IF(U399+V399&lt;15,"Données Nb pers ou RFR manquantes",IF(COUNTA(INDIRECT("TabRFR["&amp;YEAR(H399)&amp;"]"))&lt;&gt;COUNTA(TabRFR[Recherche RFR]),"Data RFR manquantes", IF(V399&lt;=INDEX(TabRFR[[2021]:[2025]],MATCH(BD!U399&amp;"-Très modestes",TabRFR[Recherche RFR],0),MATCH(TEXT(YEAR(BD!H399),"Standard"),TabRFR[[#Headers],[2021]:[2025]],0)),"Très Modeste",IF(V399&lt;=INDEX(TabRFR[[2021]:[2025]],MATCH(BD!U399&amp;"-modestes",TabRFR[Recherche RFR],0),MATCH(TEXT(YEAR(BD!H399),"Standard"),TabRFR[[#Headers],[2021]:[2025]],0)),"Modeste",IF(V399&lt;=INDEX(TabRFR[[2021]:[2025]],MATCH(BD!U399&amp;"-Intermédiaire",TabRFR[Recherche RFR],0),MATCH(TEXT(YEAR(BD!H399),"Standard"),TabRFR[[#Headers],[2021]:[2025]],0)),"Intermédiaire","Supérieur")))))))</f>
        <v>Supérieur</v>
      </c>
      <c r="X399" s="143"/>
      <c r="Y399" s="143" t="s">
        <v>1749</v>
      </c>
      <c r="Z399" s="143">
        <v>38210</v>
      </c>
      <c r="AA399" s="143" t="s">
        <v>202</v>
      </c>
      <c r="AB399" s="148"/>
      <c r="AC399" s="149"/>
      <c r="AD399" s="143" t="s">
        <v>91</v>
      </c>
      <c r="AE399" s="143"/>
      <c r="AF399" s="143"/>
      <c r="AG399" s="143"/>
      <c r="AH399" s="143"/>
      <c r="AI399" s="143" t="s">
        <v>1750</v>
      </c>
      <c r="AJ399" s="143" t="s">
        <v>1751</v>
      </c>
      <c r="AK399" s="143" t="s">
        <v>1752</v>
      </c>
      <c r="AL399" s="170" t="s">
        <v>1753</v>
      </c>
      <c r="AM399" s="148">
        <v>665070922</v>
      </c>
      <c r="AN399" s="143"/>
      <c r="AO399" s="156" t="s">
        <v>144</v>
      </c>
      <c r="AP399" s="147">
        <v>44987</v>
      </c>
      <c r="AQ399" s="135" t="s">
        <v>3496</v>
      </c>
      <c r="AR399" s="143">
        <v>1989</v>
      </c>
      <c r="AS399" s="143" t="s">
        <v>3413</v>
      </c>
      <c r="AT399" s="143" t="s">
        <v>98</v>
      </c>
      <c r="AU399" s="143" t="s">
        <v>430</v>
      </c>
      <c r="AV399" s="143" t="s">
        <v>1754</v>
      </c>
      <c r="AW399" s="143">
        <v>15</v>
      </c>
      <c r="AX399" s="143">
        <v>7.8</v>
      </c>
      <c r="AY399" s="143">
        <v>81</v>
      </c>
      <c r="AZ399" s="143">
        <v>74</v>
      </c>
      <c r="BA399" s="143" t="s">
        <v>126</v>
      </c>
      <c r="BB399" s="143"/>
      <c r="BC399" s="143">
        <f>3851.69+634.5+400+600+200</f>
        <v>5686.1900000000005</v>
      </c>
      <c r="BD399" s="143"/>
      <c r="BE399" s="143">
        <f>455+420</f>
        <v>875</v>
      </c>
      <c r="BF399" s="143">
        <f>+BC399+BE399</f>
        <v>6561.1900000000005</v>
      </c>
      <c r="BG399" s="151">
        <f>BF399*0.055</f>
        <v>360.86545000000001</v>
      </c>
      <c r="BH399" s="151">
        <f t="shared" si="24"/>
        <v>6922.0554499999998</v>
      </c>
      <c r="BI399" s="151">
        <v>6478.34</v>
      </c>
      <c r="BJ399" s="143" t="s">
        <v>102</v>
      </c>
      <c r="BK399" s="143"/>
      <c r="BL399" s="143"/>
      <c r="BM399" s="144" t="s">
        <v>3592</v>
      </c>
      <c r="BN399" s="143">
        <v>2022</v>
      </c>
      <c r="BO399" s="144" t="s">
        <v>143</v>
      </c>
      <c r="BP399" s="143" t="s">
        <v>3583</v>
      </c>
      <c r="BQ399" s="203" t="s">
        <v>144</v>
      </c>
    </row>
    <row r="400" spans="1:69" ht="41.1" customHeight="1">
      <c r="A400" s="218" t="s">
        <v>1705</v>
      </c>
      <c r="B400" s="218" t="s">
        <v>1755</v>
      </c>
      <c r="C400" s="143">
        <v>600</v>
      </c>
      <c r="D400" s="135">
        <v>44644</v>
      </c>
      <c r="E400" s="135">
        <v>44651</v>
      </c>
      <c r="F400" s="147" t="s">
        <v>76</v>
      </c>
      <c r="G400" s="135" t="s">
        <v>76</v>
      </c>
      <c r="H400" s="147">
        <v>44658</v>
      </c>
      <c r="I400" s="147">
        <v>44658</v>
      </c>
      <c r="J400" s="147">
        <v>44664</v>
      </c>
      <c r="K400" s="135">
        <v>44726</v>
      </c>
      <c r="L400" s="135">
        <v>44721</v>
      </c>
      <c r="M400" s="135" t="s">
        <v>76</v>
      </c>
      <c r="N400" s="135">
        <v>44769</v>
      </c>
      <c r="O400" s="135">
        <v>44769</v>
      </c>
      <c r="P400" s="135">
        <v>44770</v>
      </c>
      <c r="Q400" s="135"/>
      <c r="R400" s="143"/>
      <c r="S400" s="143"/>
      <c r="T400" s="143"/>
      <c r="U400" s="143">
        <v>3</v>
      </c>
      <c r="V400" s="143">
        <v>58783</v>
      </c>
      <c r="W400" s="143" t="str">
        <f ca="1">IF(H400="",IF(D400="","",IF(U400+V400&lt;15,"Données Nb pers ou RFR manquantes",IF(COUNTA(INDIRECT("TabRFR["&amp;YEAR(D400)&amp;"]"))&lt;&gt;COUNTA(TabRFR[Recherche RFR]),"Data RFR manquantes", IF(V400&lt;=INDEX(TabRFR[[2021]:[2025]],MATCH(BD!U400&amp;"-Très modestes",TabRFR[Recherche RFR],0),MATCH(TEXT(YEAR(BD!D400),"Standard"),TabRFR[[#Headers],[2021]:[2025]],0)),"Très Modeste",IF(V400&lt;=INDEX(TabRFR[[2021]:[2025]],MATCH(BD!U400&amp;"-modestes",TabRFR[Recherche RFR],0),MATCH(TEXT(YEAR(BD!D400),"Standard"),TabRFR[[#Headers],[2021]:[2025]],0)),"Modeste",IF(V400&lt;=INDEX(TabRFR[[2021]:[2025]],MATCH(BD!U400&amp;"-Intermédiaire",TabRFR[Recherche RFR],0),MATCH(TEXT(YEAR(BD!D400),"Standard"),TabRFR[[#Headers],[2021]:[2025]],0)),"Intermédiaire","Supérieur")))))),IF(D400="","",IF(U400+V400&lt;15,"Données Nb pers ou RFR manquantes",IF(COUNTA(INDIRECT("TabRFR["&amp;YEAR(H400)&amp;"]"))&lt;&gt;COUNTA(TabRFR[Recherche RFR]),"Data RFR manquantes", IF(V400&lt;=INDEX(TabRFR[[2021]:[2025]],MATCH(BD!U400&amp;"-Très modestes",TabRFR[Recherche RFR],0),MATCH(TEXT(YEAR(BD!H400),"Standard"),TabRFR[[#Headers],[2021]:[2025]],0)),"Très Modeste",IF(V400&lt;=INDEX(TabRFR[[2021]:[2025]],MATCH(BD!U400&amp;"-modestes",TabRFR[Recherche RFR],0),MATCH(TEXT(YEAR(BD!H400),"Standard"),TabRFR[[#Headers],[2021]:[2025]],0)),"Modeste",IF(V400&lt;=INDEX(TabRFR[[2021]:[2025]],MATCH(BD!U400&amp;"-Intermédiaire",TabRFR[Recherche RFR],0),MATCH(TEXT(YEAR(BD!H400),"Standard"),TabRFR[[#Headers],[2021]:[2025]],0)),"Intermédiaire","Supérieur")))))))</f>
        <v>Supérieur</v>
      </c>
      <c r="X400" s="143"/>
      <c r="Y400" s="143" t="s">
        <v>1756</v>
      </c>
      <c r="Z400" s="143">
        <v>38500</v>
      </c>
      <c r="AA400" s="143" t="s">
        <v>108</v>
      </c>
      <c r="AB400" s="148"/>
      <c r="AC400" s="149"/>
      <c r="AD400" s="143" t="s">
        <v>91</v>
      </c>
      <c r="AE400" s="171"/>
      <c r="AF400" s="171"/>
      <c r="AG400" s="171"/>
      <c r="AH400" s="171"/>
      <c r="AI400" s="143" t="s">
        <v>1665</v>
      </c>
      <c r="AJ400" s="143" t="s">
        <v>121</v>
      </c>
      <c r="AK400" s="143" t="s">
        <v>251</v>
      </c>
      <c r="AL400" s="170" t="s">
        <v>252</v>
      </c>
      <c r="AM400" s="148">
        <v>476452433</v>
      </c>
      <c r="AN400" s="143" t="s">
        <v>76</v>
      </c>
      <c r="AO400" s="156" t="s">
        <v>144</v>
      </c>
      <c r="AP400" s="147">
        <v>44954</v>
      </c>
      <c r="AQ400" s="135" t="s">
        <v>3449</v>
      </c>
      <c r="AR400" s="143">
        <v>2000</v>
      </c>
      <c r="AS400" s="143" t="s">
        <v>3413</v>
      </c>
      <c r="AT400" s="135" t="s">
        <v>3446</v>
      </c>
      <c r="AU400" s="143" t="s">
        <v>253</v>
      </c>
      <c r="AV400" s="143" t="s">
        <v>1757</v>
      </c>
      <c r="AW400" s="143">
        <v>20</v>
      </c>
      <c r="AX400" s="143">
        <v>5</v>
      </c>
      <c r="AY400" s="143">
        <v>80</v>
      </c>
      <c r="AZ400" s="143" t="s">
        <v>1758</v>
      </c>
      <c r="BA400" s="143" t="s">
        <v>101</v>
      </c>
      <c r="BB400" s="143"/>
      <c r="BC400" s="143">
        <f>3687.2+300+255+175.33+181.57+400+85</f>
        <v>5084.0999999999995</v>
      </c>
      <c r="BD400" s="143"/>
      <c r="BE400" s="143">
        <v>585</v>
      </c>
      <c r="BF400" s="143">
        <f>BC400+BE400</f>
        <v>5669.0999999999995</v>
      </c>
      <c r="BG400" s="143">
        <f>BC400*0.055</f>
        <v>279.62549999999999</v>
      </c>
      <c r="BH400" s="151">
        <f t="shared" si="24"/>
        <v>5980.9004999999988</v>
      </c>
      <c r="BI400" s="151">
        <f>5559.96+(399*1.055)</f>
        <v>5980.9049999999997</v>
      </c>
      <c r="BJ400" s="143" t="s">
        <v>102</v>
      </c>
      <c r="BK400" s="171"/>
      <c r="BL400" s="171"/>
      <c r="BM400" s="144" t="s">
        <v>3592</v>
      </c>
      <c r="BN400" s="143">
        <v>2022</v>
      </c>
      <c r="BO400" s="144" t="s">
        <v>143</v>
      </c>
      <c r="BP400" s="144">
        <v>2022</v>
      </c>
      <c r="BQ400" s="203" t="s">
        <v>144</v>
      </c>
    </row>
    <row r="401" spans="1:69" ht="41.1" customHeight="1">
      <c r="A401" s="218" t="s">
        <v>1705</v>
      </c>
      <c r="B401" s="218" t="s">
        <v>1759</v>
      </c>
      <c r="C401" s="143">
        <v>1000</v>
      </c>
      <c r="D401" s="135">
        <v>44644</v>
      </c>
      <c r="E401" s="135">
        <v>44651</v>
      </c>
      <c r="F401" s="147" t="s">
        <v>76</v>
      </c>
      <c r="G401" s="135" t="s">
        <v>76</v>
      </c>
      <c r="H401" s="147">
        <v>44666</v>
      </c>
      <c r="I401" s="147">
        <v>44666</v>
      </c>
      <c r="J401" s="147">
        <v>44676</v>
      </c>
      <c r="K401" s="147">
        <v>44741</v>
      </c>
      <c r="L401" s="172">
        <v>44726</v>
      </c>
      <c r="M401" s="135" t="s">
        <v>76</v>
      </c>
      <c r="N401" s="135">
        <v>44769</v>
      </c>
      <c r="O401" s="135">
        <v>44769</v>
      </c>
      <c r="P401" s="135">
        <v>44770</v>
      </c>
      <c r="Q401" s="135"/>
      <c r="R401" s="135"/>
      <c r="S401" s="143"/>
      <c r="T401" s="143"/>
      <c r="U401" s="143">
        <v>2</v>
      </c>
      <c r="V401" s="143">
        <v>14427</v>
      </c>
      <c r="W401" s="143" t="str">
        <f ca="1">IF(H401="",IF(D401="","",IF(U401+V401&lt;15,"Données Nb pers ou RFR manquantes",IF(COUNTA(INDIRECT("TabRFR["&amp;YEAR(D401)&amp;"]"))&lt;&gt;COUNTA(TabRFR[Recherche RFR]),"Data RFR manquantes", IF(V401&lt;=INDEX(TabRFR[[2021]:[2025]],MATCH(BD!U401&amp;"-Très modestes",TabRFR[Recherche RFR],0),MATCH(TEXT(YEAR(BD!D401),"Standard"),TabRFR[[#Headers],[2021]:[2025]],0)),"Très Modeste",IF(V401&lt;=INDEX(TabRFR[[2021]:[2025]],MATCH(BD!U401&amp;"-modestes",TabRFR[Recherche RFR],0),MATCH(TEXT(YEAR(BD!D401),"Standard"),TabRFR[[#Headers],[2021]:[2025]],0)),"Modeste",IF(V401&lt;=INDEX(TabRFR[[2021]:[2025]],MATCH(BD!U401&amp;"-Intermédiaire",TabRFR[Recherche RFR],0),MATCH(TEXT(YEAR(BD!D401),"Standard"),TabRFR[[#Headers],[2021]:[2025]],0)),"Intermédiaire","Supérieur")))))),IF(D401="","",IF(U401+V401&lt;15,"Données Nb pers ou RFR manquantes",IF(COUNTA(INDIRECT("TabRFR["&amp;YEAR(H401)&amp;"]"))&lt;&gt;COUNTA(TabRFR[Recherche RFR]),"Data RFR manquantes", IF(V401&lt;=INDEX(TabRFR[[2021]:[2025]],MATCH(BD!U401&amp;"-Très modestes",TabRFR[Recherche RFR],0),MATCH(TEXT(YEAR(BD!H401),"Standard"),TabRFR[[#Headers],[2021]:[2025]],0)),"Très Modeste",IF(V401&lt;=INDEX(TabRFR[[2021]:[2025]],MATCH(BD!U401&amp;"-modestes",TabRFR[Recherche RFR],0),MATCH(TEXT(YEAR(BD!H401),"Standard"),TabRFR[[#Headers],[2021]:[2025]],0)),"Modeste",IF(V401&lt;=INDEX(TabRFR[[2021]:[2025]],MATCH(BD!U401&amp;"-Intermédiaire",TabRFR[Recherche RFR],0),MATCH(TEXT(YEAR(BD!H401),"Standard"),TabRFR[[#Headers],[2021]:[2025]],0)),"Intermédiaire","Supérieur")))))))</f>
        <v>Très Modeste</v>
      </c>
      <c r="X401" s="143"/>
      <c r="Y401" s="143" t="s">
        <v>764</v>
      </c>
      <c r="Z401" s="143">
        <v>38960</v>
      </c>
      <c r="AA401" s="143" t="s">
        <v>360</v>
      </c>
      <c r="AB401" s="148"/>
      <c r="AC401" s="149"/>
      <c r="AD401" s="143" t="s">
        <v>91</v>
      </c>
      <c r="AE401" s="171"/>
      <c r="AF401" s="171"/>
      <c r="AG401" s="171"/>
      <c r="AH401" s="171"/>
      <c r="AI401" s="135" t="s">
        <v>285</v>
      </c>
      <c r="AJ401" s="143" t="s">
        <v>108</v>
      </c>
      <c r="AK401" s="143" t="s">
        <v>286</v>
      </c>
      <c r="AL401" s="150" t="s">
        <v>287</v>
      </c>
      <c r="AM401" s="148">
        <v>476069938</v>
      </c>
      <c r="AN401" s="143" t="s">
        <v>76</v>
      </c>
      <c r="AO401" s="150" t="s">
        <v>102</v>
      </c>
      <c r="AP401" s="147">
        <v>44822</v>
      </c>
      <c r="AQ401" s="143" t="s">
        <v>3413</v>
      </c>
      <c r="AR401" s="143">
        <v>1996</v>
      </c>
      <c r="AS401" s="143" t="s">
        <v>3413</v>
      </c>
      <c r="AT401" s="135" t="s">
        <v>3446</v>
      </c>
      <c r="AU401" s="143" t="s">
        <v>532</v>
      </c>
      <c r="AV401" s="143" t="s">
        <v>1760</v>
      </c>
      <c r="AW401" s="143">
        <v>26</v>
      </c>
      <c r="AX401" s="143">
        <v>8</v>
      </c>
      <c r="AY401" s="143">
        <v>78.3</v>
      </c>
      <c r="AZ401" s="143" t="s">
        <v>1761</v>
      </c>
      <c r="BA401" s="143" t="s">
        <v>101</v>
      </c>
      <c r="BB401" s="143"/>
      <c r="BC401" s="143">
        <f>1480+300+250</f>
        <v>2030</v>
      </c>
      <c r="BD401" s="143"/>
      <c r="BE401" s="143">
        <f>2050+590</f>
        <v>2640</v>
      </c>
      <c r="BF401" s="143">
        <f>BC401+BE401</f>
        <v>4670</v>
      </c>
      <c r="BG401" s="143">
        <f>BF401*0.055</f>
        <v>256.85000000000002</v>
      </c>
      <c r="BH401" s="143">
        <f t="shared" si="24"/>
        <v>4926.8499999999995</v>
      </c>
      <c r="BI401" s="151">
        <v>4926.8500000000004</v>
      </c>
      <c r="BJ401" s="143" t="s">
        <v>102</v>
      </c>
      <c r="BK401" s="171"/>
      <c r="BL401" s="171"/>
      <c r="BM401" s="144" t="s">
        <v>3592</v>
      </c>
      <c r="BN401" s="143">
        <v>2022</v>
      </c>
      <c r="BO401" s="135" t="s">
        <v>155</v>
      </c>
      <c r="BP401" s="144">
        <v>2022</v>
      </c>
      <c r="BQ401" s="203" t="s">
        <v>144</v>
      </c>
    </row>
    <row r="402" spans="1:69" ht="41.1" customHeight="1">
      <c r="A402" s="218" t="s">
        <v>1705</v>
      </c>
      <c r="B402" s="218" t="s">
        <v>1762</v>
      </c>
      <c r="C402" s="143">
        <v>1000</v>
      </c>
      <c r="D402" s="135">
        <v>44645</v>
      </c>
      <c r="E402" s="135">
        <v>44651</v>
      </c>
      <c r="F402" s="147" t="s">
        <v>76</v>
      </c>
      <c r="G402" s="135" t="s">
        <v>76</v>
      </c>
      <c r="H402" s="147">
        <v>44658</v>
      </c>
      <c r="I402" s="147">
        <v>44658</v>
      </c>
      <c r="J402" s="147">
        <v>44664</v>
      </c>
      <c r="K402" s="172">
        <v>44881</v>
      </c>
      <c r="L402" s="172">
        <v>44858</v>
      </c>
      <c r="M402" s="172" t="s">
        <v>76</v>
      </c>
      <c r="N402" s="172">
        <v>44895</v>
      </c>
      <c r="O402" s="172">
        <v>44895</v>
      </c>
      <c r="P402" s="172">
        <v>44897</v>
      </c>
      <c r="Q402" s="168"/>
      <c r="R402" s="171"/>
      <c r="S402" s="143"/>
      <c r="T402" s="143"/>
      <c r="U402" s="143">
        <v>2</v>
      </c>
      <c r="V402" s="143">
        <v>24545</v>
      </c>
      <c r="W402" s="143" t="str">
        <f ca="1">IF(H402="",IF(D402="","",IF(U402+V402&lt;15,"Données Nb pers ou RFR manquantes",IF(COUNTA(INDIRECT("TabRFR["&amp;YEAR(D402)&amp;"]"))&lt;&gt;COUNTA(TabRFR[Recherche RFR]),"Data RFR manquantes", IF(V402&lt;=INDEX(TabRFR[[2021]:[2025]],MATCH(BD!U402&amp;"-Très modestes",TabRFR[Recherche RFR],0),MATCH(TEXT(YEAR(BD!D402),"Standard"),TabRFR[[#Headers],[2021]:[2025]],0)),"Très Modeste",IF(V402&lt;=INDEX(TabRFR[[2021]:[2025]],MATCH(BD!U402&amp;"-modestes",TabRFR[Recherche RFR],0),MATCH(TEXT(YEAR(BD!D402),"Standard"),TabRFR[[#Headers],[2021]:[2025]],0)),"Modeste",IF(V402&lt;=INDEX(TabRFR[[2021]:[2025]],MATCH(BD!U402&amp;"-Intermédiaire",TabRFR[Recherche RFR],0),MATCH(TEXT(YEAR(BD!D402),"Standard"),TabRFR[[#Headers],[2021]:[2025]],0)),"Intermédiaire","Supérieur")))))),IF(D402="","",IF(U402+V402&lt;15,"Données Nb pers ou RFR manquantes",IF(COUNTA(INDIRECT("TabRFR["&amp;YEAR(H402)&amp;"]"))&lt;&gt;COUNTA(TabRFR[Recherche RFR]),"Data RFR manquantes", IF(V402&lt;=INDEX(TabRFR[[2021]:[2025]],MATCH(BD!U402&amp;"-Très modestes",TabRFR[Recherche RFR],0),MATCH(TEXT(YEAR(BD!H402),"Standard"),TabRFR[[#Headers],[2021]:[2025]],0)),"Très Modeste",IF(V402&lt;=INDEX(TabRFR[[2021]:[2025]],MATCH(BD!U402&amp;"-modestes",TabRFR[Recherche RFR],0),MATCH(TEXT(YEAR(BD!H402),"Standard"),TabRFR[[#Headers],[2021]:[2025]],0)),"Modeste",IF(V402&lt;=INDEX(TabRFR[[2021]:[2025]],MATCH(BD!U402&amp;"-Intermédiaire",TabRFR[Recherche RFR],0),MATCH(TEXT(YEAR(BD!H402),"Standard"),TabRFR[[#Headers],[2021]:[2025]],0)),"Intermédiaire","Supérieur")))))))</f>
        <v>Modeste</v>
      </c>
      <c r="X402" s="143"/>
      <c r="Y402" s="143" t="s">
        <v>1763</v>
      </c>
      <c r="Z402" s="143">
        <v>38730</v>
      </c>
      <c r="AA402" s="173" t="s">
        <v>148</v>
      </c>
      <c r="AB402" s="148"/>
      <c r="AC402" s="149"/>
      <c r="AD402" s="143" t="s">
        <v>91</v>
      </c>
      <c r="AE402" s="171"/>
      <c r="AF402" s="171"/>
      <c r="AG402" s="171"/>
      <c r="AH402" s="171"/>
      <c r="AI402" s="143" t="s">
        <v>1764</v>
      </c>
      <c r="AJ402" s="143" t="s">
        <v>299</v>
      </c>
      <c r="AK402" s="143" t="s">
        <v>1765</v>
      </c>
      <c r="AL402" s="169" t="s">
        <v>301</v>
      </c>
      <c r="AM402" s="148">
        <v>479750979</v>
      </c>
      <c r="AN402" s="143" t="s">
        <v>76</v>
      </c>
      <c r="AO402" s="150" t="s">
        <v>102</v>
      </c>
      <c r="AP402" s="147">
        <v>44880</v>
      </c>
      <c r="AQ402" s="143" t="s">
        <v>3413</v>
      </c>
      <c r="AR402" s="143">
        <v>1986</v>
      </c>
      <c r="AS402" s="143" t="s">
        <v>3413</v>
      </c>
      <c r="AT402" s="143" t="s">
        <v>98</v>
      </c>
      <c r="AU402" s="143" t="s">
        <v>113</v>
      </c>
      <c r="AV402" s="143" t="s">
        <v>1766</v>
      </c>
      <c r="AW402" s="143">
        <v>17</v>
      </c>
      <c r="AX402" s="143" t="s">
        <v>1767</v>
      </c>
      <c r="AY402" s="143" t="s">
        <v>1768</v>
      </c>
      <c r="AZ402" s="143" t="s">
        <v>1769</v>
      </c>
      <c r="BA402" s="143" t="s">
        <v>101</v>
      </c>
      <c r="BB402" s="143"/>
      <c r="BC402" s="143">
        <f>2807.67+70+90+385+85+116+210+90+117</f>
        <v>3970.67</v>
      </c>
      <c r="BD402" s="143"/>
      <c r="BE402" s="143">
        <f>760+45</f>
        <v>805</v>
      </c>
      <c r="BF402" s="143">
        <f>BC402+BE402</f>
        <v>4775.67</v>
      </c>
      <c r="BG402" s="174">
        <f>BF402*0.055</f>
        <v>262.66185000000002</v>
      </c>
      <c r="BH402" s="151">
        <f t="shared" si="24"/>
        <v>5038.3318499999996</v>
      </c>
      <c r="BI402" s="143">
        <f>1538.33+1500+2000</f>
        <v>5038.33</v>
      </c>
      <c r="BJ402" s="143" t="s">
        <v>102</v>
      </c>
      <c r="BK402" s="171"/>
      <c r="BL402" s="171"/>
      <c r="BM402" s="144" t="s">
        <v>3592</v>
      </c>
      <c r="BN402" s="143">
        <v>2022</v>
      </c>
      <c r="BO402" s="135" t="s">
        <v>155</v>
      </c>
      <c r="BP402" s="143" t="s">
        <v>3583</v>
      </c>
      <c r="BQ402" s="203" t="s">
        <v>144</v>
      </c>
    </row>
    <row r="403" spans="1:69" ht="41.1" customHeight="1">
      <c r="A403" s="218" t="s">
        <v>1705</v>
      </c>
      <c r="B403" s="218" t="s">
        <v>1770</v>
      </c>
      <c r="C403" s="143">
        <v>1000</v>
      </c>
      <c r="D403" s="135">
        <v>44645</v>
      </c>
      <c r="E403" s="135">
        <v>44651</v>
      </c>
      <c r="F403" s="147">
        <v>44658</v>
      </c>
      <c r="G403" s="135" t="s">
        <v>1707</v>
      </c>
      <c r="H403" s="147">
        <v>44666</v>
      </c>
      <c r="I403" s="147">
        <v>44666</v>
      </c>
      <c r="J403" s="147">
        <v>44676</v>
      </c>
      <c r="K403" s="172">
        <v>44694</v>
      </c>
      <c r="L403" s="172">
        <v>44679</v>
      </c>
      <c r="M403" s="135" t="s">
        <v>76</v>
      </c>
      <c r="N403" s="135">
        <v>44768</v>
      </c>
      <c r="O403" s="135">
        <v>44768</v>
      </c>
      <c r="P403" s="135">
        <v>44769</v>
      </c>
      <c r="Q403" s="168"/>
      <c r="R403" s="171"/>
      <c r="S403" s="143"/>
      <c r="T403" s="143"/>
      <c r="U403" s="143">
        <v>4</v>
      </c>
      <c r="V403" s="143">
        <f>13974+9533</f>
        <v>23507</v>
      </c>
      <c r="W403" s="143" t="str">
        <f ca="1">IF(H403="",IF(D403="","",IF(U403+V403&lt;15,"Données Nb pers ou RFR manquantes",IF(COUNTA(INDIRECT("TabRFR["&amp;YEAR(D403)&amp;"]"))&lt;&gt;COUNTA(TabRFR[Recherche RFR]),"Data RFR manquantes", IF(V403&lt;=INDEX(TabRFR[[2021]:[2025]],MATCH(BD!U403&amp;"-Très modestes",TabRFR[Recherche RFR],0),MATCH(TEXT(YEAR(BD!D403),"Standard"),TabRFR[[#Headers],[2021]:[2025]],0)),"Très Modeste",IF(V403&lt;=INDEX(TabRFR[[2021]:[2025]],MATCH(BD!U403&amp;"-modestes",TabRFR[Recherche RFR],0),MATCH(TEXT(YEAR(BD!D403),"Standard"),TabRFR[[#Headers],[2021]:[2025]],0)),"Modeste",IF(V403&lt;=INDEX(TabRFR[[2021]:[2025]],MATCH(BD!U403&amp;"-Intermédiaire",TabRFR[Recherche RFR],0),MATCH(TEXT(YEAR(BD!D403),"Standard"),TabRFR[[#Headers],[2021]:[2025]],0)),"Intermédiaire","Supérieur")))))),IF(D403="","",IF(U403+V403&lt;15,"Données Nb pers ou RFR manquantes",IF(COUNTA(INDIRECT("TabRFR["&amp;YEAR(H403)&amp;"]"))&lt;&gt;COUNTA(TabRFR[Recherche RFR]),"Data RFR manquantes", IF(V403&lt;=INDEX(TabRFR[[2021]:[2025]],MATCH(BD!U403&amp;"-Très modestes",TabRFR[Recherche RFR],0),MATCH(TEXT(YEAR(BD!H403),"Standard"),TabRFR[[#Headers],[2021]:[2025]],0)),"Très Modeste",IF(V403&lt;=INDEX(TabRFR[[2021]:[2025]],MATCH(BD!U403&amp;"-modestes",TabRFR[Recherche RFR],0),MATCH(TEXT(YEAR(BD!H403),"Standard"),TabRFR[[#Headers],[2021]:[2025]],0)),"Modeste",IF(V403&lt;=INDEX(TabRFR[[2021]:[2025]],MATCH(BD!U403&amp;"-Intermédiaire",TabRFR[Recherche RFR],0),MATCH(TEXT(YEAR(BD!H403),"Standard"),TabRFR[[#Headers],[2021]:[2025]],0)),"Intermédiaire","Supérieur")))))))</f>
        <v>Très Modeste</v>
      </c>
      <c r="X403" s="143"/>
      <c r="Y403" s="143" t="s">
        <v>1771</v>
      </c>
      <c r="Z403" s="143">
        <v>38140</v>
      </c>
      <c r="AA403" s="171" t="s">
        <v>219</v>
      </c>
      <c r="AB403" s="148"/>
      <c r="AC403" s="149"/>
      <c r="AD403" s="143" t="s">
        <v>91</v>
      </c>
      <c r="AE403" s="171"/>
      <c r="AF403" s="171"/>
      <c r="AG403" s="171"/>
      <c r="AH403" s="171"/>
      <c r="AI403" s="143" t="s">
        <v>185</v>
      </c>
      <c r="AJ403" s="143" t="s">
        <v>1394</v>
      </c>
      <c r="AK403" s="143" t="s">
        <v>186</v>
      </c>
      <c r="AL403" s="149" t="s">
        <v>187</v>
      </c>
      <c r="AM403" s="148" t="s">
        <v>1395</v>
      </c>
      <c r="AN403" s="143" t="s">
        <v>76</v>
      </c>
      <c r="AO403" s="156" t="s">
        <v>144</v>
      </c>
      <c r="AP403" s="147">
        <v>44798</v>
      </c>
      <c r="AQ403" s="143" t="s">
        <v>3413</v>
      </c>
      <c r="AR403" s="143" t="s">
        <v>213</v>
      </c>
      <c r="AS403" s="143" t="s">
        <v>3413</v>
      </c>
      <c r="AT403" s="135" t="s">
        <v>3446</v>
      </c>
      <c r="AU403" s="143" t="s">
        <v>1772</v>
      </c>
      <c r="AV403" s="143" t="s">
        <v>1773</v>
      </c>
      <c r="AW403" s="143">
        <v>18</v>
      </c>
      <c r="AX403" s="143" t="s">
        <v>1774</v>
      </c>
      <c r="AY403" s="143">
        <v>78</v>
      </c>
      <c r="AZ403" s="143" t="s">
        <v>1775</v>
      </c>
      <c r="BA403" s="143" t="s">
        <v>101</v>
      </c>
      <c r="BB403" s="143"/>
      <c r="BC403" s="143">
        <f>2123.33+380+389+415.89+269.9+185</f>
        <v>3763.12</v>
      </c>
      <c r="BD403" s="143"/>
      <c r="BE403" s="143">
        <v>630</v>
      </c>
      <c r="BF403" s="143">
        <f>BC403+BE403</f>
        <v>4393.12</v>
      </c>
      <c r="BG403" s="143">
        <f>BF403*0.055</f>
        <v>241.6216</v>
      </c>
      <c r="BH403" s="151">
        <f t="shared" si="24"/>
        <v>4634.7415999999994</v>
      </c>
      <c r="BI403" s="143">
        <v>4634.74</v>
      </c>
      <c r="BJ403" s="143" t="s">
        <v>102</v>
      </c>
      <c r="BK403" s="171"/>
      <c r="BL403" s="171"/>
      <c r="BM403" s="144" t="s">
        <v>3592</v>
      </c>
      <c r="BN403" s="143">
        <v>2022</v>
      </c>
      <c r="BO403" s="135" t="s">
        <v>155</v>
      </c>
      <c r="BP403" s="144">
        <v>2022</v>
      </c>
      <c r="BQ403" s="203" t="s">
        <v>144</v>
      </c>
    </row>
    <row r="404" spans="1:69" ht="41.1" customHeight="1">
      <c r="A404" s="218" t="s">
        <v>1705</v>
      </c>
      <c r="B404" s="218" t="s">
        <v>1776</v>
      </c>
      <c r="C404" s="143">
        <v>600</v>
      </c>
      <c r="D404" s="135">
        <v>44649</v>
      </c>
      <c r="E404" s="135">
        <v>44651</v>
      </c>
      <c r="F404" s="147">
        <v>44658</v>
      </c>
      <c r="G404" s="135" t="s">
        <v>1777</v>
      </c>
      <c r="H404" s="147">
        <v>44666</v>
      </c>
      <c r="I404" s="147">
        <v>44666</v>
      </c>
      <c r="J404" s="147">
        <v>44676</v>
      </c>
      <c r="K404" s="135">
        <v>44799</v>
      </c>
      <c r="L404" s="135">
        <v>44755</v>
      </c>
      <c r="M404" s="135" t="s">
        <v>76</v>
      </c>
      <c r="N404" s="135">
        <v>44893</v>
      </c>
      <c r="O404" s="135">
        <v>44893</v>
      </c>
      <c r="P404" s="135">
        <v>44894</v>
      </c>
      <c r="Q404" s="135"/>
      <c r="R404" s="143"/>
      <c r="S404" s="143"/>
      <c r="T404" s="143"/>
      <c r="U404" s="143">
        <v>2</v>
      </c>
      <c r="V404" s="143">
        <v>63712</v>
      </c>
      <c r="W404" s="143" t="str">
        <f ca="1">IF(H404="",IF(D404="","",IF(U404+V404&lt;15,"Données Nb pers ou RFR manquantes",IF(COUNTA(INDIRECT("TabRFR["&amp;YEAR(D404)&amp;"]"))&lt;&gt;COUNTA(TabRFR[Recherche RFR]),"Data RFR manquantes", IF(V404&lt;=INDEX(TabRFR[[2021]:[2025]],MATCH(BD!U404&amp;"-Très modestes",TabRFR[Recherche RFR],0),MATCH(TEXT(YEAR(BD!D404),"Standard"),TabRFR[[#Headers],[2021]:[2025]],0)),"Très Modeste",IF(V404&lt;=INDEX(TabRFR[[2021]:[2025]],MATCH(BD!U404&amp;"-modestes",TabRFR[Recherche RFR],0),MATCH(TEXT(YEAR(BD!D404),"Standard"),TabRFR[[#Headers],[2021]:[2025]],0)),"Modeste",IF(V404&lt;=INDEX(TabRFR[[2021]:[2025]],MATCH(BD!U404&amp;"-Intermédiaire",TabRFR[Recherche RFR],0),MATCH(TEXT(YEAR(BD!D404),"Standard"),TabRFR[[#Headers],[2021]:[2025]],0)),"Intermédiaire","Supérieur")))))),IF(D404="","",IF(U404+V404&lt;15,"Données Nb pers ou RFR manquantes",IF(COUNTA(INDIRECT("TabRFR["&amp;YEAR(H404)&amp;"]"))&lt;&gt;COUNTA(TabRFR[Recherche RFR]),"Data RFR manquantes", IF(V404&lt;=INDEX(TabRFR[[2021]:[2025]],MATCH(BD!U404&amp;"-Très modestes",TabRFR[Recherche RFR],0),MATCH(TEXT(YEAR(BD!H404),"Standard"),TabRFR[[#Headers],[2021]:[2025]],0)),"Très Modeste",IF(V404&lt;=INDEX(TabRFR[[2021]:[2025]],MATCH(BD!U404&amp;"-modestes",TabRFR[Recherche RFR],0),MATCH(TEXT(YEAR(BD!H404),"Standard"),TabRFR[[#Headers],[2021]:[2025]],0)),"Modeste",IF(V404&lt;=INDEX(TabRFR[[2021]:[2025]],MATCH(BD!U404&amp;"-Intermédiaire",TabRFR[Recherche RFR],0),MATCH(TEXT(YEAR(BD!H404),"Standard"),TabRFR[[#Headers],[2021]:[2025]],0)),"Intermédiaire","Supérieur")))))))</f>
        <v>Supérieur</v>
      </c>
      <c r="X404" s="143"/>
      <c r="Y404" s="143" t="s">
        <v>1778</v>
      </c>
      <c r="Z404" s="143">
        <v>38140</v>
      </c>
      <c r="AA404" s="143" t="s">
        <v>159</v>
      </c>
      <c r="AB404" s="148"/>
      <c r="AC404" s="149"/>
      <c r="AD404" s="143" t="s">
        <v>91</v>
      </c>
      <c r="AE404" s="143" t="s">
        <v>76</v>
      </c>
      <c r="AF404" s="143" t="s">
        <v>76</v>
      </c>
      <c r="AG404" s="143" t="s">
        <v>76</v>
      </c>
      <c r="AH404" s="143" t="s">
        <v>76</v>
      </c>
      <c r="AI404" s="143" t="s">
        <v>109</v>
      </c>
      <c r="AJ404" s="143" t="s">
        <v>108</v>
      </c>
      <c r="AK404" s="143" t="s">
        <v>1779</v>
      </c>
      <c r="AL404" s="150" t="s">
        <v>1701</v>
      </c>
      <c r="AM404" s="148">
        <v>476074561</v>
      </c>
      <c r="AN404" s="143" t="s">
        <v>76</v>
      </c>
      <c r="AO404" s="150" t="s">
        <v>144</v>
      </c>
      <c r="AP404" s="147">
        <v>44868</v>
      </c>
      <c r="AQ404" s="135" t="s">
        <v>3496</v>
      </c>
      <c r="AR404" s="143">
        <v>1990</v>
      </c>
      <c r="AS404" s="143" t="s">
        <v>3413</v>
      </c>
      <c r="AT404" s="143" t="s">
        <v>98</v>
      </c>
      <c r="AU404" s="143" t="s">
        <v>113</v>
      </c>
      <c r="AV404" s="143" t="s">
        <v>1780</v>
      </c>
      <c r="AW404" s="155"/>
      <c r="AX404" s="155"/>
      <c r="AY404" s="155"/>
      <c r="AZ404" s="155"/>
      <c r="BA404" s="143" t="s">
        <v>101</v>
      </c>
      <c r="BB404" s="143"/>
      <c r="BC404" s="143">
        <f>5413.27+350+101+89+88+120+90+22</f>
        <v>6273.27</v>
      </c>
      <c r="BD404" s="143"/>
      <c r="BE404" s="143">
        <f>30+450</f>
        <v>480</v>
      </c>
      <c r="BF404" s="143">
        <f>BC404+BE404</f>
        <v>6753.27</v>
      </c>
      <c r="BG404" s="174">
        <f>BF404*0.055</f>
        <v>371.42985000000004</v>
      </c>
      <c r="BH404" s="151">
        <f t="shared" si="24"/>
        <v>7124.69985</v>
      </c>
      <c r="BI404" s="151">
        <v>7124.69985</v>
      </c>
      <c r="BJ404" s="143" t="s">
        <v>102</v>
      </c>
      <c r="BK404" s="143"/>
      <c r="BL404" s="143"/>
      <c r="BM404" s="144" t="s">
        <v>3592</v>
      </c>
      <c r="BN404" s="143">
        <v>2022</v>
      </c>
      <c r="BO404" s="144" t="s">
        <v>143</v>
      </c>
      <c r="BP404" s="143" t="s">
        <v>3583</v>
      </c>
      <c r="BQ404" s="203" t="s">
        <v>144</v>
      </c>
    </row>
    <row r="405" spans="1:69" ht="41.1" customHeight="1">
      <c r="A405" s="218" t="s">
        <v>1529</v>
      </c>
      <c r="B405" s="218" t="s">
        <v>1781</v>
      </c>
      <c r="C405" s="143">
        <v>600</v>
      </c>
      <c r="D405" s="135">
        <v>44649</v>
      </c>
      <c r="E405" s="135">
        <v>44652</v>
      </c>
      <c r="F405" s="147"/>
      <c r="G405" s="135"/>
      <c r="H405" s="147">
        <v>44664</v>
      </c>
      <c r="I405" s="147">
        <v>44664</v>
      </c>
      <c r="J405" s="147">
        <v>44673</v>
      </c>
      <c r="K405" s="172">
        <v>44707</v>
      </c>
      <c r="L405" s="172">
        <v>44705</v>
      </c>
      <c r="M405" s="172" t="s">
        <v>76</v>
      </c>
      <c r="N405" s="135">
        <v>44768</v>
      </c>
      <c r="O405" s="135">
        <v>44768</v>
      </c>
      <c r="P405" s="135">
        <v>44769</v>
      </c>
      <c r="Q405" s="168"/>
      <c r="R405" s="171"/>
      <c r="S405" s="143"/>
      <c r="T405" s="143"/>
      <c r="U405" s="143">
        <v>2</v>
      </c>
      <c r="V405" s="143">
        <v>28733</v>
      </c>
      <c r="W405" s="143" t="str">
        <f ca="1">IF(H405="",IF(D405="","",IF(U405+V405&lt;15,"Données Nb pers ou RFR manquantes",IF(COUNTA(INDIRECT("TabRFR["&amp;YEAR(D405)&amp;"]"))&lt;&gt;COUNTA(TabRFR[Recherche RFR]),"Data RFR manquantes", IF(V405&lt;=INDEX(TabRFR[[2021]:[2025]],MATCH(BD!U405&amp;"-Très modestes",TabRFR[Recherche RFR],0),MATCH(TEXT(YEAR(BD!D405),"Standard"),TabRFR[[#Headers],[2021]:[2025]],0)),"Très Modeste",IF(V405&lt;=INDEX(TabRFR[[2021]:[2025]],MATCH(BD!U405&amp;"-modestes",TabRFR[Recherche RFR],0),MATCH(TEXT(YEAR(BD!D405),"Standard"),TabRFR[[#Headers],[2021]:[2025]],0)),"Modeste",IF(V405&lt;=INDEX(TabRFR[[2021]:[2025]],MATCH(BD!U405&amp;"-Intermédiaire",TabRFR[Recherche RFR],0),MATCH(TEXT(YEAR(BD!D405),"Standard"),TabRFR[[#Headers],[2021]:[2025]],0)),"Intermédiaire","Supérieur")))))),IF(D405="","",IF(U405+V405&lt;15,"Données Nb pers ou RFR manquantes",IF(COUNTA(INDIRECT("TabRFR["&amp;YEAR(H405)&amp;"]"))&lt;&gt;COUNTA(TabRFR[Recherche RFR]),"Data RFR manquantes", IF(V405&lt;=INDEX(TabRFR[[2021]:[2025]],MATCH(BD!U405&amp;"-Très modestes",TabRFR[Recherche RFR],0),MATCH(TEXT(YEAR(BD!H405),"Standard"),TabRFR[[#Headers],[2021]:[2025]],0)),"Très Modeste",IF(V405&lt;=INDEX(TabRFR[[2021]:[2025]],MATCH(BD!U405&amp;"-modestes",TabRFR[Recherche RFR],0),MATCH(TEXT(YEAR(BD!H405),"Standard"),TabRFR[[#Headers],[2021]:[2025]],0)),"Modeste",IF(V405&lt;=INDEX(TabRFR[[2021]:[2025]],MATCH(BD!U405&amp;"-Intermédiaire",TabRFR[Recherche RFR],0),MATCH(TEXT(YEAR(BD!H405),"Standard"),TabRFR[[#Headers],[2021]:[2025]],0)),"Intermédiaire","Supérieur")))))))</f>
        <v>Intermédiaire</v>
      </c>
      <c r="X405" s="143"/>
      <c r="Y405" s="143" t="s">
        <v>1782</v>
      </c>
      <c r="Z405" s="143">
        <v>38140</v>
      </c>
      <c r="AA405" s="171" t="s">
        <v>184</v>
      </c>
      <c r="AB405" s="148"/>
      <c r="AC405" s="149"/>
      <c r="AD405" s="143" t="s">
        <v>91</v>
      </c>
      <c r="AE405" s="171"/>
      <c r="AF405" s="171"/>
      <c r="AG405" s="171"/>
      <c r="AH405" s="171"/>
      <c r="AI405" s="135" t="s">
        <v>285</v>
      </c>
      <c r="AJ405" s="143" t="s">
        <v>108</v>
      </c>
      <c r="AK405" s="143" t="s">
        <v>286</v>
      </c>
      <c r="AL405" s="150" t="s">
        <v>287</v>
      </c>
      <c r="AM405" s="148">
        <v>476069938</v>
      </c>
      <c r="AN405" s="143" t="s">
        <v>76</v>
      </c>
      <c r="AO405" s="150" t="s">
        <v>102</v>
      </c>
      <c r="AP405" s="147">
        <v>44822</v>
      </c>
      <c r="AQ405" s="135" t="s">
        <v>3449</v>
      </c>
      <c r="AR405" s="143">
        <v>1985</v>
      </c>
      <c r="AS405" s="143" t="s">
        <v>3413</v>
      </c>
      <c r="AT405" s="143" t="s">
        <v>98</v>
      </c>
      <c r="AU405" s="143" t="s">
        <v>99</v>
      </c>
      <c r="AV405" s="143" t="s">
        <v>1783</v>
      </c>
      <c r="AW405" s="143">
        <v>16</v>
      </c>
      <c r="AX405" s="143">
        <v>9.1</v>
      </c>
      <c r="AY405" s="143">
        <v>91.8</v>
      </c>
      <c r="AZ405" s="143">
        <v>3.7599999999999999E-3</v>
      </c>
      <c r="BA405" s="143" t="s">
        <v>101</v>
      </c>
      <c r="BB405" s="143"/>
      <c r="BC405" s="143">
        <v>5260</v>
      </c>
      <c r="BD405" s="143"/>
      <c r="BE405" s="143">
        <v>590</v>
      </c>
      <c r="BF405" s="143">
        <v>5850</v>
      </c>
      <c r="BG405" s="143">
        <v>321.75</v>
      </c>
      <c r="BH405" s="143">
        <v>6171.75</v>
      </c>
      <c r="BI405" s="151">
        <v>6171.75</v>
      </c>
      <c r="BJ405" s="143" t="s">
        <v>102</v>
      </c>
      <c r="BK405" s="171"/>
      <c r="BL405" s="171"/>
      <c r="BM405" s="144" t="s">
        <v>3592</v>
      </c>
      <c r="BN405" s="143">
        <v>2022</v>
      </c>
      <c r="BO405" s="144" t="s">
        <v>143</v>
      </c>
      <c r="BP405" s="143" t="s">
        <v>3583</v>
      </c>
      <c r="BQ405" s="203" t="s">
        <v>144</v>
      </c>
    </row>
    <row r="406" spans="1:69" ht="41.1" customHeight="1">
      <c r="A406" s="218" t="s">
        <v>1529</v>
      </c>
      <c r="B406" s="218" t="s">
        <v>1784</v>
      </c>
      <c r="C406" s="143">
        <v>1000</v>
      </c>
      <c r="D406" s="135">
        <v>44650</v>
      </c>
      <c r="E406" s="135">
        <v>44652</v>
      </c>
      <c r="F406" s="147">
        <v>44664</v>
      </c>
      <c r="G406" s="135" t="s">
        <v>1785</v>
      </c>
      <c r="H406" s="147">
        <v>44665</v>
      </c>
      <c r="I406" s="147">
        <v>44665</v>
      </c>
      <c r="J406" s="147">
        <v>44673</v>
      </c>
      <c r="K406" s="172">
        <v>44939</v>
      </c>
      <c r="L406" s="172">
        <v>44869</v>
      </c>
      <c r="M406" s="172" t="s">
        <v>76</v>
      </c>
      <c r="N406" s="168">
        <v>44974</v>
      </c>
      <c r="O406" s="168">
        <v>44974</v>
      </c>
      <c r="P406" s="168">
        <v>44977</v>
      </c>
      <c r="Q406" s="168"/>
      <c r="R406" s="171"/>
      <c r="S406" s="143"/>
      <c r="T406" s="143"/>
      <c r="U406" s="143">
        <v>1</v>
      </c>
      <c r="V406" s="143">
        <v>18759</v>
      </c>
      <c r="W406" s="143" t="str">
        <f ca="1">IF(H406="",IF(D406="","",IF(U406+V406&lt;15,"Données Nb pers ou RFR manquantes",IF(COUNTA(INDIRECT("TabRFR["&amp;YEAR(D406)&amp;"]"))&lt;&gt;COUNTA(TabRFR[Recherche RFR]),"Data RFR manquantes", IF(V406&lt;=INDEX(TabRFR[[2021]:[2025]],MATCH(BD!U406&amp;"-Très modestes",TabRFR[Recherche RFR],0),MATCH(TEXT(YEAR(BD!D406),"Standard"),TabRFR[[#Headers],[2021]:[2025]],0)),"Très Modeste",IF(V406&lt;=INDEX(TabRFR[[2021]:[2025]],MATCH(BD!U406&amp;"-modestes",TabRFR[Recherche RFR],0),MATCH(TEXT(YEAR(BD!D406),"Standard"),TabRFR[[#Headers],[2021]:[2025]],0)),"Modeste",IF(V406&lt;=INDEX(TabRFR[[2021]:[2025]],MATCH(BD!U406&amp;"-Intermédiaire",TabRFR[Recherche RFR],0),MATCH(TEXT(YEAR(BD!D406),"Standard"),TabRFR[[#Headers],[2021]:[2025]],0)),"Intermédiaire","Supérieur")))))),IF(D406="","",IF(U406+V406&lt;15,"Données Nb pers ou RFR manquantes",IF(COUNTA(INDIRECT("TabRFR["&amp;YEAR(H406)&amp;"]"))&lt;&gt;COUNTA(TabRFR[Recherche RFR]),"Data RFR manquantes", IF(V406&lt;=INDEX(TabRFR[[2021]:[2025]],MATCH(BD!U406&amp;"-Très modestes",TabRFR[Recherche RFR],0),MATCH(TEXT(YEAR(BD!H406),"Standard"),TabRFR[[#Headers],[2021]:[2025]],0)),"Très Modeste",IF(V406&lt;=INDEX(TabRFR[[2021]:[2025]],MATCH(BD!U406&amp;"-modestes",TabRFR[Recherche RFR],0),MATCH(TEXT(YEAR(BD!H406),"Standard"),TabRFR[[#Headers],[2021]:[2025]],0)),"Modeste",IF(V406&lt;=INDEX(TabRFR[[2021]:[2025]],MATCH(BD!U406&amp;"-Intermédiaire",TabRFR[Recherche RFR],0),MATCH(TEXT(YEAR(BD!H406),"Standard"),TabRFR[[#Headers],[2021]:[2025]],0)),"Intermédiaire","Supérieur")))))))</f>
        <v>Modeste</v>
      </c>
      <c r="X406" s="143"/>
      <c r="Y406" s="143" t="s">
        <v>1786</v>
      </c>
      <c r="Z406" s="143">
        <v>38210</v>
      </c>
      <c r="AA406" s="171" t="s">
        <v>130</v>
      </c>
      <c r="AB406" s="148"/>
      <c r="AC406" s="149"/>
      <c r="AD406" s="143" t="s">
        <v>91</v>
      </c>
      <c r="AE406" s="171"/>
      <c r="AF406" s="171"/>
      <c r="AG406" s="171"/>
      <c r="AH406" s="171"/>
      <c r="AI406" s="143" t="s">
        <v>267</v>
      </c>
      <c r="AJ406" s="143" t="s">
        <v>268</v>
      </c>
      <c r="AK406" s="143" t="s">
        <v>1563</v>
      </c>
      <c r="AL406" s="150" t="s">
        <v>270</v>
      </c>
      <c r="AM406" s="148" t="s">
        <v>1787</v>
      </c>
      <c r="AN406" s="143"/>
      <c r="AO406" s="150" t="s">
        <v>144</v>
      </c>
      <c r="AP406" s="147">
        <v>44633</v>
      </c>
      <c r="AQ406" s="135" t="s">
        <v>3496</v>
      </c>
      <c r="AR406" s="143">
        <v>1997</v>
      </c>
      <c r="AS406" s="143" t="s">
        <v>3413</v>
      </c>
      <c r="AT406" s="143" t="s">
        <v>98</v>
      </c>
      <c r="AU406" s="143" t="s">
        <v>841</v>
      </c>
      <c r="AV406" s="143" t="s">
        <v>1788</v>
      </c>
      <c r="AW406" s="143">
        <v>17</v>
      </c>
      <c r="AX406" s="143">
        <v>10</v>
      </c>
      <c r="AY406" s="143">
        <v>91</v>
      </c>
      <c r="AZ406" s="143">
        <v>9.5200000000000007E-3</v>
      </c>
      <c r="BA406" s="143" t="s">
        <v>101</v>
      </c>
      <c r="BB406" s="143"/>
      <c r="BC406" s="143">
        <v>4153.03</v>
      </c>
      <c r="BD406" s="143"/>
      <c r="BE406" s="143">
        <v>1393.6</v>
      </c>
      <c r="BF406" s="143">
        <v>5543.54</v>
      </c>
      <c r="BG406" s="143">
        <v>310.93</v>
      </c>
      <c r="BH406" s="143">
        <v>5854.47</v>
      </c>
      <c r="BI406" s="143">
        <v>5757.19</v>
      </c>
      <c r="BJ406" s="143" t="s">
        <v>115</v>
      </c>
      <c r="BK406" s="171"/>
      <c r="BL406" s="171"/>
      <c r="BM406" s="144" t="s">
        <v>3592</v>
      </c>
      <c r="BN406" s="143">
        <v>2022</v>
      </c>
      <c r="BO406" s="135" t="s">
        <v>155</v>
      </c>
      <c r="BP406" s="143" t="s">
        <v>3583</v>
      </c>
      <c r="BQ406" s="203" t="s">
        <v>3274</v>
      </c>
    </row>
    <row r="407" spans="1:69" ht="41.1" customHeight="1">
      <c r="A407" s="218" t="s">
        <v>1529</v>
      </c>
      <c r="B407" s="218" t="s">
        <v>1789</v>
      </c>
      <c r="C407" s="143">
        <v>600</v>
      </c>
      <c r="D407" s="135">
        <v>44651</v>
      </c>
      <c r="E407" s="135">
        <v>44652</v>
      </c>
      <c r="F407" s="147">
        <v>44664</v>
      </c>
      <c r="G407" s="135" t="s">
        <v>1790</v>
      </c>
      <c r="H407" s="147">
        <v>44677</v>
      </c>
      <c r="I407" s="147">
        <v>44677</v>
      </c>
      <c r="J407" s="147">
        <v>44684</v>
      </c>
      <c r="K407" s="172">
        <v>44830</v>
      </c>
      <c r="L407" s="172">
        <v>44763</v>
      </c>
      <c r="M407" s="135" t="s">
        <v>1791</v>
      </c>
      <c r="N407" s="172">
        <v>44875</v>
      </c>
      <c r="O407" s="172">
        <v>44875</v>
      </c>
      <c r="P407" s="135">
        <v>44880</v>
      </c>
      <c r="Q407" s="168"/>
      <c r="R407" s="171"/>
      <c r="S407" s="143"/>
      <c r="T407" s="143"/>
      <c r="U407" s="143">
        <v>3</v>
      </c>
      <c r="V407" s="143">
        <v>51455</v>
      </c>
      <c r="W407" s="143" t="str">
        <f ca="1">IF(H407="",IF(D407="","",IF(U407+V407&lt;15,"Données Nb pers ou RFR manquantes",IF(COUNTA(INDIRECT("TabRFR["&amp;YEAR(D407)&amp;"]"))&lt;&gt;COUNTA(TabRFR[Recherche RFR]),"Data RFR manquantes", IF(V407&lt;=INDEX(TabRFR[[2021]:[2025]],MATCH(BD!U407&amp;"-Très modestes",TabRFR[Recherche RFR],0),MATCH(TEXT(YEAR(BD!D407),"Standard"),TabRFR[[#Headers],[2021]:[2025]],0)),"Très Modeste",IF(V407&lt;=INDEX(TabRFR[[2021]:[2025]],MATCH(BD!U407&amp;"-modestes",TabRFR[Recherche RFR],0),MATCH(TEXT(YEAR(BD!D407),"Standard"),TabRFR[[#Headers],[2021]:[2025]],0)),"Modeste",IF(V407&lt;=INDEX(TabRFR[[2021]:[2025]],MATCH(BD!U407&amp;"-Intermédiaire",TabRFR[Recherche RFR],0),MATCH(TEXT(YEAR(BD!D407),"Standard"),TabRFR[[#Headers],[2021]:[2025]],0)),"Intermédiaire","Supérieur")))))),IF(D407="","",IF(U407+V407&lt;15,"Données Nb pers ou RFR manquantes",IF(COUNTA(INDIRECT("TabRFR["&amp;YEAR(H407)&amp;"]"))&lt;&gt;COUNTA(TabRFR[Recherche RFR]),"Data RFR manquantes", IF(V407&lt;=INDEX(TabRFR[[2021]:[2025]],MATCH(BD!U407&amp;"-Très modestes",TabRFR[Recherche RFR],0),MATCH(TEXT(YEAR(BD!H407),"Standard"),TabRFR[[#Headers],[2021]:[2025]],0)),"Très Modeste",IF(V407&lt;=INDEX(TabRFR[[2021]:[2025]],MATCH(BD!U407&amp;"-modestes",TabRFR[Recherche RFR],0),MATCH(TEXT(YEAR(BD!H407),"Standard"),TabRFR[[#Headers],[2021]:[2025]],0)),"Modeste",IF(V407&lt;=INDEX(TabRFR[[2021]:[2025]],MATCH(BD!U407&amp;"-Intermédiaire",TabRFR[Recherche RFR],0),MATCH(TEXT(YEAR(BD!H407),"Standard"),TabRFR[[#Headers],[2021]:[2025]],0)),"Intermédiaire","Supérieur")))))))</f>
        <v>Intermédiaire</v>
      </c>
      <c r="X407" s="143"/>
      <c r="Y407" s="143" t="s">
        <v>1792</v>
      </c>
      <c r="Z407" s="143">
        <v>38500</v>
      </c>
      <c r="AA407" s="171" t="s">
        <v>108</v>
      </c>
      <c r="AB407" s="148"/>
      <c r="AC407" s="149"/>
      <c r="AD407" s="143" t="s">
        <v>91</v>
      </c>
      <c r="AE407" s="171"/>
      <c r="AF407" s="171"/>
      <c r="AG407" s="171"/>
      <c r="AH407" s="171"/>
      <c r="AI407" s="143" t="s">
        <v>160</v>
      </c>
      <c r="AJ407" s="143" t="s">
        <v>161</v>
      </c>
      <c r="AK407" s="143" t="s">
        <v>1793</v>
      </c>
      <c r="AL407" s="150" t="s">
        <v>228</v>
      </c>
      <c r="AM407" s="148" t="s">
        <v>1389</v>
      </c>
      <c r="AN407" s="143" t="s">
        <v>76</v>
      </c>
      <c r="AO407" s="150" t="s">
        <v>102</v>
      </c>
      <c r="AP407" s="147">
        <v>45006</v>
      </c>
      <c r="AQ407" s="135" t="s">
        <v>3496</v>
      </c>
      <c r="AR407" s="143" t="s">
        <v>1794</v>
      </c>
      <c r="AS407" s="135" t="s">
        <v>3496</v>
      </c>
      <c r="AT407" s="135" t="s">
        <v>3446</v>
      </c>
      <c r="AU407" s="143" t="s">
        <v>1430</v>
      </c>
      <c r="AV407" s="143">
        <v>757</v>
      </c>
      <c r="AW407" s="143">
        <v>38</v>
      </c>
      <c r="AX407" s="143">
        <v>14.1</v>
      </c>
      <c r="AY407" s="143">
        <v>75.8</v>
      </c>
      <c r="AZ407" s="143">
        <v>0.11600000000000001</v>
      </c>
      <c r="BA407" s="143" t="s">
        <v>101</v>
      </c>
      <c r="BB407" s="143"/>
      <c r="BC407" s="143">
        <v>7962</v>
      </c>
      <c r="BD407" s="143"/>
      <c r="BE407" s="143">
        <v>1182</v>
      </c>
      <c r="BF407" s="143">
        <v>9144</v>
      </c>
      <c r="BG407" s="143">
        <v>503</v>
      </c>
      <c r="BH407" s="143">
        <v>8990</v>
      </c>
      <c r="BI407" s="143">
        <v>8990</v>
      </c>
      <c r="BJ407" s="143" t="s">
        <v>102</v>
      </c>
      <c r="BK407" s="171"/>
      <c r="BL407" s="171"/>
      <c r="BM407" s="144" t="s">
        <v>3592</v>
      </c>
      <c r="BN407" s="143">
        <v>2022</v>
      </c>
      <c r="BO407" s="144" t="s">
        <v>143</v>
      </c>
      <c r="BP407" s="144">
        <v>2022</v>
      </c>
      <c r="BQ407" s="203" t="s">
        <v>144</v>
      </c>
    </row>
    <row r="408" spans="1:69" ht="41.1" customHeight="1">
      <c r="A408" s="218" t="s">
        <v>1529</v>
      </c>
      <c r="B408" s="218" t="s">
        <v>1795</v>
      </c>
      <c r="C408" s="143">
        <v>600</v>
      </c>
      <c r="D408" s="135">
        <v>44651</v>
      </c>
      <c r="E408" s="135">
        <v>44652</v>
      </c>
      <c r="F408" s="147"/>
      <c r="G408" s="135"/>
      <c r="H408" s="147">
        <v>44664</v>
      </c>
      <c r="I408" s="147">
        <v>44664</v>
      </c>
      <c r="J408" s="175">
        <v>44673</v>
      </c>
      <c r="K408" s="172">
        <v>44763</v>
      </c>
      <c r="L408" s="172">
        <v>44761</v>
      </c>
      <c r="M408" s="172" t="s">
        <v>76</v>
      </c>
      <c r="N408" s="172">
        <v>44795</v>
      </c>
      <c r="O408" s="172">
        <v>44795</v>
      </c>
      <c r="P408" s="135">
        <v>44796</v>
      </c>
      <c r="Q408" s="168"/>
      <c r="R408" s="171"/>
      <c r="S408" s="143"/>
      <c r="T408" s="143"/>
      <c r="U408" s="143">
        <v>2</v>
      </c>
      <c r="V408" s="143">
        <v>42475</v>
      </c>
      <c r="W408" s="143" t="str">
        <f ca="1">IF(H408="",IF(D408="","",IF(U408+V408&lt;15,"Données Nb pers ou RFR manquantes",IF(COUNTA(INDIRECT("TabRFR["&amp;YEAR(D408)&amp;"]"))&lt;&gt;COUNTA(TabRFR[Recherche RFR]),"Data RFR manquantes", IF(V408&lt;=INDEX(TabRFR[[2021]:[2025]],MATCH(BD!U408&amp;"-Très modestes",TabRFR[Recherche RFR],0),MATCH(TEXT(YEAR(BD!D408),"Standard"),TabRFR[[#Headers],[2021]:[2025]],0)),"Très Modeste",IF(V408&lt;=INDEX(TabRFR[[2021]:[2025]],MATCH(BD!U408&amp;"-modestes",TabRFR[Recherche RFR],0),MATCH(TEXT(YEAR(BD!D408),"Standard"),TabRFR[[#Headers],[2021]:[2025]],0)),"Modeste",IF(V408&lt;=INDEX(TabRFR[[2021]:[2025]],MATCH(BD!U408&amp;"-Intermédiaire",TabRFR[Recherche RFR],0),MATCH(TEXT(YEAR(BD!D408),"Standard"),TabRFR[[#Headers],[2021]:[2025]],0)),"Intermédiaire","Supérieur")))))),IF(D408="","",IF(U408+V408&lt;15,"Données Nb pers ou RFR manquantes",IF(COUNTA(INDIRECT("TabRFR["&amp;YEAR(H408)&amp;"]"))&lt;&gt;COUNTA(TabRFR[Recherche RFR]),"Data RFR manquantes", IF(V408&lt;=INDEX(TabRFR[[2021]:[2025]],MATCH(BD!U408&amp;"-Très modestes",TabRFR[Recherche RFR],0),MATCH(TEXT(YEAR(BD!H408),"Standard"),TabRFR[[#Headers],[2021]:[2025]],0)),"Très Modeste",IF(V408&lt;=INDEX(TabRFR[[2021]:[2025]],MATCH(BD!U408&amp;"-modestes",TabRFR[Recherche RFR],0),MATCH(TEXT(YEAR(BD!H408),"Standard"),TabRFR[[#Headers],[2021]:[2025]],0)),"Modeste",IF(V408&lt;=INDEX(TabRFR[[2021]:[2025]],MATCH(BD!U408&amp;"-Intermédiaire",TabRFR[Recherche RFR],0),MATCH(TEXT(YEAR(BD!H408),"Standard"),TabRFR[[#Headers],[2021]:[2025]],0)),"Intermédiaire","Supérieur")))))))</f>
        <v>Intermédiaire</v>
      </c>
      <c r="X408" s="143"/>
      <c r="Y408" s="143" t="s">
        <v>752</v>
      </c>
      <c r="Z408" s="143">
        <v>38850</v>
      </c>
      <c r="AA408" s="171" t="s">
        <v>168</v>
      </c>
      <c r="AB408" s="148"/>
      <c r="AC408" s="149"/>
      <c r="AD408" s="176" t="s">
        <v>91</v>
      </c>
      <c r="AE408" s="171"/>
      <c r="AF408" s="171"/>
      <c r="AG408" s="171"/>
      <c r="AH408" s="171"/>
      <c r="AI408" s="143" t="s">
        <v>92</v>
      </c>
      <c r="AJ408" s="143" t="s">
        <v>93</v>
      </c>
      <c r="AK408" s="143" t="s">
        <v>1459</v>
      </c>
      <c r="AL408" s="169" t="s">
        <v>1796</v>
      </c>
      <c r="AM408" s="148" t="s">
        <v>96</v>
      </c>
      <c r="AN408" s="143" t="s">
        <v>76</v>
      </c>
      <c r="AO408" s="156" t="s">
        <v>102</v>
      </c>
      <c r="AP408" s="147">
        <v>44821</v>
      </c>
      <c r="AQ408" s="135" t="s">
        <v>3496</v>
      </c>
      <c r="AR408" s="143">
        <v>1993</v>
      </c>
      <c r="AS408" s="143" t="s">
        <v>3413</v>
      </c>
      <c r="AT408" s="143" t="s">
        <v>98</v>
      </c>
      <c r="AU408" s="143" t="s">
        <v>99</v>
      </c>
      <c r="AV408" s="143" t="s">
        <v>1797</v>
      </c>
      <c r="AW408" s="143">
        <v>15</v>
      </c>
      <c r="AX408" s="143">
        <v>12</v>
      </c>
      <c r="AY408" s="143">
        <v>89.6</v>
      </c>
      <c r="AZ408" s="143">
        <v>1.7600000000000001E-3</v>
      </c>
      <c r="BA408" s="143" t="s">
        <v>101</v>
      </c>
      <c r="BB408" s="143"/>
      <c r="BC408" s="143">
        <v>5447</v>
      </c>
      <c r="BD408" s="143"/>
      <c r="BE408" s="143">
        <v>1973</v>
      </c>
      <c r="BF408" s="143">
        <v>7420</v>
      </c>
      <c r="BG408" s="143">
        <v>408.1</v>
      </c>
      <c r="BH408" s="143">
        <v>7828.1</v>
      </c>
      <c r="BI408" s="143">
        <v>7828.1</v>
      </c>
      <c r="BJ408" s="143" t="s">
        <v>102</v>
      </c>
      <c r="BK408" s="171"/>
      <c r="BL408" s="171"/>
      <c r="BM408" s="144" t="s">
        <v>3592</v>
      </c>
      <c r="BN408" s="143">
        <v>2022</v>
      </c>
      <c r="BO408" s="144" t="s">
        <v>143</v>
      </c>
      <c r="BP408" s="143" t="s">
        <v>3583</v>
      </c>
      <c r="BQ408" s="203" t="s">
        <v>144</v>
      </c>
    </row>
    <row r="409" spans="1:69" ht="41.1" customHeight="1">
      <c r="A409" s="145" t="s">
        <v>1529</v>
      </c>
      <c r="B409" s="145" t="s">
        <v>1798</v>
      </c>
      <c r="C409" s="143">
        <v>1000</v>
      </c>
      <c r="D409" s="135">
        <v>44651</v>
      </c>
      <c r="E409" s="135">
        <v>44652</v>
      </c>
      <c r="F409" s="147">
        <v>44664</v>
      </c>
      <c r="G409" s="177" t="s">
        <v>1799</v>
      </c>
      <c r="H409" s="175"/>
      <c r="I409" s="175"/>
      <c r="J409" s="175"/>
      <c r="K409" s="172"/>
      <c r="L409" s="172"/>
      <c r="M409" s="172"/>
      <c r="N409" s="168"/>
      <c r="O409" s="168"/>
      <c r="P409" s="168"/>
      <c r="Q409" s="135">
        <v>44930</v>
      </c>
      <c r="R409" s="143" t="s">
        <v>1611</v>
      </c>
      <c r="S409" s="143"/>
      <c r="T409" s="143"/>
      <c r="U409" s="143">
        <v>1</v>
      </c>
      <c r="V409" s="143">
        <v>0</v>
      </c>
      <c r="W409" s="143" t="str">
        <f ca="1">IF(H409="",IF(D409="","",IF(U409+V409&lt;15,"Données Nb pers ou RFR manquantes",IF(COUNTA(INDIRECT("TabRFR["&amp;YEAR(D409)&amp;"]"))&lt;&gt;COUNTA(TabRFR[Recherche RFR]),"Data RFR manquantes", IF(V409&lt;=INDEX(TabRFR[[2021]:[2025]],MATCH(BD!U409&amp;"-Très modestes",TabRFR[Recherche RFR],0),MATCH(TEXT(YEAR(BD!D409),"Standard"),TabRFR[[#Headers],[2021]:[2025]],0)),"Très Modeste",IF(V409&lt;=INDEX(TabRFR[[2021]:[2025]],MATCH(BD!U409&amp;"-modestes",TabRFR[Recherche RFR],0),MATCH(TEXT(YEAR(BD!D409),"Standard"),TabRFR[[#Headers],[2021]:[2025]],0)),"Modeste",IF(V409&lt;=INDEX(TabRFR[[2021]:[2025]],MATCH(BD!U409&amp;"-Intermédiaire",TabRFR[Recherche RFR],0),MATCH(TEXT(YEAR(BD!D409),"Standard"),TabRFR[[#Headers],[2021]:[2025]],0)),"Intermédiaire","Supérieur")))))),IF(D409="","",IF(U409+V409&lt;15,"Données Nb pers ou RFR manquantes",IF(COUNTA(INDIRECT("TabRFR["&amp;YEAR(H409)&amp;"]"))&lt;&gt;COUNTA(TabRFR[Recherche RFR]),"Data RFR manquantes", IF(V409&lt;=INDEX(TabRFR[[2021]:[2025]],MATCH(BD!U409&amp;"-Très modestes",TabRFR[Recherche RFR],0),MATCH(TEXT(YEAR(BD!H409),"Standard"),TabRFR[[#Headers],[2021]:[2025]],0)),"Très Modeste",IF(V409&lt;=INDEX(TabRFR[[2021]:[2025]],MATCH(BD!U409&amp;"-modestes",TabRFR[Recherche RFR],0),MATCH(TEXT(YEAR(BD!H409),"Standard"),TabRFR[[#Headers],[2021]:[2025]],0)),"Modeste",IF(V409&lt;=INDEX(TabRFR[[2021]:[2025]],MATCH(BD!U409&amp;"-Intermédiaire",TabRFR[Recherche RFR],0),MATCH(TEXT(YEAR(BD!H409),"Standard"),TabRFR[[#Headers],[2021]:[2025]],0)),"Intermédiaire","Supérieur")))))))</f>
        <v>Données Nb pers ou RFR manquantes</v>
      </c>
      <c r="X409" s="143"/>
      <c r="Y409" s="143" t="s">
        <v>1800</v>
      </c>
      <c r="Z409" s="143">
        <v>38500</v>
      </c>
      <c r="AA409" s="171" t="s">
        <v>284</v>
      </c>
      <c r="AB409" s="148"/>
      <c r="AC409" s="149"/>
      <c r="AD409" s="176" t="s">
        <v>91</v>
      </c>
      <c r="AE409" s="171"/>
      <c r="AF409" s="171"/>
      <c r="AG409" s="171"/>
      <c r="AH409" s="171"/>
      <c r="AI409" s="171" t="s">
        <v>1616</v>
      </c>
      <c r="AJ409" s="171"/>
      <c r="AK409" s="171"/>
      <c r="AL409" s="150"/>
      <c r="AM409" s="148"/>
      <c r="AN409" s="143"/>
      <c r="AO409" s="178"/>
      <c r="AP409" s="147"/>
      <c r="AQ409" s="143"/>
      <c r="AR409" s="143"/>
      <c r="AS409" s="143"/>
      <c r="AT409" s="143"/>
      <c r="AU409" s="143"/>
      <c r="AV409" s="143"/>
      <c r="AW409" s="143"/>
      <c r="AX409" s="143"/>
      <c r="AY409" s="143"/>
      <c r="AZ409" s="143"/>
      <c r="BA409" s="143"/>
      <c r="BB409" s="143"/>
      <c r="BC409" s="143"/>
      <c r="BD409" s="143"/>
      <c r="BE409" s="143"/>
      <c r="BF409" s="143"/>
      <c r="BG409" s="143"/>
      <c r="BH409" s="143"/>
      <c r="BI409" s="143"/>
      <c r="BJ409" s="143"/>
      <c r="BK409" s="171"/>
      <c r="BL409" s="171"/>
      <c r="BM409" s="144">
        <v>0</v>
      </c>
      <c r="BN409" s="153" t="s">
        <v>1496</v>
      </c>
      <c r="BO409" s="144" t="s">
        <v>103</v>
      </c>
      <c r="BP409" s="203" t="s">
        <v>3582</v>
      </c>
      <c r="BQ409" s="203" t="s">
        <v>3273</v>
      </c>
    </row>
    <row r="410" spans="1:69" ht="41.1" customHeight="1">
      <c r="A410" s="218" t="s">
        <v>1529</v>
      </c>
      <c r="B410" s="218" t="s">
        <v>1801</v>
      </c>
      <c r="C410" s="143">
        <v>1000</v>
      </c>
      <c r="D410" s="135">
        <v>44651</v>
      </c>
      <c r="E410" s="135">
        <v>44652</v>
      </c>
      <c r="F410" s="175"/>
      <c r="G410" s="168"/>
      <c r="H410" s="147">
        <v>44665</v>
      </c>
      <c r="I410" s="147">
        <v>44665</v>
      </c>
      <c r="J410" s="147">
        <v>44673</v>
      </c>
      <c r="K410" s="172">
        <v>44802</v>
      </c>
      <c r="L410" s="172">
        <v>44789</v>
      </c>
      <c r="M410" s="172" t="s">
        <v>76</v>
      </c>
      <c r="N410" s="172">
        <v>44816</v>
      </c>
      <c r="O410" s="172">
        <v>44816</v>
      </c>
      <c r="P410" s="135">
        <v>44824</v>
      </c>
      <c r="Q410" s="168"/>
      <c r="R410" s="171"/>
      <c r="S410" s="143"/>
      <c r="T410" s="143"/>
      <c r="U410" s="143">
        <v>2</v>
      </c>
      <c r="V410" s="143">
        <v>14154</v>
      </c>
      <c r="W410" s="143" t="str">
        <f ca="1">IF(H410="",IF(D410="","",IF(U410+V410&lt;15,"Données Nb pers ou RFR manquantes",IF(COUNTA(INDIRECT("TabRFR["&amp;YEAR(D410)&amp;"]"))&lt;&gt;COUNTA(TabRFR[Recherche RFR]),"Data RFR manquantes", IF(V410&lt;=INDEX(TabRFR[[2021]:[2025]],MATCH(BD!U410&amp;"-Très modestes",TabRFR[Recherche RFR],0),MATCH(TEXT(YEAR(BD!D410),"Standard"),TabRFR[[#Headers],[2021]:[2025]],0)),"Très Modeste",IF(V410&lt;=INDEX(TabRFR[[2021]:[2025]],MATCH(BD!U410&amp;"-modestes",TabRFR[Recherche RFR],0),MATCH(TEXT(YEAR(BD!D410),"Standard"),TabRFR[[#Headers],[2021]:[2025]],0)),"Modeste",IF(V410&lt;=INDEX(TabRFR[[2021]:[2025]],MATCH(BD!U410&amp;"-Intermédiaire",TabRFR[Recherche RFR],0),MATCH(TEXT(YEAR(BD!D410),"Standard"),TabRFR[[#Headers],[2021]:[2025]],0)),"Intermédiaire","Supérieur")))))),IF(D410="","",IF(U410+V410&lt;15,"Données Nb pers ou RFR manquantes",IF(COUNTA(INDIRECT("TabRFR["&amp;YEAR(H410)&amp;"]"))&lt;&gt;COUNTA(TabRFR[Recherche RFR]),"Data RFR manquantes", IF(V410&lt;=INDEX(TabRFR[[2021]:[2025]],MATCH(BD!U410&amp;"-Très modestes",TabRFR[Recherche RFR],0),MATCH(TEXT(YEAR(BD!H410),"Standard"),TabRFR[[#Headers],[2021]:[2025]],0)),"Très Modeste",IF(V410&lt;=INDEX(TabRFR[[2021]:[2025]],MATCH(BD!U410&amp;"-modestes",TabRFR[Recherche RFR],0),MATCH(TEXT(YEAR(BD!H410),"Standard"),TabRFR[[#Headers],[2021]:[2025]],0)),"Modeste",IF(V410&lt;=INDEX(TabRFR[[2021]:[2025]],MATCH(BD!U410&amp;"-Intermédiaire",TabRFR[Recherche RFR],0),MATCH(TEXT(YEAR(BD!H410),"Standard"),TabRFR[[#Headers],[2021]:[2025]],0)),"Intermédiaire","Supérieur")))))))</f>
        <v>Très Modeste</v>
      </c>
      <c r="X410" s="143"/>
      <c r="Y410" s="143" t="s">
        <v>1802</v>
      </c>
      <c r="Z410" s="143">
        <v>38850</v>
      </c>
      <c r="AA410" s="171" t="s">
        <v>193</v>
      </c>
      <c r="AB410" s="148"/>
      <c r="AC410" s="149"/>
      <c r="AD410" s="176" t="s">
        <v>91</v>
      </c>
      <c r="AE410" s="171"/>
      <c r="AF410" s="171"/>
      <c r="AG410" s="171"/>
      <c r="AH410" s="171"/>
      <c r="AI410" s="143" t="s">
        <v>92</v>
      </c>
      <c r="AJ410" s="143" t="s">
        <v>93</v>
      </c>
      <c r="AK410" s="143" t="s">
        <v>1459</v>
      </c>
      <c r="AL410" s="179" t="s">
        <v>1796</v>
      </c>
      <c r="AM410" s="148" t="s">
        <v>96</v>
      </c>
      <c r="AN410" s="143" t="s">
        <v>76</v>
      </c>
      <c r="AO410" s="156" t="s">
        <v>102</v>
      </c>
      <c r="AP410" s="147">
        <v>44821</v>
      </c>
      <c r="AQ410" s="135" t="s">
        <v>3496</v>
      </c>
      <c r="AR410" s="143">
        <v>2001</v>
      </c>
      <c r="AS410" s="143" t="s">
        <v>3413</v>
      </c>
      <c r="AT410" s="135" t="s">
        <v>3446</v>
      </c>
      <c r="AU410" s="143" t="s">
        <v>538</v>
      </c>
      <c r="AV410" s="143" t="s">
        <v>1803</v>
      </c>
      <c r="AW410" s="143">
        <v>28</v>
      </c>
      <c r="AX410" s="143">
        <v>9</v>
      </c>
      <c r="AY410" s="143">
        <v>75.8</v>
      </c>
      <c r="AZ410" s="143">
        <v>7.5679999999999997E-2</v>
      </c>
      <c r="BA410" s="143" t="s">
        <v>101</v>
      </c>
      <c r="BB410" s="143"/>
      <c r="BC410" s="143">
        <v>3688.3</v>
      </c>
      <c r="BD410" s="143"/>
      <c r="BE410" s="143">
        <v>1040</v>
      </c>
      <c r="BF410" s="143">
        <v>4728.3</v>
      </c>
      <c r="BG410" s="143">
        <v>260.06</v>
      </c>
      <c r="BH410" s="143">
        <f>BF410+BG410</f>
        <v>4988.3600000000006</v>
      </c>
      <c r="BI410" s="143">
        <v>4988.3599999999997</v>
      </c>
      <c r="BJ410" s="143" t="s">
        <v>102</v>
      </c>
      <c r="BK410" s="171"/>
      <c r="BL410" s="171"/>
      <c r="BM410" s="144" t="s">
        <v>3592</v>
      </c>
      <c r="BN410" s="143">
        <v>2022</v>
      </c>
      <c r="BO410" s="135" t="s">
        <v>155</v>
      </c>
      <c r="BP410" s="144">
        <v>2022</v>
      </c>
      <c r="BQ410" s="203" t="s">
        <v>144</v>
      </c>
    </row>
    <row r="411" spans="1:69" ht="41.1" customHeight="1">
      <c r="A411" s="218" t="s">
        <v>1529</v>
      </c>
      <c r="B411" s="218" t="s">
        <v>1804</v>
      </c>
      <c r="C411" s="143">
        <v>1000</v>
      </c>
      <c r="D411" s="135">
        <v>44652</v>
      </c>
      <c r="E411" s="135">
        <v>44656</v>
      </c>
      <c r="F411" s="175"/>
      <c r="G411" s="168"/>
      <c r="H411" s="147">
        <v>44665</v>
      </c>
      <c r="I411" s="147">
        <v>44665</v>
      </c>
      <c r="J411" s="147">
        <v>44673</v>
      </c>
      <c r="K411" s="172">
        <v>44973</v>
      </c>
      <c r="L411" s="172">
        <v>44882</v>
      </c>
      <c r="M411" s="172" t="s">
        <v>76</v>
      </c>
      <c r="N411" s="172">
        <v>45001</v>
      </c>
      <c r="O411" s="172">
        <v>45002</v>
      </c>
      <c r="P411" s="135">
        <v>45005</v>
      </c>
      <c r="Q411" s="143"/>
      <c r="R411" s="143"/>
      <c r="S411" s="143"/>
      <c r="T411" s="143"/>
      <c r="U411" s="143">
        <v>1</v>
      </c>
      <c r="V411" s="143">
        <v>11827</v>
      </c>
      <c r="W411" s="143" t="str">
        <f ca="1">IF(H411="",IF(D411="","",IF(U411+V411&lt;15,"Données Nb pers ou RFR manquantes",IF(COUNTA(INDIRECT("TabRFR["&amp;YEAR(D411)&amp;"]"))&lt;&gt;COUNTA(TabRFR[Recherche RFR]),"Data RFR manquantes", IF(V411&lt;=INDEX(TabRFR[[2021]:[2025]],MATCH(BD!U411&amp;"-Très modestes",TabRFR[Recherche RFR],0),MATCH(TEXT(YEAR(BD!D411),"Standard"),TabRFR[[#Headers],[2021]:[2025]],0)),"Très Modeste",IF(V411&lt;=INDEX(TabRFR[[2021]:[2025]],MATCH(BD!U411&amp;"-modestes",TabRFR[Recherche RFR],0),MATCH(TEXT(YEAR(BD!D411),"Standard"),TabRFR[[#Headers],[2021]:[2025]],0)),"Modeste",IF(V411&lt;=INDEX(TabRFR[[2021]:[2025]],MATCH(BD!U411&amp;"-Intermédiaire",TabRFR[Recherche RFR],0),MATCH(TEXT(YEAR(BD!D411),"Standard"),TabRFR[[#Headers],[2021]:[2025]],0)),"Intermédiaire","Supérieur")))))),IF(D411="","",IF(U411+V411&lt;15,"Données Nb pers ou RFR manquantes",IF(COUNTA(INDIRECT("TabRFR["&amp;YEAR(H411)&amp;"]"))&lt;&gt;COUNTA(TabRFR[Recherche RFR]),"Data RFR manquantes", IF(V411&lt;=INDEX(TabRFR[[2021]:[2025]],MATCH(BD!U411&amp;"-Très modestes",TabRFR[Recherche RFR],0),MATCH(TEXT(YEAR(BD!H411),"Standard"),TabRFR[[#Headers],[2021]:[2025]],0)),"Très Modeste",IF(V411&lt;=INDEX(TabRFR[[2021]:[2025]],MATCH(BD!U411&amp;"-modestes",TabRFR[Recherche RFR],0),MATCH(TEXT(YEAR(BD!H411),"Standard"),TabRFR[[#Headers],[2021]:[2025]],0)),"Modeste",IF(V411&lt;=INDEX(TabRFR[[2021]:[2025]],MATCH(BD!U411&amp;"-Intermédiaire",TabRFR[Recherche RFR],0),MATCH(TEXT(YEAR(BD!H411),"Standard"),TabRFR[[#Headers],[2021]:[2025]],0)),"Intermédiaire","Supérieur")))))))</f>
        <v>Très Modeste</v>
      </c>
      <c r="X411" s="143"/>
      <c r="Y411" s="171" t="s">
        <v>1805</v>
      </c>
      <c r="Z411" s="143">
        <v>38140</v>
      </c>
      <c r="AA411" s="143" t="s">
        <v>159</v>
      </c>
      <c r="AB411" s="176"/>
      <c r="AC411" s="149"/>
      <c r="AD411" s="143" t="s">
        <v>91</v>
      </c>
      <c r="AE411" s="143" t="s">
        <v>76</v>
      </c>
      <c r="AF411" s="143" t="s">
        <v>76</v>
      </c>
      <c r="AG411" s="143" t="s">
        <v>76</v>
      </c>
      <c r="AH411" s="143" t="s">
        <v>76</v>
      </c>
      <c r="AI411" s="148" t="s">
        <v>1373</v>
      </c>
      <c r="AJ411" s="143" t="s">
        <v>504</v>
      </c>
      <c r="AK411" s="156" t="s">
        <v>1374</v>
      </c>
      <c r="AL411" s="147" t="s">
        <v>1375</v>
      </c>
      <c r="AM411" s="143" t="s">
        <v>1410</v>
      </c>
      <c r="AN411" s="143"/>
      <c r="AO411" s="164" t="s">
        <v>102</v>
      </c>
      <c r="AP411" s="143">
        <v>44715</v>
      </c>
      <c r="AQ411" s="135" t="s">
        <v>3496</v>
      </c>
      <c r="AR411" s="143">
        <v>1986</v>
      </c>
      <c r="AS411" s="143" t="s">
        <v>3413</v>
      </c>
      <c r="AT411" s="143" t="s">
        <v>98</v>
      </c>
      <c r="AU411" s="143" t="s">
        <v>164</v>
      </c>
      <c r="AV411" s="143" t="s">
        <v>1806</v>
      </c>
      <c r="AW411" s="143">
        <v>18</v>
      </c>
      <c r="AX411" s="143">
        <v>9</v>
      </c>
      <c r="AY411" s="143">
        <v>93</v>
      </c>
      <c r="AZ411" s="143">
        <v>2.128E-2</v>
      </c>
      <c r="BA411" s="143" t="s">
        <v>101</v>
      </c>
      <c r="BB411" s="143"/>
      <c r="BC411" s="143">
        <v>4290</v>
      </c>
      <c r="BD411" s="171"/>
      <c r="BE411" s="144">
        <v>2330</v>
      </c>
      <c r="BF411" s="144">
        <v>6870</v>
      </c>
      <c r="BG411" s="143">
        <v>377.85</v>
      </c>
      <c r="BH411" s="143">
        <v>7247.85</v>
      </c>
      <c r="BI411" s="143">
        <v>7247.85</v>
      </c>
      <c r="BJ411" s="143" t="s">
        <v>102</v>
      </c>
      <c r="BK411" s="171"/>
      <c r="BL411" s="171"/>
      <c r="BM411" s="144" t="s">
        <v>3592</v>
      </c>
      <c r="BN411" s="143">
        <v>2022</v>
      </c>
      <c r="BO411" s="135" t="s">
        <v>155</v>
      </c>
      <c r="BP411" s="143" t="s">
        <v>3583</v>
      </c>
      <c r="BQ411" s="203" t="s">
        <v>144</v>
      </c>
    </row>
    <row r="412" spans="1:69" ht="41.1" customHeight="1">
      <c r="A412" s="219" t="s">
        <v>1529</v>
      </c>
      <c r="B412" s="219" t="s">
        <v>1807</v>
      </c>
      <c r="C412" s="143">
        <v>600</v>
      </c>
      <c r="D412" s="135">
        <v>44655</v>
      </c>
      <c r="E412" s="135">
        <v>44656</v>
      </c>
      <c r="F412" s="147">
        <v>44665</v>
      </c>
      <c r="G412" s="135" t="s">
        <v>1808</v>
      </c>
      <c r="H412" s="147">
        <v>44677</v>
      </c>
      <c r="I412" s="147">
        <v>44677</v>
      </c>
      <c r="J412" s="147">
        <v>44684</v>
      </c>
      <c r="K412" s="135"/>
      <c r="L412" s="135">
        <v>44707</v>
      </c>
      <c r="M412" s="135" t="s">
        <v>3426</v>
      </c>
      <c r="N412" s="135"/>
      <c r="O412" s="135"/>
      <c r="P412" s="135"/>
      <c r="Q412" s="135"/>
      <c r="R412" s="143"/>
      <c r="S412" s="143"/>
      <c r="T412" s="143"/>
      <c r="U412" s="143">
        <v>5</v>
      </c>
      <c r="V412" s="143">
        <v>60084</v>
      </c>
      <c r="W412" s="143" t="str">
        <f ca="1">IF(H412="",IF(D412="","",IF(U412+V412&lt;15,"Données Nb pers ou RFR manquantes",IF(COUNTA(INDIRECT("TabRFR["&amp;YEAR(D412)&amp;"]"))&lt;&gt;COUNTA(TabRFR[Recherche RFR]),"Data RFR manquantes", IF(V412&lt;=INDEX(TabRFR[[2021]:[2025]],MATCH(BD!U412&amp;"-Très modestes",TabRFR[Recherche RFR],0),MATCH(TEXT(YEAR(BD!D412),"Standard"),TabRFR[[#Headers],[2021]:[2025]],0)),"Très Modeste",IF(V412&lt;=INDEX(TabRFR[[2021]:[2025]],MATCH(BD!U412&amp;"-modestes",TabRFR[Recherche RFR],0),MATCH(TEXT(YEAR(BD!D412),"Standard"),TabRFR[[#Headers],[2021]:[2025]],0)),"Modeste",IF(V412&lt;=INDEX(TabRFR[[2021]:[2025]],MATCH(BD!U412&amp;"-Intermédiaire",TabRFR[Recherche RFR],0),MATCH(TEXT(YEAR(BD!D412),"Standard"),TabRFR[[#Headers],[2021]:[2025]],0)),"Intermédiaire","Supérieur")))))),IF(D412="","",IF(U412+V412&lt;15,"Données Nb pers ou RFR manquantes",IF(COUNTA(INDIRECT("TabRFR["&amp;YEAR(H412)&amp;"]"))&lt;&gt;COUNTA(TabRFR[Recherche RFR]),"Data RFR manquantes", IF(V412&lt;=INDEX(TabRFR[[2021]:[2025]],MATCH(BD!U412&amp;"-Très modestes",TabRFR[Recherche RFR],0),MATCH(TEXT(YEAR(BD!H412),"Standard"),TabRFR[[#Headers],[2021]:[2025]],0)),"Très Modeste",IF(V412&lt;=INDEX(TabRFR[[2021]:[2025]],MATCH(BD!U412&amp;"-modestes",TabRFR[Recherche RFR],0),MATCH(TEXT(YEAR(BD!H412),"Standard"),TabRFR[[#Headers],[2021]:[2025]],0)),"Modeste",IF(V412&lt;=INDEX(TabRFR[[2021]:[2025]],MATCH(BD!U412&amp;"-Intermédiaire",TabRFR[Recherche RFR],0),MATCH(TEXT(YEAR(BD!H412),"Standard"),TabRFR[[#Headers],[2021]:[2025]],0)),"Intermédiaire","Supérieur")))))))</f>
        <v>Intermédiaire</v>
      </c>
      <c r="X412" s="143"/>
      <c r="Y412" s="143" t="s">
        <v>1809</v>
      </c>
      <c r="Z412" s="143">
        <v>38960</v>
      </c>
      <c r="AA412" s="143" t="s">
        <v>360</v>
      </c>
      <c r="AB412" s="148"/>
      <c r="AC412" s="149"/>
      <c r="AD412" s="143" t="s">
        <v>91</v>
      </c>
      <c r="AE412" s="143"/>
      <c r="AF412" s="143"/>
      <c r="AG412" s="143"/>
      <c r="AH412" s="143"/>
      <c r="AI412" s="143" t="s">
        <v>109</v>
      </c>
      <c r="AJ412" s="143" t="s">
        <v>108</v>
      </c>
      <c r="AK412" s="164" t="s">
        <v>1779</v>
      </c>
      <c r="AL412" s="150" t="s">
        <v>1701</v>
      </c>
      <c r="AM412" s="148">
        <v>476074561</v>
      </c>
      <c r="AN412" s="143" t="s">
        <v>76</v>
      </c>
      <c r="AO412" s="150" t="s">
        <v>144</v>
      </c>
      <c r="AP412" s="147">
        <v>44868</v>
      </c>
      <c r="AQ412" s="135" t="s">
        <v>3496</v>
      </c>
      <c r="AR412" s="143" t="s">
        <v>1810</v>
      </c>
      <c r="AS412" s="143" t="s">
        <v>3413</v>
      </c>
      <c r="AT412" s="143" t="s">
        <v>98</v>
      </c>
      <c r="AU412" s="143" t="s">
        <v>113</v>
      </c>
      <c r="AV412" s="143" t="s">
        <v>1811</v>
      </c>
      <c r="AW412" s="143">
        <v>18</v>
      </c>
      <c r="AX412" s="143">
        <v>10</v>
      </c>
      <c r="AY412" s="143">
        <v>90.4</v>
      </c>
      <c r="AZ412" s="143">
        <v>3.0400000000000002E-3</v>
      </c>
      <c r="BA412" s="143" t="s">
        <v>101</v>
      </c>
      <c r="BB412" s="171"/>
      <c r="BC412" s="143">
        <v>5061</v>
      </c>
      <c r="BD412" s="171"/>
      <c r="BE412" s="143">
        <v>505</v>
      </c>
      <c r="BF412" s="143">
        <v>5566</v>
      </c>
      <c r="BG412" s="143">
        <v>306.13</v>
      </c>
      <c r="BH412" s="143">
        <v>5872.13</v>
      </c>
      <c r="BI412" s="143"/>
      <c r="BJ412" s="143" t="s">
        <v>102</v>
      </c>
      <c r="BK412" s="143"/>
      <c r="BL412" s="143"/>
      <c r="BM412" s="144" t="s">
        <v>3592</v>
      </c>
      <c r="BN412" s="143">
        <v>2022</v>
      </c>
      <c r="BO412" s="144" t="s">
        <v>143</v>
      </c>
      <c r="BP412" s="143" t="s">
        <v>3583</v>
      </c>
      <c r="BQ412" s="203"/>
    </row>
    <row r="413" spans="1:69" ht="41.1" customHeight="1">
      <c r="A413" s="218" t="s">
        <v>1529</v>
      </c>
      <c r="B413" s="218" t="s">
        <v>1812</v>
      </c>
      <c r="C413" s="143">
        <v>1000</v>
      </c>
      <c r="D413" s="135">
        <v>44656</v>
      </c>
      <c r="E413" s="135">
        <v>44662</v>
      </c>
      <c r="F413" s="147">
        <v>44665</v>
      </c>
      <c r="G413" s="135" t="s">
        <v>1813</v>
      </c>
      <c r="H413" s="147">
        <v>44761</v>
      </c>
      <c r="I413" s="147">
        <v>44761</v>
      </c>
      <c r="J413" s="147">
        <v>44768</v>
      </c>
      <c r="K413" s="135">
        <v>44782</v>
      </c>
      <c r="L413" s="135">
        <v>44773</v>
      </c>
      <c r="M413" s="135" t="s">
        <v>76</v>
      </c>
      <c r="N413" s="135">
        <v>44795</v>
      </c>
      <c r="O413" s="135">
        <v>44795</v>
      </c>
      <c r="P413" s="135">
        <v>44796</v>
      </c>
      <c r="Q413" s="135"/>
      <c r="R413" s="135"/>
      <c r="S413" s="135"/>
      <c r="T413" s="135"/>
      <c r="U413" s="143">
        <v>2</v>
      </c>
      <c r="V413" s="143">
        <v>28371</v>
      </c>
      <c r="W413" s="143" t="str">
        <f ca="1">IF(H413="",IF(D413="","",IF(U413+V413&lt;15,"Données Nb pers ou RFR manquantes",IF(COUNTA(INDIRECT("TabRFR["&amp;YEAR(D413)&amp;"]"))&lt;&gt;COUNTA(TabRFR[Recherche RFR]),"Data RFR manquantes", IF(V413&lt;=INDEX(TabRFR[[2021]:[2025]],MATCH(BD!U413&amp;"-Très modestes",TabRFR[Recherche RFR],0),MATCH(TEXT(YEAR(BD!D413),"Standard"),TabRFR[[#Headers],[2021]:[2025]],0)),"Très Modeste",IF(V413&lt;=INDEX(TabRFR[[2021]:[2025]],MATCH(BD!U413&amp;"-modestes",TabRFR[Recherche RFR],0),MATCH(TEXT(YEAR(BD!D413),"Standard"),TabRFR[[#Headers],[2021]:[2025]],0)),"Modeste",IF(V413&lt;=INDEX(TabRFR[[2021]:[2025]],MATCH(BD!U413&amp;"-Intermédiaire",TabRFR[Recherche RFR],0),MATCH(TEXT(YEAR(BD!D413),"Standard"),TabRFR[[#Headers],[2021]:[2025]],0)),"Intermédiaire","Supérieur")))))),IF(D413="","",IF(U413+V413&lt;15,"Données Nb pers ou RFR manquantes",IF(COUNTA(INDIRECT("TabRFR["&amp;YEAR(H413)&amp;"]"))&lt;&gt;COUNTA(TabRFR[Recherche RFR]),"Data RFR manquantes", IF(V413&lt;=INDEX(TabRFR[[2021]:[2025]],MATCH(BD!U413&amp;"-Très modestes",TabRFR[Recherche RFR],0),MATCH(TEXT(YEAR(BD!H413),"Standard"),TabRFR[[#Headers],[2021]:[2025]],0)),"Très Modeste",IF(V413&lt;=INDEX(TabRFR[[2021]:[2025]],MATCH(BD!U413&amp;"-modestes",TabRFR[Recherche RFR],0),MATCH(TEXT(YEAR(BD!H413),"Standard"),TabRFR[[#Headers],[2021]:[2025]],0)),"Modeste",IF(V413&lt;=INDEX(TabRFR[[2021]:[2025]],MATCH(BD!U413&amp;"-Intermédiaire",TabRFR[Recherche RFR],0),MATCH(TEXT(YEAR(BD!H413),"Standard"),TabRFR[[#Headers],[2021]:[2025]],0)),"Intermédiaire","Supérieur")))))))</f>
        <v>Modeste</v>
      </c>
      <c r="X413" s="143"/>
      <c r="Y413" s="143" t="s">
        <v>1814</v>
      </c>
      <c r="Z413" s="143">
        <v>38730</v>
      </c>
      <c r="AA413" s="143" t="s">
        <v>293</v>
      </c>
      <c r="AB413" s="148"/>
      <c r="AC413" s="149"/>
      <c r="AD413" s="143" t="s">
        <v>91</v>
      </c>
      <c r="AE413" s="143"/>
      <c r="AF413" s="143"/>
      <c r="AG413" s="143"/>
      <c r="AH413" s="143"/>
      <c r="AI413" s="143" t="s">
        <v>1106</v>
      </c>
      <c r="AJ413" s="143" t="s">
        <v>1075</v>
      </c>
      <c r="AK413" s="143" t="s">
        <v>1737</v>
      </c>
      <c r="AL413" s="169" t="s">
        <v>1108</v>
      </c>
      <c r="AM413" s="148" t="s">
        <v>1455</v>
      </c>
      <c r="AN413" s="143" t="s">
        <v>76</v>
      </c>
      <c r="AO413" s="150" t="s">
        <v>102</v>
      </c>
      <c r="AP413" s="147">
        <v>44731</v>
      </c>
      <c r="AQ413" s="135" t="s">
        <v>3449</v>
      </c>
      <c r="AR413" s="143">
        <v>1980</v>
      </c>
      <c r="AS413" s="135" t="s">
        <v>3496</v>
      </c>
      <c r="AT413" s="135" t="s">
        <v>3446</v>
      </c>
      <c r="AU413" s="143" t="s">
        <v>1815</v>
      </c>
      <c r="AV413" s="143" t="s">
        <v>1816</v>
      </c>
      <c r="AW413" s="151">
        <v>34</v>
      </c>
      <c r="AX413" s="151">
        <v>12.5</v>
      </c>
      <c r="AY413" s="151">
        <v>76.5</v>
      </c>
      <c r="AZ413" s="151">
        <v>0.12</v>
      </c>
      <c r="BA413" s="151" t="s">
        <v>101</v>
      </c>
      <c r="BB413" s="143"/>
      <c r="BC413" s="151">
        <v>4100.47</v>
      </c>
      <c r="BD413" s="143"/>
      <c r="BE413" s="151">
        <v>800</v>
      </c>
      <c r="BF413" s="151">
        <v>4900.47</v>
      </c>
      <c r="BG413" s="151">
        <v>263.52999999999997</v>
      </c>
      <c r="BH413" s="151">
        <v>5170</v>
      </c>
      <c r="BI413" s="151">
        <v>5171</v>
      </c>
      <c r="BJ413" s="143" t="s">
        <v>102</v>
      </c>
      <c r="BK413" s="143"/>
      <c r="BL413" s="143"/>
      <c r="BM413" s="144" t="s">
        <v>3592</v>
      </c>
      <c r="BN413" s="143">
        <v>2022</v>
      </c>
      <c r="BO413" s="135" t="s">
        <v>155</v>
      </c>
      <c r="BP413" s="144">
        <v>2022</v>
      </c>
      <c r="BQ413" s="203" t="s">
        <v>144</v>
      </c>
    </row>
    <row r="414" spans="1:69" ht="41.1" customHeight="1">
      <c r="A414" s="218" t="s">
        <v>1529</v>
      </c>
      <c r="B414" s="218" t="s">
        <v>1817</v>
      </c>
      <c r="C414" s="143">
        <v>600</v>
      </c>
      <c r="D414" s="135">
        <v>44656</v>
      </c>
      <c r="E414" s="135">
        <v>44662</v>
      </c>
      <c r="F414" s="147"/>
      <c r="G414" s="135"/>
      <c r="H414" s="147">
        <v>44665</v>
      </c>
      <c r="I414" s="147">
        <v>44665</v>
      </c>
      <c r="J414" s="147">
        <v>44673</v>
      </c>
      <c r="K414" s="135">
        <v>44854</v>
      </c>
      <c r="L414" s="135">
        <v>44851</v>
      </c>
      <c r="M414" s="135" t="s">
        <v>76</v>
      </c>
      <c r="N414" s="135">
        <v>44874</v>
      </c>
      <c r="O414" s="135">
        <v>44874</v>
      </c>
      <c r="P414" s="135">
        <v>44879</v>
      </c>
      <c r="Q414" s="135"/>
      <c r="R414" s="135"/>
      <c r="S414" s="135"/>
      <c r="T414" s="135"/>
      <c r="U414" s="143">
        <v>1</v>
      </c>
      <c r="V414" s="143">
        <v>34384</v>
      </c>
      <c r="W414" s="143" t="str">
        <f ca="1">IF(H414="",IF(D414="","",IF(U414+V414&lt;15,"Données Nb pers ou RFR manquantes",IF(COUNTA(INDIRECT("TabRFR["&amp;YEAR(D414)&amp;"]"))&lt;&gt;COUNTA(TabRFR[Recherche RFR]),"Data RFR manquantes", IF(V414&lt;=INDEX(TabRFR[[2021]:[2025]],MATCH(BD!U414&amp;"-Très modestes",TabRFR[Recherche RFR],0),MATCH(TEXT(YEAR(BD!D414),"Standard"),TabRFR[[#Headers],[2021]:[2025]],0)),"Très Modeste",IF(V414&lt;=INDEX(TabRFR[[2021]:[2025]],MATCH(BD!U414&amp;"-modestes",TabRFR[Recherche RFR],0),MATCH(TEXT(YEAR(BD!D414),"Standard"),TabRFR[[#Headers],[2021]:[2025]],0)),"Modeste",IF(V414&lt;=INDEX(TabRFR[[2021]:[2025]],MATCH(BD!U414&amp;"-Intermédiaire",TabRFR[Recherche RFR],0),MATCH(TEXT(YEAR(BD!D414),"Standard"),TabRFR[[#Headers],[2021]:[2025]],0)),"Intermédiaire","Supérieur")))))),IF(D414="","",IF(U414+V414&lt;15,"Données Nb pers ou RFR manquantes",IF(COUNTA(INDIRECT("TabRFR["&amp;YEAR(H414)&amp;"]"))&lt;&gt;COUNTA(TabRFR[Recherche RFR]),"Data RFR manquantes", IF(V414&lt;=INDEX(TabRFR[[2021]:[2025]],MATCH(BD!U414&amp;"-Très modestes",TabRFR[Recherche RFR],0),MATCH(TEXT(YEAR(BD!H414),"Standard"),TabRFR[[#Headers],[2021]:[2025]],0)),"Très Modeste",IF(V414&lt;=INDEX(TabRFR[[2021]:[2025]],MATCH(BD!U414&amp;"-modestes",TabRFR[Recherche RFR],0),MATCH(TEXT(YEAR(BD!H414),"Standard"),TabRFR[[#Headers],[2021]:[2025]],0)),"Modeste",IF(V414&lt;=INDEX(TabRFR[[2021]:[2025]],MATCH(BD!U414&amp;"-Intermédiaire",TabRFR[Recherche RFR],0),MATCH(TEXT(YEAR(BD!H414),"Standard"),TabRFR[[#Headers],[2021]:[2025]],0)),"Intermédiaire","Supérieur")))))))</f>
        <v>Supérieur</v>
      </c>
      <c r="X414" s="143"/>
      <c r="Y414" s="143" t="s">
        <v>1818</v>
      </c>
      <c r="Z414" s="143">
        <v>38430</v>
      </c>
      <c r="AA414" s="143" t="s">
        <v>119</v>
      </c>
      <c r="AB414" s="148"/>
      <c r="AC414" s="149"/>
      <c r="AD414" s="143" t="s">
        <v>91</v>
      </c>
      <c r="AE414" s="143"/>
      <c r="AF414" s="143"/>
      <c r="AG414" s="143"/>
      <c r="AH414" s="143"/>
      <c r="AI414" s="143" t="s">
        <v>169</v>
      </c>
      <c r="AJ414" s="143" t="s">
        <v>119</v>
      </c>
      <c r="AK414" s="143" t="s">
        <v>170</v>
      </c>
      <c r="AL414" s="149" t="s">
        <v>171</v>
      </c>
      <c r="AM414" s="148">
        <v>476355605</v>
      </c>
      <c r="AN414" s="143" t="s">
        <v>76</v>
      </c>
      <c r="AO414" s="150" t="s">
        <v>102</v>
      </c>
      <c r="AP414" s="147">
        <v>44860</v>
      </c>
      <c r="AQ414" s="135" t="s">
        <v>3496</v>
      </c>
      <c r="AR414" s="143">
        <v>1996</v>
      </c>
      <c r="AS414" s="135" t="s">
        <v>3496</v>
      </c>
      <c r="AT414" s="135" t="s">
        <v>3446</v>
      </c>
      <c r="AU414" s="143" t="s">
        <v>1634</v>
      </c>
      <c r="AV414" s="143" t="s">
        <v>1819</v>
      </c>
      <c r="AW414" s="143">
        <v>30</v>
      </c>
      <c r="AX414" s="143">
        <v>14</v>
      </c>
      <c r="AY414" s="143">
        <v>75</v>
      </c>
      <c r="AZ414" s="143">
        <v>0.1</v>
      </c>
      <c r="BA414" s="143" t="s">
        <v>101</v>
      </c>
      <c r="BB414" s="143"/>
      <c r="BC414" s="143">
        <v>2474.1</v>
      </c>
      <c r="BD414" s="143"/>
      <c r="BE414" s="143">
        <v>250</v>
      </c>
      <c r="BF414" s="143">
        <v>2724.1</v>
      </c>
      <c r="BG414" s="143">
        <v>149.83000000000001</v>
      </c>
      <c r="BH414" s="143">
        <v>2873.93</v>
      </c>
      <c r="BI414" s="143">
        <v>2873.93</v>
      </c>
      <c r="BJ414" s="143" t="s">
        <v>115</v>
      </c>
      <c r="BK414" s="143"/>
      <c r="BL414" s="143"/>
      <c r="BM414" s="144" t="s">
        <v>3592</v>
      </c>
      <c r="BN414" s="143">
        <v>2022</v>
      </c>
      <c r="BO414" s="144" t="s">
        <v>143</v>
      </c>
      <c r="BP414" s="144">
        <v>2022</v>
      </c>
      <c r="BQ414" s="203" t="s">
        <v>3274</v>
      </c>
    </row>
    <row r="415" spans="1:69" ht="41.1" customHeight="1">
      <c r="A415" s="218" t="s">
        <v>1529</v>
      </c>
      <c r="B415" s="218" t="s">
        <v>1820</v>
      </c>
      <c r="C415" s="143">
        <v>600</v>
      </c>
      <c r="D415" s="135">
        <v>44657</v>
      </c>
      <c r="E415" s="135">
        <v>44662</v>
      </c>
      <c r="F415" s="147">
        <v>44606</v>
      </c>
      <c r="G415" s="135" t="s">
        <v>1821</v>
      </c>
      <c r="H415" s="147">
        <v>44677</v>
      </c>
      <c r="I415" s="147">
        <v>44677</v>
      </c>
      <c r="J415" s="147">
        <v>44684</v>
      </c>
      <c r="K415" s="135">
        <v>44747</v>
      </c>
      <c r="L415" s="135">
        <v>44742</v>
      </c>
      <c r="M415" s="135" t="s">
        <v>76</v>
      </c>
      <c r="N415" s="135">
        <v>44769</v>
      </c>
      <c r="O415" s="135">
        <v>44769</v>
      </c>
      <c r="P415" s="135">
        <v>44770</v>
      </c>
      <c r="Q415" s="135"/>
      <c r="R415" s="135"/>
      <c r="S415" s="135"/>
      <c r="T415" s="135"/>
      <c r="U415" s="143">
        <v>1</v>
      </c>
      <c r="V415" s="143">
        <v>59245</v>
      </c>
      <c r="W415" s="143" t="str">
        <f ca="1">IF(H415="",IF(D415="","",IF(U415+V415&lt;15,"Données Nb pers ou RFR manquantes",IF(COUNTA(INDIRECT("TabRFR["&amp;YEAR(D415)&amp;"]"))&lt;&gt;COUNTA(TabRFR[Recherche RFR]),"Data RFR manquantes", IF(V415&lt;=INDEX(TabRFR[[2021]:[2025]],MATCH(BD!U415&amp;"-Très modestes",TabRFR[Recherche RFR],0),MATCH(TEXT(YEAR(BD!D415),"Standard"),TabRFR[[#Headers],[2021]:[2025]],0)),"Très Modeste",IF(V415&lt;=INDEX(TabRFR[[2021]:[2025]],MATCH(BD!U415&amp;"-modestes",TabRFR[Recherche RFR],0),MATCH(TEXT(YEAR(BD!D415),"Standard"),TabRFR[[#Headers],[2021]:[2025]],0)),"Modeste",IF(V415&lt;=INDEX(TabRFR[[2021]:[2025]],MATCH(BD!U415&amp;"-Intermédiaire",TabRFR[Recherche RFR],0),MATCH(TEXT(YEAR(BD!D415),"Standard"),TabRFR[[#Headers],[2021]:[2025]],0)),"Intermédiaire","Supérieur")))))),IF(D415="","",IF(U415+V415&lt;15,"Données Nb pers ou RFR manquantes",IF(COUNTA(INDIRECT("TabRFR["&amp;YEAR(H415)&amp;"]"))&lt;&gt;COUNTA(TabRFR[Recherche RFR]),"Data RFR manquantes", IF(V415&lt;=INDEX(TabRFR[[2021]:[2025]],MATCH(BD!U415&amp;"-Très modestes",TabRFR[Recherche RFR],0),MATCH(TEXT(YEAR(BD!H415),"Standard"),TabRFR[[#Headers],[2021]:[2025]],0)),"Très Modeste",IF(V415&lt;=INDEX(TabRFR[[2021]:[2025]],MATCH(BD!U415&amp;"-modestes",TabRFR[Recherche RFR],0),MATCH(TEXT(YEAR(BD!H415),"Standard"),TabRFR[[#Headers],[2021]:[2025]],0)),"Modeste",IF(V415&lt;=INDEX(TabRFR[[2021]:[2025]],MATCH(BD!U415&amp;"-Intermédiaire",TabRFR[Recherche RFR],0),MATCH(TEXT(YEAR(BD!H415),"Standard"),TabRFR[[#Headers],[2021]:[2025]],0)),"Intermédiaire","Supérieur")))))))</f>
        <v>Supérieur</v>
      </c>
      <c r="X415" s="143"/>
      <c r="Y415" s="143" t="s">
        <v>1822</v>
      </c>
      <c r="Z415" s="143">
        <v>38490</v>
      </c>
      <c r="AA415" s="143" t="s">
        <v>1075</v>
      </c>
      <c r="AB415" s="148"/>
      <c r="AC415" s="149"/>
      <c r="AD415" s="143" t="s">
        <v>91</v>
      </c>
      <c r="AE415" s="143"/>
      <c r="AF415" s="143"/>
      <c r="AG415" s="143"/>
      <c r="AH415" s="143"/>
      <c r="AI415" s="143" t="s">
        <v>92</v>
      </c>
      <c r="AJ415" s="143" t="s">
        <v>93</v>
      </c>
      <c r="AK415" s="143" t="s">
        <v>1459</v>
      </c>
      <c r="AL415" s="170" t="s">
        <v>1796</v>
      </c>
      <c r="AM415" s="148" t="s">
        <v>96</v>
      </c>
      <c r="AN415" s="143" t="s">
        <v>76</v>
      </c>
      <c r="AO415" s="156" t="s">
        <v>102</v>
      </c>
      <c r="AP415" s="147">
        <v>44821</v>
      </c>
      <c r="AQ415" s="143" t="s">
        <v>3413</v>
      </c>
      <c r="AR415" s="143">
        <v>2000</v>
      </c>
      <c r="AS415" s="143" t="s">
        <v>3413</v>
      </c>
      <c r="AT415" s="143" t="s">
        <v>98</v>
      </c>
      <c r="AU415" s="143" t="s">
        <v>99</v>
      </c>
      <c r="AV415" s="143" t="s">
        <v>1823</v>
      </c>
      <c r="AW415" s="143">
        <v>11</v>
      </c>
      <c r="AX415" s="143">
        <v>12</v>
      </c>
      <c r="AY415" s="143">
        <v>88.5</v>
      </c>
      <c r="AZ415" s="143">
        <v>7.0400000000000003E-3</v>
      </c>
      <c r="BA415" s="143" t="s">
        <v>101</v>
      </c>
      <c r="BB415" s="143"/>
      <c r="BC415" s="143">
        <v>7216</v>
      </c>
      <c r="BD415" s="143"/>
      <c r="BE415" s="143">
        <v>790</v>
      </c>
      <c r="BF415" s="143">
        <v>8006</v>
      </c>
      <c r="BG415" s="143">
        <v>440.33</v>
      </c>
      <c r="BH415" s="143">
        <v>8446.33</v>
      </c>
      <c r="BI415" s="143">
        <v>8446.33</v>
      </c>
      <c r="BJ415" s="143" t="s">
        <v>102</v>
      </c>
      <c r="BK415" s="143"/>
      <c r="BL415" s="143"/>
      <c r="BM415" s="144" t="s">
        <v>3592</v>
      </c>
      <c r="BN415" s="143">
        <v>2022</v>
      </c>
      <c r="BO415" s="144" t="s">
        <v>143</v>
      </c>
      <c r="BP415" s="143" t="s">
        <v>3583</v>
      </c>
      <c r="BQ415" s="203" t="s">
        <v>144</v>
      </c>
    </row>
    <row r="416" spans="1:69" ht="41.1" customHeight="1">
      <c r="A416" s="218" t="s">
        <v>1529</v>
      </c>
      <c r="B416" s="218" t="s">
        <v>1824</v>
      </c>
      <c r="C416" s="143">
        <v>600</v>
      </c>
      <c r="D416" s="135">
        <v>44657</v>
      </c>
      <c r="E416" s="135">
        <v>44662</v>
      </c>
      <c r="F416" s="147"/>
      <c r="G416" s="135"/>
      <c r="H416" s="147">
        <v>44665</v>
      </c>
      <c r="I416" s="135">
        <v>44665</v>
      </c>
      <c r="J416" s="147">
        <v>44673</v>
      </c>
      <c r="K416" s="135">
        <v>44716</v>
      </c>
      <c r="L416" s="135">
        <v>44701</v>
      </c>
      <c r="M416" s="135" t="s">
        <v>76</v>
      </c>
      <c r="N416" s="135">
        <v>44768</v>
      </c>
      <c r="O416" s="135">
        <v>44768</v>
      </c>
      <c r="P416" s="135">
        <v>44769</v>
      </c>
      <c r="Q416" s="135"/>
      <c r="R416" s="135"/>
      <c r="S416" s="135"/>
      <c r="T416" s="135"/>
      <c r="U416" s="143">
        <v>2</v>
      </c>
      <c r="V416" s="143">
        <v>73445</v>
      </c>
      <c r="W416" s="143" t="str">
        <f ca="1">IF(H416="",IF(D416="","",IF(U416+V416&lt;15,"Données Nb pers ou RFR manquantes",IF(COUNTA(INDIRECT("TabRFR["&amp;YEAR(D416)&amp;"]"))&lt;&gt;COUNTA(TabRFR[Recherche RFR]),"Data RFR manquantes", IF(V416&lt;=INDEX(TabRFR[[2021]:[2025]],MATCH(BD!U416&amp;"-Très modestes",TabRFR[Recherche RFR],0),MATCH(TEXT(YEAR(BD!D416),"Standard"),TabRFR[[#Headers],[2021]:[2025]],0)),"Très Modeste",IF(V416&lt;=INDEX(TabRFR[[2021]:[2025]],MATCH(BD!U416&amp;"-modestes",TabRFR[Recherche RFR],0),MATCH(TEXT(YEAR(BD!D416),"Standard"),TabRFR[[#Headers],[2021]:[2025]],0)),"Modeste",IF(V416&lt;=INDEX(TabRFR[[2021]:[2025]],MATCH(BD!U416&amp;"-Intermédiaire",TabRFR[Recherche RFR],0),MATCH(TEXT(YEAR(BD!D416),"Standard"),TabRFR[[#Headers],[2021]:[2025]],0)),"Intermédiaire","Supérieur")))))),IF(D416="","",IF(U416+V416&lt;15,"Données Nb pers ou RFR manquantes",IF(COUNTA(INDIRECT("TabRFR["&amp;YEAR(H416)&amp;"]"))&lt;&gt;COUNTA(TabRFR[Recherche RFR]),"Data RFR manquantes", IF(V416&lt;=INDEX(TabRFR[[2021]:[2025]],MATCH(BD!U416&amp;"-Très modestes",TabRFR[Recherche RFR],0),MATCH(TEXT(YEAR(BD!H416),"Standard"),TabRFR[[#Headers],[2021]:[2025]],0)),"Très Modeste",IF(V416&lt;=INDEX(TabRFR[[2021]:[2025]],MATCH(BD!U416&amp;"-modestes",TabRFR[Recherche RFR],0),MATCH(TEXT(YEAR(BD!H416),"Standard"),TabRFR[[#Headers],[2021]:[2025]],0)),"Modeste",IF(V416&lt;=INDEX(TabRFR[[2021]:[2025]],MATCH(BD!U416&amp;"-Intermédiaire",TabRFR[Recherche RFR],0),MATCH(TEXT(YEAR(BD!H416),"Standard"),TabRFR[[#Headers],[2021]:[2025]],0)),"Intermédiaire","Supérieur")))))))</f>
        <v>Supérieur</v>
      </c>
      <c r="X416" s="143"/>
      <c r="Y416" s="143" t="s">
        <v>1825</v>
      </c>
      <c r="Z416" s="143">
        <v>38960</v>
      </c>
      <c r="AA416" s="143" t="s">
        <v>360</v>
      </c>
      <c r="AB416" s="148"/>
      <c r="AC416" s="149"/>
      <c r="AD416" s="143" t="s">
        <v>91</v>
      </c>
      <c r="AE416" s="143"/>
      <c r="AF416" s="143"/>
      <c r="AG416" s="143"/>
      <c r="AH416" s="143"/>
      <c r="AI416" s="143" t="s">
        <v>160</v>
      </c>
      <c r="AJ416" s="143" t="s">
        <v>161</v>
      </c>
      <c r="AK416" s="143" t="s">
        <v>1793</v>
      </c>
      <c r="AL416" s="150" t="s">
        <v>228</v>
      </c>
      <c r="AM416" s="148" t="s">
        <v>1389</v>
      </c>
      <c r="AN416" s="143" t="s">
        <v>76</v>
      </c>
      <c r="AO416" s="158" t="s">
        <v>102</v>
      </c>
      <c r="AP416" s="147">
        <v>45006</v>
      </c>
      <c r="AQ416" s="135" t="s">
        <v>3449</v>
      </c>
      <c r="AR416" s="143">
        <v>1996</v>
      </c>
      <c r="AS416" s="143" t="s">
        <v>3413</v>
      </c>
      <c r="AT416" s="143" t="s">
        <v>98</v>
      </c>
      <c r="AU416" s="143" t="s">
        <v>164</v>
      </c>
      <c r="AV416" s="143" t="s">
        <v>1826</v>
      </c>
      <c r="AW416" s="143">
        <v>16</v>
      </c>
      <c r="AX416" s="143">
        <v>9</v>
      </c>
      <c r="AY416" s="143">
        <v>91.8</v>
      </c>
      <c r="AZ416" s="143">
        <v>1</v>
      </c>
      <c r="BA416" s="143" t="s">
        <v>101</v>
      </c>
      <c r="BB416" s="143"/>
      <c r="BC416" s="143">
        <v>6009</v>
      </c>
      <c r="BD416" s="143"/>
      <c r="BE416" s="143">
        <v>2053</v>
      </c>
      <c r="BF416" s="143">
        <v>8062</v>
      </c>
      <c r="BG416" s="143">
        <v>443</v>
      </c>
      <c r="BH416" s="143">
        <v>7900</v>
      </c>
      <c r="BI416" s="143">
        <v>8070</v>
      </c>
      <c r="BJ416" s="143" t="s">
        <v>115</v>
      </c>
      <c r="BK416" s="143"/>
      <c r="BL416" s="143"/>
      <c r="BM416" s="144" t="s">
        <v>3592</v>
      </c>
      <c r="BN416" s="143">
        <v>2022</v>
      </c>
      <c r="BO416" s="144" t="s">
        <v>143</v>
      </c>
      <c r="BP416" s="143" t="s">
        <v>3583</v>
      </c>
      <c r="BQ416" s="203" t="s">
        <v>3274</v>
      </c>
    </row>
    <row r="417" spans="1:69" ht="41.1" customHeight="1">
      <c r="A417" s="218" t="s">
        <v>1529</v>
      </c>
      <c r="B417" s="218" t="s">
        <v>1827</v>
      </c>
      <c r="C417" s="143">
        <v>600</v>
      </c>
      <c r="D417" s="135">
        <v>44659</v>
      </c>
      <c r="E417" s="135">
        <v>44662</v>
      </c>
      <c r="F417" s="147">
        <v>44606</v>
      </c>
      <c r="G417" s="135" t="s">
        <v>1828</v>
      </c>
      <c r="H417" s="147">
        <v>44677</v>
      </c>
      <c r="I417" s="147">
        <v>44677</v>
      </c>
      <c r="J417" s="147">
        <v>44684</v>
      </c>
      <c r="K417" s="135">
        <v>44754</v>
      </c>
      <c r="L417" s="135">
        <v>44739</v>
      </c>
      <c r="M417" s="135" t="s">
        <v>76</v>
      </c>
      <c r="N417" s="135">
        <v>44795</v>
      </c>
      <c r="O417" s="135">
        <v>44795</v>
      </c>
      <c r="P417" s="135">
        <v>44796</v>
      </c>
      <c r="Q417" s="135"/>
      <c r="R417" s="135"/>
      <c r="S417" s="135"/>
      <c r="T417" s="135"/>
      <c r="U417" s="143">
        <v>1</v>
      </c>
      <c r="V417" s="143">
        <v>25974</v>
      </c>
      <c r="W417" s="143" t="str">
        <f ca="1">IF(H417="",IF(D417="","",IF(U417+V417&lt;15,"Données Nb pers ou RFR manquantes",IF(COUNTA(INDIRECT("TabRFR["&amp;YEAR(D417)&amp;"]"))&lt;&gt;COUNTA(TabRFR[Recherche RFR]),"Data RFR manquantes", IF(V417&lt;=INDEX(TabRFR[[2021]:[2025]],MATCH(BD!U417&amp;"-Très modestes",TabRFR[Recherche RFR],0),MATCH(TEXT(YEAR(BD!D417),"Standard"),TabRFR[[#Headers],[2021]:[2025]],0)),"Très Modeste",IF(V417&lt;=INDEX(TabRFR[[2021]:[2025]],MATCH(BD!U417&amp;"-modestes",TabRFR[Recherche RFR],0),MATCH(TEXT(YEAR(BD!D417),"Standard"),TabRFR[[#Headers],[2021]:[2025]],0)),"Modeste",IF(V417&lt;=INDEX(TabRFR[[2021]:[2025]],MATCH(BD!U417&amp;"-Intermédiaire",TabRFR[Recherche RFR],0),MATCH(TEXT(YEAR(BD!D417),"Standard"),TabRFR[[#Headers],[2021]:[2025]],0)),"Intermédiaire","Supérieur")))))),IF(D417="","",IF(U417+V417&lt;15,"Données Nb pers ou RFR manquantes",IF(COUNTA(INDIRECT("TabRFR["&amp;YEAR(H417)&amp;"]"))&lt;&gt;COUNTA(TabRFR[Recherche RFR]),"Data RFR manquantes", IF(V417&lt;=INDEX(TabRFR[[2021]:[2025]],MATCH(BD!U417&amp;"-Très modestes",TabRFR[Recherche RFR],0),MATCH(TEXT(YEAR(BD!H417),"Standard"),TabRFR[[#Headers],[2021]:[2025]],0)),"Très Modeste",IF(V417&lt;=INDEX(TabRFR[[2021]:[2025]],MATCH(BD!U417&amp;"-modestes",TabRFR[Recherche RFR],0),MATCH(TEXT(YEAR(BD!H417),"Standard"),TabRFR[[#Headers],[2021]:[2025]],0)),"Modeste",IF(V417&lt;=INDEX(TabRFR[[2021]:[2025]],MATCH(BD!U417&amp;"-Intermédiaire",TabRFR[Recherche RFR],0),MATCH(TEXT(YEAR(BD!H417),"Standard"),TabRFR[[#Headers],[2021]:[2025]],0)),"Intermédiaire","Supérieur")))))))</f>
        <v>Intermédiaire</v>
      </c>
      <c r="X417" s="143"/>
      <c r="Y417" s="143" t="s">
        <v>1829</v>
      </c>
      <c r="Z417" s="143">
        <v>38500</v>
      </c>
      <c r="AA417" s="143" t="s">
        <v>134</v>
      </c>
      <c r="AB417" s="148"/>
      <c r="AC417" s="149"/>
      <c r="AD417" s="143" t="s">
        <v>91</v>
      </c>
      <c r="AE417" s="143"/>
      <c r="AF417" s="143"/>
      <c r="AG417" s="143"/>
      <c r="AH417" s="143"/>
      <c r="AI417" s="143" t="s">
        <v>109</v>
      </c>
      <c r="AJ417" s="143" t="s">
        <v>108</v>
      </c>
      <c r="AK417" s="143" t="s">
        <v>1779</v>
      </c>
      <c r="AL417" s="150" t="s">
        <v>1701</v>
      </c>
      <c r="AM417" s="148">
        <v>476074561</v>
      </c>
      <c r="AN417" s="143" t="s">
        <v>76</v>
      </c>
      <c r="AO417" s="150" t="s">
        <v>144</v>
      </c>
      <c r="AP417" s="147">
        <v>44868</v>
      </c>
      <c r="AQ417" s="135" t="s">
        <v>3449</v>
      </c>
      <c r="AR417" s="143">
        <v>1985</v>
      </c>
      <c r="AS417" s="143" t="s">
        <v>3413</v>
      </c>
      <c r="AT417" s="135" t="s">
        <v>3446</v>
      </c>
      <c r="AU417" s="143" t="s">
        <v>1117</v>
      </c>
      <c r="AV417" s="143" t="s">
        <v>1830</v>
      </c>
      <c r="AW417" s="143">
        <v>15</v>
      </c>
      <c r="AX417" s="143">
        <v>7</v>
      </c>
      <c r="AY417" s="143">
        <v>77</v>
      </c>
      <c r="AZ417" s="143">
        <v>0.1</v>
      </c>
      <c r="BA417" s="143" t="s">
        <v>101</v>
      </c>
      <c r="BB417" s="143"/>
      <c r="BC417" s="143">
        <v>3208</v>
      </c>
      <c r="BD417" s="143"/>
      <c r="BE417" s="143">
        <v>490</v>
      </c>
      <c r="BF417" s="143">
        <v>3698</v>
      </c>
      <c r="BG417" s="143">
        <v>203.39</v>
      </c>
      <c r="BH417" s="143">
        <v>3901.39</v>
      </c>
      <c r="BI417" s="143">
        <v>3901.39</v>
      </c>
      <c r="BJ417" s="143" t="s">
        <v>115</v>
      </c>
      <c r="BK417" s="143"/>
      <c r="BL417" s="143"/>
      <c r="BM417" s="144" t="s">
        <v>3592</v>
      </c>
      <c r="BN417" s="143">
        <v>2022</v>
      </c>
      <c r="BO417" s="135" t="s">
        <v>143</v>
      </c>
      <c r="BP417" s="144">
        <v>2022</v>
      </c>
      <c r="BQ417" s="203" t="s">
        <v>3274</v>
      </c>
    </row>
    <row r="418" spans="1:69" ht="41.1" customHeight="1">
      <c r="A418" s="218" t="s">
        <v>1529</v>
      </c>
      <c r="B418" s="218" t="s">
        <v>1831</v>
      </c>
      <c r="C418" s="143">
        <v>600</v>
      </c>
      <c r="D418" s="135">
        <v>44660</v>
      </c>
      <c r="E418" s="135">
        <v>0</v>
      </c>
      <c r="F418" s="147">
        <v>44606</v>
      </c>
      <c r="G418" s="135" t="s">
        <v>1832</v>
      </c>
      <c r="H418" s="147">
        <v>44677</v>
      </c>
      <c r="I418" s="147">
        <v>44677</v>
      </c>
      <c r="J418" s="147">
        <v>44684</v>
      </c>
      <c r="K418" s="135">
        <v>44690</v>
      </c>
      <c r="L418" s="135">
        <v>44686</v>
      </c>
      <c r="M418" s="135" t="s">
        <v>76</v>
      </c>
      <c r="N418" s="135">
        <v>44768</v>
      </c>
      <c r="O418" s="135">
        <v>44768</v>
      </c>
      <c r="P418" s="135">
        <v>44769</v>
      </c>
      <c r="Q418" s="135"/>
      <c r="R418" s="135"/>
      <c r="S418" s="135"/>
      <c r="T418" s="135"/>
      <c r="U418" s="143">
        <v>2</v>
      </c>
      <c r="V418" s="143">
        <v>41780</v>
      </c>
      <c r="W418" s="143" t="str">
        <f ca="1">IF(H418="",IF(D418="","",IF(U418+V418&lt;15,"Données Nb pers ou RFR manquantes",IF(COUNTA(INDIRECT("TabRFR["&amp;YEAR(D418)&amp;"]"))&lt;&gt;COUNTA(TabRFR[Recherche RFR]),"Data RFR manquantes", IF(V418&lt;=INDEX(TabRFR[[2021]:[2025]],MATCH(BD!U418&amp;"-Très modestes",TabRFR[Recherche RFR],0),MATCH(TEXT(YEAR(BD!D418),"Standard"),TabRFR[[#Headers],[2021]:[2025]],0)),"Très Modeste",IF(V418&lt;=INDEX(TabRFR[[2021]:[2025]],MATCH(BD!U418&amp;"-modestes",TabRFR[Recherche RFR],0),MATCH(TEXT(YEAR(BD!D418),"Standard"),TabRFR[[#Headers],[2021]:[2025]],0)),"Modeste",IF(V418&lt;=INDEX(TabRFR[[2021]:[2025]],MATCH(BD!U418&amp;"-Intermédiaire",TabRFR[Recherche RFR],0),MATCH(TEXT(YEAR(BD!D418),"Standard"),TabRFR[[#Headers],[2021]:[2025]],0)),"Intermédiaire","Supérieur")))))),IF(D418="","",IF(U418+V418&lt;15,"Données Nb pers ou RFR manquantes",IF(COUNTA(INDIRECT("TabRFR["&amp;YEAR(H418)&amp;"]"))&lt;&gt;COUNTA(TabRFR[Recherche RFR]),"Data RFR manquantes", IF(V418&lt;=INDEX(TabRFR[[2021]:[2025]],MATCH(BD!U418&amp;"-Très modestes",TabRFR[Recherche RFR],0),MATCH(TEXT(YEAR(BD!H418),"Standard"),TabRFR[[#Headers],[2021]:[2025]],0)),"Très Modeste",IF(V418&lt;=INDEX(TabRFR[[2021]:[2025]],MATCH(BD!U418&amp;"-modestes",TabRFR[Recherche RFR],0),MATCH(TEXT(YEAR(BD!H418),"Standard"),TabRFR[[#Headers],[2021]:[2025]],0)),"Modeste",IF(V418&lt;=INDEX(TabRFR[[2021]:[2025]],MATCH(BD!U418&amp;"-Intermédiaire",TabRFR[Recherche RFR],0),MATCH(TEXT(YEAR(BD!H418),"Standard"),TabRFR[[#Headers],[2021]:[2025]],0)),"Intermédiaire","Supérieur")))))))</f>
        <v>Intermédiaire</v>
      </c>
      <c r="X418" s="143"/>
      <c r="Y418" s="143" t="s">
        <v>1833</v>
      </c>
      <c r="Z418" s="143">
        <v>38140</v>
      </c>
      <c r="AA418" s="143" t="s">
        <v>219</v>
      </c>
      <c r="AB418" s="148"/>
      <c r="AC418" s="149"/>
      <c r="AD418" s="143" t="s">
        <v>91</v>
      </c>
      <c r="AE418" s="143"/>
      <c r="AF418" s="143"/>
      <c r="AG418" s="143"/>
      <c r="AH418" s="143"/>
      <c r="AI418" s="143" t="s">
        <v>92</v>
      </c>
      <c r="AJ418" s="143" t="s">
        <v>93</v>
      </c>
      <c r="AK418" s="143" t="s">
        <v>1459</v>
      </c>
      <c r="AL418" s="169" t="s">
        <v>1796</v>
      </c>
      <c r="AM418" s="148" t="s">
        <v>96</v>
      </c>
      <c r="AN418" s="143" t="s">
        <v>76</v>
      </c>
      <c r="AO418" s="156" t="s">
        <v>102</v>
      </c>
      <c r="AP418" s="147">
        <v>44821</v>
      </c>
      <c r="AQ418" s="135" t="s">
        <v>3496</v>
      </c>
      <c r="AR418" s="143">
        <v>2000</v>
      </c>
      <c r="AS418" s="143" t="s">
        <v>3413</v>
      </c>
      <c r="AT418" s="143" t="s">
        <v>98</v>
      </c>
      <c r="AU418" s="143" t="s">
        <v>99</v>
      </c>
      <c r="AV418" s="143" t="s">
        <v>1797</v>
      </c>
      <c r="AW418" s="143">
        <v>15</v>
      </c>
      <c r="AX418" s="143">
        <v>12</v>
      </c>
      <c r="AY418" s="143">
        <v>89.6</v>
      </c>
      <c r="AZ418" s="143">
        <v>1.7600000000000001E-3</v>
      </c>
      <c r="BA418" s="143" t="s">
        <v>101</v>
      </c>
      <c r="BB418" s="143"/>
      <c r="BC418" s="143">
        <v>6929.52</v>
      </c>
      <c r="BD418" s="143"/>
      <c r="BE418" s="143">
        <v>1578</v>
      </c>
      <c r="BF418" s="143">
        <v>8064</v>
      </c>
      <c r="BG418" s="143">
        <v>443.52</v>
      </c>
      <c r="BH418" s="143">
        <v>8507.52</v>
      </c>
      <c r="BI418" s="143">
        <v>8507.52</v>
      </c>
      <c r="BJ418" s="143" t="s">
        <v>102</v>
      </c>
      <c r="BK418" s="143"/>
      <c r="BL418" s="143"/>
      <c r="BM418" s="144" t="s">
        <v>3592</v>
      </c>
      <c r="BN418" s="143">
        <v>2022</v>
      </c>
      <c r="BO418" s="144" t="s">
        <v>143</v>
      </c>
      <c r="BP418" s="143" t="s">
        <v>3583</v>
      </c>
      <c r="BQ418" s="203" t="s">
        <v>144</v>
      </c>
    </row>
    <row r="419" spans="1:69" ht="41.1" customHeight="1">
      <c r="A419" s="218" t="s">
        <v>1705</v>
      </c>
      <c r="B419" s="218" t="s">
        <v>1834</v>
      </c>
      <c r="C419" s="143">
        <v>1000</v>
      </c>
      <c r="D419" s="135">
        <v>44662</v>
      </c>
      <c r="E419" s="135">
        <v>44662</v>
      </c>
      <c r="F419" s="147">
        <v>44670</v>
      </c>
      <c r="G419" s="135" t="s">
        <v>1835</v>
      </c>
      <c r="H419" s="147">
        <v>44677</v>
      </c>
      <c r="I419" s="147">
        <v>44678</v>
      </c>
      <c r="J419" s="147">
        <v>44683</v>
      </c>
      <c r="K419" s="135">
        <v>44932</v>
      </c>
      <c r="L419" s="135">
        <v>44873</v>
      </c>
      <c r="M419" s="135" t="s">
        <v>76</v>
      </c>
      <c r="N419" s="135">
        <v>44956</v>
      </c>
      <c r="O419" s="135">
        <v>44956</v>
      </c>
      <c r="P419" s="135">
        <v>44959</v>
      </c>
      <c r="Q419" s="135"/>
      <c r="R419" s="135"/>
      <c r="S419" s="135"/>
      <c r="T419" s="135"/>
      <c r="U419" s="143">
        <v>2</v>
      </c>
      <c r="V419" s="143">
        <v>22741</v>
      </c>
      <c r="W419" s="143" t="str">
        <f ca="1">IF(H419="",IF(D419="","",IF(U419+V419&lt;15,"Données Nb pers ou RFR manquantes",IF(COUNTA(INDIRECT("TabRFR["&amp;YEAR(D419)&amp;"]"))&lt;&gt;COUNTA(TabRFR[Recherche RFR]),"Data RFR manquantes", IF(V419&lt;=INDEX(TabRFR[[2021]:[2025]],MATCH(BD!U419&amp;"-Très modestes",TabRFR[Recherche RFR],0),MATCH(TEXT(YEAR(BD!D419),"Standard"),TabRFR[[#Headers],[2021]:[2025]],0)),"Très Modeste",IF(V419&lt;=INDEX(TabRFR[[2021]:[2025]],MATCH(BD!U419&amp;"-modestes",TabRFR[Recherche RFR],0),MATCH(TEXT(YEAR(BD!D419),"Standard"),TabRFR[[#Headers],[2021]:[2025]],0)),"Modeste",IF(V419&lt;=INDEX(TabRFR[[2021]:[2025]],MATCH(BD!U419&amp;"-Intermédiaire",TabRFR[Recherche RFR],0),MATCH(TEXT(YEAR(BD!D419),"Standard"),TabRFR[[#Headers],[2021]:[2025]],0)),"Intermédiaire","Supérieur")))))),IF(D419="","",IF(U419+V419&lt;15,"Données Nb pers ou RFR manquantes",IF(COUNTA(INDIRECT("TabRFR["&amp;YEAR(H419)&amp;"]"))&lt;&gt;COUNTA(TabRFR[Recherche RFR]),"Data RFR manquantes", IF(V419&lt;=INDEX(TabRFR[[2021]:[2025]],MATCH(BD!U419&amp;"-Très modestes",TabRFR[Recherche RFR],0),MATCH(TEXT(YEAR(BD!H419),"Standard"),TabRFR[[#Headers],[2021]:[2025]],0)),"Très Modeste",IF(V419&lt;=INDEX(TabRFR[[2021]:[2025]],MATCH(BD!U419&amp;"-modestes",TabRFR[Recherche RFR],0),MATCH(TEXT(YEAR(BD!H419),"Standard"),TabRFR[[#Headers],[2021]:[2025]],0)),"Modeste",IF(V419&lt;=INDEX(TabRFR[[2021]:[2025]],MATCH(BD!U419&amp;"-Intermédiaire",TabRFR[Recherche RFR],0),MATCH(TEXT(YEAR(BD!H419),"Standard"),TabRFR[[#Headers],[2021]:[2025]],0)),"Intermédiaire","Supérieur")))))))</f>
        <v>Modeste</v>
      </c>
      <c r="X419" s="143"/>
      <c r="Y419" s="143" t="s">
        <v>1836</v>
      </c>
      <c r="Z419" s="143">
        <v>38620</v>
      </c>
      <c r="AA419" s="143" t="s">
        <v>680</v>
      </c>
      <c r="AB419" s="148"/>
      <c r="AC419" s="149"/>
      <c r="AD419" s="143" t="s">
        <v>91</v>
      </c>
      <c r="AE419" s="143"/>
      <c r="AF419" s="143"/>
      <c r="AG419" s="143"/>
      <c r="AH419" s="143"/>
      <c r="AI419" s="135" t="s">
        <v>2703</v>
      </c>
      <c r="AJ419" s="143" t="s">
        <v>266</v>
      </c>
      <c r="AK419" s="143" t="s">
        <v>317</v>
      </c>
      <c r="AL419" s="150" t="s">
        <v>318</v>
      </c>
      <c r="AM419" s="148">
        <v>476500550</v>
      </c>
      <c r="AN419" s="143" t="s">
        <v>76</v>
      </c>
      <c r="AO419" s="158" t="s">
        <v>102</v>
      </c>
      <c r="AP419" s="147">
        <f>$AP$360</f>
        <v>0</v>
      </c>
      <c r="AQ419" s="143" t="s">
        <v>3413</v>
      </c>
      <c r="AR419" s="143">
        <v>1988</v>
      </c>
      <c r="AS419" s="143" t="s">
        <v>3413</v>
      </c>
      <c r="AT419" s="143" t="s">
        <v>98</v>
      </c>
      <c r="AU419" s="143" t="s">
        <v>319</v>
      </c>
      <c r="AV419" s="143" t="s">
        <v>1837</v>
      </c>
      <c r="AW419" s="143">
        <v>19</v>
      </c>
      <c r="AX419" s="143">
        <v>10</v>
      </c>
      <c r="AY419" s="143">
        <v>88</v>
      </c>
      <c r="AZ419" s="143" t="s">
        <v>1838</v>
      </c>
      <c r="BA419" s="143" t="s">
        <v>101</v>
      </c>
      <c r="BB419" s="143"/>
      <c r="BC419" s="143">
        <f>529.38+51.1+4987.5+185.1</f>
        <v>5753.08</v>
      </c>
      <c r="BD419" s="143"/>
      <c r="BE419" s="143">
        <f>225.24+900</f>
        <v>1125.24</v>
      </c>
      <c r="BF419" s="143">
        <f>BC419+BE419</f>
        <v>6878.32</v>
      </c>
      <c r="BG419" s="151">
        <f>BF419*0.055</f>
        <v>378.30759999999998</v>
      </c>
      <c r="BH419" s="151">
        <f>BF419*1.055</f>
        <v>7256.6275999999989</v>
      </c>
      <c r="BI419" s="143">
        <v>7256.63</v>
      </c>
      <c r="BJ419" s="143" t="s">
        <v>115</v>
      </c>
      <c r="BK419" s="143"/>
      <c r="BL419" s="143"/>
      <c r="BM419" s="144" t="s">
        <v>3592</v>
      </c>
      <c r="BN419" s="143">
        <v>2022</v>
      </c>
      <c r="BO419" s="135" t="s">
        <v>155</v>
      </c>
      <c r="BP419" s="143" t="s">
        <v>3583</v>
      </c>
      <c r="BQ419" s="203" t="s">
        <v>3274</v>
      </c>
    </row>
    <row r="420" spans="1:69" ht="41.1" customHeight="1">
      <c r="A420" s="218" t="s">
        <v>1705</v>
      </c>
      <c r="B420" s="218" t="s">
        <v>1839</v>
      </c>
      <c r="C420" s="143">
        <v>600</v>
      </c>
      <c r="D420" s="135">
        <v>44662</v>
      </c>
      <c r="E420" s="135">
        <v>44664</v>
      </c>
      <c r="F420" s="147" t="s">
        <v>76</v>
      </c>
      <c r="G420" s="135" t="s">
        <v>76</v>
      </c>
      <c r="H420" s="147">
        <v>44671</v>
      </c>
      <c r="I420" s="147">
        <v>44671</v>
      </c>
      <c r="J420" s="147">
        <v>44676</v>
      </c>
      <c r="K420" s="135">
        <v>44720</v>
      </c>
      <c r="L420" s="135">
        <v>44714</v>
      </c>
      <c r="M420" s="135" t="s">
        <v>76</v>
      </c>
      <c r="N420" s="135">
        <v>44769</v>
      </c>
      <c r="O420" s="135">
        <v>44769</v>
      </c>
      <c r="P420" s="135">
        <v>44770</v>
      </c>
      <c r="Q420" s="135"/>
      <c r="R420" s="135"/>
      <c r="S420" s="135"/>
      <c r="T420" s="135"/>
      <c r="U420" s="143">
        <v>4</v>
      </c>
      <c r="V420" s="143">
        <v>76469</v>
      </c>
      <c r="W420" s="143" t="str">
        <f ca="1">IF(H420="",IF(D420="","",IF(U420+V420&lt;15,"Données Nb pers ou RFR manquantes",IF(COUNTA(INDIRECT("TabRFR["&amp;YEAR(D420)&amp;"]"))&lt;&gt;COUNTA(TabRFR[Recherche RFR]),"Data RFR manquantes", IF(V420&lt;=INDEX(TabRFR[[2021]:[2025]],MATCH(BD!U420&amp;"-Très modestes",TabRFR[Recherche RFR],0),MATCH(TEXT(YEAR(BD!D420),"Standard"),TabRFR[[#Headers],[2021]:[2025]],0)),"Très Modeste",IF(V420&lt;=INDEX(TabRFR[[2021]:[2025]],MATCH(BD!U420&amp;"-modestes",TabRFR[Recherche RFR],0),MATCH(TEXT(YEAR(BD!D420),"Standard"),TabRFR[[#Headers],[2021]:[2025]],0)),"Modeste",IF(V420&lt;=INDEX(TabRFR[[2021]:[2025]],MATCH(BD!U420&amp;"-Intermédiaire",TabRFR[Recherche RFR],0),MATCH(TEXT(YEAR(BD!D420),"Standard"),TabRFR[[#Headers],[2021]:[2025]],0)),"Intermédiaire","Supérieur")))))),IF(D420="","",IF(U420+V420&lt;15,"Données Nb pers ou RFR manquantes",IF(COUNTA(INDIRECT("TabRFR["&amp;YEAR(H420)&amp;"]"))&lt;&gt;COUNTA(TabRFR[Recherche RFR]),"Data RFR manquantes", IF(V420&lt;=INDEX(TabRFR[[2021]:[2025]],MATCH(BD!U420&amp;"-Très modestes",TabRFR[Recherche RFR],0),MATCH(TEXT(YEAR(BD!H420),"Standard"),TabRFR[[#Headers],[2021]:[2025]],0)),"Très Modeste",IF(V420&lt;=INDEX(TabRFR[[2021]:[2025]],MATCH(BD!U420&amp;"-modestes",TabRFR[Recherche RFR],0),MATCH(TEXT(YEAR(BD!H420),"Standard"),TabRFR[[#Headers],[2021]:[2025]],0)),"Modeste",IF(V420&lt;=INDEX(TabRFR[[2021]:[2025]],MATCH(BD!U420&amp;"-Intermédiaire",TabRFR[Recherche RFR],0),MATCH(TEXT(YEAR(BD!H420),"Standard"),TabRFR[[#Headers],[2021]:[2025]],0)),"Intermédiaire","Supérieur")))))))</f>
        <v>Supérieur</v>
      </c>
      <c r="X420" s="143"/>
      <c r="Y420" s="143" t="s">
        <v>178</v>
      </c>
      <c r="Z420" s="143">
        <v>38210</v>
      </c>
      <c r="AA420" s="143" t="s">
        <v>130</v>
      </c>
      <c r="AB420" s="148"/>
      <c r="AC420" s="149"/>
      <c r="AD420" s="143" t="s">
        <v>91</v>
      </c>
      <c r="AE420" s="143"/>
      <c r="AF420" s="143"/>
      <c r="AG420" s="143"/>
      <c r="AH420" s="143"/>
      <c r="AI420" s="135" t="s">
        <v>872</v>
      </c>
      <c r="AJ420" s="143" t="s">
        <v>873</v>
      </c>
      <c r="AK420" s="143" t="s">
        <v>1840</v>
      </c>
      <c r="AL420" s="169" t="s">
        <v>1841</v>
      </c>
      <c r="AM420" s="148">
        <v>476354364</v>
      </c>
      <c r="AN420" s="143" t="s">
        <v>76</v>
      </c>
      <c r="AO420" s="150" t="s">
        <v>102</v>
      </c>
      <c r="AP420" s="147">
        <v>44860</v>
      </c>
      <c r="AQ420" s="135" t="s">
        <v>3496</v>
      </c>
      <c r="AR420" s="153">
        <v>1999</v>
      </c>
      <c r="AS420" s="143" t="s">
        <v>3413</v>
      </c>
      <c r="AT420" s="135" t="s">
        <v>3446</v>
      </c>
      <c r="AU420" s="143" t="s">
        <v>899</v>
      </c>
      <c r="AV420" s="143" t="s">
        <v>1842</v>
      </c>
      <c r="AW420" s="143">
        <v>13</v>
      </c>
      <c r="AX420" s="143">
        <v>8</v>
      </c>
      <c r="AY420" s="143">
        <v>66</v>
      </c>
      <c r="AZ420" s="143">
        <v>66</v>
      </c>
      <c r="BA420" s="143" t="s">
        <v>126</v>
      </c>
      <c r="BB420" s="143"/>
      <c r="BC420" s="143">
        <f>3499+100+870+85.56+345+105.31+550+187.5+349</f>
        <v>6091.3700000000008</v>
      </c>
      <c r="BD420" s="143"/>
      <c r="BE420" s="143">
        <v>1265</v>
      </c>
      <c r="BF420" s="143">
        <f>BC420+BE420</f>
        <v>7356.3700000000008</v>
      </c>
      <c r="BG420" s="151">
        <f>BF420*0.055</f>
        <v>404.60035000000005</v>
      </c>
      <c r="BH420" s="151">
        <f>BF420*1.055</f>
        <v>7760.9703500000005</v>
      </c>
      <c r="BI420" s="151">
        <f>7350.37*1.055</f>
        <v>7754.6403499999997</v>
      </c>
      <c r="BJ420" s="143" t="s">
        <v>102</v>
      </c>
      <c r="BK420" s="143"/>
      <c r="BL420" s="143"/>
      <c r="BM420" s="144" t="s">
        <v>3592</v>
      </c>
      <c r="BN420" s="143">
        <v>2022</v>
      </c>
      <c r="BO420" s="144" t="s">
        <v>143</v>
      </c>
      <c r="BP420" s="144">
        <v>2022</v>
      </c>
      <c r="BQ420" s="203" t="s">
        <v>144</v>
      </c>
    </row>
    <row r="421" spans="1:69" ht="41.1" customHeight="1">
      <c r="A421" s="218" t="s">
        <v>1529</v>
      </c>
      <c r="B421" s="218" t="s">
        <v>1843</v>
      </c>
      <c r="C421" s="143">
        <v>600</v>
      </c>
      <c r="D421" s="135">
        <v>44664</v>
      </c>
      <c r="E421" s="135">
        <v>44670</v>
      </c>
      <c r="F421" s="147" t="s">
        <v>76</v>
      </c>
      <c r="G421" s="147" t="s">
        <v>76</v>
      </c>
      <c r="H421" s="147">
        <v>44672</v>
      </c>
      <c r="I421" s="147">
        <v>44672</v>
      </c>
      <c r="J421" s="147">
        <v>44677</v>
      </c>
      <c r="K421" s="135">
        <v>44914</v>
      </c>
      <c r="L421" s="135">
        <v>44896</v>
      </c>
      <c r="M421" s="135" t="s">
        <v>1844</v>
      </c>
      <c r="N421" s="135">
        <v>44925</v>
      </c>
      <c r="O421" s="135">
        <v>44925</v>
      </c>
      <c r="P421" s="135">
        <v>44932</v>
      </c>
      <c r="Q421" s="135"/>
      <c r="R421" s="135"/>
      <c r="S421" s="135"/>
      <c r="T421" s="135"/>
      <c r="U421" s="143">
        <v>3</v>
      </c>
      <c r="V421" s="143">
        <v>62741</v>
      </c>
      <c r="W421" s="143" t="str">
        <f ca="1">IF(H421="",IF(D421="","",IF(U421+V421&lt;15,"Données Nb pers ou RFR manquantes",IF(COUNTA(INDIRECT("TabRFR["&amp;YEAR(D421)&amp;"]"))&lt;&gt;COUNTA(TabRFR[Recherche RFR]),"Data RFR manquantes", IF(V421&lt;=INDEX(TabRFR[[2021]:[2025]],MATCH(BD!U421&amp;"-Très modestes",TabRFR[Recherche RFR],0),MATCH(TEXT(YEAR(BD!D421),"Standard"),TabRFR[[#Headers],[2021]:[2025]],0)),"Très Modeste",IF(V421&lt;=INDEX(TabRFR[[2021]:[2025]],MATCH(BD!U421&amp;"-modestes",TabRFR[Recherche RFR],0),MATCH(TEXT(YEAR(BD!D421),"Standard"),TabRFR[[#Headers],[2021]:[2025]],0)),"Modeste",IF(V421&lt;=INDEX(TabRFR[[2021]:[2025]],MATCH(BD!U421&amp;"-Intermédiaire",TabRFR[Recherche RFR],0),MATCH(TEXT(YEAR(BD!D421),"Standard"),TabRFR[[#Headers],[2021]:[2025]],0)),"Intermédiaire","Supérieur")))))),IF(D421="","",IF(U421+V421&lt;15,"Données Nb pers ou RFR manquantes",IF(COUNTA(INDIRECT("TabRFR["&amp;YEAR(H421)&amp;"]"))&lt;&gt;COUNTA(TabRFR[Recherche RFR]),"Data RFR manquantes", IF(V421&lt;=INDEX(TabRFR[[2021]:[2025]],MATCH(BD!U421&amp;"-Très modestes",TabRFR[Recherche RFR],0),MATCH(TEXT(YEAR(BD!H421),"Standard"),TabRFR[[#Headers],[2021]:[2025]],0)),"Très Modeste",IF(V421&lt;=INDEX(TabRFR[[2021]:[2025]],MATCH(BD!U421&amp;"-modestes",TabRFR[Recherche RFR],0),MATCH(TEXT(YEAR(BD!H421),"Standard"),TabRFR[[#Headers],[2021]:[2025]],0)),"Modeste",IF(V421&lt;=INDEX(TabRFR[[2021]:[2025]],MATCH(BD!U421&amp;"-Intermédiaire",TabRFR[Recherche RFR],0),MATCH(TEXT(YEAR(BD!H421),"Standard"),TabRFR[[#Headers],[2021]:[2025]],0)),"Intermédiaire","Supérieur")))))))</f>
        <v>Supérieur</v>
      </c>
      <c r="X421" s="143"/>
      <c r="Y421" s="143" t="s">
        <v>1288</v>
      </c>
      <c r="Z421" s="143">
        <v>38140</v>
      </c>
      <c r="AA421" s="143" t="s">
        <v>504</v>
      </c>
      <c r="AB421" s="148"/>
      <c r="AC421" s="149"/>
      <c r="AD421" s="143" t="s">
        <v>91</v>
      </c>
      <c r="AE421" s="143"/>
      <c r="AF421" s="143"/>
      <c r="AG421" s="143"/>
      <c r="AH421" s="143"/>
      <c r="AI421" s="135" t="s">
        <v>2748</v>
      </c>
      <c r="AJ421" s="143" t="s">
        <v>108</v>
      </c>
      <c r="AK421" s="135" t="s">
        <v>2749</v>
      </c>
      <c r="AL421" s="150" t="s">
        <v>275</v>
      </c>
      <c r="AM421" s="148" t="s">
        <v>1398</v>
      </c>
      <c r="AN421" s="143"/>
      <c r="AO421" s="156" t="s">
        <v>144</v>
      </c>
      <c r="AP421" s="147">
        <v>44789</v>
      </c>
      <c r="AQ421" s="135" t="s">
        <v>3496</v>
      </c>
      <c r="AR421" s="143">
        <v>2001</v>
      </c>
      <c r="AS421" s="143" t="s">
        <v>3413</v>
      </c>
      <c r="AT421" s="135" t="s">
        <v>3446</v>
      </c>
      <c r="AU421" s="143" t="s">
        <v>276</v>
      </c>
      <c r="AV421" s="143" t="s">
        <v>1845</v>
      </c>
      <c r="AW421" s="143">
        <v>19</v>
      </c>
      <c r="AX421" s="143">
        <v>8</v>
      </c>
      <c r="AY421" s="143">
        <v>85.7</v>
      </c>
      <c r="AZ421" s="155"/>
      <c r="BA421" s="143" t="s">
        <v>1401</v>
      </c>
      <c r="BB421" s="143"/>
      <c r="BC421" s="143">
        <v>4172</v>
      </c>
      <c r="BD421" s="143"/>
      <c r="BE421" s="143">
        <v>877</v>
      </c>
      <c r="BF421" s="143">
        <v>5049</v>
      </c>
      <c r="BG421" s="151">
        <v>277.7</v>
      </c>
      <c r="BH421" s="151">
        <v>5326.7</v>
      </c>
      <c r="BI421" s="143">
        <v>6198.13</v>
      </c>
      <c r="BJ421" s="143" t="s">
        <v>102</v>
      </c>
      <c r="BK421" s="143"/>
      <c r="BL421" s="143"/>
      <c r="BM421" s="144" t="s">
        <v>3592</v>
      </c>
      <c r="BN421" s="143">
        <v>2022</v>
      </c>
      <c r="BO421" s="144" t="s">
        <v>143</v>
      </c>
      <c r="BP421" s="144">
        <v>2022</v>
      </c>
      <c r="BQ421" s="203" t="s">
        <v>144</v>
      </c>
    </row>
    <row r="422" spans="1:69" ht="41.1" customHeight="1">
      <c r="A422" s="218" t="s">
        <v>1529</v>
      </c>
      <c r="B422" s="218" t="s">
        <v>1846</v>
      </c>
      <c r="C422" s="143">
        <v>600</v>
      </c>
      <c r="D422" s="135">
        <v>44665</v>
      </c>
      <c r="E422" s="135">
        <v>44670</v>
      </c>
      <c r="F422" s="147">
        <v>44672</v>
      </c>
      <c r="G422" s="135" t="s">
        <v>1847</v>
      </c>
      <c r="H422" s="147">
        <v>44679</v>
      </c>
      <c r="I422" s="147">
        <v>44679</v>
      </c>
      <c r="J422" s="147">
        <v>44683</v>
      </c>
      <c r="K422" s="135">
        <v>44858</v>
      </c>
      <c r="L422" s="135">
        <v>44834</v>
      </c>
      <c r="M422" s="135" t="s">
        <v>1844</v>
      </c>
      <c r="N422" s="135">
        <v>44895</v>
      </c>
      <c r="O422" s="135">
        <v>44895</v>
      </c>
      <c r="P422" s="172">
        <v>44897</v>
      </c>
      <c r="Q422" s="135"/>
      <c r="R422" s="135"/>
      <c r="S422" s="135"/>
      <c r="T422" s="135"/>
      <c r="U422" s="143">
        <v>2</v>
      </c>
      <c r="V422" s="143">
        <v>78668</v>
      </c>
      <c r="W422" s="143" t="str">
        <f ca="1">IF(H422="",IF(D422="","",IF(U422+V422&lt;15,"Données Nb pers ou RFR manquantes",IF(COUNTA(INDIRECT("TabRFR["&amp;YEAR(D422)&amp;"]"))&lt;&gt;COUNTA(TabRFR[Recherche RFR]),"Data RFR manquantes", IF(V422&lt;=INDEX(TabRFR[[2021]:[2025]],MATCH(BD!U422&amp;"-Très modestes",TabRFR[Recherche RFR],0),MATCH(TEXT(YEAR(BD!D422),"Standard"),TabRFR[[#Headers],[2021]:[2025]],0)),"Très Modeste",IF(V422&lt;=INDEX(TabRFR[[2021]:[2025]],MATCH(BD!U422&amp;"-modestes",TabRFR[Recherche RFR],0),MATCH(TEXT(YEAR(BD!D422),"Standard"),TabRFR[[#Headers],[2021]:[2025]],0)),"Modeste",IF(V422&lt;=INDEX(TabRFR[[2021]:[2025]],MATCH(BD!U422&amp;"-Intermédiaire",TabRFR[Recherche RFR],0),MATCH(TEXT(YEAR(BD!D422),"Standard"),TabRFR[[#Headers],[2021]:[2025]],0)),"Intermédiaire","Supérieur")))))),IF(D422="","",IF(U422+V422&lt;15,"Données Nb pers ou RFR manquantes",IF(COUNTA(INDIRECT("TabRFR["&amp;YEAR(H422)&amp;"]"))&lt;&gt;COUNTA(TabRFR[Recherche RFR]),"Data RFR manquantes", IF(V422&lt;=INDEX(TabRFR[[2021]:[2025]],MATCH(BD!U422&amp;"-Très modestes",TabRFR[Recherche RFR],0),MATCH(TEXT(YEAR(BD!H422),"Standard"),TabRFR[[#Headers],[2021]:[2025]],0)),"Très Modeste",IF(V422&lt;=INDEX(TabRFR[[2021]:[2025]],MATCH(BD!U422&amp;"-modestes",TabRFR[Recherche RFR],0),MATCH(TEXT(YEAR(BD!H422),"Standard"),TabRFR[[#Headers],[2021]:[2025]],0)),"Modeste",IF(V422&lt;=INDEX(TabRFR[[2021]:[2025]],MATCH(BD!U422&amp;"-Intermédiaire",TabRFR[Recherche RFR],0),MATCH(TEXT(YEAR(BD!H422),"Standard"),TabRFR[[#Headers],[2021]:[2025]],0)),"Intermédiaire","Supérieur")))))))</f>
        <v>Supérieur</v>
      </c>
      <c r="X422" s="143"/>
      <c r="Y422" s="143" t="s">
        <v>1848</v>
      </c>
      <c r="Z422" s="143">
        <v>38250</v>
      </c>
      <c r="AA422" s="143" t="s">
        <v>435</v>
      </c>
      <c r="AB422" s="148"/>
      <c r="AC422" s="149"/>
      <c r="AD422" s="143" t="s">
        <v>91</v>
      </c>
      <c r="AE422" s="143"/>
      <c r="AF422" s="143"/>
      <c r="AG422" s="143"/>
      <c r="AH422" s="143"/>
      <c r="AI422" s="143" t="s">
        <v>1713</v>
      </c>
      <c r="AJ422" s="143" t="s">
        <v>121</v>
      </c>
      <c r="AK422" s="143" t="s">
        <v>1563</v>
      </c>
      <c r="AL422" s="150" t="s">
        <v>270</v>
      </c>
      <c r="AM422" s="148" t="s">
        <v>1787</v>
      </c>
      <c r="AN422" s="143" t="s">
        <v>267</v>
      </c>
      <c r="AO422" s="158" t="s">
        <v>144</v>
      </c>
      <c r="AP422" s="147">
        <v>44998</v>
      </c>
      <c r="AQ422" s="135" t="s">
        <v>3496</v>
      </c>
      <c r="AR422" s="143">
        <v>1996</v>
      </c>
      <c r="AS422" s="143" t="s">
        <v>3413</v>
      </c>
      <c r="AT422" s="143" t="s">
        <v>98</v>
      </c>
      <c r="AU422" s="143" t="s">
        <v>841</v>
      </c>
      <c r="AV422" s="143" t="s">
        <v>1849</v>
      </c>
      <c r="AW422" s="143">
        <v>12</v>
      </c>
      <c r="AX422" s="143">
        <v>9.1</v>
      </c>
      <c r="AY422" s="143">
        <v>92.9</v>
      </c>
      <c r="AZ422" s="143">
        <v>5.0400000000000002E-3</v>
      </c>
      <c r="BA422" s="143" t="s">
        <v>101</v>
      </c>
      <c r="BB422" s="143"/>
      <c r="BC422" s="143">
        <v>4454.84</v>
      </c>
      <c r="BD422" s="143"/>
      <c r="BE422" s="143">
        <v>1404.18</v>
      </c>
      <c r="BF422" s="143">
        <v>5859.02</v>
      </c>
      <c r="BG422" s="143">
        <v>531.88</v>
      </c>
      <c r="BH422" s="143">
        <v>6390.9</v>
      </c>
      <c r="BI422" s="143">
        <v>4536.8999999999996</v>
      </c>
      <c r="BJ422" s="143" t="s">
        <v>102</v>
      </c>
      <c r="BK422" s="143"/>
      <c r="BL422" s="143"/>
      <c r="BM422" s="144" t="s">
        <v>3592</v>
      </c>
      <c r="BN422" s="143">
        <v>2022</v>
      </c>
      <c r="BO422" s="144" t="s">
        <v>143</v>
      </c>
      <c r="BP422" s="143" t="s">
        <v>3583</v>
      </c>
      <c r="BQ422" s="203" t="s">
        <v>144</v>
      </c>
    </row>
    <row r="423" spans="1:69" ht="41.1" customHeight="1">
      <c r="A423" s="218" t="s">
        <v>1529</v>
      </c>
      <c r="B423" s="218" t="s">
        <v>1850</v>
      </c>
      <c r="C423" s="143">
        <v>600</v>
      </c>
      <c r="D423" s="135">
        <v>44670</v>
      </c>
      <c r="E423" s="135">
        <v>44670</v>
      </c>
      <c r="F423" s="166" t="s">
        <v>76</v>
      </c>
      <c r="G423" s="180" t="s">
        <v>76</v>
      </c>
      <c r="H423" s="166">
        <v>44672</v>
      </c>
      <c r="I423" s="166">
        <v>44672</v>
      </c>
      <c r="J423" s="166">
        <v>44677</v>
      </c>
      <c r="K423" s="166">
        <v>44966</v>
      </c>
      <c r="L423" s="166">
        <v>44942</v>
      </c>
      <c r="M423" s="180" t="s">
        <v>76</v>
      </c>
      <c r="N423" s="166">
        <v>44974</v>
      </c>
      <c r="O423" s="166">
        <v>44974</v>
      </c>
      <c r="P423" s="166">
        <v>44977</v>
      </c>
      <c r="Q423" s="180"/>
      <c r="R423" s="180"/>
      <c r="S423" s="180"/>
      <c r="T423" s="143"/>
      <c r="U423" s="143">
        <v>2</v>
      </c>
      <c r="V423" s="143">
        <v>29593</v>
      </c>
      <c r="W423" s="143" t="str">
        <f ca="1">IF(H423="",IF(D423="","",IF(U423+V423&lt;15,"Données Nb pers ou RFR manquantes",IF(COUNTA(INDIRECT("TabRFR["&amp;YEAR(D423)&amp;"]"))&lt;&gt;COUNTA(TabRFR[Recherche RFR]),"Data RFR manquantes", IF(V423&lt;=INDEX(TabRFR[[2021]:[2025]],MATCH(BD!U423&amp;"-Très modestes",TabRFR[Recherche RFR],0),MATCH(TEXT(YEAR(BD!D423),"Standard"),TabRFR[[#Headers],[2021]:[2025]],0)),"Très Modeste",IF(V423&lt;=INDEX(TabRFR[[2021]:[2025]],MATCH(BD!U423&amp;"-modestes",TabRFR[Recherche RFR],0),MATCH(TEXT(YEAR(BD!D423),"Standard"),TabRFR[[#Headers],[2021]:[2025]],0)),"Modeste",IF(V423&lt;=INDEX(TabRFR[[2021]:[2025]],MATCH(BD!U423&amp;"-Intermédiaire",TabRFR[Recherche RFR],0),MATCH(TEXT(YEAR(BD!D423),"Standard"),TabRFR[[#Headers],[2021]:[2025]],0)),"Intermédiaire","Supérieur")))))),IF(D423="","",IF(U423+V423&lt;15,"Données Nb pers ou RFR manquantes",IF(COUNTA(INDIRECT("TabRFR["&amp;YEAR(H423)&amp;"]"))&lt;&gt;COUNTA(TabRFR[Recherche RFR]),"Data RFR manquantes", IF(V423&lt;=INDEX(TabRFR[[2021]:[2025]],MATCH(BD!U423&amp;"-Très modestes",TabRFR[Recherche RFR],0),MATCH(TEXT(YEAR(BD!H423),"Standard"),TabRFR[[#Headers],[2021]:[2025]],0)),"Très Modeste",IF(V423&lt;=INDEX(TabRFR[[2021]:[2025]],MATCH(BD!U423&amp;"-modestes",TabRFR[Recherche RFR],0),MATCH(TEXT(YEAR(BD!H423),"Standard"),TabRFR[[#Headers],[2021]:[2025]],0)),"Modeste",IF(V423&lt;=INDEX(TabRFR[[2021]:[2025]],MATCH(BD!U423&amp;"-Intermédiaire",TabRFR[Recherche RFR],0),MATCH(TEXT(YEAR(BD!H423),"Standard"),TabRFR[[#Headers],[2021]:[2025]],0)),"Intermédiaire","Supérieur")))))))</f>
        <v>Intermédiaire</v>
      </c>
      <c r="X423" s="143"/>
      <c r="Y423" s="143" t="s">
        <v>167</v>
      </c>
      <c r="Z423" s="143">
        <v>38850</v>
      </c>
      <c r="AA423" s="164" t="s">
        <v>435</v>
      </c>
      <c r="AB423" s="148"/>
      <c r="AC423" s="149"/>
      <c r="AD423" s="143" t="s">
        <v>91</v>
      </c>
      <c r="AE423" s="135"/>
      <c r="AF423" s="135"/>
      <c r="AG423" s="135"/>
      <c r="AH423" s="135"/>
      <c r="AI423" s="135" t="s">
        <v>285</v>
      </c>
      <c r="AJ423" s="143" t="s">
        <v>108</v>
      </c>
      <c r="AK423" s="143" t="s">
        <v>286</v>
      </c>
      <c r="AL423" s="150" t="s">
        <v>287</v>
      </c>
      <c r="AM423" s="148">
        <v>476069938</v>
      </c>
      <c r="AN423" s="143" t="s">
        <v>76</v>
      </c>
      <c r="AO423" s="150" t="s">
        <v>102</v>
      </c>
      <c r="AP423" s="147">
        <v>44822</v>
      </c>
      <c r="AQ423" s="135" t="s">
        <v>3496</v>
      </c>
      <c r="AR423" s="143">
        <v>1989</v>
      </c>
      <c r="AS423" s="143" t="s">
        <v>3413</v>
      </c>
      <c r="AT423" s="135" t="s">
        <v>3446</v>
      </c>
      <c r="AU423" s="135" t="s">
        <v>1851</v>
      </c>
      <c r="AV423" s="135" t="s">
        <v>1852</v>
      </c>
      <c r="AW423" s="143">
        <v>30</v>
      </c>
      <c r="AX423" s="143">
        <v>8</v>
      </c>
      <c r="AY423" s="143">
        <v>80</v>
      </c>
      <c r="AZ423" s="143">
        <v>7.0000000000000007E-2</v>
      </c>
      <c r="BA423" s="135" t="s">
        <v>101</v>
      </c>
      <c r="BB423" s="135"/>
      <c r="BC423" s="143">
        <v>6801</v>
      </c>
      <c r="BD423" s="135"/>
      <c r="BE423" s="143">
        <v>750</v>
      </c>
      <c r="BF423" s="143">
        <v>7551</v>
      </c>
      <c r="BG423" s="143">
        <v>415.32</v>
      </c>
      <c r="BH423" s="143">
        <v>7966.32</v>
      </c>
      <c r="BI423" s="151">
        <v>7238.37</v>
      </c>
      <c r="BJ423" s="135" t="s">
        <v>115</v>
      </c>
      <c r="BK423" s="135"/>
      <c r="BL423" s="135"/>
      <c r="BM423" s="144" t="s">
        <v>3592</v>
      </c>
      <c r="BN423" s="143">
        <v>2022</v>
      </c>
      <c r="BO423" s="144" t="s">
        <v>143</v>
      </c>
      <c r="BP423" s="144">
        <v>2022</v>
      </c>
      <c r="BQ423" s="203" t="s">
        <v>3274</v>
      </c>
    </row>
    <row r="424" spans="1:69" ht="41.1" customHeight="1">
      <c r="A424" s="218" t="s">
        <v>1529</v>
      </c>
      <c r="B424" s="218" t="s">
        <v>1853</v>
      </c>
      <c r="C424" s="143">
        <v>600</v>
      </c>
      <c r="D424" s="135">
        <v>44670</v>
      </c>
      <c r="E424" s="135">
        <v>44670</v>
      </c>
      <c r="F424" s="166">
        <v>44672</v>
      </c>
      <c r="G424" s="180" t="s">
        <v>1854</v>
      </c>
      <c r="H424" s="166">
        <v>44685</v>
      </c>
      <c r="I424" s="166">
        <v>44685</v>
      </c>
      <c r="J424" s="166">
        <v>44699</v>
      </c>
      <c r="K424" s="166">
        <v>45099</v>
      </c>
      <c r="L424" s="166">
        <v>45092</v>
      </c>
      <c r="M424" s="180" t="s">
        <v>1855</v>
      </c>
      <c r="N424" s="166">
        <v>45104</v>
      </c>
      <c r="O424" s="166">
        <v>45104</v>
      </c>
      <c r="P424" s="166">
        <v>45104</v>
      </c>
      <c r="Q424" s="180"/>
      <c r="R424" s="180"/>
      <c r="S424" s="180"/>
      <c r="T424" s="143"/>
      <c r="U424" s="143">
        <v>2</v>
      </c>
      <c r="V424" s="143">
        <v>36684</v>
      </c>
      <c r="W424" s="143" t="str">
        <f ca="1">IF(H424="",IF(D424="","",IF(U424+V424&lt;15,"Données Nb pers ou RFR manquantes",IF(COUNTA(INDIRECT("TabRFR["&amp;YEAR(D424)&amp;"]"))&lt;&gt;COUNTA(TabRFR[Recherche RFR]),"Data RFR manquantes", IF(V424&lt;=INDEX(TabRFR[[2021]:[2025]],MATCH(BD!U424&amp;"-Très modestes",TabRFR[Recherche RFR],0),MATCH(TEXT(YEAR(BD!D424),"Standard"),TabRFR[[#Headers],[2021]:[2025]],0)),"Très Modeste",IF(V424&lt;=INDEX(TabRFR[[2021]:[2025]],MATCH(BD!U424&amp;"-modestes",TabRFR[Recherche RFR],0),MATCH(TEXT(YEAR(BD!D424),"Standard"),TabRFR[[#Headers],[2021]:[2025]],0)),"Modeste",IF(V424&lt;=INDEX(TabRFR[[2021]:[2025]],MATCH(BD!U424&amp;"-Intermédiaire",TabRFR[Recherche RFR],0),MATCH(TEXT(YEAR(BD!D424),"Standard"),TabRFR[[#Headers],[2021]:[2025]],0)),"Intermédiaire","Supérieur")))))),IF(D424="","",IF(U424+V424&lt;15,"Données Nb pers ou RFR manquantes",IF(COUNTA(INDIRECT("TabRFR["&amp;YEAR(H424)&amp;"]"))&lt;&gt;COUNTA(TabRFR[Recherche RFR]),"Data RFR manquantes", IF(V424&lt;=INDEX(TabRFR[[2021]:[2025]],MATCH(BD!U424&amp;"-Très modestes",TabRFR[Recherche RFR],0),MATCH(TEXT(YEAR(BD!H424),"Standard"),TabRFR[[#Headers],[2021]:[2025]],0)),"Très Modeste",IF(V424&lt;=INDEX(TabRFR[[2021]:[2025]],MATCH(BD!U424&amp;"-modestes",TabRFR[Recherche RFR],0),MATCH(TEXT(YEAR(BD!H424),"Standard"),TabRFR[[#Headers],[2021]:[2025]],0)),"Modeste",IF(V424&lt;=INDEX(TabRFR[[2021]:[2025]],MATCH(BD!U424&amp;"-Intermédiaire",TabRFR[Recherche RFR],0),MATCH(TEXT(YEAR(BD!H424),"Standard"),TabRFR[[#Headers],[2021]:[2025]],0)),"Intermédiaire","Supérieur")))))))</f>
        <v>Intermédiaire</v>
      </c>
      <c r="X424" s="143"/>
      <c r="Y424" s="143" t="s">
        <v>1856</v>
      </c>
      <c r="Z424" s="143">
        <v>38960</v>
      </c>
      <c r="AA424" s="143" t="s">
        <v>209</v>
      </c>
      <c r="AB424" s="148"/>
      <c r="AC424" s="149"/>
      <c r="AD424" s="143" t="s">
        <v>91</v>
      </c>
      <c r="AE424" s="135"/>
      <c r="AF424" s="135"/>
      <c r="AG424" s="135"/>
      <c r="AH424" s="135"/>
      <c r="AI424" s="143" t="s">
        <v>393</v>
      </c>
      <c r="AJ424" s="143" t="s">
        <v>3497</v>
      </c>
      <c r="AK424" s="143" t="s">
        <v>1857</v>
      </c>
      <c r="AL424" s="169" t="s">
        <v>1858</v>
      </c>
      <c r="AM424" s="148">
        <v>437039915</v>
      </c>
      <c r="AN424" s="143" t="s">
        <v>76</v>
      </c>
      <c r="AO424" s="150" t="s">
        <v>102</v>
      </c>
      <c r="AP424" s="147">
        <v>44797</v>
      </c>
      <c r="AQ424" s="135" t="s">
        <v>3496</v>
      </c>
      <c r="AR424" s="143">
        <v>2000</v>
      </c>
      <c r="AS424" s="135" t="s">
        <v>3496</v>
      </c>
      <c r="AT424" s="135" t="s">
        <v>3446</v>
      </c>
      <c r="AU424" s="135" t="s">
        <v>1634</v>
      </c>
      <c r="AV424" s="152">
        <v>650</v>
      </c>
      <c r="AW424" s="152">
        <v>37</v>
      </c>
      <c r="AX424" s="152" t="s">
        <v>1859</v>
      </c>
      <c r="AY424" s="152" t="s">
        <v>1860</v>
      </c>
      <c r="AZ424" s="152" t="s">
        <v>1861</v>
      </c>
      <c r="BA424" s="135" t="s">
        <v>101</v>
      </c>
      <c r="BB424" s="135"/>
      <c r="BC424" s="151">
        <v>5365.28</v>
      </c>
      <c r="BD424" s="135"/>
      <c r="BE424" s="151">
        <v>471.96</v>
      </c>
      <c r="BF424" s="151">
        <v>5837.24</v>
      </c>
      <c r="BG424" s="151">
        <v>321.05</v>
      </c>
      <c r="BH424" s="151">
        <v>6158.29</v>
      </c>
      <c r="BI424" s="151">
        <v>3997.92</v>
      </c>
      <c r="BJ424" s="135" t="s">
        <v>102</v>
      </c>
      <c r="BK424" s="135"/>
      <c r="BL424" s="135"/>
      <c r="BM424" s="144" t="s">
        <v>3592</v>
      </c>
      <c r="BN424" s="143">
        <v>2022</v>
      </c>
      <c r="BO424" s="144" t="s">
        <v>143</v>
      </c>
      <c r="BP424" s="144">
        <v>2022</v>
      </c>
      <c r="BQ424" s="203" t="s">
        <v>144</v>
      </c>
    </row>
    <row r="425" spans="1:69" ht="41.1" customHeight="1">
      <c r="A425" s="218" t="s">
        <v>1529</v>
      </c>
      <c r="B425" s="218" t="s">
        <v>1862</v>
      </c>
      <c r="C425" s="143">
        <v>600</v>
      </c>
      <c r="D425" s="135">
        <v>44670</v>
      </c>
      <c r="E425" s="135">
        <v>44671</v>
      </c>
      <c r="F425" s="166">
        <v>44677</v>
      </c>
      <c r="G425" s="180" t="s">
        <v>1863</v>
      </c>
      <c r="H425" s="166">
        <v>44700</v>
      </c>
      <c r="I425" s="166">
        <v>44700</v>
      </c>
      <c r="J425" s="166">
        <v>44706</v>
      </c>
      <c r="K425" s="166">
        <v>44721</v>
      </c>
      <c r="L425" s="166">
        <v>44714</v>
      </c>
      <c r="M425" s="180" t="s">
        <v>76</v>
      </c>
      <c r="N425" s="166">
        <v>44769</v>
      </c>
      <c r="O425" s="166">
        <v>44769</v>
      </c>
      <c r="P425" s="135">
        <v>44770</v>
      </c>
      <c r="Q425" s="180"/>
      <c r="R425" s="180"/>
      <c r="S425" s="180"/>
      <c r="T425" s="143"/>
      <c r="U425" s="143">
        <v>2</v>
      </c>
      <c r="V425" s="143">
        <v>40175</v>
      </c>
      <c r="W425" s="143" t="str">
        <f ca="1">IF(H425="",IF(D425="","",IF(U425+V425&lt;15,"Données Nb pers ou RFR manquantes",IF(COUNTA(INDIRECT("TabRFR["&amp;YEAR(D425)&amp;"]"))&lt;&gt;COUNTA(TabRFR[Recherche RFR]),"Data RFR manquantes", IF(V425&lt;=INDEX(TabRFR[[2021]:[2025]],MATCH(BD!U425&amp;"-Très modestes",TabRFR[Recherche RFR],0),MATCH(TEXT(YEAR(BD!D425),"Standard"),TabRFR[[#Headers],[2021]:[2025]],0)),"Très Modeste",IF(V425&lt;=INDEX(TabRFR[[2021]:[2025]],MATCH(BD!U425&amp;"-modestes",TabRFR[Recherche RFR],0),MATCH(TEXT(YEAR(BD!D425),"Standard"),TabRFR[[#Headers],[2021]:[2025]],0)),"Modeste",IF(V425&lt;=INDEX(TabRFR[[2021]:[2025]],MATCH(BD!U425&amp;"-Intermédiaire",TabRFR[Recherche RFR],0),MATCH(TEXT(YEAR(BD!D425),"Standard"),TabRFR[[#Headers],[2021]:[2025]],0)),"Intermédiaire","Supérieur")))))),IF(D425="","",IF(U425+V425&lt;15,"Données Nb pers ou RFR manquantes",IF(COUNTA(INDIRECT("TabRFR["&amp;YEAR(H425)&amp;"]"))&lt;&gt;COUNTA(TabRFR[Recherche RFR]),"Data RFR manquantes", IF(V425&lt;=INDEX(TabRFR[[2021]:[2025]],MATCH(BD!U425&amp;"-Très modestes",TabRFR[Recherche RFR],0),MATCH(TEXT(YEAR(BD!H425),"Standard"),TabRFR[[#Headers],[2021]:[2025]],0)),"Très Modeste",IF(V425&lt;=INDEX(TabRFR[[2021]:[2025]],MATCH(BD!U425&amp;"-modestes",TabRFR[Recherche RFR],0),MATCH(TEXT(YEAR(BD!H425),"Standard"),TabRFR[[#Headers],[2021]:[2025]],0)),"Modeste",IF(V425&lt;=INDEX(TabRFR[[2021]:[2025]],MATCH(BD!U425&amp;"-Intermédiaire",TabRFR[Recherche RFR],0),MATCH(TEXT(YEAR(BD!H425),"Standard"),TabRFR[[#Headers],[2021]:[2025]],0)),"Intermédiaire","Supérieur")))))))</f>
        <v>Intermédiaire</v>
      </c>
      <c r="X425" s="143"/>
      <c r="Y425" s="143" t="s">
        <v>851</v>
      </c>
      <c r="Z425" s="143">
        <v>38500</v>
      </c>
      <c r="AA425" s="143" t="s">
        <v>134</v>
      </c>
      <c r="AB425" s="148"/>
      <c r="AC425" s="149"/>
      <c r="AD425" s="143" t="s">
        <v>91</v>
      </c>
      <c r="AE425" s="135"/>
      <c r="AF425" s="135"/>
      <c r="AG425" s="135"/>
      <c r="AH425" s="135"/>
      <c r="AI425" s="135" t="s">
        <v>285</v>
      </c>
      <c r="AJ425" s="143" t="s">
        <v>108</v>
      </c>
      <c r="AK425" s="143" t="s">
        <v>286</v>
      </c>
      <c r="AL425" s="150" t="s">
        <v>287</v>
      </c>
      <c r="AM425" s="148">
        <v>476069938</v>
      </c>
      <c r="AN425" s="143" t="s">
        <v>76</v>
      </c>
      <c r="AO425" s="150" t="s">
        <v>102</v>
      </c>
      <c r="AP425" s="147">
        <v>44822</v>
      </c>
      <c r="AQ425" s="135" t="s">
        <v>3496</v>
      </c>
      <c r="AR425" s="143">
        <v>1991</v>
      </c>
      <c r="AS425" s="143" t="s">
        <v>3413</v>
      </c>
      <c r="AT425" s="135" t="s">
        <v>3446</v>
      </c>
      <c r="AU425" s="135" t="s">
        <v>1851</v>
      </c>
      <c r="AV425" s="135" t="s">
        <v>1864</v>
      </c>
      <c r="AW425" s="143">
        <v>15</v>
      </c>
      <c r="AX425" s="143">
        <v>7</v>
      </c>
      <c r="AY425" s="143">
        <v>84</v>
      </c>
      <c r="AZ425" s="143">
        <v>7.0000000000000007E-2</v>
      </c>
      <c r="BA425" s="135" t="s">
        <v>101</v>
      </c>
      <c r="BB425" s="135"/>
      <c r="BC425" s="143">
        <v>4707</v>
      </c>
      <c r="BD425" s="135"/>
      <c r="BE425" s="143">
        <v>750</v>
      </c>
      <c r="BF425" s="143">
        <v>5457</v>
      </c>
      <c r="BG425" s="143">
        <v>300.14</v>
      </c>
      <c r="BH425" s="143">
        <v>5757.14</v>
      </c>
      <c r="BI425" s="151">
        <v>5751.87</v>
      </c>
      <c r="BJ425" s="135" t="s">
        <v>102</v>
      </c>
      <c r="BK425" s="135"/>
      <c r="BL425" s="135"/>
      <c r="BM425" s="144" t="s">
        <v>3592</v>
      </c>
      <c r="BN425" s="143">
        <v>2022</v>
      </c>
      <c r="BO425" s="144" t="s">
        <v>143</v>
      </c>
      <c r="BP425" s="144">
        <v>2022</v>
      </c>
      <c r="BQ425" s="203" t="s">
        <v>144</v>
      </c>
    </row>
    <row r="426" spans="1:69" ht="41.1" customHeight="1">
      <c r="A426" s="218" t="s">
        <v>1529</v>
      </c>
      <c r="B426" s="218" t="s">
        <v>1865</v>
      </c>
      <c r="C426" s="143">
        <v>1000</v>
      </c>
      <c r="D426" s="135">
        <v>44670</v>
      </c>
      <c r="E426" s="135">
        <v>44671</v>
      </c>
      <c r="F426" s="166">
        <v>44677</v>
      </c>
      <c r="G426" s="180" t="s">
        <v>1866</v>
      </c>
      <c r="H426" s="166">
        <v>44685</v>
      </c>
      <c r="I426" s="166">
        <v>44685</v>
      </c>
      <c r="J426" s="166">
        <v>44699</v>
      </c>
      <c r="K426" s="135">
        <v>44734</v>
      </c>
      <c r="L426" s="166">
        <v>44728</v>
      </c>
      <c r="M426" s="180" t="s">
        <v>1576</v>
      </c>
      <c r="N426" s="166">
        <v>44795</v>
      </c>
      <c r="O426" s="166">
        <v>44795</v>
      </c>
      <c r="P426" s="135">
        <v>44796</v>
      </c>
      <c r="Q426" s="180"/>
      <c r="R426" s="180"/>
      <c r="S426" s="180"/>
      <c r="T426" s="143"/>
      <c r="U426" s="143">
        <v>4</v>
      </c>
      <c r="V426" s="143">
        <v>17750</v>
      </c>
      <c r="W426" s="143" t="str">
        <f ca="1">IF(H426="",IF(D426="","",IF(U426+V426&lt;15,"Données Nb pers ou RFR manquantes",IF(COUNTA(INDIRECT("TabRFR["&amp;YEAR(D426)&amp;"]"))&lt;&gt;COUNTA(TabRFR[Recherche RFR]),"Data RFR manquantes", IF(V426&lt;=INDEX(TabRFR[[2021]:[2025]],MATCH(BD!U426&amp;"-Très modestes",TabRFR[Recherche RFR],0),MATCH(TEXT(YEAR(BD!D426),"Standard"),TabRFR[[#Headers],[2021]:[2025]],0)),"Très Modeste",IF(V426&lt;=INDEX(TabRFR[[2021]:[2025]],MATCH(BD!U426&amp;"-modestes",TabRFR[Recherche RFR],0),MATCH(TEXT(YEAR(BD!D426),"Standard"),TabRFR[[#Headers],[2021]:[2025]],0)),"Modeste",IF(V426&lt;=INDEX(TabRFR[[2021]:[2025]],MATCH(BD!U426&amp;"-Intermédiaire",TabRFR[Recherche RFR],0),MATCH(TEXT(YEAR(BD!D426),"Standard"),TabRFR[[#Headers],[2021]:[2025]],0)),"Intermédiaire","Supérieur")))))),IF(D426="","",IF(U426+V426&lt;15,"Données Nb pers ou RFR manquantes",IF(COUNTA(INDIRECT("TabRFR["&amp;YEAR(H426)&amp;"]"))&lt;&gt;COUNTA(TabRFR[Recherche RFR]),"Data RFR manquantes", IF(V426&lt;=INDEX(TabRFR[[2021]:[2025]],MATCH(BD!U426&amp;"-Très modestes",TabRFR[Recherche RFR],0),MATCH(TEXT(YEAR(BD!H426),"Standard"),TabRFR[[#Headers],[2021]:[2025]],0)),"Très Modeste",IF(V426&lt;=INDEX(TabRFR[[2021]:[2025]],MATCH(BD!U426&amp;"-modestes",TabRFR[Recherche RFR],0),MATCH(TEXT(YEAR(BD!H426),"Standard"),TabRFR[[#Headers],[2021]:[2025]],0)),"Modeste",IF(V426&lt;=INDEX(TabRFR[[2021]:[2025]],MATCH(BD!U426&amp;"-Intermédiaire",TabRFR[Recherche RFR],0),MATCH(TEXT(YEAR(BD!H426),"Standard"),TabRFR[[#Headers],[2021]:[2025]],0)),"Intermédiaire","Supérieur")))))))</f>
        <v>Très Modeste</v>
      </c>
      <c r="X426" s="143"/>
      <c r="Y426" s="143" t="s">
        <v>199</v>
      </c>
      <c r="Z426" s="143">
        <v>38140</v>
      </c>
      <c r="AA426" s="143" t="s">
        <v>200</v>
      </c>
      <c r="AB426" s="148"/>
      <c r="AC426" s="149"/>
      <c r="AD426" s="143" t="s">
        <v>91</v>
      </c>
      <c r="AE426" s="135"/>
      <c r="AF426" s="135"/>
      <c r="AG426" s="135"/>
      <c r="AH426" s="135"/>
      <c r="AI426" s="143" t="s">
        <v>1106</v>
      </c>
      <c r="AJ426" s="143" t="s">
        <v>1075</v>
      </c>
      <c r="AK426" s="143" t="s">
        <v>1737</v>
      </c>
      <c r="AL426" s="169" t="s">
        <v>1108</v>
      </c>
      <c r="AM426" s="148" t="s">
        <v>1455</v>
      </c>
      <c r="AN426" s="143" t="s">
        <v>76</v>
      </c>
      <c r="AO426" s="150" t="s">
        <v>102</v>
      </c>
      <c r="AP426" s="147">
        <v>44731</v>
      </c>
      <c r="AQ426" s="135" t="s">
        <v>3449</v>
      </c>
      <c r="AR426" s="143">
        <v>1977</v>
      </c>
      <c r="AS426" s="135" t="s">
        <v>3496</v>
      </c>
      <c r="AT426" s="135" t="s">
        <v>3446</v>
      </c>
      <c r="AU426" s="135" t="s">
        <v>1109</v>
      </c>
      <c r="AV426" s="135" t="s">
        <v>1867</v>
      </c>
      <c r="AW426" s="151">
        <v>32</v>
      </c>
      <c r="AX426" s="151">
        <v>10</v>
      </c>
      <c r="AY426" s="151">
        <v>81.099999999999994</v>
      </c>
      <c r="AZ426" s="151">
        <v>0.09</v>
      </c>
      <c r="BA426" s="151" t="s">
        <v>101</v>
      </c>
      <c r="BB426" s="135"/>
      <c r="BC426" s="151">
        <v>5651.14</v>
      </c>
      <c r="BD426" s="135"/>
      <c r="BE426" s="151">
        <v>885</v>
      </c>
      <c r="BF426" s="151">
        <v>6536.14</v>
      </c>
      <c r="BG426" s="151">
        <v>359.49</v>
      </c>
      <c r="BH426" s="151">
        <v>6895.63</v>
      </c>
      <c r="BI426" s="151">
        <v>6896.13</v>
      </c>
      <c r="BJ426" s="135" t="s">
        <v>115</v>
      </c>
      <c r="BK426" s="135"/>
      <c r="BL426" s="135"/>
      <c r="BM426" s="144" t="s">
        <v>3592</v>
      </c>
      <c r="BN426" s="143">
        <v>2022</v>
      </c>
      <c r="BO426" s="135" t="s">
        <v>155</v>
      </c>
      <c r="BP426" s="144">
        <v>2022</v>
      </c>
      <c r="BQ426" s="203" t="s">
        <v>3274</v>
      </c>
    </row>
    <row r="427" spans="1:69" ht="41.1" customHeight="1">
      <c r="A427" s="218" t="s">
        <v>1705</v>
      </c>
      <c r="B427" s="218" t="s">
        <v>1868</v>
      </c>
      <c r="C427" s="143">
        <v>600</v>
      </c>
      <c r="D427" s="135">
        <v>44671</v>
      </c>
      <c r="E427" s="135">
        <v>44671</v>
      </c>
      <c r="F427" s="166">
        <v>44680</v>
      </c>
      <c r="G427" s="180" t="s">
        <v>1869</v>
      </c>
      <c r="H427" s="166">
        <v>44749</v>
      </c>
      <c r="I427" s="166">
        <v>44749</v>
      </c>
      <c r="J427" s="166">
        <v>44768</v>
      </c>
      <c r="K427" s="166">
        <v>44811</v>
      </c>
      <c r="L427" s="166">
        <v>44802</v>
      </c>
      <c r="M427" s="180" t="s">
        <v>1870</v>
      </c>
      <c r="N427" s="166">
        <v>44889</v>
      </c>
      <c r="O427" s="166">
        <v>44889</v>
      </c>
      <c r="P427" s="166">
        <v>44889</v>
      </c>
      <c r="Q427" s="180"/>
      <c r="R427" s="180"/>
      <c r="S427" s="180"/>
      <c r="T427" s="143"/>
      <c r="U427" s="143">
        <v>2</v>
      </c>
      <c r="V427" s="143">
        <v>44937</v>
      </c>
      <c r="W427" s="143" t="str">
        <f ca="1">IF(H427="",IF(D427="","",IF(U427+V427&lt;15,"Données Nb pers ou RFR manquantes",IF(COUNTA(INDIRECT("TabRFR["&amp;YEAR(D427)&amp;"]"))&lt;&gt;COUNTA(TabRFR[Recherche RFR]),"Data RFR manquantes", IF(V427&lt;=INDEX(TabRFR[[2021]:[2025]],MATCH(BD!U427&amp;"-Très modestes",TabRFR[Recherche RFR],0),MATCH(TEXT(YEAR(BD!D427),"Standard"),TabRFR[[#Headers],[2021]:[2025]],0)),"Très Modeste",IF(V427&lt;=INDEX(TabRFR[[2021]:[2025]],MATCH(BD!U427&amp;"-modestes",TabRFR[Recherche RFR],0),MATCH(TEXT(YEAR(BD!D427),"Standard"),TabRFR[[#Headers],[2021]:[2025]],0)),"Modeste",IF(V427&lt;=INDEX(TabRFR[[2021]:[2025]],MATCH(BD!U427&amp;"-Intermédiaire",TabRFR[Recherche RFR],0),MATCH(TEXT(YEAR(BD!D427),"Standard"),TabRFR[[#Headers],[2021]:[2025]],0)),"Intermédiaire","Supérieur")))))),IF(D427="","",IF(U427+V427&lt;15,"Données Nb pers ou RFR manquantes",IF(COUNTA(INDIRECT("TabRFR["&amp;YEAR(H427)&amp;"]"))&lt;&gt;COUNTA(TabRFR[Recherche RFR]),"Data RFR manquantes", IF(V427&lt;=INDEX(TabRFR[[2021]:[2025]],MATCH(BD!U427&amp;"-Très modestes",TabRFR[Recherche RFR],0),MATCH(TEXT(YEAR(BD!H427),"Standard"),TabRFR[[#Headers],[2021]:[2025]],0)),"Très Modeste",IF(V427&lt;=INDEX(TabRFR[[2021]:[2025]],MATCH(BD!U427&amp;"-modestes",TabRFR[Recherche RFR],0),MATCH(TEXT(YEAR(BD!H427),"Standard"),TabRFR[[#Headers],[2021]:[2025]],0)),"Modeste",IF(V427&lt;=INDEX(TabRFR[[2021]:[2025]],MATCH(BD!U427&amp;"-Intermédiaire",TabRFR[Recherche RFR],0),MATCH(TEXT(YEAR(BD!H427),"Standard"),TabRFR[[#Headers],[2021]:[2025]],0)),"Intermédiaire","Supérieur")))))))</f>
        <v>Supérieur</v>
      </c>
      <c r="X427" s="143"/>
      <c r="Y427" s="143" t="s">
        <v>1871</v>
      </c>
      <c r="Z427" s="143">
        <v>38140</v>
      </c>
      <c r="AA427" s="143" t="s">
        <v>159</v>
      </c>
      <c r="AB427" s="148"/>
      <c r="AC427" s="149"/>
      <c r="AD427" s="143" t="s">
        <v>91</v>
      </c>
      <c r="AE427" s="143" t="s">
        <v>76</v>
      </c>
      <c r="AF427" s="143" t="s">
        <v>76</v>
      </c>
      <c r="AG427" s="143" t="s">
        <v>76</v>
      </c>
      <c r="AH427" s="143" t="s">
        <v>76</v>
      </c>
      <c r="AI427" s="135" t="s">
        <v>1366</v>
      </c>
      <c r="AJ427" s="135" t="s">
        <v>1367</v>
      </c>
      <c r="AK427" s="135" t="s">
        <v>1872</v>
      </c>
      <c r="AL427" s="169" t="s">
        <v>1745</v>
      </c>
      <c r="AM427" s="148">
        <v>476389584</v>
      </c>
      <c r="AN427" s="143" t="s">
        <v>76</v>
      </c>
      <c r="AO427" s="150" t="s">
        <v>102</v>
      </c>
      <c r="AP427" s="147">
        <v>44867</v>
      </c>
      <c r="AQ427" s="135" t="s">
        <v>3449</v>
      </c>
      <c r="AR427" s="143">
        <v>1990</v>
      </c>
      <c r="AS427" s="143" t="s">
        <v>3413</v>
      </c>
      <c r="AT427" s="135" t="s">
        <v>3446</v>
      </c>
      <c r="AU427" s="135" t="s">
        <v>253</v>
      </c>
      <c r="AV427" s="135" t="s">
        <v>1873</v>
      </c>
      <c r="AW427" s="157"/>
      <c r="AX427" s="157"/>
      <c r="AY427" s="157"/>
      <c r="AZ427" s="157"/>
      <c r="BA427" s="135"/>
      <c r="BB427" s="135"/>
      <c r="BC427" s="151">
        <f>4741+320.96+288+760.6+248.7</f>
        <v>6359.26</v>
      </c>
      <c r="BD427" s="135"/>
      <c r="BE427" s="151">
        <v>685</v>
      </c>
      <c r="BF427" s="151">
        <f t="shared" ref="BF427:BF434" si="25">BC427+BE427</f>
        <v>7044.26</v>
      </c>
      <c r="BG427" s="151">
        <f t="shared" ref="BG427:BG434" si="26">BF427*0.055</f>
        <v>387.43430000000001</v>
      </c>
      <c r="BH427" s="151">
        <f t="shared" ref="BH427:BH434" si="27">BF427*1.055</f>
        <v>7431.6943000000001</v>
      </c>
      <c r="BI427" s="151">
        <v>7281.69</v>
      </c>
      <c r="BJ427" s="135" t="s">
        <v>102</v>
      </c>
      <c r="BK427" s="135"/>
      <c r="BL427" s="135"/>
      <c r="BM427" s="144" t="s">
        <v>3592</v>
      </c>
      <c r="BN427" s="143">
        <v>2022</v>
      </c>
      <c r="BO427" s="144" t="s">
        <v>143</v>
      </c>
      <c r="BP427" s="144">
        <v>2022</v>
      </c>
      <c r="BQ427" s="203" t="s">
        <v>144</v>
      </c>
    </row>
    <row r="428" spans="1:69" ht="41.1" customHeight="1">
      <c r="A428" s="219" t="s">
        <v>1705</v>
      </c>
      <c r="B428" s="219" t="s">
        <v>1874</v>
      </c>
      <c r="C428" s="143">
        <v>600</v>
      </c>
      <c r="D428" s="135">
        <v>44671</v>
      </c>
      <c r="E428" s="135">
        <v>44671</v>
      </c>
      <c r="F428" s="166">
        <v>44680</v>
      </c>
      <c r="G428" s="180" t="s">
        <v>1875</v>
      </c>
      <c r="H428" s="166">
        <v>44714</v>
      </c>
      <c r="I428" s="166">
        <v>44714</v>
      </c>
      <c r="J428" s="166">
        <v>44719</v>
      </c>
      <c r="K428" s="180"/>
      <c r="L428" s="166"/>
      <c r="M428" s="180" t="s">
        <v>3391</v>
      </c>
      <c r="N428" s="166"/>
      <c r="O428" s="166"/>
      <c r="P428" s="180"/>
      <c r="Q428" s="180"/>
      <c r="R428" s="180"/>
      <c r="S428" s="180"/>
      <c r="T428" s="143"/>
      <c r="U428" s="143">
        <v>3</v>
      </c>
      <c r="V428" s="143">
        <v>43673</v>
      </c>
      <c r="W428" s="143" t="str">
        <f ca="1">IF(H428="",IF(D428="","",IF(U428+V428&lt;15,"Données Nb pers ou RFR manquantes",IF(COUNTA(INDIRECT("TabRFR["&amp;YEAR(D428)&amp;"]"))&lt;&gt;COUNTA(TabRFR[Recherche RFR]),"Data RFR manquantes", IF(V428&lt;=INDEX(TabRFR[[2021]:[2025]],MATCH(BD!U428&amp;"-Très modestes",TabRFR[Recherche RFR],0),MATCH(TEXT(YEAR(BD!D428),"Standard"),TabRFR[[#Headers],[2021]:[2025]],0)),"Très Modeste",IF(V428&lt;=INDEX(TabRFR[[2021]:[2025]],MATCH(BD!U428&amp;"-modestes",TabRFR[Recherche RFR],0),MATCH(TEXT(YEAR(BD!D428),"Standard"),TabRFR[[#Headers],[2021]:[2025]],0)),"Modeste",IF(V428&lt;=INDEX(TabRFR[[2021]:[2025]],MATCH(BD!U428&amp;"-Intermédiaire",TabRFR[Recherche RFR],0),MATCH(TEXT(YEAR(BD!D428),"Standard"),TabRFR[[#Headers],[2021]:[2025]],0)),"Intermédiaire","Supérieur")))))),IF(D428="","",IF(U428+V428&lt;15,"Données Nb pers ou RFR manquantes",IF(COUNTA(INDIRECT("TabRFR["&amp;YEAR(H428)&amp;"]"))&lt;&gt;COUNTA(TabRFR[Recherche RFR]),"Data RFR manquantes", IF(V428&lt;=INDEX(TabRFR[[2021]:[2025]],MATCH(BD!U428&amp;"-Très modestes",TabRFR[Recherche RFR],0),MATCH(TEXT(YEAR(BD!H428),"Standard"),TabRFR[[#Headers],[2021]:[2025]],0)),"Très Modeste",IF(V428&lt;=INDEX(TabRFR[[2021]:[2025]],MATCH(BD!U428&amp;"-modestes",TabRFR[Recherche RFR],0),MATCH(TEXT(YEAR(BD!H428),"Standard"),TabRFR[[#Headers],[2021]:[2025]],0)),"Modeste",IF(V428&lt;=INDEX(TabRFR[[2021]:[2025]],MATCH(BD!U428&amp;"-Intermédiaire",TabRFR[Recherche RFR],0),MATCH(TEXT(YEAR(BD!H428),"Standard"),TabRFR[[#Headers],[2021]:[2025]],0)),"Intermédiaire","Supérieur")))))))</f>
        <v>Intermédiaire</v>
      </c>
      <c r="X428" s="143"/>
      <c r="Y428" s="143" t="s">
        <v>1876</v>
      </c>
      <c r="Z428" s="143">
        <v>38850</v>
      </c>
      <c r="AA428" s="143" t="s">
        <v>193</v>
      </c>
      <c r="AB428" s="148"/>
      <c r="AC428" s="149"/>
      <c r="AD428" s="143" t="s">
        <v>91</v>
      </c>
      <c r="AE428" s="135"/>
      <c r="AF428" s="135"/>
      <c r="AG428" s="135"/>
      <c r="AH428" s="135"/>
      <c r="AI428" s="143" t="s">
        <v>1106</v>
      </c>
      <c r="AJ428" s="135" t="s">
        <v>1075</v>
      </c>
      <c r="AK428" s="135" t="s">
        <v>1877</v>
      </c>
      <c r="AL428" s="170" t="s">
        <v>1454</v>
      </c>
      <c r="AM428" s="148">
        <v>679534545</v>
      </c>
      <c r="AN428" s="143" t="s">
        <v>76</v>
      </c>
      <c r="AO428" s="150" t="s">
        <v>102</v>
      </c>
      <c r="AP428" s="147">
        <v>44731</v>
      </c>
      <c r="AQ428" s="135" t="s">
        <v>3496</v>
      </c>
      <c r="AR428" s="143">
        <v>1975</v>
      </c>
      <c r="AS428" s="143" t="s">
        <v>3413</v>
      </c>
      <c r="AT428" s="135" t="s">
        <v>3446</v>
      </c>
      <c r="AU428" s="135" t="s">
        <v>1878</v>
      </c>
      <c r="AV428" s="135" t="s">
        <v>1879</v>
      </c>
      <c r="AW428" s="143">
        <v>38</v>
      </c>
      <c r="AX428" s="151" t="s">
        <v>1880</v>
      </c>
      <c r="AY428" s="151" t="s">
        <v>1881</v>
      </c>
      <c r="AZ428" s="151" t="s">
        <v>1882</v>
      </c>
      <c r="BA428" s="135" t="s">
        <v>101</v>
      </c>
      <c r="BB428" s="135"/>
      <c r="BC428" s="151">
        <f>4759.52+465+414.32+40.33+17.11+300.44+85+89+195+195.24+98</f>
        <v>6658.9599999999991</v>
      </c>
      <c r="BD428" s="135"/>
      <c r="BE428" s="151">
        <v>500</v>
      </c>
      <c r="BF428" s="151">
        <f t="shared" si="25"/>
        <v>7158.9599999999991</v>
      </c>
      <c r="BG428" s="151">
        <f t="shared" si="26"/>
        <v>393.74279999999993</v>
      </c>
      <c r="BH428" s="151">
        <f t="shared" si="27"/>
        <v>7552.7027999999982</v>
      </c>
      <c r="BI428" s="151"/>
      <c r="BJ428" s="135" t="s">
        <v>115</v>
      </c>
      <c r="BK428" s="135"/>
      <c r="BL428" s="135"/>
      <c r="BM428" s="144" t="s">
        <v>3592</v>
      </c>
      <c r="BN428" s="143">
        <v>2022</v>
      </c>
      <c r="BO428" s="144" t="s">
        <v>143</v>
      </c>
      <c r="BP428" s="144">
        <v>2022</v>
      </c>
      <c r="BQ428" s="203" t="s">
        <v>3274</v>
      </c>
    </row>
    <row r="429" spans="1:69" ht="41.1" customHeight="1">
      <c r="A429" s="218" t="s">
        <v>1705</v>
      </c>
      <c r="B429" s="218" t="s">
        <v>1883</v>
      </c>
      <c r="C429" s="143">
        <v>600</v>
      </c>
      <c r="D429" s="135">
        <v>44672</v>
      </c>
      <c r="E429" s="135">
        <v>44673</v>
      </c>
      <c r="F429" s="166">
        <v>44680</v>
      </c>
      <c r="G429" s="180" t="s">
        <v>1884</v>
      </c>
      <c r="H429" s="166">
        <v>44694</v>
      </c>
      <c r="I429" s="166">
        <v>44694</v>
      </c>
      <c r="J429" s="166">
        <v>44706</v>
      </c>
      <c r="K429" s="166">
        <v>44775</v>
      </c>
      <c r="L429" s="166">
        <v>44767</v>
      </c>
      <c r="M429" s="180" t="s">
        <v>76</v>
      </c>
      <c r="N429" s="166">
        <v>44795</v>
      </c>
      <c r="O429" s="166">
        <v>44795</v>
      </c>
      <c r="P429" s="135">
        <v>44796</v>
      </c>
      <c r="Q429" s="180"/>
      <c r="R429" s="180"/>
      <c r="S429" s="180"/>
      <c r="T429" s="143"/>
      <c r="U429" s="143">
        <v>2</v>
      </c>
      <c r="V429" s="143">
        <v>33068</v>
      </c>
      <c r="W429" s="143" t="str">
        <f ca="1">IF(H429="",IF(D429="","",IF(U429+V429&lt;15,"Données Nb pers ou RFR manquantes",IF(COUNTA(INDIRECT("TabRFR["&amp;YEAR(D429)&amp;"]"))&lt;&gt;COUNTA(TabRFR[Recherche RFR]),"Data RFR manquantes", IF(V429&lt;=INDEX(TabRFR[[2021]:[2025]],MATCH(BD!U429&amp;"-Très modestes",TabRFR[Recherche RFR],0),MATCH(TEXT(YEAR(BD!D429),"Standard"),TabRFR[[#Headers],[2021]:[2025]],0)),"Très Modeste",IF(V429&lt;=INDEX(TabRFR[[2021]:[2025]],MATCH(BD!U429&amp;"-modestes",TabRFR[Recherche RFR],0),MATCH(TEXT(YEAR(BD!D429),"Standard"),TabRFR[[#Headers],[2021]:[2025]],0)),"Modeste",IF(V429&lt;=INDEX(TabRFR[[2021]:[2025]],MATCH(BD!U429&amp;"-Intermédiaire",TabRFR[Recherche RFR],0),MATCH(TEXT(YEAR(BD!D429),"Standard"),TabRFR[[#Headers],[2021]:[2025]],0)),"Intermédiaire","Supérieur")))))),IF(D429="","",IF(U429+V429&lt;15,"Données Nb pers ou RFR manquantes",IF(COUNTA(INDIRECT("TabRFR["&amp;YEAR(H429)&amp;"]"))&lt;&gt;COUNTA(TabRFR[Recherche RFR]),"Data RFR manquantes", IF(V429&lt;=INDEX(TabRFR[[2021]:[2025]],MATCH(BD!U429&amp;"-Très modestes",TabRFR[Recherche RFR],0),MATCH(TEXT(YEAR(BD!H429),"Standard"),TabRFR[[#Headers],[2021]:[2025]],0)),"Très Modeste",IF(V429&lt;=INDEX(TabRFR[[2021]:[2025]],MATCH(BD!U429&amp;"-modestes",TabRFR[Recherche RFR],0),MATCH(TEXT(YEAR(BD!H429),"Standard"),TabRFR[[#Headers],[2021]:[2025]],0)),"Modeste",IF(V429&lt;=INDEX(TabRFR[[2021]:[2025]],MATCH(BD!U429&amp;"-Intermédiaire",TabRFR[Recherche RFR],0),MATCH(TEXT(YEAR(BD!H429),"Standard"),TabRFR[[#Headers],[2021]:[2025]],0)),"Intermédiaire","Supérieur")))))))</f>
        <v>Intermédiaire</v>
      </c>
      <c r="X429" s="143"/>
      <c r="Y429" s="143" t="s">
        <v>1885</v>
      </c>
      <c r="Z429" s="143">
        <v>38620</v>
      </c>
      <c r="AA429" s="143" t="s">
        <v>537</v>
      </c>
      <c r="AB429" s="148"/>
      <c r="AC429" s="149"/>
      <c r="AD429" s="143" t="s">
        <v>91</v>
      </c>
      <c r="AE429" s="135"/>
      <c r="AF429" s="135"/>
      <c r="AG429" s="135"/>
      <c r="AH429" s="135"/>
      <c r="AI429" s="143" t="s">
        <v>1106</v>
      </c>
      <c r="AJ429" s="135" t="s">
        <v>1075</v>
      </c>
      <c r="AK429" s="135" t="s">
        <v>1886</v>
      </c>
      <c r="AL429" s="169" t="s">
        <v>1454</v>
      </c>
      <c r="AM429" s="148">
        <v>476663386</v>
      </c>
      <c r="AN429" s="143" t="s">
        <v>76</v>
      </c>
      <c r="AO429" s="150" t="s">
        <v>102</v>
      </c>
      <c r="AP429" s="147">
        <v>44731</v>
      </c>
      <c r="AQ429" s="135" t="s">
        <v>3496</v>
      </c>
      <c r="AR429" s="143">
        <v>1995</v>
      </c>
      <c r="AS429" s="143" t="s">
        <v>3413</v>
      </c>
      <c r="AT429" s="143" t="s">
        <v>98</v>
      </c>
      <c r="AU429" s="135" t="s">
        <v>1564</v>
      </c>
      <c r="AV429" s="148" t="s">
        <v>1887</v>
      </c>
      <c r="AW429" s="134">
        <v>14</v>
      </c>
      <c r="AX429" s="134">
        <v>10</v>
      </c>
      <c r="AY429" s="134">
        <v>91</v>
      </c>
      <c r="AZ429" s="181">
        <v>8.2400000000000008E-3</v>
      </c>
      <c r="BA429" s="135" t="s">
        <v>101</v>
      </c>
      <c r="BB429" s="135"/>
      <c r="BC429" s="151">
        <f>4123+365+732+167+232.8+125</f>
        <v>5744.8</v>
      </c>
      <c r="BD429" s="135"/>
      <c r="BE429" s="151">
        <v>550</v>
      </c>
      <c r="BF429" s="151">
        <f t="shared" si="25"/>
        <v>6294.8</v>
      </c>
      <c r="BG429" s="151">
        <f t="shared" si="26"/>
        <v>346.214</v>
      </c>
      <c r="BH429" s="151">
        <f t="shared" si="27"/>
        <v>6641.0140000000001</v>
      </c>
      <c r="BI429" s="151">
        <v>6200</v>
      </c>
      <c r="BJ429" s="135" t="s">
        <v>144</v>
      </c>
      <c r="BK429" s="135"/>
      <c r="BL429" s="135"/>
      <c r="BM429" s="144" t="s">
        <v>3592</v>
      </c>
      <c r="BN429" s="143">
        <v>2022</v>
      </c>
      <c r="BO429" s="144" t="s">
        <v>143</v>
      </c>
      <c r="BP429" s="143" t="s">
        <v>3583</v>
      </c>
      <c r="BQ429" s="203" t="s">
        <v>144</v>
      </c>
    </row>
    <row r="430" spans="1:69" ht="41.1" customHeight="1">
      <c r="A430" s="218" t="s">
        <v>1705</v>
      </c>
      <c r="B430" s="218" t="s">
        <v>1888</v>
      </c>
      <c r="C430" s="143">
        <v>600</v>
      </c>
      <c r="D430" s="135">
        <v>44673</v>
      </c>
      <c r="E430" s="135">
        <v>44676</v>
      </c>
      <c r="F430" s="166">
        <v>44680</v>
      </c>
      <c r="G430" s="180" t="s">
        <v>1889</v>
      </c>
      <c r="H430" s="166">
        <v>44694</v>
      </c>
      <c r="I430" s="166">
        <v>44694</v>
      </c>
      <c r="J430" s="166">
        <v>44706</v>
      </c>
      <c r="K430" s="166">
        <v>44848</v>
      </c>
      <c r="L430" s="166">
        <v>44806</v>
      </c>
      <c r="M430" s="180" t="s">
        <v>76</v>
      </c>
      <c r="N430" s="166">
        <v>44873</v>
      </c>
      <c r="O430" s="166">
        <v>44873</v>
      </c>
      <c r="P430" s="135">
        <v>44879</v>
      </c>
      <c r="Q430" s="180"/>
      <c r="R430" s="180"/>
      <c r="S430" s="180"/>
      <c r="T430" s="143"/>
      <c r="U430" s="143">
        <v>4</v>
      </c>
      <c r="V430" s="143">
        <v>79506</v>
      </c>
      <c r="W430" s="143" t="str">
        <f ca="1">IF(H430="",IF(D430="","",IF(U430+V430&lt;15,"Données Nb pers ou RFR manquantes",IF(COUNTA(INDIRECT("TabRFR["&amp;YEAR(D430)&amp;"]"))&lt;&gt;COUNTA(TabRFR[Recherche RFR]),"Data RFR manquantes", IF(V430&lt;=INDEX(TabRFR[[2021]:[2025]],MATCH(BD!U430&amp;"-Très modestes",TabRFR[Recherche RFR],0),MATCH(TEXT(YEAR(BD!D430),"Standard"),TabRFR[[#Headers],[2021]:[2025]],0)),"Très Modeste",IF(V430&lt;=INDEX(TabRFR[[2021]:[2025]],MATCH(BD!U430&amp;"-modestes",TabRFR[Recherche RFR],0),MATCH(TEXT(YEAR(BD!D430),"Standard"),TabRFR[[#Headers],[2021]:[2025]],0)),"Modeste",IF(V430&lt;=INDEX(TabRFR[[2021]:[2025]],MATCH(BD!U430&amp;"-Intermédiaire",TabRFR[Recherche RFR],0),MATCH(TEXT(YEAR(BD!D430),"Standard"),TabRFR[[#Headers],[2021]:[2025]],0)),"Intermédiaire","Supérieur")))))),IF(D430="","",IF(U430+V430&lt;15,"Données Nb pers ou RFR manquantes",IF(COUNTA(INDIRECT("TabRFR["&amp;YEAR(H430)&amp;"]"))&lt;&gt;COUNTA(TabRFR[Recherche RFR]),"Data RFR manquantes", IF(V430&lt;=INDEX(TabRFR[[2021]:[2025]],MATCH(BD!U430&amp;"-Très modestes",TabRFR[Recherche RFR],0),MATCH(TEXT(YEAR(BD!H430),"Standard"),TabRFR[[#Headers],[2021]:[2025]],0)),"Très Modeste",IF(V430&lt;=INDEX(TabRFR[[2021]:[2025]],MATCH(BD!U430&amp;"-modestes",TabRFR[Recherche RFR],0),MATCH(TEXT(YEAR(BD!H430),"Standard"),TabRFR[[#Headers],[2021]:[2025]],0)),"Modeste",IF(V430&lt;=INDEX(TabRFR[[2021]:[2025]],MATCH(BD!U430&amp;"-Intermédiaire",TabRFR[Recherche RFR],0),MATCH(TEXT(YEAR(BD!H430),"Standard"),TabRFR[[#Headers],[2021]:[2025]],0)),"Intermédiaire","Supérieur")))))))</f>
        <v>Supérieur</v>
      </c>
      <c r="X430" s="143"/>
      <c r="Y430" s="143" t="s">
        <v>1890</v>
      </c>
      <c r="Z430" s="143">
        <v>38850</v>
      </c>
      <c r="AA430" s="143" t="s">
        <v>435</v>
      </c>
      <c r="AB430" s="148"/>
      <c r="AC430" s="149"/>
      <c r="AD430" s="143" t="s">
        <v>91</v>
      </c>
      <c r="AE430" s="135"/>
      <c r="AF430" s="135"/>
      <c r="AG430" s="135"/>
      <c r="AH430" s="135"/>
      <c r="AI430" s="143" t="s">
        <v>1106</v>
      </c>
      <c r="AJ430" s="135" t="s">
        <v>1075</v>
      </c>
      <c r="AK430" s="135" t="s">
        <v>1886</v>
      </c>
      <c r="AL430" s="170" t="s">
        <v>1891</v>
      </c>
      <c r="AM430" s="148">
        <v>476663386</v>
      </c>
      <c r="AN430" s="143" t="s">
        <v>76</v>
      </c>
      <c r="AO430" s="150" t="s">
        <v>102</v>
      </c>
      <c r="AP430" s="147">
        <v>44731</v>
      </c>
      <c r="AQ430" s="143" t="s">
        <v>3413</v>
      </c>
      <c r="AR430" s="143">
        <v>2000</v>
      </c>
      <c r="AS430" s="135" t="s">
        <v>3496</v>
      </c>
      <c r="AT430" s="135" t="s">
        <v>3446</v>
      </c>
      <c r="AU430" s="135" t="s">
        <v>1878</v>
      </c>
      <c r="AV430" s="148" t="s">
        <v>1892</v>
      </c>
      <c r="AW430" s="143">
        <v>33</v>
      </c>
      <c r="AX430" s="143">
        <v>11</v>
      </c>
      <c r="AY430" s="151" t="s">
        <v>1893</v>
      </c>
      <c r="AZ430" s="151" t="s">
        <v>1894</v>
      </c>
      <c r="BA430" s="135" t="s">
        <v>101</v>
      </c>
      <c r="BB430" s="135"/>
      <c r="BC430" s="151">
        <f>4869.4+962+297.84+345+337.5+320+204+149+269+56.7+295+467+197.96+141.4+46.9</f>
        <v>8958.6999999999971</v>
      </c>
      <c r="BD430" s="135"/>
      <c r="BE430" s="151">
        <v>500</v>
      </c>
      <c r="BF430" s="151">
        <f t="shared" si="25"/>
        <v>9458.6999999999971</v>
      </c>
      <c r="BG430" s="151">
        <f t="shared" si="26"/>
        <v>520.22849999999983</v>
      </c>
      <c r="BH430" s="151">
        <f t="shared" si="27"/>
        <v>9978.9284999999963</v>
      </c>
      <c r="BI430" s="151">
        <v>8500</v>
      </c>
      <c r="BJ430" s="135" t="s">
        <v>144</v>
      </c>
      <c r="BK430" s="135"/>
      <c r="BL430" s="135"/>
      <c r="BM430" s="144" t="s">
        <v>3592</v>
      </c>
      <c r="BN430" s="143">
        <v>2022</v>
      </c>
      <c r="BO430" s="144" t="s">
        <v>143</v>
      </c>
      <c r="BP430" s="144">
        <v>2022</v>
      </c>
      <c r="BQ430" s="203" t="s">
        <v>144</v>
      </c>
    </row>
    <row r="431" spans="1:69" ht="41.1" customHeight="1">
      <c r="A431" s="145" t="s">
        <v>1705</v>
      </c>
      <c r="B431" s="145" t="s">
        <v>1895</v>
      </c>
      <c r="C431" s="143">
        <f ca="1">IF(W431="Très modeste",1000,IF(W431="Modeste",1000,IF(W431="Intermédiaire",600,IF(W431="Supérieur",600,"Non calculé"))))</f>
        <v>1000</v>
      </c>
      <c r="D431" s="135">
        <v>44673</v>
      </c>
      <c r="E431" s="135">
        <v>44676</v>
      </c>
      <c r="F431" s="182">
        <v>44680</v>
      </c>
      <c r="G431" s="143" t="s">
        <v>3288</v>
      </c>
      <c r="H431" s="182"/>
      <c r="I431" s="182"/>
      <c r="J431" s="182"/>
      <c r="K431" s="144"/>
      <c r="L431" s="182"/>
      <c r="M431" s="144"/>
      <c r="N431" s="182"/>
      <c r="O431" s="182"/>
      <c r="P431" s="144"/>
      <c r="Q431" s="135">
        <v>45253</v>
      </c>
      <c r="R431" s="144" t="s">
        <v>3298</v>
      </c>
      <c r="S431" s="144"/>
      <c r="T431" s="143"/>
      <c r="U431" s="143">
        <v>3</v>
      </c>
      <c r="V431" s="143">
        <v>19338</v>
      </c>
      <c r="W431" s="143" t="str">
        <f ca="1">IF(H431="",IF(D431="","",IF(U431+V431&lt;15,"Données Nb pers ou RFR manquantes",IF(COUNTA(INDIRECT("TabRFR["&amp;YEAR(D431)&amp;"]"))&lt;&gt;COUNTA(TabRFR[Recherche RFR]),"Data RFR manquantes", IF(V431&lt;=INDEX(TabRFR[[2021]:[2025]],MATCH(BD!U431&amp;"-Très modestes",TabRFR[Recherche RFR],0),MATCH(TEXT(YEAR(BD!D431),"Standard"),TabRFR[[#Headers],[2021]:[2025]],0)),"Très Modeste",IF(V431&lt;=INDEX(TabRFR[[2021]:[2025]],MATCH(BD!U431&amp;"-modestes",TabRFR[Recherche RFR],0),MATCH(TEXT(YEAR(BD!D431),"Standard"),TabRFR[[#Headers],[2021]:[2025]],0)),"Modeste",IF(V431&lt;=INDEX(TabRFR[[2021]:[2025]],MATCH(BD!U431&amp;"-Intermédiaire",TabRFR[Recherche RFR],0),MATCH(TEXT(YEAR(BD!D431),"Standard"),TabRFR[[#Headers],[2021]:[2025]],0)),"Intermédiaire","Supérieur")))))),IF(D431="","",IF(U431+V431&lt;15,"Données Nb pers ou RFR manquantes",IF(COUNTA(INDIRECT("TabRFR["&amp;YEAR(H431)&amp;"]"))&lt;&gt;COUNTA(TabRFR[Recherche RFR]),"Data RFR manquantes", IF(V431&lt;=INDEX(TabRFR[[2021]:[2025]],MATCH(BD!U431&amp;"-Très modestes",TabRFR[Recherche RFR],0),MATCH(TEXT(YEAR(BD!H431),"Standard"),TabRFR[[#Headers],[2021]:[2025]],0)),"Très Modeste",IF(V431&lt;=INDEX(TabRFR[[2021]:[2025]],MATCH(BD!U431&amp;"-modestes",TabRFR[Recherche RFR],0),MATCH(TEXT(YEAR(BD!H431),"Standard"),TabRFR[[#Headers],[2021]:[2025]],0)),"Modeste",IF(V431&lt;=INDEX(TabRFR[[2021]:[2025]],MATCH(BD!U431&amp;"-Intermédiaire",TabRFR[Recherche RFR],0),MATCH(TEXT(YEAR(BD!H431),"Standard"),TabRFR[[#Headers],[2021]:[2025]],0)),"Intermédiaire","Supérieur")))))))</f>
        <v>Très Modeste</v>
      </c>
      <c r="X431" s="143"/>
      <c r="Y431" s="143" t="s">
        <v>1896</v>
      </c>
      <c r="Z431" s="143">
        <v>38850</v>
      </c>
      <c r="AA431" s="143" t="s">
        <v>435</v>
      </c>
      <c r="AB431" s="148"/>
      <c r="AC431" s="149"/>
      <c r="AD431" s="143" t="s">
        <v>91</v>
      </c>
      <c r="AE431" s="144"/>
      <c r="AF431" s="144"/>
      <c r="AG431" s="144"/>
      <c r="AH431" s="144"/>
      <c r="AI431" s="144" t="s">
        <v>905</v>
      </c>
      <c r="AJ431" s="143" t="s">
        <v>136</v>
      </c>
      <c r="AK431" s="144" t="s">
        <v>1897</v>
      </c>
      <c r="AL431" s="169" t="s">
        <v>1898</v>
      </c>
      <c r="AM431" s="148">
        <v>437030090</v>
      </c>
      <c r="AN431" s="143" t="s">
        <v>76</v>
      </c>
      <c r="AO431" s="150" t="s">
        <v>102</v>
      </c>
      <c r="AP431" s="147">
        <v>45033</v>
      </c>
      <c r="AQ431" s="135" t="s">
        <v>3449</v>
      </c>
      <c r="AR431" s="143">
        <v>1980</v>
      </c>
      <c r="AS431" s="143" t="s">
        <v>3413</v>
      </c>
      <c r="AT431" s="135" t="s">
        <v>3446</v>
      </c>
      <c r="AU431" s="135" t="s">
        <v>587</v>
      </c>
      <c r="AV431" s="148" t="s">
        <v>1899</v>
      </c>
      <c r="AW431" s="143">
        <v>10</v>
      </c>
      <c r="AX431" s="143" t="s">
        <v>1900</v>
      </c>
      <c r="AY431" s="143">
        <v>82</v>
      </c>
      <c r="AZ431" s="151" t="s">
        <v>1901</v>
      </c>
      <c r="BA431" s="144" t="s">
        <v>101</v>
      </c>
      <c r="BB431" s="144"/>
      <c r="BC431" s="151">
        <f>2509+374+848+59+158</f>
        <v>3948</v>
      </c>
      <c r="BD431" s="151"/>
      <c r="BE431" s="151">
        <v>497.76</v>
      </c>
      <c r="BF431" s="151">
        <f t="shared" si="25"/>
        <v>4445.76</v>
      </c>
      <c r="BG431" s="151">
        <f t="shared" si="26"/>
        <v>244.51680000000002</v>
      </c>
      <c r="BH431" s="151">
        <f t="shared" si="27"/>
        <v>4690.2767999999996</v>
      </c>
      <c r="BI431" s="151"/>
      <c r="BJ431" s="144" t="s">
        <v>144</v>
      </c>
      <c r="BK431" s="144"/>
      <c r="BL431" s="144"/>
      <c r="BM431" s="144">
        <v>0</v>
      </c>
      <c r="BN431" s="153" t="s">
        <v>1496</v>
      </c>
      <c r="BO431" s="135" t="s">
        <v>155</v>
      </c>
      <c r="BP431" s="203" t="s">
        <v>3582</v>
      </c>
      <c r="BQ431" s="203" t="s">
        <v>3273</v>
      </c>
    </row>
    <row r="432" spans="1:69" ht="41.1" customHeight="1">
      <c r="A432" s="218" t="s">
        <v>1705</v>
      </c>
      <c r="B432" s="218" t="s">
        <v>1902</v>
      </c>
      <c r="C432" s="143">
        <v>600</v>
      </c>
      <c r="D432" s="135">
        <v>44676</v>
      </c>
      <c r="E432" s="135">
        <v>44677</v>
      </c>
      <c r="F432" s="182" t="s">
        <v>76</v>
      </c>
      <c r="G432" s="147" t="s">
        <v>1903</v>
      </c>
      <c r="H432" s="182">
        <v>44714</v>
      </c>
      <c r="I432" s="182">
        <v>44714</v>
      </c>
      <c r="J432" s="182">
        <v>44719</v>
      </c>
      <c r="K432" s="135">
        <v>44813</v>
      </c>
      <c r="L432" s="182">
        <v>44805</v>
      </c>
      <c r="M432" s="144" t="s">
        <v>76</v>
      </c>
      <c r="N432" s="182">
        <v>44833</v>
      </c>
      <c r="O432" s="182">
        <v>44833</v>
      </c>
      <c r="P432" s="135">
        <v>44833</v>
      </c>
      <c r="Q432" s="135"/>
      <c r="R432" s="180"/>
      <c r="S432" s="180"/>
      <c r="T432" s="180"/>
      <c r="U432" s="143">
        <v>4</v>
      </c>
      <c r="V432" s="143">
        <v>56975</v>
      </c>
      <c r="W432" s="143" t="str">
        <f ca="1">IF(H432="",IF(D432="","",IF(U432+V432&lt;15,"Données Nb pers ou RFR manquantes",IF(COUNTA(INDIRECT("TabRFR["&amp;YEAR(D432)&amp;"]"))&lt;&gt;COUNTA(TabRFR[Recherche RFR]),"Data RFR manquantes", IF(V432&lt;=INDEX(TabRFR[[2021]:[2025]],MATCH(BD!U432&amp;"-Très modestes",TabRFR[Recherche RFR],0),MATCH(TEXT(YEAR(BD!D432),"Standard"),TabRFR[[#Headers],[2021]:[2025]],0)),"Très Modeste",IF(V432&lt;=INDEX(TabRFR[[2021]:[2025]],MATCH(BD!U432&amp;"-modestes",TabRFR[Recherche RFR],0),MATCH(TEXT(YEAR(BD!D432),"Standard"),TabRFR[[#Headers],[2021]:[2025]],0)),"Modeste",IF(V432&lt;=INDEX(TabRFR[[2021]:[2025]],MATCH(BD!U432&amp;"-Intermédiaire",TabRFR[Recherche RFR],0),MATCH(TEXT(YEAR(BD!D432),"Standard"),TabRFR[[#Headers],[2021]:[2025]],0)),"Intermédiaire","Supérieur")))))),IF(D432="","",IF(U432+V432&lt;15,"Données Nb pers ou RFR manquantes",IF(COUNTA(INDIRECT("TabRFR["&amp;YEAR(H432)&amp;"]"))&lt;&gt;COUNTA(TabRFR[Recherche RFR]),"Data RFR manquantes", IF(V432&lt;=INDEX(TabRFR[[2021]:[2025]],MATCH(BD!U432&amp;"-Très modestes",TabRFR[Recherche RFR],0),MATCH(TEXT(YEAR(BD!H432),"Standard"),TabRFR[[#Headers],[2021]:[2025]],0)),"Très Modeste",IF(V432&lt;=INDEX(TabRFR[[2021]:[2025]],MATCH(BD!U432&amp;"-modestes",TabRFR[Recherche RFR],0),MATCH(TEXT(YEAR(BD!H432),"Standard"),TabRFR[[#Headers],[2021]:[2025]],0)),"Modeste",IF(V432&lt;=INDEX(TabRFR[[2021]:[2025]],MATCH(BD!U432&amp;"-Intermédiaire",TabRFR[Recherche RFR],0),MATCH(TEXT(YEAR(BD!H432),"Standard"),TabRFR[[#Headers],[2021]:[2025]],0)),"Intermédiaire","Supérieur")))))))</f>
        <v>Intermédiaire</v>
      </c>
      <c r="X432" s="143"/>
      <c r="Y432" s="143" t="s">
        <v>1904</v>
      </c>
      <c r="Z432" s="143">
        <v>38210</v>
      </c>
      <c r="AA432" s="143" t="s">
        <v>202</v>
      </c>
      <c r="AB432" s="148"/>
      <c r="AC432" s="149"/>
      <c r="AD432" s="143" t="s">
        <v>91</v>
      </c>
      <c r="AE432" s="144"/>
      <c r="AF432" s="144"/>
      <c r="AG432" s="144"/>
      <c r="AH432" s="144"/>
      <c r="AI432" s="143" t="s">
        <v>201</v>
      </c>
      <c r="AJ432" s="144" t="s">
        <v>202</v>
      </c>
      <c r="AK432" s="144" t="s">
        <v>1905</v>
      </c>
      <c r="AL432" s="169" t="s">
        <v>1906</v>
      </c>
      <c r="AM432" s="148">
        <v>476065876</v>
      </c>
      <c r="AN432" s="143" t="s">
        <v>76</v>
      </c>
      <c r="AO432" s="150" t="s">
        <v>102</v>
      </c>
      <c r="AP432" s="135">
        <v>44770</v>
      </c>
      <c r="AQ432" s="135" t="s">
        <v>3496</v>
      </c>
      <c r="AR432" s="143">
        <v>1980</v>
      </c>
      <c r="AS432" s="143" t="s">
        <v>3413</v>
      </c>
      <c r="AT432" s="143" t="s">
        <v>98</v>
      </c>
      <c r="AU432" s="135" t="s">
        <v>1547</v>
      </c>
      <c r="AV432" s="135" t="s">
        <v>1907</v>
      </c>
      <c r="AW432" s="143">
        <v>14</v>
      </c>
      <c r="AX432" s="143">
        <v>11</v>
      </c>
      <c r="AY432" s="143">
        <v>89</v>
      </c>
      <c r="AZ432" s="135" t="s">
        <v>1908</v>
      </c>
      <c r="BA432" s="135" t="s">
        <v>101</v>
      </c>
      <c r="BB432" s="135"/>
      <c r="BC432" s="151">
        <f>2958.8+974.36+1122</f>
        <v>5055.16</v>
      </c>
      <c r="BD432" s="151"/>
      <c r="BE432" s="151">
        <f>234.6+196.86</f>
        <v>431.46000000000004</v>
      </c>
      <c r="BF432" s="151">
        <f t="shared" si="25"/>
        <v>5486.62</v>
      </c>
      <c r="BG432" s="151">
        <f t="shared" si="26"/>
        <v>301.76409999999998</v>
      </c>
      <c r="BH432" s="151">
        <f t="shared" si="27"/>
        <v>5788.3840999999993</v>
      </c>
      <c r="BI432" s="143">
        <v>5616.03</v>
      </c>
      <c r="BJ432" s="135" t="s">
        <v>102</v>
      </c>
      <c r="BK432" s="151"/>
      <c r="BL432" s="151"/>
      <c r="BM432" s="144" t="s">
        <v>3592</v>
      </c>
      <c r="BN432" s="143">
        <v>2022</v>
      </c>
      <c r="BO432" s="144" t="s">
        <v>143</v>
      </c>
      <c r="BP432" s="143" t="s">
        <v>3583</v>
      </c>
      <c r="BQ432" s="203" t="s">
        <v>144</v>
      </c>
    </row>
    <row r="433" spans="1:69" ht="41.1" customHeight="1">
      <c r="A433" s="218" t="s">
        <v>1705</v>
      </c>
      <c r="B433" s="218" t="s">
        <v>1909</v>
      </c>
      <c r="C433" s="143">
        <v>1000</v>
      </c>
      <c r="D433" s="135">
        <v>44676</v>
      </c>
      <c r="E433" s="135">
        <v>44677</v>
      </c>
      <c r="F433" s="182" t="s">
        <v>76</v>
      </c>
      <c r="G433" s="147" t="s">
        <v>1910</v>
      </c>
      <c r="H433" s="182">
        <v>44714</v>
      </c>
      <c r="I433" s="182">
        <v>44714</v>
      </c>
      <c r="J433" s="182">
        <v>44719</v>
      </c>
      <c r="K433" s="182">
        <v>45135</v>
      </c>
      <c r="L433" s="182">
        <v>44907</v>
      </c>
      <c r="M433" s="143" t="s">
        <v>1911</v>
      </c>
      <c r="N433" s="182">
        <v>45159</v>
      </c>
      <c r="O433" s="182">
        <v>45159</v>
      </c>
      <c r="P433" s="182">
        <v>45160</v>
      </c>
      <c r="Q433" s="135"/>
      <c r="R433" s="144"/>
      <c r="S433" s="144"/>
      <c r="T433" s="143"/>
      <c r="U433" s="143">
        <v>1</v>
      </c>
      <c r="V433" s="143">
        <v>18637</v>
      </c>
      <c r="W433" s="143" t="str">
        <f ca="1">IF(H433="",IF(D433="","",IF(U433+V433&lt;15,"Données Nb pers ou RFR manquantes",IF(COUNTA(INDIRECT("TabRFR["&amp;YEAR(D433)&amp;"]"))&lt;&gt;COUNTA(TabRFR[Recherche RFR]),"Data RFR manquantes", IF(V433&lt;=INDEX(TabRFR[[2021]:[2025]],MATCH(BD!U433&amp;"-Très modestes",TabRFR[Recherche RFR],0),MATCH(TEXT(YEAR(BD!D433),"Standard"),TabRFR[[#Headers],[2021]:[2025]],0)),"Très Modeste",IF(V433&lt;=INDEX(TabRFR[[2021]:[2025]],MATCH(BD!U433&amp;"-modestes",TabRFR[Recherche RFR],0),MATCH(TEXT(YEAR(BD!D433),"Standard"),TabRFR[[#Headers],[2021]:[2025]],0)),"Modeste",IF(V433&lt;=INDEX(TabRFR[[2021]:[2025]],MATCH(BD!U433&amp;"-Intermédiaire",TabRFR[Recherche RFR],0),MATCH(TEXT(YEAR(BD!D433),"Standard"),TabRFR[[#Headers],[2021]:[2025]],0)),"Intermédiaire","Supérieur")))))),IF(D433="","",IF(U433+V433&lt;15,"Données Nb pers ou RFR manquantes",IF(COUNTA(INDIRECT("TabRFR["&amp;YEAR(H433)&amp;"]"))&lt;&gt;COUNTA(TabRFR[Recherche RFR]),"Data RFR manquantes", IF(V433&lt;=INDEX(TabRFR[[2021]:[2025]],MATCH(BD!U433&amp;"-Très modestes",TabRFR[Recherche RFR],0),MATCH(TEXT(YEAR(BD!H433),"Standard"),TabRFR[[#Headers],[2021]:[2025]],0)),"Très Modeste",IF(V433&lt;=INDEX(TabRFR[[2021]:[2025]],MATCH(BD!U433&amp;"-modestes",TabRFR[Recherche RFR],0),MATCH(TEXT(YEAR(BD!H433),"Standard"),TabRFR[[#Headers],[2021]:[2025]],0)),"Modeste",IF(V433&lt;=INDEX(TabRFR[[2021]:[2025]],MATCH(BD!U433&amp;"-Intermédiaire",TabRFR[Recherche RFR],0),MATCH(TEXT(YEAR(BD!H433),"Standard"),TabRFR[[#Headers],[2021]:[2025]],0)),"Intermédiaire","Supérieur")))))))</f>
        <v>Modeste</v>
      </c>
      <c r="X433" s="143"/>
      <c r="Y433" s="143" t="s">
        <v>1912</v>
      </c>
      <c r="Z433" s="143">
        <v>38140</v>
      </c>
      <c r="AA433" s="143" t="s">
        <v>159</v>
      </c>
      <c r="AB433" s="148"/>
      <c r="AC433" s="149"/>
      <c r="AD433" s="143" t="s">
        <v>91</v>
      </c>
      <c r="AE433" s="143" t="s">
        <v>76</v>
      </c>
      <c r="AF433" s="143" t="s">
        <v>76</v>
      </c>
      <c r="AG433" s="143" t="s">
        <v>76</v>
      </c>
      <c r="AH433" s="143" t="s">
        <v>76</v>
      </c>
      <c r="AI433" s="144" t="s">
        <v>423</v>
      </c>
      <c r="AJ433" s="144" t="s">
        <v>424</v>
      </c>
      <c r="AK433" s="144" t="s">
        <v>1913</v>
      </c>
      <c r="AL433" s="169" t="s">
        <v>1914</v>
      </c>
      <c r="AM433" s="148">
        <v>476018471</v>
      </c>
      <c r="AN433" s="143" t="s">
        <v>76</v>
      </c>
      <c r="AO433" s="150" t="s">
        <v>102</v>
      </c>
      <c r="AP433" s="135">
        <v>44777</v>
      </c>
      <c r="AQ433" s="143" t="s">
        <v>3413</v>
      </c>
      <c r="AR433" s="143">
        <v>1990</v>
      </c>
      <c r="AS433" s="143" t="s">
        <v>3413</v>
      </c>
      <c r="AT433" s="143" t="s">
        <v>98</v>
      </c>
      <c r="AU433" s="143" t="s">
        <v>1280</v>
      </c>
      <c r="AV433" s="135" t="s">
        <v>1915</v>
      </c>
      <c r="AW433" s="143">
        <v>18</v>
      </c>
      <c r="AX433" s="143">
        <v>5</v>
      </c>
      <c r="AY433" s="143" t="s">
        <v>1916</v>
      </c>
      <c r="AZ433" s="135" t="s">
        <v>1917</v>
      </c>
      <c r="BA433" s="135" t="s">
        <v>101</v>
      </c>
      <c r="BB433" s="135"/>
      <c r="BC433" s="151">
        <f>1322.06+952</f>
        <v>2274.06</v>
      </c>
      <c r="BD433" s="151"/>
      <c r="BE433" s="151">
        <f>750+125+142.18+142.18</f>
        <v>1159.3600000000001</v>
      </c>
      <c r="BF433" s="151">
        <f t="shared" si="25"/>
        <v>3433.42</v>
      </c>
      <c r="BG433" s="151">
        <f t="shared" si="26"/>
        <v>188.8381</v>
      </c>
      <c r="BH433" s="151">
        <f t="shared" si="27"/>
        <v>3622.2581</v>
      </c>
      <c r="BI433" s="151">
        <v>3622.26</v>
      </c>
      <c r="BJ433" s="135" t="s">
        <v>1391</v>
      </c>
      <c r="BK433" s="144"/>
      <c r="BL433" s="144"/>
      <c r="BM433" s="144" t="s">
        <v>3592</v>
      </c>
      <c r="BN433" s="143">
        <v>2022</v>
      </c>
      <c r="BO433" s="135" t="s">
        <v>155</v>
      </c>
      <c r="BP433" s="143" t="s">
        <v>3583</v>
      </c>
      <c r="BQ433" s="203" t="s">
        <v>3274</v>
      </c>
    </row>
    <row r="434" spans="1:69" ht="41.1" customHeight="1">
      <c r="A434" s="218" t="s">
        <v>1705</v>
      </c>
      <c r="B434" s="218" t="s">
        <v>1918</v>
      </c>
      <c r="C434" s="143">
        <v>600</v>
      </c>
      <c r="D434" s="135">
        <v>44676</v>
      </c>
      <c r="E434" s="135">
        <v>44680</v>
      </c>
      <c r="F434" s="182" t="s">
        <v>76</v>
      </c>
      <c r="G434" s="144" t="s">
        <v>76</v>
      </c>
      <c r="H434" s="182">
        <v>44686</v>
      </c>
      <c r="I434" s="182">
        <v>44686</v>
      </c>
      <c r="J434" s="182">
        <v>44699</v>
      </c>
      <c r="K434" s="182">
        <v>44763</v>
      </c>
      <c r="L434" s="182">
        <v>44753</v>
      </c>
      <c r="M434" s="144" t="s">
        <v>76</v>
      </c>
      <c r="N434" s="182">
        <v>44795</v>
      </c>
      <c r="O434" s="182">
        <v>44795</v>
      </c>
      <c r="P434" s="135">
        <v>44796</v>
      </c>
      <c r="Q434" s="135"/>
      <c r="R434" s="144"/>
      <c r="S434" s="144"/>
      <c r="T434" s="144"/>
      <c r="U434" s="144">
        <v>2</v>
      </c>
      <c r="V434" s="143">
        <v>62678</v>
      </c>
      <c r="W434" s="143" t="str">
        <f ca="1">IF(H434="",IF(D434="","",IF(U434+V434&lt;15,"Données Nb pers ou RFR manquantes",IF(COUNTA(INDIRECT("TabRFR["&amp;YEAR(D434)&amp;"]"))&lt;&gt;COUNTA(TabRFR[Recherche RFR]),"Data RFR manquantes", IF(V434&lt;=INDEX(TabRFR[[2021]:[2025]],MATCH(BD!U434&amp;"-Très modestes",TabRFR[Recherche RFR],0),MATCH(TEXT(YEAR(BD!D434),"Standard"),TabRFR[[#Headers],[2021]:[2025]],0)),"Très Modeste",IF(V434&lt;=INDEX(TabRFR[[2021]:[2025]],MATCH(BD!U434&amp;"-modestes",TabRFR[Recherche RFR],0),MATCH(TEXT(YEAR(BD!D434),"Standard"),TabRFR[[#Headers],[2021]:[2025]],0)),"Modeste",IF(V434&lt;=INDEX(TabRFR[[2021]:[2025]],MATCH(BD!U434&amp;"-Intermédiaire",TabRFR[Recherche RFR],0),MATCH(TEXT(YEAR(BD!D434),"Standard"),TabRFR[[#Headers],[2021]:[2025]],0)),"Intermédiaire","Supérieur")))))),IF(D434="","",IF(U434+V434&lt;15,"Données Nb pers ou RFR manquantes",IF(COUNTA(INDIRECT("TabRFR["&amp;YEAR(H434)&amp;"]"))&lt;&gt;COUNTA(TabRFR[Recherche RFR]),"Data RFR manquantes", IF(V434&lt;=INDEX(TabRFR[[2021]:[2025]],MATCH(BD!U434&amp;"-Très modestes",TabRFR[Recherche RFR],0),MATCH(TEXT(YEAR(BD!H434),"Standard"),TabRFR[[#Headers],[2021]:[2025]],0)),"Très Modeste",IF(V434&lt;=INDEX(TabRFR[[2021]:[2025]],MATCH(BD!U434&amp;"-modestes",TabRFR[Recherche RFR],0),MATCH(TEXT(YEAR(BD!H434),"Standard"),TabRFR[[#Headers],[2021]:[2025]],0)),"Modeste",IF(V434&lt;=INDEX(TabRFR[[2021]:[2025]],MATCH(BD!U434&amp;"-Intermédiaire",TabRFR[Recherche RFR],0),MATCH(TEXT(YEAR(BD!H434),"Standard"),TabRFR[[#Headers],[2021]:[2025]],0)),"Intermédiaire","Supérieur")))))))</f>
        <v>Supérieur</v>
      </c>
      <c r="X434" s="144"/>
      <c r="Y434" s="144" t="s">
        <v>1919</v>
      </c>
      <c r="Z434" s="144">
        <v>38500</v>
      </c>
      <c r="AA434" s="144" t="s">
        <v>108</v>
      </c>
      <c r="AB434" s="148"/>
      <c r="AC434" s="149"/>
      <c r="AD434" s="144" t="s">
        <v>91</v>
      </c>
      <c r="AE434" s="144"/>
      <c r="AF434" s="144"/>
      <c r="AG434" s="144"/>
      <c r="AH434" s="144"/>
      <c r="AI434" s="143" t="s">
        <v>1436</v>
      </c>
      <c r="AJ434" s="143" t="s">
        <v>1437</v>
      </c>
      <c r="AK434" s="144" t="s">
        <v>1920</v>
      </c>
      <c r="AL434" s="170" t="s">
        <v>1438</v>
      </c>
      <c r="AM434" s="148">
        <v>412042525</v>
      </c>
      <c r="AN434" s="143" t="s">
        <v>76</v>
      </c>
      <c r="AO434" s="150" t="s">
        <v>102</v>
      </c>
      <c r="AP434" s="135">
        <v>44691</v>
      </c>
      <c r="AQ434" s="135" t="s">
        <v>3496</v>
      </c>
      <c r="AR434" s="143" t="s">
        <v>1921</v>
      </c>
      <c r="AS434" s="143" t="s">
        <v>3413</v>
      </c>
      <c r="AT434" s="143" t="s">
        <v>98</v>
      </c>
      <c r="AU434" s="143" t="s">
        <v>1922</v>
      </c>
      <c r="AV434" s="135" t="s">
        <v>1076</v>
      </c>
      <c r="AW434" s="143">
        <v>15</v>
      </c>
      <c r="AX434" s="143">
        <v>10.199999999999999</v>
      </c>
      <c r="AY434" s="143">
        <v>91.5</v>
      </c>
      <c r="AZ434" s="135" t="s">
        <v>1923</v>
      </c>
      <c r="BA434" s="135" t="s">
        <v>101</v>
      </c>
      <c r="BB434" s="135"/>
      <c r="BC434" s="151">
        <f>3860+340+185+316+379.15</f>
        <v>5080.1499999999996</v>
      </c>
      <c r="BD434" s="151"/>
      <c r="BE434" s="151">
        <f>695+46</f>
        <v>741</v>
      </c>
      <c r="BF434" s="151">
        <f t="shared" si="25"/>
        <v>5821.15</v>
      </c>
      <c r="BG434" s="151">
        <f t="shared" si="26"/>
        <v>320.16325000000001</v>
      </c>
      <c r="BH434" s="151">
        <f t="shared" si="27"/>
        <v>6141.3132499999992</v>
      </c>
      <c r="BI434" s="151">
        <v>6141.31</v>
      </c>
      <c r="BJ434" s="135" t="s">
        <v>144</v>
      </c>
      <c r="BK434" s="144"/>
      <c r="BL434" s="144"/>
      <c r="BM434" s="144" t="s">
        <v>3592</v>
      </c>
      <c r="BN434" s="143">
        <v>2022</v>
      </c>
      <c r="BO434" s="144" t="s">
        <v>143</v>
      </c>
      <c r="BP434" s="143" t="s">
        <v>3583</v>
      </c>
      <c r="BQ434" s="203" t="s">
        <v>144</v>
      </c>
    </row>
    <row r="435" spans="1:69" ht="41.1" customHeight="1">
      <c r="A435" s="218" t="s">
        <v>1529</v>
      </c>
      <c r="B435" s="218" t="s">
        <v>1924</v>
      </c>
      <c r="C435" s="143">
        <v>1000</v>
      </c>
      <c r="D435" s="135">
        <v>44679</v>
      </c>
      <c r="E435" s="135">
        <v>44680</v>
      </c>
      <c r="F435" s="182"/>
      <c r="G435" s="144"/>
      <c r="H435" s="182">
        <v>44687</v>
      </c>
      <c r="I435" s="182">
        <v>44687</v>
      </c>
      <c r="J435" s="182">
        <v>44699</v>
      </c>
      <c r="K435" s="182">
        <v>44848</v>
      </c>
      <c r="L435" s="182">
        <v>44838</v>
      </c>
      <c r="M435" s="180" t="s">
        <v>76</v>
      </c>
      <c r="N435" s="166">
        <v>44873</v>
      </c>
      <c r="O435" s="166">
        <v>44873</v>
      </c>
      <c r="P435" s="135">
        <v>44879</v>
      </c>
      <c r="Q435" s="135"/>
      <c r="R435" s="144"/>
      <c r="S435" s="144"/>
      <c r="T435" s="144"/>
      <c r="U435" s="144">
        <v>2</v>
      </c>
      <c r="V435" s="143">
        <v>12465</v>
      </c>
      <c r="W435" s="143" t="str">
        <f ca="1">IF(H435="",IF(D435="","",IF(U435+V435&lt;15,"Données Nb pers ou RFR manquantes",IF(COUNTA(INDIRECT("TabRFR["&amp;YEAR(D435)&amp;"]"))&lt;&gt;COUNTA(TabRFR[Recherche RFR]),"Data RFR manquantes", IF(V435&lt;=INDEX(TabRFR[[2021]:[2025]],MATCH(BD!U435&amp;"-Très modestes",TabRFR[Recherche RFR],0),MATCH(TEXT(YEAR(BD!D435),"Standard"),TabRFR[[#Headers],[2021]:[2025]],0)),"Très Modeste",IF(V435&lt;=INDEX(TabRFR[[2021]:[2025]],MATCH(BD!U435&amp;"-modestes",TabRFR[Recherche RFR],0),MATCH(TEXT(YEAR(BD!D435),"Standard"),TabRFR[[#Headers],[2021]:[2025]],0)),"Modeste",IF(V435&lt;=INDEX(TabRFR[[2021]:[2025]],MATCH(BD!U435&amp;"-Intermédiaire",TabRFR[Recherche RFR],0),MATCH(TEXT(YEAR(BD!D435),"Standard"),TabRFR[[#Headers],[2021]:[2025]],0)),"Intermédiaire","Supérieur")))))),IF(D435="","",IF(U435+V435&lt;15,"Données Nb pers ou RFR manquantes",IF(COUNTA(INDIRECT("TabRFR["&amp;YEAR(H435)&amp;"]"))&lt;&gt;COUNTA(TabRFR[Recherche RFR]),"Data RFR manquantes", IF(V435&lt;=INDEX(TabRFR[[2021]:[2025]],MATCH(BD!U435&amp;"-Très modestes",TabRFR[Recherche RFR],0),MATCH(TEXT(YEAR(BD!H435),"Standard"),TabRFR[[#Headers],[2021]:[2025]],0)),"Très Modeste",IF(V435&lt;=INDEX(TabRFR[[2021]:[2025]],MATCH(BD!U435&amp;"-modestes",TabRFR[Recherche RFR],0),MATCH(TEXT(YEAR(BD!H435),"Standard"),TabRFR[[#Headers],[2021]:[2025]],0)),"Modeste",IF(V435&lt;=INDEX(TabRFR[[2021]:[2025]],MATCH(BD!U435&amp;"-Intermédiaire",TabRFR[Recherche RFR],0),MATCH(TEXT(YEAR(BD!H435),"Standard"),TabRFR[[#Headers],[2021]:[2025]],0)),"Intermédiaire","Supérieur")))))))</f>
        <v>Très Modeste</v>
      </c>
      <c r="X435" s="144"/>
      <c r="Y435" s="183" t="s">
        <v>1925</v>
      </c>
      <c r="Z435" s="144">
        <v>38960</v>
      </c>
      <c r="AA435" s="143" t="s">
        <v>360</v>
      </c>
      <c r="AB435" s="148"/>
      <c r="AC435" s="149"/>
      <c r="AD435" s="144" t="s">
        <v>91</v>
      </c>
      <c r="AE435" s="144"/>
      <c r="AF435" s="144"/>
      <c r="AG435" s="144"/>
      <c r="AH435" s="144"/>
      <c r="AI435" s="135" t="s">
        <v>285</v>
      </c>
      <c r="AJ435" s="143" t="s">
        <v>108</v>
      </c>
      <c r="AK435" s="143" t="s">
        <v>286</v>
      </c>
      <c r="AL435" s="150" t="s">
        <v>287</v>
      </c>
      <c r="AM435" s="148">
        <v>476069938</v>
      </c>
      <c r="AN435" s="143" t="s">
        <v>76</v>
      </c>
      <c r="AO435" s="150" t="s">
        <v>102</v>
      </c>
      <c r="AP435" s="147">
        <v>44822</v>
      </c>
      <c r="AQ435" s="135" t="s">
        <v>3323</v>
      </c>
      <c r="AR435" s="143">
        <v>1960</v>
      </c>
      <c r="AS435" s="143" t="s">
        <v>3413</v>
      </c>
      <c r="AT435" s="135" t="s">
        <v>3446</v>
      </c>
      <c r="AU435" s="143" t="s">
        <v>532</v>
      </c>
      <c r="AV435" s="135" t="s">
        <v>1926</v>
      </c>
      <c r="AW435" s="143">
        <v>40</v>
      </c>
      <c r="AX435" s="143">
        <v>6</v>
      </c>
      <c r="AY435" s="143">
        <v>83.6</v>
      </c>
      <c r="AZ435" s="151">
        <v>7.3599999999999999E-2</v>
      </c>
      <c r="BA435" s="135" t="s">
        <v>101</v>
      </c>
      <c r="BB435" s="135"/>
      <c r="BC435" s="151">
        <v>6564</v>
      </c>
      <c r="BD435" s="151"/>
      <c r="BE435" s="151">
        <v>890</v>
      </c>
      <c r="BF435" s="151">
        <v>7454</v>
      </c>
      <c r="BG435" s="151">
        <v>409.98</v>
      </c>
      <c r="BH435" s="151">
        <v>7863.98</v>
      </c>
      <c r="BI435" s="151">
        <v>7863.98</v>
      </c>
      <c r="BJ435" s="135" t="s">
        <v>102</v>
      </c>
      <c r="BK435" s="144"/>
      <c r="BL435" s="144"/>
      <c r="BM435" s="144" t="s">
        <v>3592</v>
      </c>
      <c r="BN435" s="143">
        <v>2022</v>
      </c>
      <c r="BO435" s="135" t="s">
        <v>155</v>
      </c>
      <c r="BP435" s="144">
        <v>2022</v>
      </c>
      <c r="BQ435" s="203" t="s">
        <v>144</v>
      </c>
    </row>
    <row r="436" spans="1:69" ht="41.1" customHeight="1">
      <c r="A436" s="218" t="s">
        <v>1529</v>
      </c>
      <c r="B436" s="218" t="s">
        <v>1927</v>
      </c>
      <c r="C436" s="143">
        <v>1000</v>
      </c>
      <c r="D436" s="135">
        <v>44684</v>
      </c>
      <c r="E436" s="135">
        <v>44685</v>
      </c>
      <c r="F436" s="182">
        <v>44687</v>
      </c>
      <c r="G436" s="143" t="s">
        <v>1928</v>
      </c>
      <c r="H436" s="182">
        <v>44770</v>
      </c>
      <c r="I436" s="182">
        <v>44770</v>
      </c>
      <c r="J436" s="182">
        <v>44771</v>
      </c>
      <c r="K436" s="182">
        <v>44805</v>
      </c>
      <c r="L436" s="182">
        <v>44799</v>
      </c>
      <c r="M436" s="144" t="s">
        <v>76</v>
      </c>
      <c r="N436" s="182">
        <v>44816</v>
      </c>
      <c r="O436" s="182">
        <v>44816</v>
      </c>
      <c r="P436" s="135">
        <v>44824</v>
      </c>
      <c r="Q436" s="135"/>
      <c r="R436" s="144"/>
      <c r="S436" s="144"/>
      <c r="T436" s="144"/>
      <c r="U436" s="144">
        <v>1</v>
      </c>
      <c r="V436" s="143">
        <v>13872</v>
      </c>
      <c r="W436" s="143" t="str">
        <f ca="1">IF(H436="",IF(D436="","",IF(U436+V436&lt;15,"Données Nb pers ou RFR manquantes",IF(COUNTA(INDIRECT("TabRFR["&amp;YEAR(D436)&amp;"]"))&lt;&gt;COUNTA(TabRFR[Recherche RFR]),"Data RFR manquantes", IF(V436&lt;=INDEX(TabRFR[[2021]:[2025]],MATCH(BD!U436&amp;"-Très modestes",TabRFR[Recherche RFR],0),MATCH(TEXT(YEAR(BD!D436),"Standard"),TabRFR[[#Headers],[2021]:[2025]],0)),"Très Modeste",IF(V436&lt;=INDEX(TabRFR[[2021]:[2025]],MATCH(BD!U436&amp;"-modestes",TabRFR[Recherche RFR],0),MATCH(TEXT(YEAR(BD!D436),"Standard"),TabRFR[[#Headers],[2021]:[2025]],0)),"Modeste",IF(V436&lt;=INDEX(TabRFR[[2021]:[2025]],MATCH(BD!U436&amp;"-Intermédiaire",TabRFR[Recherche RFR],0),MATCH(TEXT(YEAR(BD!D436),"Standard"),TabRFR[[#Headers],[2021]:[2025]],0)),"Intermédiaire","Supérieur")))))),IF(D436="","",IF(U436+V436&lt;15,"Données Nb pers ou RFR manquantes",IF(COUNTA(INDIRECT("TabRFR["&amp;YEAR(H436)&amp;"]"))&lt;&gt;COUNTA(TabRFR[Recherche RFR]),"Data RFR manquantes", IF(V436&lt;=INDEX(TabRFR[[2021]:[2025]],MATCH(BD!U436&amp;"-Très modestes",TabRFR[Recherche RFR],0),MATCH(TEXT(YEAR(BD!H436),"Standard"),TabRFR[[#Headers],[2021]:[2025]],0)),"Très Modeste",IF(V436&lt;=INDEX(TabRFR[[2021]:[2025]],MATCH(BD!U436&amp;"-modestes",TabRFR[Recherche RFR],0),MATCH(TEXT(YEAR(BD!H436),"Standard"),TabRFR[[#Headers],[2021]:[2025]],0)),"Modeste",IF(V436&lt;=INDEX(TabRFR[[2021]:[2025]],MATCH(BD!U436&amp;"-Intermédiaire",TabRFR[Recherche RFR],0),MATCH(TEXT(YEAR(BD!H436),"Standard"),TabRFR[[#Headers],[2021]:[2025]],0)),"Intermédiaire","Supérieur")))))))</f>
        <v>Très Modeste</v>
      </c>
      <c r="X436" s="144"/>
      <c r="Y436" s="143" t="s">
        <v>1929</v>
      </c>
      <c r="Z436" s="144">
        <v>38210</v>
      </c>
      <c r="AA436" s="144" t="s">
        <v>130</v>
      </c>
      <c r="AB436" s="148"/>
      <c r="AC436" s="149"/>
      <c r="AD436" s="144" t="s">
        <v>91</v>
      </c>
      <c r="AE436" s="144"/>
      <c r="AF436" s="144"/>
      <c r="AG436" s="144"/>
      <c r="AH436" s="144"/>
      <c r="AI436" s="135" t="s">
        <v>285</v>
      </c>
      <c r="AJ436" s="143" t="s">
        <v>108</v>
      </c>
      <c r="AK436" s="143" t="s">
        <v>286</v>
      </c>
      <c r="AL436" s="150" t="s">
        <v>287</v>
      </c>
      <c r="AM436" s="148">
        <v>476069938</v>
      </c>
      <c r="AN436" s="143" t="s">
        <v>76</v>
      </c>
      <c r="AO436" s="150" t="s">
        <v>102</v>
      </c>
      <c r="AP436" s="147">
        <v>44822</v>
      </c>
      <c r="AQ436" s="135" t="s">
        <v>3496</v>
      </c>
      <c r="AR436" s="143">
        <v>1998</v>
      </c>
      <c r="AS436" s="143" t="s">
        <v>3413</v>
      </c>
      <c r="AT436" s="135" t="s">
        <v>3446</v>
      </c>
      <c r="AU436" s="143" t="s">
        <v>532</v>
      </c>
      <c r="AV436" s="135" t="s">
        <v>1930</v>
      </c>
      <c r="AW436" s="143">
        <v>15</v>
      </c>
      <c r="AX436" s="143">
        <v>4</v>
      </c>
      <c r="AY436" s="143">
        <v>80.5</v>
      </c>
      <c r="AZ436" s="181">
        <v>9.536E-2</v>
      </c>
      <c r="BA436" s="135" t="s">
        <v>101</v>
      </c>
      <c r="BB436" s="135"/>
      <c r="BC436" s="151">
        <f>2460+250+89+460</f>
        <v>3259</v>
      </c>
      <c r="BD436" s="151"/>
      <c r="BE436" s="151">
        <f>690+160+450+300</f>
        <v>1600</v>
      </c>
      <c r="BF436" s="151">
        <f>BC436+BE436</f>
        <v>4859</v>
      </c>
      <c r="BG436" s="151">
        <f>BF436*0.055</f>
        <v>267.245</v>
      </c>
      <c r="BH436" s="151">
        <f>BF436+BG436</f>
        <v>5126.2449999999999</v>
      </c>
      <c r="BI436" s="151">
        <v>5126.25</v>
      </c>
      <c r="BJ436" s="135" t="s">
        <v>102</v>
      </c>
      <c r="BK436" s="144"/>
      <c r="BL436" s="144"/>
      <c r="BM436" s="144" t="s">
        <v>3592</v>
      </c>
      <c r="BN436" s="143">
        <v>2022</v>
      </c>
      <c r="BO436" s="135" t="s">
        <v>155</v>
      </c>
      <c r="BP436" s="144">
        <v>2022</v>
      </c>
      <c r="BQ436" s="203" t="s">
        <v>144</v>
      </c>
    </row>
    <row r="437" spans="1:69" ht="41.1" customHeight="1">
      <c r="A437" s="218" t="s">
        <v>1353</v>
      </c>
      <c r="B437" s="218" t="s">
        <v>1931</v>
      </c>
      <c r="C437" s="143">
        <v>600</v>
      </c>
      <c r="D437" s="135">
        <v>44685</v>
      </c>
      <c r="E437" s="135">
        <v>44691</v>
      </c>
      <c r="F437" s="182">
        <v>44714</v>
      </c>
      <c r="G437" s="143"/>
      <c r="H437" s="182">
        <v>44739</v>
      </c>
      <c r="I437" s="182">
        <v>44739</v>
      </c>
      <c r="J437" s="182">
        <v>44750</v>
      </c>
      <c r="K437" s="182">
        <v>45135</v>
      </c>
      <c r="L437" s="182">
        <v>45077</v>
      </c>
      <c r="M437" s="143" t="s">
        <v>1932</v>
      </c>
      <c r="N437" s="182">
        <v>45173</v>
      </c>
      <c r="O437" s="182">
        <v>45173</v>
      </c>
      <c r="P437" s="182">
        <v>45194</v>
      </c>
      <c r="Q437" s="135"/>
      <c r="R437" s="144"/>
      <c r="S437" s="144"/>
      <c r="T437" s="144"/>
      <c r="U437" s="144">
        <v>1</v>
      </c>
      <c r="V437" s="143">
        <v>71078</v>
      </c>
      <c r="W437" s="143" t="str">
        <f ca="1">IF(H437="",IF(D437="","",IF(U437+V437&lt;15,"Données Nb pers ou RFR manquantes",IF(COUNTA(INDIRECT("TabRFR["&amp;YEAR(D437)&amp;"]"))&lt;&gt;COUNTA(TabRFR[Recherche RFR]),"Data RFR manquantes", IF(V437&lt;=INDEX(TabRFR[[2021]:[2025]],MATCH(BD!U437&amp;"-Très modestes",TabRFR[Recherche RFR],0),MATCH(TEXT(YEAR(BD!D437),"Standard"),TabRFR[[#Headers],[2021]:[2025]],0)),"Très Modeste",IF(V437&lt;=INDEX(TabRFR[[2021]:[2025]],MATCH(BD!U437&amp;"-modestes",TabRFR[Recherche RFR],0),MATCH(TEXT(YEAR(BD!D437),"Standard"),TabRFR[[#Headers],[2021]:[2025]],0)),"Modeste",IF(V437&lt;=INDEX(TabRFR[[2021]:[2025]],MATCH(BD!U437&amp;"-Intermédiaire",TabRFR[Recherche RFR],0),MATCH(TEXT(YEAR(BD!D437),"Standard"),TabRFR[[#Headers],[2021]:[2025]],0)),"Intermédiaire","Supérieur")))))),IF(D437="","",IF(U437+V437&lt;15,"Données Nb pers ou RFR manquantes",IF(COUNTA(INDIRECT("TabRFR["&amp;YEAR(H437)&amp;"]"))&lt;&gt;COUNTA(TabRFR[Recherche RFR]),"Data RFR manquantes", IF(V437&lt;=INDEX(TabRFR[[2021]:[2025]],MATCH(BD!U437&amp;"-Très modestes",TabRFR[Recherche RFR],0),MATCH(TEXT(YEAR(BD!H437),"Standard"),TabRFR[[#Headers],[2021]:[2025]],0)),"Très Modeste",IF(V437&lt;=INDEX(TabRFR[[2021]:[2025]],MATCH(BD!U437&amp;"-modestes",TabRFR[Recherche RFR],0),MATCH(TEXT(YEAR(BD!H437),"Standard"),TabRFR[[#Headers],[2021]:[2025]],0)),"Modeste",IF(V437&lt;=INDEX(TabRFR[[2021]:[2025]],MATCH(BD!U437&amp;"-Intermédiaire",TabRFR[Recherche RFR],0),MATCH(TEXT(YEAR(BD!H437),"Standard"),TabRFR[[#Headers],[2021]:[2025]],0)),"Intermédiaire","Supérieur")))))))</f>
        <v>Supérieur</v>
      </c>
      <c r="X437" s="144"/>
      <c r="Y437" s="143" t="s">
        <v>1933</v>
      </c>
      <c r="Z437" s="144">
        <v>38850</v>
      </c>
      <c r="AA437" s="144" t="s">
        <v>193</v>
      </c>
      <c r="AB437" s="148"/>
      <c r="AC437" s="149"/>
      <c r="AD437" s="144" t="s">
        <v>91</v>
      </c>
      <c r="AE437" s="144"/>
      <c r="AF437" s="144"/>
      <c r="AG437" s="144"/>
      <c r="AH437" s="144"/>
      <c r="AI437" s="143" t="s">
        <v>1934</v>
      </c>
      <c r="AJ437" s="144" t="s">
        <v>119</v>
      </c>
      <c r="AK437" s="144"/>
      <c r="AL437" s="144"/>
      <c r="AM437" s="148">
        <v>476913520</v>
      </c>
      <c r="AN437" s="148" t="s">
        <v>886</v>
      </c>
      <c r="AO437" s="148" t="s">
        <v>102</v>
      </c>
      <c r="AP437" s="148"/>
      <c r="AQ437" s="135" t="s">
        <v>3496</v>
      </c>
      <c r="AR437" s="143" t="s">
        <v>213</v>
      </c>
      <c r="AS437" s="143" t="s">
        <v>3413</v>
      </c>
      <c r="AT437" s="135" t="s">
        <v>3446</v>
      </c>
      <c r="AU437" s="143" t="s">
        <v>271</v>
      </c>
      <c r="AV437" s="135" t="s">
        <v>272</v>
      </c>
      <c r="AW437" s="143">
        <v>28</v>
      </c>
      <c r="AX437" s="143">
        <v>7</v>
      </c>
      <c r="AY437" s="143">
        <v>81.3</v>
      </c>
      <c r="AZ437" s="151">
        <v>0.1</v>
      </c>
      <c r="BA437" s="135" t="s">
        <v>101</v>
      </c>
      <c r="BB437" s="135"/>
      <c r="BC437" s="151">
        <f>SUM(24.62+22.42+34.92+26.25+68.33+42.42+102.26+14.09+36.94+33.4+94.79+154.58+15.86+80+200+3243.11+265.34+132)</f>
        <v>4591.33</v>
      </c>
      <c r="BD437" s="151"/>
      <c r="BE437" s="151">
        <f>SUM(187.5+891)</f>
        <v>1078.5</v>
      </c>
      <c r="BF437" s="151">
        <f>SUM(BE437+BC437)</f>
        <v>5669.83</v>
      </c>
      <c r="BG437" s="151">
        <f>SUM(BF437*0.055)</f>
        <v>311.84064999999998</v>
      </c>
      <c r="BH437" s="151">
        <f>SUM(BG437+BF437)</f>
        <v>5981.67065</v>
      </c>
      <c r="BI437" s="151">
        <v>5981.63</v>
      </c>
      <c r="BJ437" s="135" t="s">
        <v>115</v>
      </c>
      <c r="BK437" s="144"/>
      <c r="BL437" s="144"/>
      <c r="BM437" s="144" t="s">
        <v>3592</v>
      </c>
      <c r="BN437" s="143">
        <v>2022</v>
      </c>
      <c r="BO437" s="144" t="s">
        <v>143</v>
      </c>
      <c r="BP437" s="144">
        <v>2022</v>
      </c>
      <c r="BQ437" s="203" t="s">
        <v>3274</v>
      </c>
    </row>
    <row r="438" spans="1:69" ht="41.1" customHeight="1">
      <c r="A438" s="218" t="s">
        <v>1353</v>
      </c>
      <c r="B438" s="218" t="s">
        <v>1935</v>
      </c>
      <c r="C438" s="143">
        <v>600</v>
      </c>
      <c r="D438" s="135">
        <v>44690</v>
      </c>
      <c r="E438" s="135">
        <v>44691</v>
      </c>
      <c r="F438" s="182"/>
      <c r="G438" s="144"/>
      <c r="H438" s="182">
        <v>44714</v>
      </c>
      <c r="I438" s="182">
        <v>44714</v>
      </c>
      <c r="J438" s="182">
        <v>44719</v>
      </c>
      <c r="K438" s="182">
        <v>44881</v>
      </c>
      <c r="L438" s="182">
        <v>44872</v>
      </c>
      <c r="M438" s="144" t="s">
        <v>76</v>
      </c>
      <c r="N438" s="182">
        <v>44895</v>
      </c>
      <c r="O438" s="182">
        <v>44895</v>
      </c>
      <c r="P438" s="172">
        <v>44897</v>
      </c>
      <c r="Q438" s="135"/>
      <c r="R438" s="144"/>
      <c r="S438" s="144"/>
      <c r="T438" s="144"/>
      <c r="U438" s="144">
        <v>2</v>
      </c>
      <c r="V438" s="143">
        <v>29392</v>
      </c>
      <c r="W438" s="143" t="str">
        <f ca="1">IF(H438="",IF(D438="","",IF(U438+V438&lt;15,"Données Nb pers ou RFR manquantes",IF(COUNTA(INDIRECT("TabRFR["&amp;YEAR(D438)&amp;"]"))&lt;&gt;COUNTA(TabRFR[Recherche RFR]),"Data RFR manquantes", IF(V438&lt;=INDEX(TabRFR[[2021]:[2025]],MATCH(BD!U438&amp;"-Très modestes",TabRFR[Recherche RFR],0),MATCH(TEXT(YEAR(BD!D438),"Standard"),TabRFR[[#Headers],[2021]:[2025]],0)),"Très Modeste",IF(V438&lt;=INDEX(TabRFR[[2021]:[2025]],MATCH(BD!U438&amp;"-modestes",TabRFR[Recherche RFR],0),MATCH(TEXT(YEAR(BD!D438),"Standard"),TabRFR[[#Headers],[2021]:[2025]],0)),"Modeste",IF(V438&lt;=INDEX(TabRFR[[2021]:[2025]],MATCH(BD!U438&amp;"-Intermédiaire",TabRFR[Recherche RFR],0),MATCH(TEXT(YEAR(BD!D438),"Standard"),TabRFR[[#Headers],[2021]:[2025]],0)),"Intermédiaire","Supérieur")))))),IF(D438="","",IF(U438+V438&lt;15,"Données Nb pers ou RFR manquantes",IF(COUNTA(INDIRECT("TabRFR["&amp;YEAR(H438)&amp;"]"))&lt;&gt;COUNTA(TabRFR[Recherche RFR]),"Data RFR manquantes", IF(V438&lt;=INDEX(TabRFR[[2021]:[2025]],MATCH(BD!U438&amp;"-Très modestes",TabRFR[Recherche RFR],0),MATCH(TEXT(YEAR(BD!H438),"Standard"),TabRFR[[#Headers],[2021]:[2025]],0)),"Très Modeste",IF(V438&lt;=INDEX(TabRFR[[2021]:[2025]],MATCH(BD!U438&amp;"-modestes",TabRFR[Recherche RFR],0),MATCH(TEXT(YEAR(BD!H438),"Standard"),TabRFR[[#Headers],[2021]:[2025]],0)),"Modeste",IF(V438&lt;=INDEX(TabRFR[[2021]:[2025]],MATCH(BD!U438&amp;"-Intermédiaire",TabRFR[Recherche RFR],0),MATCH(TEXT(YEAR(BD!H438),"Standard"),TabRFR[[#Headers],[2021]:[2025]],0)),"Intermédiaire","Supérieur")))))))</f>
        <v>Intermédiaire</v>
      </c>
      <c r="X438" s="144"/>
      <c r="Y438" s="143" t="s">
        <v>344</v>
      </c>
      <c r="Z438" s="144">
        <v>38140</v>
      </c>
      <c r="AA438" s="144" t="s">
        <v>184</v>
      </c>
      <c r="AB438" s="148"/>
      <c r="AC438" s="149"/>
      <c r="AD438" s="144" t="s">
        <v>91</v>
      </c>
      <c r="AE438" s="144"/>
      <c r="AF438" s="144"/>
      <c r="AG438" s="144"/>
      <c r="AH438" s="144"/>
      <c r="AI438" s="135" t="s">
        <v>285</v>
      </c>
      <c r="AJ438" s="144" t="s">
        <v>108</v>
      </c>
      <c r="AK438" s="143" t="s">
        <v>286</v>
      </c>
      <c r="AL438" s="144" t="s">
        <v>287</v>
      </c>
      <c r="AM438" s="148">
        <v>476069938</v>
      </c>
      <c r="AN438" s="143" t="s">
        <v>76</v>
      </c>
      <c r="AO438" s="148" t="s">
        <v>102</v>
      </c>
      <c r="AP438" s="147">
        <v>44822</v>
      </c>
      <c r="AQ438" s="135" t="s">
        <v>3496</v>
      </c>
      <c r="AR438" s="143">
        <v>1987</v>
      </c>
      <c r="AS438" s="143" t="s">
        <v>3413</v>
      </c>
      <c r="AT438" s="135" t="s">
        <v>3446</v>
      </c>
      <c r="AU438" s="143" t="s">
        <v>532</v>
      </c>
      <c r="AV438" s="135" t="s">
        <v>1936</v>
      </c>
      <c r="AW438" s="143">
        <v>28</v>
      </c>
      <c r="AX438" s="143">
        <v>7.5</v>
      </c>
      <c r="AY438" s="143">
        <v>82.7</v>
      </c>
      <c r="AZ438" s="151">
        <v>5.04E-2</v>
      </c>
      <c r="BA438" s="135" t="s">
        <v>101</v>
      </c>
      <c r="BB438" s="135"/>
      <c r="BC438" s="151">
        <f>SUM(1150+490+89+275+3420)</f>
        <v>5424</v>
      </c>
      <c r="BD438" s="151"/>
      <c r="BE438" s="151">
        <f>SUM(690+150+330)</f>
        <v>1170</v>
      </c>
      <c r="BF438" s="151">
        <f>SUM(BE438+BC438)</f>
        <v>6594</v>
      </c>
      <c r="BG438" s="151">
        <f>BF438*0.055</f>
        <v>362.67</v>
      </c>
      <c r="BH438" s="151">
        <f>SUM(BG438+BF438)</f>
        <v>6956.67</v>
      </c>
      <c r="BI438" s="143">
        <v>6956.68</v>
      </c>
      <c r="BJ438" s="135" t="s">
        <v>102</v>
      </c>
      <c r="BK438" s="144"/>
      <c r="BL438" s="144"/>
      <c r="BM438" s="144" t="s">
        <v>3592</v>
      </c>
      <c r="BN438" s="143">
        <v>2022</v>
      </c>
      <c r="BO438" s="144" t="s">
        <v>143</v>
      </c>
      <c r="BP438" s="144">
        <v>2022</v>
      </c>
      <c r="BQ438" s="203" t="s">
        <v>144</v>
      </c>
    </row>
    <row r="439" spans="1:69" ht="41.1" customHeight="1">
      <c r="A439" s="145" t="s">
        <v>1353</v>
      </c>
      <c r="B439" s="145" t="s">
        <v>1937</v>
      </c>
      <c r="C439" s="143">
        <v>600</v>
      </c>
      <c r="D439" s="135">
        <v>44693</v>
      </c>
      <c r="E439" s="135">
        <v>44693</v>
      </c>
      <c r="F439" s="182"/>
      <c r="G439" s="144"/>
      <c r="H439" s="182"/>
      <c r="I439" s="182"/>
      <c r="J439" s="182"/>
      <c r="K439" s="144"/>
      <c r="L439" s="144"/>
      <c r="M439" s="144"/>
      <c r="N439" s="144"/>
      <c r="O439" s="144"/>
      <c r="P439" s="144"/>
      <c r="Q439" s="135">
        <v>44714</v>
      </c>
      <c r="R439" s="143" t="s">
        <v>1938</v>
      </c>
      <c r="S439" s="144"/>
      <c r="T439" s="144"/>
      <c r="U439" s="144">
        <v>2</v>
      </c>
      <c r="V439" s="143">
        <v>62079</v>
      </c>
      <c r="W439" s="143" t="str">
        <f ca="1">IF(H439="",IF(D439="","",IF(U439+V439&lt;15,"Données Nb pers ou RFR manquantes",IF(COUNTA(INDIRECT("TabRFR["&amp;YEAR(D439)&amp;"]"))&lt;&gt;COUNTA(TabRFR[Recherche RFR]),"Data RFR manquantes", IF(V439&lt;=INDEX(TabRFR[[2021]:[2025]],MATCH(BD!U439&amp;"-Très modestes",TabRFR[Recherche RFR],0),MATCH(TEXT(YEAR(BD!D439),"Standard"),TabRFR[[#Headers],[2021]:[2025]],0)),"Très Modeste",IF(V439&lt;=INDEX(TabRFR[[2021]:[2025]],MATCH(BD!U439&amp;"-modestes",TabRFR[Recherche RFR],0),MATCH(TEXT(YEAR(BD!D439),"Standard"),TabRFR[[#Headers],[2021]:[2025]],0)),"Modeste",IF(V439&lt;=INDEX(TabRFR[[2021]:[2025]],MATCH(BD!U439&amp;"-Intermédiaire",TabRFR[Recherche RFR],0),MATCH(TEXT(YEAR(BD!D439),"Standard"),TabRFR[[#Headers],[2021]:[2025]],0)),"Intermédiaire","Supérieur")))))),IF(D439="","",IF(U439+V439&lt;15,"Données Nb pers ou RFR manquantes",IF(COUNTA(INDIRECT("TabRFR["&amp;YEAR(H439)&amp;"]"))&lt;&gt;COUNTA(TabRFR[Recherche RFR]),"Data RFR manquantes", IF(V439&lt;=INDEX(TabRFR[[2021]:[2025]],MATCH(BD!U439&amp;"-Très modestes",TabRFR[Recherche RFR],0),MATCH(TEXT(YEAR(BD!H439),"Standard"),TabRFR[[#Headers],[2021]:[2025]],0)),"Très Modeste",IF(V439&lt;=INDEX(TabRFR[[2021]:[2025]],MATCH(BD!U439&amp;"-modestes",TabRFR[Recherche RFR],0),MATCH(TEXT(YEAR(BD!H439),"Standard"),TabRFR[[#Headers],[2021]:[2025]],0)),"Modeste",IF(V439&lt;=INDEX(TabRFR[[2021]:[2025]],MATCH(BD!U439&amp;"-Intermédiaire",TabRFR[Recherche RFR],0),MATCH(TEXT(YEAR(BD!H439),"Standard"),TabRFR[[#Headers],[2021]:[2025]],0)),"Intermédiaire","Supérieur")))))))</f>
        <v>Supérieur</v>
      </c>
      <c r="X439" s="144"/>
      <c r="Y439" s="143" t="s">
        <v>1700</v>
      </c>
      <c r="Z439" s="144">
        <v>38620</v>
      </c>
      <c r="AA439" s="143" t="s">
        <v>1239</v>
      </c>
      <c r="AB439" s="148"/>
      <c r="AC439" s="149"/>
      <c r="AD439" s="144" t="s">
        <v>91</v>
      </c>
      <c r="AE439" s="144"/>
      <c r="AF439" s="144"/>
      <c r="AG439" s="144"/>
      <c r="AH439" s="144"/>
      <c r="AI439" s="143" t="s">
        <v>1939</v>
      </c>
      <c r="AJ439" s="143" t="s">
        <v>136</v>
      </c>
      <c r="AK439" s="144" t="s">
        <v>1940</v>
      </c>
      <c r="AL439" s="144" t="s">
        <v>1941</v>
      </c>
      <c r="AM439" s="148">
        <v>474430411</v>
      </c>
      <c r="AN439" s="143" t="s">
        <v>76</v>
      </c>
      <c r="AO439" s="148" t="s">
        <v>102</v>
      </c>
      <c r="AP439" s="147">
        <v>44774</v>
      </c>
      <c r="AQ439" s="135" t="s">
        <v>3496</v>
      </c>
      <c r="AR439" s="143">
        <v>2003</v>
      </c>
      <c r="AS439" s="143"/>
      <c r="AT439" s="143"/>
      <c r="AU439" s="143"/>
      <c r="AV439" s="135"/>
      <c r="AW439" s="143"/>
      <c r="AX439" s="143"/>
      <c r="AY439" s="143"/>
      <c r="AZ439" s="151"/>
      <c r="BA439" s="135"/>
      <c r="BB439" s="135"/>
      <c r="BC439" s="151"/>
      <c r="BD439" s="151"/>
      <c r="BE439" s="151"/>
      <c r="BF439" s="151"/>
      <c r="BG439" s="151"/>
      <c r="BH439" s="151"/>
      <c r="BI439" s="135"/>
      <c r="BJ439" s="135"/>
      <c r="BK439" s="144"/>
      <c r="BL439" s="144"/>
      <c r="BM439" s="144">
        <v>0</v>
      </c>
      <c r="BN439" s="153" t="s">
        <v>1496</v>
      </c>
      <c r="BO439" s="144" t="s">
        <v>103</v>
      </c>
      <c r="BP439" s="203" t="s">
        <v>3582</v>
      </c>
      <c r="BQ439" s="203" t="s">
        <v>3273</v>
      </c>
    </row>
    <row r="440" spans="1:69" ht="41.1" customHeight="1">
      <c r="A440" s="218" t="s">
        <v>1353</v>
      </c>
      <c r="B440" s="218" t="s">
        <v>1942</v>
      </c>
      <c r="C440" s="143">
        <v>600</v>
      </c>
      <c r="D440" s="135">
        <v>44693</v>
      </c>
      <c r="E440" s="135">
        <v>44695</v>
      </c>
      <c r="F440" s="144"/>
      <c r="G440" s="144"/>
      <c r="H440" s="182">
        <v>44714</v>
      </c>
      <c r="I440" s="182">
        <v>44714</v>
      </c>
      <c r="J440" s="182">
        <v>44719</v>
      </c>
      <c r="K440" s="182">
        <v>44925</v>
      </c>
      <c r="L440" s="182">
        <v>44838</v>
      </c>
      <c r="M440" s="144" t="s">
        <v>76</v>
      </c>
      <c r="N440" s="182">
        <v>44932</v>
      </c>
      <c r="O440" s="182">
        <v>44932</v>
      </c>
      <c r="P440" s="182">
        <v>45091</v>
      </c>
      <c r="Q440" s="144"/>
      <c r="R440" s="144"/>
      <c r="S440" s="144"/>
      <c r="T440" s="144"/>
      <c r="U440" s="144">
        <v>1</v>
      </c>
      <c r="V440" s="143">
        <v>21534</v>
      </c>
      <c r="W440" s="143" t="str">
        <f ca="1">IF(H440="",IF(D440="","",IF(U440+V440&lt;15,"Données Nb pers ou RFR manquantes",IF(COUNTA(INDIRECT("TabRFR["&amp;YEAR(D440)&amp;"]"))&lt;&gt;COUNTA(TabRFR[Recherche RFR]),"Data RFR manquantes", IF(V440&lt;=INDEX(TabRFR[[2021]:[2025]],MATCH(BD!U440&amp;"-Très modestes",TabRFR[Recherche RFR],0),MATCH(TEXT(YEAR(BD!D440),"Standard"),TabRFR[[#Headers],[2021]:[2025]],0)),"Très Modeste",IF(V440&lt;=INDEX(TabRFR[[2021]:[2025]],MATCH(BD!U440&amp;"-modestes",TabRFR[Recherche RFR],0),MATCH(TEXT(YEAR(BD!D440),"Standard"),TabRFR[[#Headers],[2021]:[2025]],0)),"Modeste",IF(V440&lt;=INDEX(TabRFR[[2021]:[2025]],MATCH(BD!U440&amp;"-Intermédiaire",TabRFR[Recherche RFR],0),MATCH(TEXT(YEAR(BD!D440),"Standard"),TabRFR[[#Headers],[2021]:[2025]],0)),"Intermédiaire","Supérieur")))))),IF(D440="","",IF(U440+V440&lt;15,"Données Nb pers ou RFR manquantes",IF(COUNTA(INDIRECT("TabRFR["&amp;YEAR(H440)&amp;"]"))&lt;&gt;COUNTA(TabRFR[Recherche RFR]),"Data RFR manquantes", IF(V440&lt;=INDEX(TabRFR[[2021]:[2025]],MATCH(BD!U440&amp;"-Très modestes",TabRFR[Recherche RFR],0),MATCH(TEXT(YEAR(BD!H440),"Standard"),TabRFR[[#Headers],[2021]:[2025]],0)),"Très Modeste",IF(V440&lt;=INDEX(TabRFR[[2021]:[2025]],MATCH(BD!U440&amp;"-modestes",TabRFR[Recherche RFR],0),MATCH(TEXT(YEAR(BD!H440),"Standard"),TabRFR[[#Headers],[2021]:[2025]],0)),"Modeste",IF(V440&lt;=INDEX(TabRFR[[2021]:[2025]],MATCH(BD!U440&amp;"-Intermédiaire",TabRFR[Recherche RFR],0),MATCH(TEXT(YEAR(BD!H440),"Standard"),TabRFR[[#Headers],[2021]:[2025]],0)),"Intermédiaire","Supérieur")))))))</f>
        <v>Intermédiaire</v>
      </c>
      <c r="X440" s="144"/>
      <c r="Y440" s="144" t="s">
        <v>1943</v>
      </c>
      <c r="Z440" s="144">
        <v>38340</v>
      </c>
      <c r="AA440" s="144" t="s">
        <v>266</v>
      </c>
      <c r="AB440" s="144"/>
      <c r="AC440" s="149"/>
      <c r="AD440" s="144" t="s">
        <v>91</v>
      </c>
      <c r="AE440" s="144"/>
      <c r="AF440" s="144"/>
      <c r="AG440" s="144"/>
      <c r="AH440" s="144"/>
      <c r="AI440" s="135" t="s">
        <v>905</v>
      </c>
      <c r="AJ440" s="143" t="s">
        <v>136</v>
      </c>
      <c r="AK440" s="143" t="s">
        <v>906</v>
      </c>
      <c r="AL440" s="144" t="s">
        <v>907</v>
      </c>
      <c r="AM440" s="148" t="s">
        <v>1944</v>
      </c>
      <c r="AN440" s="143" t="s">
        <v>76</v>
      </c>
      <c r="AO440" s="148" t="s">
        <v>102</v>
      </c>
      <c r="AP440" s="147">
        <v>45033</v>
      </c>
      <c r="AQ440" s="135" t="s">
        <v>3496</v>
      </c>
      <c r="AR440" s="143">
        <v>1990</v>
      </c>
      <c r="AS440" s="143" t="s">
        <v>3413</v>
      </c>
      <c r="AT440" s="143" t="s">
        <v>98</v>
      </c>
      <c r="AU440" s="143" t="s">
        <v>1298</v>
      </c>
      <c r="AV440" s="135" t="s">
        <v>1945</v>
      </c>
      <c r="AW440" s="143">
        <v>20</v>
      </c>
      <c r="AX440" s="143">
        <v>8</v>
      </c>
      <c r="AY440" s="143">
        <v>89.5</v>
      </c>
      <c r="AZ440" s="151">
        <v>1.992E-2</v>
      </c>
      <c r="BA440" s="135" t="s">
        <v>101</v>
      </c>
      <c r="BB440" s="135"/>
      <c r="BC440" s="151">
        <f>SUM(2801.9+124+378+324+1189+184+1.67)</f>
        <v>5002.57</v>
      </c>
      <c r="BD440" s="151"/>
      <c r="BE440" s="151">
        <v>1085</v>
      </c>
      <c r="BF440" s="151">
        <f>SUM(BE440+BC440-518.85)</f>
        <v>5568.7199999999993</v>
      </c>
      <c r="BG440" s="151">
        <f t="shared" ref="BG440:BG459" si="28">BF440*0.055</f>
        <v>306.27959999999996</v>
      </c>
      <c r="BH440" s="151">
        <f>BF440*1.055</f>
        <v>5874.9995999999992</v>
      </c>
      <c r="BI440" s="151">
        <v>5875</v>
      </c>
      <c r="BJ440" s="135" t="s">
        <v>1391</v>
      </c>
      <c r="BK440" s="144"/>
      <c r="BL440" s="144"/>
      <c r="BM440" s="144" t="s">
        <v>3592</v>
      </c>
      <c r="BN440" s="143">
        <v>2022</v>
      </c>
      <c r="BO440" s="144" t="s">
        <v>143</v>
      </c>
      <c r="BP440" s="143" t="s">
        <v>3583</v>
      </c>
      <c r="BQ440" s="203" t="s">
        <v>3274</v>
      </c>
    </row>
    <row r="441" spans="1:69" ht="41.1" customHeight="1">
      <c r="A441" s="218" t="s">
        <v>1705</v>
      </c>
      <c r="B441" s="218" t="s">
        <v>1946</v>
      </c>
      <c r="C441" s="143">
        <v>600</v>
      </c>
      <c r="D441" s="135">
        <v>44694</v>
      </c>
      <c r="E441" s="135">
        <v>44697</v>
      </c>
      <c r="F441" s="144" t="s">
        <v>76</v>
      </c>
      <c r="G441" s="144" t="s">
        <v>76</v>
      </c>
      <c r="H441" s="135">
        <v>44726</v>
      </c>
      <c r="I441" s="135">
        <v>44726</v>
      </c>
      <c r="J441" s="135">
        <v>44729</v>
      </c>
      <c r="K441" s="135">
        <v>44837</v>
      </c>
      <c r="L441" s="135">
        <v>44832</v>
      </c>
      <c r="M441" s="135" t="s">
        <v>76</v>
      </c>
      <c r="N441" s="135">
        <v>44873</v>
      </c>
      <c r="O441" s="135">
        <v>44873</v>
      </c>
      <c r="P441" s="135">
        <v>44879</v>
      </c>
      <c r="Q441" s="135"/>
      <c r="R441" s="135"/>
      <c r="S441" s="135"/>
      <c r="T441" s="135"/>
      <c r="U441" s="144">
        <v>3</v>
      </c>
      <c r="V441" s="143">
        <v>44050</v>
      </c>
      <c r="W441" s="143" t="str">
        <f ca="1">IF(H441="",IF(D441="","",IF(U441+V441&lt;15,"Données Nb pers ou RFR manquantes",IF(COUNTA(INDIRECT("TabRFR["&amp;YEAR(D441)&amp;"]"))&lt;&gt;COUNTA(TabRFR[Recherche RFR]),"Data RFR manquantes", IF(V441&lt;=INDEX(TabRFR[[2021]:[2025]],MATCH(BD!U441&amp;"-Très modestes",TabRFR[Recherche RFR],0),MATCH(TEXT(YEAR(BD!D441),"Standard"),TabRFR[[#Headers],[2021]:[2025]],0)),"Très Modeste",IF(V441&lt;=INDEX(TabRFR[[2021]:[2025]],MATCH(BD!U441&amp;"-modestes",TabRFR[Recherche RFR],0),MATCH(TEXT(YEAR(BD!D441),"Standard"),TabRFR[[#Headers],[2021]:[2025]],0)),"Modeste",IF(V441&lt;=INDEX(TabRFR[[2021]:[2025]],MATCH(BD!U441&amp;"-Intermédiaire",TabRFR[Recherche RFR],0),MATCH(TEXT(YEAR(BD!D441),"Standard"),TabRFR[[#Headers],[2021]:[2025]],0)),"Intermédiaire","Supérieur")))))),IF(D441="","",IF(U441+V441&lt;15,"Données Nb pers ou RFR manquantes",IF(COUNTA(INDIRECT("TabRFR["&amp;YEAR(H441)&amp;"]"))&lt;&gt;COUNTA(TabRFR[Recherche RFR]),"Data RFR manquantes", IF(V441&lt;=INDEX(TabRFR[[2021]:[2025]],MATCH(BD!U441&amp;"-Très modestes",TabRFR[Recherche RFR],0),MATCH(TEXT(YEAR(BD!H441),"Standard"),TabRFR[[#Headers],[2021]:[2025]],0)),"Très Modeste",IF(V441&lt;=INDEX(TabRFR[[2021]:[2025]],MATCH(BD!U441&amp;"-modestes",TabRFR[Recherche RFR],0),MATCH(TEXT(YEAR(BD!H441),"Standard"),TabRFR[[#Headers],[2021]:[2025]],0)),"Modeste",IF(V441&lt;=INDEX(TabRFR[[2021]:[2025]],MATCH(BD!U441&amp;"-Intermédiaire",TabRFR[Recherche RFR],0),MATCH(TEXT(YEAR(BD!H441),"Standard"),TabRFR[[#Headers],[2021]:[2025]],0)),"Intermédiaire","Supérieur")))))))</f>
        <v>Intermédiaire</v>
      </c>
      <c r="X441" s="144"/>
      <c r="Y441" s="135" t="s">
        <v>1814</v>
      </c>
      <c r="Z441" s="144">
        <v>38730</v>
      </c>
      <c r="AA441" s="135" t="s">
        <v>148</v>
      </c>
      <c r="AB441" s="148"/>
      <c r="AC441" s="149"/>
      <c r="AD441" s="135" t="s">
        <v>91</v>
      </c>
      <c r="AE441" s="135"/>
      <c r="AF441" s="135"/>
      <c r="AG441" s="135"/>
      <c r="AH441" s="135"/>
      <c r="AI441" s="135" t="s">
        <v>220</v>
      </c>
      <c r="AJ441" s="143" t="s">
        <v>108</v>
      </c>
      <c r="AK441" s="143" t="s">
        <v>221</v>
      </c>
      <c r="AL441" s="144" t="s">
        <v>1947</v>
      </c>
      <c r="AM441" s="148">
        <v>476323235</v>
      </c>
      <c r="AN441" s="135" t="s">
        <v>76</v>
      </c>
      <c r="AO441" s="148" t="s">
        <v>102</v>
      </c>
      <c r="AP441" s="135">
        <v>44794</v>
      </c>
      <c r="AQ441" s="135" t="s">
        <v>3496</v>
      </c>
      <c r="AR441" s="143">
        <v>1999</v>
      </c>
      <c r="AS441" s="143" t="s">
        <v>3413</v>
      </c>
      <c r="AT441" s="135" t="s">
        <v>3446</v>
      </c>
      <c r="AU441" s="143" t="s">
        <v>1948</v>
      </c>
      <c r="AV441" s="135" t="s">
        <v>1949</v>
      </c>
      <c r="AW441" s="143">
        <v>14</v>
      </c>
      <c r="AX441" s="143">
        <v>7</v>
      </c>
      <c r="AY441" s="143">
        <v>77</v>
      </c>
      <c r="AZ441" s="151" t="s">
        <v>1950</v>
      </c>
      <c r="BA441" s="135" t="s">
        <v>101</v>
      </c>
      <c r="BB441" s="135"/>
      <c r="BC441" s="151">
        <f>598+4990+78+98+30+115+38+60</f>
        <v>6007</v>
      </c>
      <c r="BD441" s="151"/>
      <c r="BE441" s="151">
        <f>810+75</f>
        <v>885</v>
      </c>
      <c r="BF441" s="151">
        <f>BC441+BE441-280</f>
        <v>6612</v>
      </c>
      <c r="BG441" s="151">
        <f t="shared" si="28"/>
        <v>363.66</v>
      </c>
      <c r="BH441" s="151">
        <f>BF441*1.055</f>
        <v>6975.66</v>
      </c>
      <c r="BI441" s="151">
        <v>6775.21</v>
      </c>
      <c r="BJ441" s="135" t="s">
        <v>144</v>
      </c>
      <c r="BK441" s="135"/>
      <c r="BL441" s="135"/>
      <c r="BM441" s="144" t="s">
        <v>3592</v>
      </c>
      <c r="BN441" s="143">
        <v>2022</v>
      </c>
      <c r="BO441" s="144" t="s">
        <v>143</v>
      </c>
      <c r="BP441" s="144">
        <v>2022</v>
      </c>
      <c r="BQ441" s="203" t="s">
        <v>144</v>
      </c>
    </row>
    <row r="442" spans="1:69" ht="41.1" customHeight="1">
      <c r="A442" s="219" t="s">
        <v>1705</v>
      </c>
      <c r="B442" s="219" t="s">
        <v>1951</v>
      </c>
      <c r="C442" s="143">
        <v>600</v>
      </c>
      <c r="D442" s="135">
        <v>44694</v>
      </c>
      <c r="E442" s="135">
        <v>44712</v>
      </c>
      <c r="F442" s="182">
        <v>44726</v>
      </c>
      <c r="G442" s="144" t="s">
        <v>1952</v>
      </c>
      <c r="H442" s="135">
        <v>44763</v>
      </c>
      <c r="I442" s="135">
        <v>44763</v>
      </c>
      <c r="J442" s="135">
        <v>44768</v>
      </c>
      <c r="K442" s="135">
        <v>44900</v>
      </c>
      <c r="L442" s="135">
        <v>44729</v>
      </c>
      <c r="M442" s="143" t="s">
        <v>3386</v>
      </c>
      <c r="N442" s="135"/>
      <c r="O442" s="135"/>
      <c r="P442" s="135"/>
      <c r="Q442" s="135"/>
      <c r="R442" s="135"/>
      <c r="S442" s="135"/>
      <c r="T442" s="135"/>
      <c r="U442" s="144">
        <v>3</v>
      </c>
      <c r="V442" s="143">
        <v>45140</v>
      </c>
      <c r="W442" s="143" t="str">
        <f ca="1">IF(H442="",IF(D442="","",IF(U442+V442&lt;15,"Données Nb pers ou RFR manquantes",IF(COUNTA(INDIRECT("TabRFR["&amp;YEAR(D442)&amp;"]"))&lt;&gt;COUNTA(TabRFR[Recherche RFR]),"Data RFR manquantes", IF(V442&lt;=INDEX(TabRFR[[2021]:[2025]],MATCH(BD!U442&amp;"-Très modestes",TabRFR[Recherche RFR],0),MATCH(TEXT(YEAR(BD!D442),"Standard"),TabRFR[[#Headers],[2021]:[2025]],0)),"Très Modeste",IF(V442&lt;=INDEX(TabRFR[[2021]:[2025]],MATCH(BD!U442&amp;"-modestes",TabRFR[Recherche RFR],0),MATCH(TEXT(YEAR(BD!D442),"Standard"),TabRFR[[#Headers],[2021]:[2025]],0)),"Modeste",IF(V442&lt;=INDEX(TabRFR[[2021]:[2025]],MATCH(BD!U442&amp;"-Intermédiaire",TabRFR[Recherche RFR],0),MATCH(TEXT(YEAR(BD!D442),"Standard"),TabRFR[[#Headers],[2021]:[2025]],0)),"Intermédiaire","Supérieur")))))),IF(D442="","",IF(U442+V442&lt;15,"Données Nb pers ou RFR manquantes",IF(COUNTA(INDIRECT("TabRFR["&amp;YEAR(H442)&amp;"]"))&lt;&gt;COUNTA(TabRFR[Recherche RFR]),"Data RFR manquantes", IF(V442&lt;=INDEX(TabRFR[[2021]:[2025]],MATCH(BD!U442&amp;"-Très modestes",TabRFR[Recherche RFR],0),MATCH(TEXT(YEAR(BD!H442),"Standard"),TabRFR[[#Headers],[2021]:[2025]],0)),"Très Modeste",IF(V442&lt;=INDEX(TabRFR[[2021]:[2025]],MATCH(BD!U442&amp;"-modestes",TabRFR[Recherche RFR],0),MATCH(TEXT(YEAR(BD!H442),"Standard"),TabRFR[[#Headers],[2021]:[2025]],0)),"Modeste",IF(V442&lt;=INDEX(TabRFR[[2021]:[2025]],MATCH(BD!U442&amp;"-Intermédiaire",TabRFR[Recherche RFR],0),MATCH(TEXT(YEAR(BD!H442),"Standard"),TabRFR[[#Headers],[2021]:[2025]],0)),"Intermédiaire","Supérieur")))))))</f>
        <v>Intermédiaire</v>
      </c>
      <c r="X442" s="144"/>
      <c r="Y442" s="135" t="s">
        <v>1953</v>
      </c>
      <c r="Z442" s="144">
        <v>38730</v>
      </c>
      <c r="AA442" s="135" t="s">
        <v>293</v>
      </c>
      <c r="AB442" s="148"/>
      <c r="AC442" s="149"/>
      <c r="AD442" s="135" t="s">
        <v>91</v>
      </c>
      <c r="AE442" s="135"/>
      <c r="AF442" s="135"/>
      <c r="AG442" s="135"/>
      <c r="AH442" s="135"/>
      <c r="AI442" s="135" t="s">
        <v>393</v>
      </c>
      <c r="AJ442" s="143" t="s">
        <v>3497</v>
      </c>
      <c r="AK442" s="143" t="s">
        <v>1857</v>
      </c>
      <c r="AL442" s="169" t="s">
        <v>1954</v>
      </c>
      <c r="AM442" s="148">
        <v>437039915</v>
      </c>
      <c r="AN442" s="135" t="s">
        <v>76</v>
      </c>
      <c r="AO442" s="148" t="s">
        <v>102</v>
      </c>
      <c r="AP442" s="135">
        <v>44797</v>
      </c>
      <c r="AQ442" s="143" t="s">
        <v>1955</v>
      </c>
      <c r="AR442" s="143">
        <v>1995</v>
      </c>
      <c r="AS442" s="143" t="s">
        <v>1955</v>
      </c>
      <c r="AT442" s="143" t="s">
        <v>98</v>
      </c>
      <c r="AU442" s="143" t="s">
        <v>1956</v>
      </c>
      <c r="AV442" s="135" t="s">
        <v>1957</v>
      </c>
      <c r="AW442" s="143">
        <v>17</v>
      </c>
      <c r="AX442" s="143" t="s">
        <v>1958</v>
      </c>
      <c r="AY442" s="143" t="s">
        <v>1959</v>
      </c>
      <c r="AZ442" s="151" t="s">
        <v>1960</v>
      </c>
      <c r="BA442" s="135" t="s">
        <v>101</v>
      </c>
      <c r="BB442" s="135"/>
      <c r="BC442" s="151">
        <f>14244.73+1484.3+253+724.5+3902.05+600.13+414+543.38+22166.09</f>
        <v>44332.18</v>
      </c>
      <c r="BD442" s="151"/>
      <c r="BE442" s="151">
        <f>1234.2+30</f>
        <v>1264.2</v>
      </c>
      <c r="BF442" s="151">
        <f>BC442+BE442</f>
        <v>45596.38</v>
      </c>
      <c r="BG442" s="151">
        <f t="shared" si="28"/>
        <v>2507.8008999999997</v>
      </c>
      <c r="BH442" s="151">
        <f>BF442*1.055</f>
        <v>48104.180899999992</v>
      </c>
      <c r="BI442" s="135"/>
      <c r="BJ442" s="135" t="s">
        <v>144</v>
      </c>
      <c r="BK442" s="135"/>
      <c r="BL442" s="135"/>
      <c r="BM442" s="144" t="s">
        <v>3592</v>
      </c>
      <c r="BN442" s="143">
        <v>2022</v>
      </c>
      <c r="BO442" s="144" t="s">
        <v>143</v>
      </c>
      <c r="BP442" s="143" t="s">
        <v>3583</v>
      </c>
      <c r="BQ442" s="203"/>
    </row>
    <row r="443" spans="1:69" ht="41.1" customHeight="1">
      <c r="A443" s="218" t="s">
        <v>1705</v>
      </c>
      <c r="B443" s="218" t="s">
        <v>1961</v>
      </c>
      <c r="C443" s="143">
        <v>600</v>
      </c>
      <c r="D443" s="135">
        <v>44697</v>
      </c>
      <c r="E443" s="135">
        <v>44697</v>
      </c>
      <c r="F443" s="182">
        <v>44726</v>
      </c>
      <c r="G443" s="143" t="s">
        <v>1962</v>
      </c>
      <c r="H443" s="135">
        <v>44727</v>
      </c>
      <c r="I443" s="135">
        <v>44727</v>
      </c>
      <c r="J443" s="135">
        <v>44729</v>
      </c>
      <c r="K443" s="135">
        <v>44823</v>
      </c>
      <c r="L443" s="147">
        <v>44772</v>
      </c>
      <c r="M443" s="135" t="s">
        <v>76</v>
      </c>
      <c r="N443" s="135">
        <v>44833</v>
      </c>
      <c r="O443" s="135">
        <v>44833</v>
      </c>
      <c r="P443" s="135">
        <v>44833</v>
      </c>
      <c r="Q443" s="135"/>
      <c r="R443" s="135"/>
      <c r="S443" s="135"/>
      <c r="T443" s="135"/>
      <c r="U443" s="144">
        <v>4</v>
      </c>
      <c r="V443" s="143">
        <v>58926</v>
      </c>
      <c r="W443" s="143" t="str">
        <f ca="1">IF(H443="",IF(D443="","",IF(U443+V443&lt;15,"Données Nb pers ou RFR manquantes",IF(COUNTA(INDIRECT("TabRFR["&amp;YEAR(D443)&amp;"]"))&lt;&gt;COUNTA(TabRFR[Recherche RFR]),"Data RFR manquantes", IF(V443&lt;=INDEX(TabRFR[[2021]:[2025]],MATCH(BD!U443&amp;"-Très modestes",TabRFR[Recherche RFR],0),MATCH(TEXT(YEAR(BD!D443),"Standard"),TabRFR[[#Headers],[2021]:[2025]],0)),"Très Modeste",IF(V443&lt;=INDEX(TabRFR[[2021]:[2025]],MATCH(BD!U443&amp;"-modestes",TabRFR[Recherche RFR],0),MATCH(TEXT(YEAR(BD!D443),"Standard"),TabRFR[[#Headers],[2021]:[2025]],0)),"Modeste",IF(V443&lt;=INDEX(TabRFR[[2021]:[2025]],MATCH(BD!U443&amp;"-Intermédiaire",TabRFR[Recherche RFR],0),MATCH(TEXT(YEAR(BD!D443),"Standard"),TabRFR[[#Headers],[2021]:[2025]],0)),"Intermédiaire","Supérieur")))))),IF(D443="","",IF(U443+V443&lt;15,"Données Nb pers ou RFR manquantes",IF(COUNTA(INDIRECT("TabRFR["&amp;YEAR(H443)&amp;"]"))&lt;&gt;COUNTA(TabRFR[Recherche RFR]),"Data RFR manquantes", IF(V443&lt;=INDEX(TabRFR[[2021]:[2025]],MATCH(BD!U443&amp;"-Très modestes",TabRFR[Recherche RFR],0),MATCH(TEXT(YEAR(BD!H443),"Standard"),TabRFR[[#Headers],[2021]:[2025]],0)),"Très Modeste",IF(V443&lt;=INDEX(TabRFR[[2021]:[2025]],MATCH(BD!U443&amp;"-modestes",TabRFR[Recherche RFR],0),MATCH(TEXT(YEAR(BD!H443),"Standard"),TabRFR[[#Headers],[2021]:[2025]],0)),"Modeste",IF(V443&lt;=INDEX(TabRFR[[2021]:[2025]],MATCH(BD!U443&amp;"-Intermédiaire",TabRFR[Recherche RFR],0),MATCH(TEXT(YEAR(BD!H443),"Standard"),TabRFR[[#Headers],[2021]:[2025]],0)),"Intermédiaire","Supérieur")))))))</f>
        <v>Intermédiaire</v>
      </c>
      <c r="X443" s="144"/>
      <c r="Y443" s="135" t="s">
        <v>1963</v>
      </c>
      <c r="Z443" s="144">
        <v>38210</v>
      </c>
      <c r="AA443" s="135" t="s">
        <v>130</v>
      </c>
      <c r="AB443" s="148"/>
      <c r="AC443" s="149"/>
      <c r="AD443" s="135" t="s">
        <v>91</v>
      </c>
      <c r="AE443" s="135"/>
      <c r="AF443" s="135"/>
      <c r="AG443" s="135"/>
      <c r="AH443" s="135"/>
      <c r="AI443" s="143" t="s">
        <v>1106</v>
      </c>
      <c r="AJ443" s="143" t="s">
        <v>1075</v>
      </c>
      <c r="AK443" s="143" t="s">
        <v>1886</v>
      </c>
      <c r="AL443" s="169" t="s">
        <v>1454</v>
      </c>
      <c r="AM443" s="148">
        <v>679534645</v>
      </c>
      <c r="AN443" s="135" t="s">
        <v>76</v>
      </c>
      <c r="AO443" s="148" t="s">
        <v>102</v>
      </c>
      <c r="AP443" s="135">
        <v>44731</v>
      </c>
      <c r="AQ443" s="135" t="s">
        <v>3449</v>
      </c>
      <c r="AR443" s="143">
        <v>1978</v>
      </c>
      <c r="AS443" s="143" t="s">
        <v>3413</v>
      </c>
      <c r="AT443" s="143" t="s">
        <v>98</v>
      </c>
      <c r="AU443" s="143" t="s">
        <v>1964</v>
      </c>
      <c r="AV443" s="135" t="s">
        <v>1965</v>
      </c>
      <c r="AW443" s="143">
        <v>11</v>
      </c>
      <c r="AX443" s="143">
        <v>10</v>
      </c>
      <c r="AY443" s="143" t="s">
        <v>1966</v>
      </c>
      <c r="AZ443" s="151" t="s">
        <v>1967</v>
      </c>
      <c r="BA443" s="135" t="s">
        <v>101</v>
      </c>
      <c r="BB443" s="135"/>
      <c r="BC443" s="151">
        <f>4190+344+345+732+201.9+340</f>
        <v>6152.9</v>
      </c>
      <c r="BD443" s="151"/>
      <c r="BE443" s="151">
        <f>450+385</f>
        <v>835</v>
      </c>
      <c r="BF443" s="151">
        <f>BC443+BE443-637.19</f>
        <v>6350.7099999999991</v>
      </c>
      <c r="BG443" s="151">
        <f t="shared" si="28"/>
        <v>349.28904999999997</v>
      </c>
      <c r="BH443" s="151">
        <f>BF443*1.055</f>
        <v>6699.9990499999985</v>
      </c>
      <c r="BI443" s="151">
        <v>6700</v>
      </c>
      <c r="BJ443" s="135" t="s">
        <v>144</v>
      </c>
      <c r="BK443" s="135"/>
      <c r="BL443" s="135"/>
      <c r="BM443" s="144" t="s">
        <v>3592</v>
      </c>
      <c r="BN443" s="143">
        <v>2022</v>
      </c>
      <c r="BO443" s="144" t="s">
        <v>143</v>
      </c>
      <c r="BP443" s="143" t="s">
        <v>3583</v>
      </c>
      <c r="BQ443" s="203" t="s">
        <v>144</v>
      </c>
    </row>
    <row r="444" spans="1:69" ht="41.1" customHeight="1">
      <c r="A444" s="218" t="s">
        <v>1705</v>
      </c>
      <c r="B444" s="218" t="s">
        <v>1968</v>
      </c>
      <c r="C444" s="143">
        <v>1000</v>
      </c>
      <c r="D444" s="135">
        <v>44697</v>
      </c>
      <c r="E444" s="135">
        <v>44697</v>
      </c>
      <c r="F444" s="144" t="s">
        <v>76</v>
      </c>
      <c r="G444" s="144" t="s">
        <v>76</v>
      </c>
      <c r="H444" s="135">
        <v>44726</v>
      </c>
      <c r="I444" s="135">
        <v>44726</v>
      </c>
      <c r="J444" s="135">
        <v>44729</v>
      </c>
      <c r="K444" s="135">
        <v>44851</v>
      </c>
      <c r="L444" s="135">
        <v>44840</v>
      </c>
      <c r="M444" s="135" t="s">
        <v>76</v>
      </c>
      <c r="N444" s="135">
        <v>44874</v>
      </c>
      <c r="O444" s="135">
        <v>44874</v>
      </c>
      <c r="P444" s="135">
        <v>44879</v>
      </c>
      <c r="Q444" s="135"/>
      <c r="R444" s="135"/>
      <c r="S444" s="135"/>
      <c r="T444" s="135"/>
      <c r="U444" s="144">
        <v>4</v>
      </c>
      <c r="V444" s="143">
        <v>35935</v>
      </c>
      <c r="W444" s="143" t="str">
        <f ca="1">IF(H444="",IF(D444="","",IF(U444+V444&lt;15,"Données Nb pers ou RFR manquantes",IF(COUNTA(INDIRECT("TabRFR["&amp;YEAR(D444)&amp;"]"))&lt;&gt;COUNTA(TabRFR[Recherche RFR]),"Data RFR manquantes", IF(V444&lt;=INDEX(TabRFR[[2021]:[2025]],MATCH(BD!U444&amp;"-Très modestes",TabRFR[Recherche RFR],0),MATCH(TEXT(YEAR(BD!D444),"Standard"),TabRFR[[#Headers],[2021]:[2025]],0)),"Très Modeste",IF(V444&lt;=INDEX(TabRFR[[2021]:[2025]],MATCH(BD!U444&amp;"-modestes",TabRFR[Recherche RFR],0),MATCH(TEXT(YEAR(BD!D444),"Standard"),TabRFR[[#Headers],[2021]:[2025]],0)),"Modeste",IF(V444&lt;=INDEX(TabRFR[[2021]:[2025]],MATCH(BD!U444&amp;"-Intermédiaire",TabRFR[Recherche RFR],0),MATCH(TEXT(YEAR(BD!D444),"Standard"),TabRFR[[#Headers],[2021]:[2025]],0)),"Intermédiaire","Supérieur")))))),IF(D444="","",IF(U444+V444&lt;15,"Données Nb pers ou RFR manquantes",IF(COUNTA(INDIRECT("TabRFR["&amp;YEAR(H444)&amp;"]"))&lt;&gt;COUNTA(TabRFR[Recherche RFR]),"Data RFR manquantes", IF(V444&lt;=INDEX(TabRFR[[2021]:[2025]],MATCH(BD!U444&amp;"-Très modestes",TabRFR[Recherche RFR],0),MATCH(TEXT(YEAR(BD!H444),"Standard"),TabRFR[[#Headers],[2021]:[2025]],0)),"Très Modeste",IF(V444&lt;=INDEX(TabRFR[[2021]:[2025]],MATCH(BD!U444&amp;"-modestes",TabRFR[Recherche RFR],0),MATCH(TEXT(YEAR(BD!H444),"Standard"),TabRFR[[#Headers],[2021]:[2025]],0)),"Modeste",IF(V444&lt;=INDEX(TabRFR[[2021]:[2025]],MATCH(BD!U444&amp;"-Intermédiaire",TabRFR[Recherche RFR],0),MATCH(TEXT(YEAR(BD!H444),"Standard"),TabRFR[[#Headers],[2021]:[2025]],0)),"Intermédiaire","Supérieur")))))))</f>
        <v>Modeste</v>
      </c>
      <c r="X444" s="144"/>
      <c r="Y444" s="135" t="s">
        <v>1969</v>
      </c>
      <c r="Z444" s="144">
        <v>38850</v>
      </c>
      <c r="AA444" s="135" t="s">
        <v>193</v>
      </c>
      <c r="AB444" s="148"/>
      <c r="AC444" s="149"/>
      <c r="AD444" s="135" t="s">
        <v>91</v>
      </c>
      <c r="AE444" s="135"/>
      <c r="AF444" s="135"/>
      <c r="AG444" s="135"/>
      <c r="AH444" s="135"/>
      <c r="AI444" s="135" t="s">
        <v>872</v>
      </c>
      <c r="AJ444" s="143" t="s">
        <v>873</v>
      </c>
      <c r="AK444" s="143" t="s">
        <v>1970</v>
      </c>
      <c r="AL444" s="169" t="s">
        <v>1971</v>
      </c>
      <c r="AM444" s="148"/>
      <c r="AN444" s="135" t="s">
        <v>76</v>
      </c>
      <c r="AO444" s="148" t="s">
        <v>102</v>
      </c>
      <c r="AP444" s="135">
        <v>44856</v>
      </c>
      <c r="AQ444" s="143" t="s">
        <v>3413</v>
      </c>
      <c r="AR444" s="153" t="s">
        <v>76</v>
      </c>
      <c r="AS444" s="143" t="s">
        <v>3413</v>
      </c>
      <c r="AT444" s="143" t="s">
        <v>98</v>
      </c>
      <c r="AU444" s="143" t="s">
        <v>876</v>
      </c>
      <c r="AV444" s="135" t="s">
        <v>1972</v>
      </c>
      <c r="AW444" s="143">
        <v>10</v>
      </c>
      <c r="AX444" s="143" t="s">
        <v>1973</v>
      </c>
      <c r="AY444" s="143" t="s">
        <v>1974</v>
      </c>
      <c r="AZ444" s="151" t="s">
        <v>1975</v>
      </c>
      <c r="BA444" s="135" t="s">
        <v>101</v>
      </c>
      <c r="BB444" s="135"/>
      <c r="BC444" s="151">
        <f>2590+901.51+300.24+152.8+155.52+108.86+50</f>
        <v>4258.93</v>
      </c>
      <c r="BD444" s="151"/>
      <c r="BE444" s="151">
        <v>750</v>
      </c>
      <c r="BF444" s="151">
        <f>BC444+BE444-150</f>
        <v>4858.93</v>
      </c>
      <c r="BG444" s="151">
        <f t="shared" si="28"/>
        <v>267.24115</v>
      </c>
      <c r="BH444" s="151">
        <f>BF444*1.055</f>
        <v>5126.1711500000001</v>
      </c>
      <c r="BI444" s="151">
        <v>5126.17</v>
      </c>
      <c r="BJ444" s="135" t="s">
        <v>144</v>
      </c>
      <c r="BK444" s="135"/>
      <c r="BL444" s="135"/>
      <c r="BM444" s="144" t="s">
        <v>3592</v>
      </c>
      <c r="BN444" s="143">
        <v>2022</v>
      </c>
      <c r="BO444" s="135" t="s">
        <v>155</v>
      </c>
      <c r="BP444" s="143" t="s">
        <v>3583</v>
      </c>
      <c r="BQ444" s="203" t="s">
        <v>144</v>
      </c>
    </row>
    <row r="445" spans="1:69" ht="41.1" customHeight="1">
      <c r="A445" s="218" t="s">
        <v>1353</v>
      </c>
      <c r="B445" s="218" t="s">
        <v>1976</v>
      </c>
      <c r="C445" s="143">
        <v>600</v>
      </c>
      <c r="D445" s="135">
        <v>44699</v>
      </c>
      <c r="E445" s="135">
        <v>44700</v>
      </c>
      <c r="F445" s="182">
        <v>44719</v>
      </c>
      <c r="G445" s="144" t="s">
        <v>1707</v>
      </c>
      <c r="H445" s="135">
        <v>44743</v>
      </c>
      <c r="I445" s="135">
        <v>44743</v>
      </c>
      <c r="J445" s="182">
        <v>44750</v>
      </c>
      <c r="K445" s="182">
        <v>44812</v>
      </c>
      <c r="L445" s="135">
        <v>44803</v>
      </c>
      <c r="M445" s="135" t="s">
        <v>76</v>
      </c>
      <c r="N445" s="135">
        <v>44816</v>
      </c>
      <c r="O445" s="135">
        <v>44816</v>
      </c>
      <c r="P445" s="135">
        <v>44824</v>
      </c>
      <c r="Q445" s="135"/>
      <c r="R445" s="135"/>
      <c r="S445" s="135"/>
      <c r="T445" s="135"/>
      <c r="U445" s="144">
        <v>1</v>
      </c>
      <c r="V445" s="143">
        <v>29875</v>
      </c>
      <c r="W445" s="143" t="str">
        <f ca="1">IF(H445="",IF(D445="","",IF(U445+V445&lt;15,"Données Nb pers ou RFR manquantes",IF(COUNTA(INDIRECT("TabRFR["&amp;YEAR(D445)&amp;"]"))&lt;&gt;COUNTA(TabRFR[Recherche RFR]),"Data RFR manquantes", IF(V445&lt;=INDEX(TabRFR[[2021]:[2025]],MATCH(BD!U445&amp;"-Très modestes",TabRFR[Recherche RFR],0),MATCH(TEXT(YEAR(BD!D445),"Standard"),TabRFR[[#Headers],[2021]:[2025]],0)),"Très Modeste",IF(V445&lt;=INDEX(TabRFR[[2021]:[2025]],MATCH(BD!U445&amp;"-modestes",TabRFR[Recherche RFR],0),MATCH(TEXT(YEAR(BD!D445),"Standard"),TabRFR[[#Headers],[2021]:[2025]],0)),"Modeste",IF(V445&lt;=INDEX(TabRFR[[2021]:[2025]],MATCH(BD!U445&amp;"-Intermédiaire",TabRFR[Recherche RFR],0),MATCH(TEXT(YEAR(BD!D445),"Standard"),TabRFR[[#Headers],[2021]:[2025]],0)),"Intermédiaire","Supérieur")))))),IF(D445="","",IF(U445+V445&lt;15,"Données Nb pers ou RFR manquantes",IF(COUNTA(INDIRECT("TabRFR["&amp;YEAR(H445)&amp;"]"))&lt;&gt;COUNTA(TabRFR[Recherche RFR]),"Data RFR manquantes", IF(V445&lt;=INDEX(TabRFR[[2021]:[2025]],MATCH(BD!U445&amp;"-Très modestes",TabRFR[Recherche RFR],0),MATCH(TEXT(YEAR(BD!H445),"Standard"),TabRFR[[#Headers],[2021]:[2025]],0)),"Très Modeste",IF(V445&lt;=INDEX(TabRFR[[2021]:[2025]],MATCH(BD!U445&amp;"-modestes",TabRFR[Recherche RFR],0),MATCH(TEXT(YEAR(BD!H445),"Standard"),TabRFR[[#Headers],[2021]:[2025]],0)),"Modeste",IF(V445&lt;=INDEX(TabRFR[[2021]:[2025]],MATCH(BD!U445&amp;"-Intermédiaire",TabRFR[Recherche RFR],0),MATCH(TEXT(YEAR(BD!H445),"Standard"),TabRFR[[#Headers],[2021]:[2025]],0)),"Intermédiaire","Supérieur")))))))</f>
        <v>Supérieur</v>
      </c>
      <c r="X445" s="144"/>
      <c r="Y445" s="135" t="s">
        <v>1977</v>
      </c>
      <c r="Z445" s="144">
        <v>38850</v>
      </c>
      <c r="AA445" s="135" t="s">
        <v>193</v>
      </c>
      <c r="AB445" s="148"/>
      <c r="AC445" s="149"/>
      <c r="AD445" s="135" t="s">
        <v>91</v>
      </c>
      <c r="AE445" s="135"/>
      <c r="AF445" s="135"/>
      <c r="AG445" s="135"/>
      <c r="AH445" s="135"/>
      <c r="AI445" s="143" t="s">
        <v>109</v>
      </c>
      <c r="AJ445" s="143" t="s">
        <v>108</v>
      </c>
      <c r="AK445" s="143" t="s">
        <v>110</v>
      </c>
      <c r="AL445" s="183" t="s">
        <v>111</v>
      </c>
      <c r="AM445" s="148" t="s">
        <v>112</v>
      </c>
      <c r="AN445" s="135"/>
      <c r="AO445" s="148" t="s">
        <v>144</v>
      </c>
      <c r="AP445" s="135">
        <v>44868</v>
      </c>
      <c r="AQ445" s="135" t="s">
        <v>3496</v>
      </c>
      <c r="AR445" s="143">
        <v>1984</v>
      </c>
      <c r="AS445" s="135" t="s">
        <v>3496</v>
      </c>
      <c r="AT445" s="135" t="s">
        <v>3446</v>
      </c>
      <c r="AU445" s="143" t="s">
        <v>1979</v>
      </c>
      <c r="AV445" s="135" t="s">
        <v>1285</v>
      </c>
      <c r="AW445" s="143">
        <v>18</v>
      </c>
      <c r="AX445" s="143">
        <v>10.6</v>
      </c>
      <c r="AY445" s="143">
        <v>88</v>
      </c>
      <c r="AZ445" s="151">
        <v>6.5040000000000001E-2</v>
      </c>
      <c r="BA445" s="135" t="s">
        <v>101</v>
      </c>
      <c r="BB445" s="135"/>
      <c r="BC445" s="151">
        <f>3282.62+138+83+89+90+22+25-498</f>
        <v>3231.62</v>
      </c>
      <c r="BD445" s="151">
        <f>3282.62+138+83+89+90+22+25</f>
        <v>3729.62</v>
      </c>
      <c r="BE445" s="151">
        <f>450+420+60</f>
        <v>930</v>
      </c>
      <c r="BF445" s="151">
        <f>BC445+BE445</f>
        <v>4161.62</v>
      </c>
      <c r="BG445" s="151">
        <f t="shared" si="28"/>
        <v>228.88909999999998</v>
      </c>
      <c r="BH445" s="151">
        <f>BF445+BG445</f>
        <v>4390.5091000000002</v>
      </c>
      <c r="BI445" s="151">
        <v>4390.51</v>
      </c>
      <c r="BJ445" s="135" t="s">
        <v>102</v>
      </c>
      <c r="BK445" s="135"/>
      <c r="BL445" s="135"/>
      <c r="BM445" s="144" t="s">
        <v>3592</v>
      </c>
      <c r="BN445" s="143">
        <v>2022</v>
      </c>
      <c r="BO445" s="144" t="s">
        <v>143</v>
      </c>
      <c r="BP445" s="144">
        <v>2022</v>
      </c>
      <c r="BQ445" s="203" t="s">
        <v>144</v>
      </c>
    </row>
    <row r="446" spans="1:69" ht="41.1" customHeight="1">
      <c r="A446" s="218" t="s">
        <v>1705</v>
      </c>
      <c r="B446" s="218" t="s">
        <v>1980</v>
      </c>
      <c r="C446" s="143">
        <v>600</v>
      </c>
      <c r="D446" s="135">
        <v>44701</v>
      </c>
      <c r="E446" s="135">
        <v>44712</v>
      </c>
      <c r="F446" s="144" t="s">
        <v>76</v>
      </c>
      <c r="G446" s="143" t="s">
        <v>1981</v>
      </c>
      <c r="H446" s="135">
        <v>44727</v>
      </c>
      <c r="I446" s="135">
        <v>44727</v>
      </c>
      <c r="J446" s="135">
        <v>44729</v>
      </c>
      <c r="K446" s="135">
        <v>44943</v>
      </c>
      <c r="L446" s="135">
        <v>44879</v>
      </c>
      <c r="M446" s="135" t="s">
        <v>76</v>
      </c>
      <c r="N446" s="135">
        <v>45001</v>
      </c>
      <c r="O446" s="135">
        <v>45002</v>
      </c>
      <c r="P446" s="135">
        <v>45005</v>
      </c>
      <c r="Q446" s="135"/>
      <c r="R446" s="135"/>
      <c r="S446" s="135"/>
      <c r="T446" s="135"/>
      <c r="U446" s="144">
        <v>4</v>
      </c>
      <c r="V446" s="143">
        <v>48824</v>
      </c>
      <c r="W446" s="143" t="str">
        <f ca="1">IF(H446="",IF(D446="","",IF(U446+V446&lt;15,"Données Nb pers ou RFR manquantes",IF(COUNTA(INDIRECT("TabRFR["&amp;YEAR(D446)&amp;"]"))&lt;&gt;COUNTA(TabRFR[Recherche RFR]),"Data RFR manquantes", IF(V446&lt;=INDEX(TabRFR[[2021]:[2025]],MATCH(BD!U446&amp;"-Très modestes",TabRFR[Recherche RFR],0),MATCH(TEXT(YEAR(BD!D446),"Standard"),TabRFR[[#Headers],[2021]:[2025]],0)),"Très Modeste",IF(V446&lt;=INDEX(TabRFR[[2021]:[2025]],MATCH(BD!U446&amp;"-modestes",TabRFR[Recherche RFR],0),MATCH(TEXT(YEAR(BD!D446),"Standard"),TabRFR[[#Headers],[2021]:[2025]],0)),"Modeste",IF(V446&lt;=INDEX(TabRFR[[2021]:[2025]],MATCH(BD!U446&amp;"-Intermédiaire",TabRFR[Recherche RFR],0),MATCH(TEXT(YEAR(BD!D446),"Standard"),TabRFR[[#Headers],[2021]:[2025]],0)),"Intermédiaire","Supérieur")))))),IF(D446="","",IF(U446+V446&lt;15,"Données Nb pers ou RFR manquantes",IF(COUNTA(INDIRECT("TabRFR["&amp;YEAR(H446)&amp;"]"))&lt;&gt;COUNTA(TabRFR[Recherche RFR]),"Data RFR manquantes", IF(V446&lt;=INDEX(TabRFR[[2021]:[2025]],MATCH(BD!U446&amp;"-Très modestes",TabRFR[Recherche RFR],0),MATCH(TEXT(YEAR(BD!H446),"Standard"),TabRFR[[#Headers],[2021]:[2025]],0)),"Très Modeste",IF(V446&lt;=INDEX(TabRFR[[2021]:[2025]],MATCH(BD!U446&amp;"-modestes",TabRFR[Recherche RFR],0),MATCH(TEXT(YEAR(BD!H446),"Standard"),TabRFR[[#Headers],[2021]:[2025]],0)),"Modeste",IF(V446&lt;=INDEX(TabRFR[[2021]:[2025]],MATCH(BD!U446&amp;"-Intermédiaire",TabRFR[Recherche RFR],0),MATCH(TEXT(YEAR(BD!H446),"Standard"),TabRFR[[#Headers],[2021]:[2025]],0)),"Intermédiaire","Supérieur")))))))</f>
        <v>Intermédiaire</v>
      </c>
      <c r="X446" s="144"/>
      <c r="Y446" s="135" t="s">
        <v>1982</v>
      </c>
      <c r="Z446" s="144">
        <v>38140</v>
      </c>
      <c r="AA446" s="143" t="s">
        <v>159</v>
      </c>
      <c r="AB446" s="148"/>
      <c r="AC446" s="149"/>
      <c r="AD446" s="135" t="s">
        <v>91</v>
      </c>
      <c r="AE446" s="143" t="s">
        <v>76</v>
      </c>
      <c r="AF446" s="143" t="s">
        <v>76</v>
      </c>
      <c r="AG446" s="143" t="s">
        <v>76</v>
      </c>
      <c r="AH446" s="143" t="s">
        <v>76</v>
      </c>
      <c r="AI446" s="135" t="s">
        <v>1983</v>
      </c>
      <c r="AJ446" s="143" t="s">
        <v>789</v>
      </c>
      <c r="AK446" s="143" t="s">
        <v>1984</v>
      </c>
      <c r="AL446" s="169" t="s">
        <v>1985</v>
      </c>
      <c r="AM446" s="148">
        <v>476911347</v>
      </c>
      <c r="AN446" s="135" t="s">
        <v>76</v>
      </c>
      <c r="AO446" s="148" t="s">
        <v>102</v>
      </c>
      <c r="AP446" s="135">
        <v>45079</v>
      </c>
      <c r="AQ446" s="135" t="s">
        <v>76</v>
      </c>
      <c r="AR446" s="143" t="s">
        <v>76</v>
      </c>
      <c r="AS446" s="143" t="s">
        <v>3413</v>
      </c>
      <c r="AT446" s="135" t="s">
        <v>3446</v>
      </c>
      <c r="AU446" s="143" t="s">
        <v>1634</v>
      </c>
      <c r="AV446" s="135" t="s">
        <v>1986</v>
      </c>
      <c r="AW446" s="143">
        <v>26</v>
      </c>
      <c r="AX446" s="143">
        <v>8</v>
      </c>
      <c r="AY446" s="143">
        <v>78</v>
      </c>
      <c r="AZ446" s="151" t="s">
        <v>1775</v>
      </c>
      <c r="BA446" s="135" t="s">
        <v>101</v>
      </c>
      <c r="BB446" s="135"/>
      <c r="BC446" s="151">
        <f>3120+200+175+260+340+290+375+397</f>
        <v>5157</v>
      </c>
      <c r="BD446" s="151"/>
      <c r="BE446" s="151">
        <v>77.349999999999994</v>
      </c>
      <c r="BF446" s="151">
        <f>BC446+BE446</f>
        <v>5234.3500000000004</v>
      </c>
      <c r="BG446" s="151">
        <f t="shared" si="28"/>
        <v>287.88925</v>
      </c>
      <c r="BH446" s="151">
        <f>BF446+BG446</f>
        <v>5522.2392500000005</v>
      </c>
      <c r="BI446" s="151">
        <v>5522.24</v>
      </c>
      <c r="BJ446" s="135" t="s">
        <v>115</v>
      </c>
      <c r="BK446" s="135"/>
      <c r="BL446" s="135"/>
      <c r="BM446" s="144" t="s">
        <v>3592</v>
      </c>
      <c r="BN446" s="143">
        <v>2022</v>
      </c>
      <c r="BO446" s="144" t="s">
        <v>143</v>
      </c>
      <c r="BP446" s="144">
        <v>2022</v>
      </c>
      <c r="BQ446" s="203" t="s">
        <v>3274</v>
      </c>
    </row>
    <row r="447" spans="1:69" ht="41.1" customHeight="1">
      <c r="A447" s="219" t="s">
        <v>1705</v>
      </c>
      <c r="B447" s="219" t="s">
        <v>1987</v>
      </c>
      <c r="C447" s="143">
        <v>1000</v>
      </c>
      <c r="D447" s="135">
        <v>44701</v>
      </c>
      <c r="E447" s="135">
        <v>44712</v>
      </c>
      <c r="F447" s="182">
        <v>44726</v>
      </c>
      <c r="G447" s="144" t="s">
        <v>1498</v>
      </c>
      <c r="H447" s="135">
        <v>44729</v>
      </c>
      <c r="I447" s="135">
        <v>44729</v>
      </c>
      <c r="J447" s="135">
        <v>44748</v>
      </c>
      <c r="K447" s="135"/>
      <c r="L447" s="135"/>
      <c r="M447" s="135" t="s">
        <v>3395</v>
      </c>
      <c r="N447" s="135"/>
      <c r="O447" s="135"/>
      <c r="P447" s="135"/>
      <c r="Q447" s="135"/>
      <c r="R447" s="135"/>
      <c r="S447" s="135"/>
      <c r="T447" s="135"/>
      <c r="U447" s="144">
        <v>1</v>
      </c>
      <c r="V447" s="143">
        <v>12460</v>
      </c>
      <c r="W447" s="143" t="str">
        <f ca="1">IF(H447="",IF(D447="","",IF(U447+V447&lt;15,"Données Nb pers ou RFR manquantes",IF(COUNTA(INDIRECT("TabRFR["&amp;YEAR(D447)&amp;"]"))&lt;&gt;COUNTA(TabRFR[Recherche RFR]),"Data RFR manquantes", IF(V447&lt;=INDEX(TabRFR[[2021]:[2025]],MATCH(BD!U447&amp;"-Très modestes",TabRFR[Recherche RFR],0),MATCH(TEXT(YEAR(BD!D447),"Standard"),TabRFR[[#Headers],[2021]:[2025]],0)),"Très Modeste",IF(V447&lt;=INDEX(TabRFR[[2021]:[2025]],MATCH(BD!U447&amp;"-modestes",TabRFR[Recherche RFR],0),MATCH(TEXT(YEAR(BD!D447),"Standard"),TabRFR[[#Headers],[2021]:[2025]],0)),"Modeste",IF(V447&lt;=INDEX(TabRFR[[2021]:[2025]],MATCH(BD!U447&amp;"-Intermédiaire",TabRFR[Recherche RFR],0),MATCH(TEXT(YEAR(BD!D447),"Standard"),TabRFR[[#Headers],[2021]:[2025]],0)),"Intermédiaire","Supérieur")))))),IF(D447="","",IF(U447+V447&lt;15,"Données Nb pers ou RFR manquantes",IF(COUNTA(INDIRECT("TabRFR["&amp;YEAR(H447)&amp;"]"))&lt;&gt;COUNTA(TabRFR[Recherche RFR]),"Data RFR manquantes", IF(V447&lt;=INDEX(TabRFR[[2021]:[2025]],MATCH(BD!U447&amp;"-Très modestes",TabRFR[Recherche RFR],0),MATCH(TEXT(YEAR(BD!H447),"Standard"),TabRFR[[#Headers],[2021]:[2025]],0)),"Très Modeste",IF(V447&lt;=INDEX(TabRFR[[2021]:[2025]],MATCH(BD!U447&amp;"-modestes",TabRFR[Recherche RFR],0),MATCH(TEXT(YEAR(BD!H447),"Standard"),TabRFR[[#Headers],[2021]:[2025]],0)),"Modeste",IF(V447&lt;=INDEX(TabRFR[[2021]:[2025]],MATCH(BD!U447&amp;"-Intermédiaire",TabRFR[Recherche RFR],0),MATCH(TEXT(YEAR(BD!H447),"Standard"),TabRFR[[#Headers],[2021]:[2025]],0)),"Intermédiaire","Supérieur")))))))</f>
        <v>Très Modeste</v>
      </c>
      <c r="X447" s="144"/>
      <c r="Y447" s="135" t="s">
        <v>922</v>
      </c>
      <c r="Z447" s="144">
        <v>38620</v>
      </c>
      <c r="AA447" s="143" t="s">
        <v>680</v>
      </c>
      <c r="AB447" s="148"/>
      <c r="AC447" s="149"/>
      <c r="AD447" s="135" t="s">
        <v>91</v>
      </c>
      <c r="AE447" s="135"/>
      <c r="AF447" s="135"/>
      <c r="AG447" s="135"/>
      <c r="AH447" s="135"/>
      <c r="AI447" s="135" t="s">
        <v>1988</v>
      </c>
      <c r="AJ447" s="143" t="s">
        <v>93</v>
      </c>
      <c r="AK447" s="143" t="s">
        <v>94</v>
      </c>
      <c r="AL447" s="169" t="s">
        <v>1989</v>
      </c>
      <c r="AM447" s="148">
        <v>476370350</v>
      </c>
      <c r="AN447" s="135" t="s">
        <v>76</v>
      </c>
      <c r="AO447" s="148" t="s">
        <v>102</v>
      </c>
      <c r="AP447" s="135">
        <v>45186</v>
      </c>
      <c r="AQ447" s="143" t="s">
        <v>3413</v>
      </c>
      <c r="AR447" s="143">
        <v>1960</v>
      </c>
      <c r="AS447" s="143" t="s">
        <v>3413</v>
      </c>
      <c r="AT447" s="143" t="s">
        <v>98</v>
      </c>
      <c r="AU447" s="143" t="s">
        <v>1990</v>
      </c>
      <c r="AV447" s="135" t="s">
        <v>1991</v>
      </c>
      <c r="AW447" s="143">
        <v>8</v>
      </c>
      <c r="AX447" s="143">
        <v>9</v>
      </c>
      <c r="AY447" s="143" t="s">
        <v>1992</v>
      </c>
      <c r="AZ447" s="151" t="s">
        <v>1993</v>
      </c>
      <c r="BA447" s="135" t="s">
        <v>101</v>
      </c>
      <c r="BB447" s="135"/>
      <c r="BC447" s="151">
        <f>3370+790+263+1395+195+198+394</f>
        <v>6605</v>
      </c>
      <c r="BD447" s="151"/>
      <c r="BE447" s="151">
        <f>120+350</f>
        <v>470</v>
      </c>
      <c r="BF447" s="151">
        <f>BC447+BE447</f>
        <v>7075</v>
      </c>
      <c r="BG447" s="151">
        <f t="shared" si="28"/>
        <v>389.125</v>
      </c>
      <c r="BH447" s="151">
        <f>BF447*1.055</f>
        <v>7464.125</v>
      </c>
      <c r="BI447" s="135"/>
      <c r="BJ447" s="135" t="s">
        <v>144</v>
      </c>
      <c r="BK447" s="135"/>
      <c r="BL447" s="135"/>
      <c r="BM447" s="144" t="s">
        <v>3592</v>
      </c>
      <c r="BN447" s="143">
        <v>2022</v>
      </c>
      <c r="BO447" s="135" t="s">
        <v>155</v>
      </c>
      <c r="BP447" s="143" t="s">
        <v>3583</v>
      </c>
      <c r="BQ447" s="203"/>
    </row>
    <row r="448" spans="1:69" ht="41.1" customHeight="1">
      <c r="A448" s="218" t="s">
        <v>1705</v>
      </c>
      <c r="B448" s="218" t="s">
        <v>1994</v>
      </c>
      <c r="C448" s="143">
        <v>600</v>
      </c>
      <c r="D448" s="135">
        <v>44701</v>
      </c>
      <c r="E448" s="135">
        <v>44712</v>
      </c>
      <c r="F448" s="182">
        <v>44726</v>
      </c>
      <c r="G448" s="143" t="s">
        <v>1995</v>
      </c>
      <c r="H448" s="135">
        <v>44763</v>
      </c>
      <c r="I448" s="135">
        <v>44763</v>
      </c>
      <c r="J448" s="135">
        <v>44768</v>
      </c>
      <c r="K448" s="135">
        <v>44782</v>
      </c>
      <c r="L448" s="135">
        <v>44769</v>
      </c>
      <c r="M448" s="135" t="s">
        <v>1319</v>
      </c>
      <c r="N448" s="135">
        <v>44823</v>
      </c>
      <c r="O448" s="135">
        <v>44823</v>
      </c>
      <c r="P448" s="135">
        <v>44824</v>
      </c>
      <c r="Q448" s="135"/>
      <c r="R448" s="135"/>
      <c r="S448" s="135"/>
      <c r="T448" s="135"/>
      <c r="U448" s="144">
        <v>2</v>
      </c>
      <c r="V448" s="143">
        <v>31778</v>
      </c>
      <c r="W448" s="143" t="str">
        <f ca="1">IF(H448="",IF(D448="","",IF(U448+V448&lt;15,"Données Nb pers ou RFR manquantes",IF(COUNTA(INDIRECT("TabRFR["&amp;YEAR(D448)&amp;"]"))&lt;&gt;COUNTA(TabRFR[Recherche RFR]),"Data RFR manquantes", IF(V448&lt;=INDEX(TabRFR[[2021]:[2025]],MATCH(BD!U448&amp;"-Très modestes",TabRFR[Recherche RFR],0),MATCH(TEXT(YEAR(BD!D448),"Standard"),TabRFR[[#Headers],[2021]:[2025]],0)),"Très Modeste",IF(V448&lt;=INDEX(TabRFR[[2021]:[2025]],MATCH(BD!U448&amp;"-modestes",TabRFR[Recherche RFR],0),MATCH(TEXT(YEAR(BD!D448),"Standard"),TabRFR[[#Headers],[2021]:[2025]],0)),"Modeste",IF(V448&lt;=INDEX(TabRFR[[2021]:[2025]],MATCH(BD!U448&amp;"-Intermédiaire",TabRFR[Recherche RFR],0),MATCH(TEXT(YEAR(BD!D448),"Standard"),TabRFR[[#Headers],[2021]:[2025]],0)),"Intermédiaire","Supérieur")))))),IF(D448="","",IF(U448+V448&lt;15,"Données Nb pers ou RFR manquantes",IF(COUNTA(INDIRECT("TabRFR["&amp;YEAR(H448)&amp;"]"))&lt;&gt;COUNTA(TabRFR[Recherche RFR]),"Data RFR manquantes", IF(V448&lt;=INDEX(TabRFR[[2021]:[2025]],MATCH(BD!U448&amp;"-Très modestes",TabRFR[Recherche RFR],0),MATCH(TEXT(YEAR(BD!H448),"Standard"),TabRFR[[#Headers],[2021]:[2025]],0)),"Très Modeste",IF(V448&lt;=INDEX(TabRFR[[2021]:[2025]],MATCH(BD!U448&amp;"-modestes",TabRFR[Recherche RFR],0),MATCH(TEXT(YEAR(BD!H448),"Standard"),TabRFR[[#Headers],[2021]:[2025]],0)),"Modeste",IF(V448&lt;=INDEX(TabRFR[[2021]:[2025]],MATCH(BD!U448&amp;"-Intermédiaire",TabRFR[Recherche RFR],0),MATCH(TEXT(YEAR(BD!H448),"Standard"),TabRFR[[#Headers],[2021]:[2025]],0)),"Intermédiaire","Supérieur")))))))</f>
        <v>Intermédiaire</v>
      </c>
      <c r="X448" s="144"/>
      <c r="Y448" s="135" t="s">
        <v>245</v>
      </c>
      <c r="Z448" s="144">
        <v>38210</v>
      </c>
      <c r="AA448" s="135" t="s">
        <v>130</v>
      </c>
      <c r="AB448" s="148"/>
      <c r="AC448" s="149"/>
      <c r="AD448" s="135" t="s">
        <v>91</v>
      </c>
      <c r="AE448" s="135"/>
      <c r="AF448" s="135"/>
      <c r="AG448" s="135"/>
      <c r="AH448" s="135"/>
      <c r="AI448" s="184" t="s">
        <v>886</v>
      </c>
      <c r="AJ448" s="155" t="s">
        <v>1132</v>
      </c>
      <c r="AK448" s="155" t="s">
        <v>886</v>
      </c>
      <c r="AL448" s="155" t="s">
        <v>1996</v>
      </c>
      <c r="AM448" s="185"/>
      <c r="AN448" s="185" t="s">
        <v>1997</v>
      </c>
      <c r="AO448" s="148" t="s">
        <v>102</v>
      </c>
      <c r="AP448" s="135">
        <v>45073</v>
      </c>
      <c r="AQ448" s="135" t="s">
        <v>3449</v>
      </c>
      <c r="AR448" s="143">
        <v>1997</v>
      </c>
      <c r="AS448" s="143" t="s">
        <v>3413</v>
      </c>
      <c r="AT448" s="135" t="s">
        <v>3446</v>
      </c>
      <c r="AU448" s="143" t="s">
        <v>1998</v>
      </c>
      <c r="AV448" s="135" t="s">
        <v>1999</v>
      </c>
      <c r="AW448" s="143">
        <v>21</v>
      </c>
      <c r="AX448" s="143" t="s">
        <v>2000</v>
      </c>
      <c r="AY448" s="143">
        <v>78</v>
      </c>
      <c r="AZ448" s="151" t="s">
        <v>2001</v>
      </c>
      <c r="BA448" s="135" t="s">
        <v>101</v>
      </c>
      <c r="BB448" s="135"/>
      <c r="BC448" s="151">
        <f>(3214.85-940-185)/1.055</f>
        <v>1980.9004739336492</v>
      </c>
      <c r="BD448" s="151"/>
      <c r="BE448" s="151">
        <f>(940+185)/1.055</f>
        <v>1066.350710900474</v>
      </c>
      <c r="BF448" s="151">
        <f>BC448+BE448</f>
        <v>3047.2511848341233</v>
      </c>
      <c r="BG448" s="151">
        <f t="shared" si="28"/>
        <v>167.59881516587677</v>
      </c>
      <c r="BH448" s="151">
        <f>BF448+BG448</f>
        <v>3214.85</v>
      </c>
      <c r="BI448" s="151">
        <v>3214.85</v>
      </c>
      <c r="BJ448" s="135" t="s">
        <v>102</v>
      </c>
      <c r="BK448" s="135"/>
      <c r="BL448" s="135"/>
      <c r="BM448" s="144" t="s">
        <v>3592</v>
      </c>
      <c r="BN448" s="143">
        <v>2022</v>
      </c>
      <c r="BO448" s="144" t="s">
        <v>143</v>
      </c>
      <c r="BP448" s="144">
        <v>2022</v>
      </c>
      <c r="BQ448" s="203" t="s">
        <v>144</v>
      </c>
    </row>
    <row r="449" spans="1:69" ht="41.1" customHeight="1">
      <c r="A449" s="219" t="s">
        <v>1705</v>
      </c>
      <c r="B449" s="219" t="s">
        <v>2002</v>
      </c>
      <c r="C449" s="143">
        <v>600</v>
      </c>
      <c r="D449" s="135">
        <v>44706</v>
      </c>
      <c r="E449" s="135">
        <v>44712</v>
      </c>
      <c r="F449" s="182">
        <v>44726</v>
      </c>
      <c r="G449" s="144" t="s">
        <v>1707</v>
      </c>
      <c r="H449" s="135">
        <v>44763</v>
      </c>
      <c r="I449" s="135">
        <v>44763</v>
      </c>
      <c r="J449" s="135">
        <v>44768</v>
      </c>
      <c r="K449" s="135"/>
      <c r="L449" s="135"/>
      <c r="M449" s="135" t="s">
        <v>3392</v>
      </c>
      <c r="N449" s="135"/>
      <c r="O449" s="135"/>
      <c r="P449" s="135"/>
      <c r="Q449" s="135"/>
      <c r="R449" s="135"/>
      <c r="S449" s="135"/>
      <c r="T449" s="135"/>
      <c r="U449" s="144">
        <v>2</v>
      </c>
      <c r="V449" s="143">
        <v>64007</v>
      </c>
      <c r="W449" s="143" t="str">
        <f ca="1">IF(H449="",IF(D449="","",IF(U449+V449&lt;15,"Données Nb pers ou RFR manquantes",IF(COUNTA(INDIRECT("TabRFR["&amp;YEAR(D449)&amp;"]"))&lt;&gt;COUNTA(TabRFR[Recherche RFR]),"Data RFR manquantes", IF(V449&lt;=INDEX(TabRFR[[2021]:[2025]],MATCH(BD!U449&amp;"-Très modestes",TabRFR[Recherche RFR],0),MATCH(TEXT(YEAR(BD!D449),"Standard"),TabRFR[[#Headers],[2021]:[2025]],0)),"Très Modeste",IF(V449&lt;=INDEX(TabRFR[[2021]:[2025]],MATCH(BD!U449&amp;"-modestes",TabRFR[Recherche RFR],0),MATCH(TEXT(YEAR(BD!D449),"Standard"),TabRFR[[#Headers],[2021]:[2025]],0)),"Modeste",IF(V449&lt;=INDEX(TabRFR[[2021]:[2025]],MATCH(BD!U449&amp;"-Intermédiaire",TabRFR[Recherche RFR],0),MATCH(TEXT(YEAR(BD!D449),"Standard"),TabRFR[[#Headers],[2021]:[2025]],0)),"Intermédiaire","Supérieur")))))),IF(D449="","",IF(U449+V449&lt;15,"Données Nb pers ou RFR manquantes",IF(COUNTA(INDIRECT("TabRFR["&amp;YEAR(H449)&amp;"]"))&lt;&gt;COUNTA(TabRFR[Recherche RFR]),"Data RFR manquantes", IF(V449&lt;=INDEX(TabRFR[[2021]:[2025]],MATCH(BD!U449&amp;"-Très modestes",TabRFR[Recherche RFR],0),MATCH(TEXT(YEAR(BD!H449),"Standard"),TabRFR[[#Headers],[2021]:[2025]],0)),"Très Modeste",IF(V449&lt;=INDEX(TabRFR[[2021]:[2025]],MATCH(BD!U449&amp;"-modestes",TabRFR[Recherche RFR],0),MATCH(TEXT(YEAR(BD!H449),"Standard"),TabRFR[[#Headers],[2021]:[2025]],0)),"Modeste",IF(V449&lt;=INDEX(TabRFR[[2021]:[2025]],MATCH(BD!U449&amp;"-Intermédiaire",TabRFR[Recherche RFR],0),MATCH(TEXT(YEAR(BD!H449),"Standard"),TabRFR[[#Headers],[2021]:[2025]],0)),"Intermédiaire","Supérieur")))))))</f>
        <v>Supérieur</v>
      </c>
      <c r="X449" s="144"/>
      <c r="Y449" s="135" t="s">
        <v>2003</v>
      </c>
      <c r="Z449" s="144">
        <v>38500</v>
      </c>
      <c r="AA449" s="135" t="s">
        <v>284</v>
      </c>
      <c r="AB449" s="148"/>
      <c r="AC449" s="149"/>
      <c r="AD449" s="135" t="s">
        <v>91</v>
      </c>
      <c r="AE449" s="135"/>
      <c r="AF449" s="135"/>
      <c r="AG449" s="135"/>
      <c r="AH449" s="135"/>
      <c r="AI449" s="135" t="s">
        <v>285</v>
      </c>
      <c r="AJ449" s="143" t="s">
        <v>108</v>
      </c>
      <c r="AK449" s="143" t="s">
        <v>285</v>
      </c>
      <c r="AL449" s="169" t="s">
        <v>287</v>
      </c>
      <c r="AM449" s="148">
        <v>476069938</v>
      </c>
      <c r="AN449" s="135" t="s">
        <v>76</v>
      </c>
      <c r="AO449" s="148" t="s">
        <v>102</v>
      </c>
      <c r="AP449" s="135">
        <v>45192</v>
      </c>
      <c r="AQ449" s="135" t="s">
        <v>3496</v>
      </c>
      <c r="AR449" s="143">
        <v>2000</v>
      </c>
      <c r="AS449" s="135" t="s">
        <v>3496</v>
      </c>
      <c r="AT449" s="135" t="s">
        <v>3446</v>
      </c>
      <c r="AU449" s="143" t="s">
        <v>2004</v>
      </c>
      <c r="AV449" s="135" t="s">
        <v>2005</v>
      </c>
      <c r="AW449" s="143">
        <v>15</v>
      </c>
      <c r="AX449" s="143">
        <v>12.3</v>
      </c>
      <c r="AY449" s="143">
        <v>84.7</v>
      </c>
      <c r="AZ449" s="151">
        <v>74.7</v>
      </c>
      <c r="BA449" s="135" t="s">
        <v>1401</v>
      </c>
      <c r="BB449" s="135"/>
      <c r="BC449" s="151">
        <f>290+790+990+89+6253+790</f>
        <v>9202</v>
      </c>
      <c r="BD449" s="151"/>
      <c r="BE449" s="151">
        <v>690</v>
      </c>
      <c r="BF449" s="151">
        <f>BC449+BE449</f>
        <v>9892</v>
      </c>
      <c r="BG449" s="151">
        <f t="shared" si="28"/>
        <v>544.06000000000006</v>
      </c>
      <c r="BH449" s="151">
        <f t="shared" ref="BH449:BH459" si="29">BF449*1.055</f>
        <v>10436.06</v>
      </c>
      <c r="BI449" s="135"/>
      <c r="BJ449" s="135" t="s">
        <v>144</v>
      </c>
      <c r="BK449" s="135"/>
      <c r="BL449" s="135"/>
      <c r="BM449" s="144" t="s">
        <v>3592</v>
      </c>
      <c r="BN449" s="143">
        <v>2022</v>
      </c>
      <c r="BO449" s="144" t="s">
        <v>143</v>
      </c>
      <c r="BP449" s="144">
        <v>2022</v>
      </c>
      <c r="BQ449" s="203"/>
    </row>
    <row r="450" spans="1:69" ht="41.1" customHeight="1">
      <c r="A450" s="218" t="s">
        <v>1705</v>
      </c>
      <c r="B450" s="218" t="s">
        <v>2006</v>
      </c>
      <c r="C450" s="143">
        <v>600</v>
      </c>
      <c r="D450" s="135">
        <v>44706</v>
      </c>
      <c r="E450" s="135">
        <v>44712</v>
      </c>
      <c r="F450" s="182">
        <v>44726</v>
      </c>
      <c r="G450" s="143" t="s">
        <v>2007</v>
      </c>
      <c r="H450" s="135">
        <v>44763</v>
      </c>
      <c r="I450" s="135">
        <v>44763</v>
      </c>
      <c r="J450" s="135">
        <v>44768</v>
      </c>
      <c r="K450" s="135">
        <v>44951</v>
      </c>
      <c r="L450" s="135">
        <v>44946</v>
      </c>
      <c r="M450" s="135" t="s">
        <v>76</v>
      </c>
      <c r="N450" s="135">
        <v>45009</v>
      </c>
      <c r="O450" s="135">
        <v>45009</v>
      </c>
      <c r="P450" s="135">
        <v>45020</v>
      </c>
      <c r="Q450" s="135"/>
      <c r="R450" s="135"/>
      <c r="S450" s="135"/>
      <c r="T450" s="135"/>
      <c r="U450" s="144">
        <v>2</v>
      </c>
      <c r="V450" s="143">
        <v>61744</v>
      </c>
      <c r="W450" s="143" t="str">
        <f ca="1">IF(H450="",IF(D450="","",IF(U450+V450&lt;15,"Données Nb pers ou RFR manquantes",IF(COUNTA(INDIRECT("TabRFR["&amp;YEAR(D450)&amp;"]"))&lt;&gt;COUNTA(TabRFR[Recherche RFR]),"Data RFR manquantes", IF(V450&lt;=INDEX(TabRFR[[2021]:[2025]],MATCH(BD!U450&amp;"-Très modestes",TabRFR[Recherche RFR],0),MATCH(TEXT(YEAR(BD!D450),"Standard"),TabRFR[[#Headers],[2021]:[2025]],0)),"Très Modeste",IF(V450&lt;=INDEX(TabRFR[[2021]:[2025]],MATCH(BD!U450&amp;"-modestes",TabRFR[Recherche RFR],0),MATCH(TEXT(YEAR(BD!D450),"Standard"),TabRFR[[#Headers],[2021]:[2025]],0)),"Modeste",IF(V450&lt;=INDEX(TabRFR[[2021]:[2025]],MATCH(BD!U450&amp;"-Intermédiaire",TabRFR[Recherche RFR],0),MATCH(TEXT(YEAR(BD!D450),"Standard"),TabRFR[[#Headers],[2021]:[2025]],0)),"Intermédiaire","Supérieur")))))),IF(D450="","",IF(U450+V450&lt;15,"Données Nb pers ou RFR manquantes",IF(COUNTA(INDIRECT("TabRFR["&amp;YEAR(H450)&amp;"]"))&lt;&gt;COUNTA(TabRFR[Recherche RFR]),"Data RFR manquantes", IF(V450&lt;=INDEX(TabRFR[[2021]:[2025]],MATCH(BD!U450&amp;"-Très modestes",TabRFR[Recherche RFR],0),MATCH(TEXT(YEAR(BD!H450),"Standard"),TabRFR[[#Headers],[2021]:[2025]],0)),"Très Modeste",IF(V450&lt;=INDEX(TabRFR[[2021]:[2025]],MATCH(BD!U450&amp;"-modestes",TabRFR[Recherche RFR],0),MATCH(TEXT(YEAR(BD!H450),"Standard"),TabRFR[[#Headers],[2021]:[2025]],0)),"Modeste",IF(V450&lt;=INDEX(TabRFR[[2021]:[2025]],MATCH(BD!U450&amp;"-Intermédiaire",TabRFR[Recherche RFR],0),MATCH(TEXT(YEAR(BD!H450),"Standard"),TabRFR[[#Headers],[2021]:[2025]],0)),"Intermédiaire","Supérieur")))))))</f>
        <v>Supérieur</v>
      </c>
      <c r="X450" s="144"/>
      <c r="Y450" s="135" t="s">
        <v>2008</v>
      </c>
      <c r="Z450" s="144">
        <v>38340</v>
      </c>
      <c r="AA450" s="135" t="s">
        <v>266</v>
      </c>
      <c r="AB450" s="148"/>
      <c r="AC450" s="149"/>
      <c r="AD450" s="135" t="s">
        <v>91</v>
      </c>
      <c r="AE450" s="135"/>
      <c r="AF450" s="135"/>
      <c r="AG450" s="135"/>
      <c r="AH450" s="135"/>
      <c r="AI450" s="135" t="s">
        <v>2703</v>
      </c>
      <c r="AJ450" s="143" t="s">
        <v>266</v>
      </c>
      <c r="AK450" s="143" t="s">
        <v>317</v>
      </c>
      <c r="AL450" s="169" t="s">
        <v>2009</v>
      </c>
      <c r="AM450" s="148">
        <v>476500550</v>
      </c>
      <c r="AN450" s="143" t="s">
        <v>76</v>
      </c>
      <c r="AO450" s="150" t="s">
        <v>102</v>
      </c>
      <c r="AP450" s="147">
        <v>44740</v>
      </c>
      <c r="AQ450" s="135" t="s">
        <v>3449</v>
      </c>
      <c r="AR450" s="143">
        <v>1980</v>
      </c>
      <c r="AS450" s="143" t="s">
        <v>3413</v>
      </c>
      <c r="AT450" s="135" t="s">
        <v>3446</v>
      </c>
      <c r="AU450" s="135" t="s">
        <v>319</v>
      </c>
      <c r="AV450" s="135" t="s">
        <v>2010</v>
      </c>
      <c r="AW450" s="143">
        <v>26</v>
      </c>
      <c r="AX450" s="143">
        <v>4</v>
      </c>
      <c r="AY450" s="143" t="s">
        <v>2011</v>
      </c>
      <c r="AZ450" s="151" t="s">
        <v>2012</v>
      </c>
      <c r="BA450" s="135" t="s">
        <v>101</v>
      </c>
      <c r="BB450" s="135"/>
      <c r="BC450" s="151">
        <f>505.75+285.2+393.7+71.09+196.53+650.34+3050+245.3</f>
        <v>5397.9100000000008</v>
      </c>
      <c r="BD450" s="151"/>
      <c r="BE450" s="151">
        <v>800</v>
      </c>
      <c r="BF450" s="151">
        <f>BC450+BE450-284.36</f>
        <v>5913.5500000000011</v>
      </c>
      <c r="BG450" s="151">
        <f t="shared" si="28"/>
        <v>325.24525000000006</v>
      </c>
      <c r="BH450" s="151">
        <f t="shared" si="29"/>
        <v>6238.795250000001</v>
      </c>
      <c r="BI450" s="151">
        <v>4988.38</v>
      </c>
      <c r="BJ450" s="135" t="s">
        <v>115</v>
      </c>
      <c r="BK450" s="135"/>
      <c r="BL450" s="135"/>
      <c r="BM450" s="144" t="s">
        <v>3592</v>
      </c>
      <c r="BN450" s="143">
        <v>2022</v>
      </c>
      <c r="BO450" s="144" t="s">
        <v>143</v>
      </c>
      <c r="BP450" s="144">
        <v>2022</v>
      </c>
      <c r="BQ450" s="203" t="s">
        <v>3274</v>
      </c>
    </row>
    <row r="451" spans="1:69" ht="41.1" customHeight="1">
      <c r="A451" s="218" t="s">
        <v>1705</v>
      </c>
      <c r="B451" s="218" t="s">
        <v>2013</v>
      </c>
      <c r="C451" s="143">
        <v>600</v>
      </c>
      <c r="D451" s="135">
        <v>44711</v>
      </c>
      <c r="E451" s="135">
        <v>44712</v>
      </c>
      <c r="F451" s="182">
        <v>44726</v>
      </c>
      <c r="G451" s="143" t="s">
        <v>2014</v>
      </c>
      <c r="H451" s="135">
        <v>44777</v>
      </c>
      <c r="I451" s="135">
        <v>44777</v>
      </c>
      <c r="J451" s="135">
        <v>44778</v>
      </c>
      <c r="K451" s="135">
        <v>44888</v>
      </c>
      <c r="L451" s="135">
        <v>44824</v>
      </c>
      <c r="M451" s="135" t="s">
        <v>2015</v>
      </c>
      <c r="N451" s="135">
        <v>44932</v>
      </c>
      <c r="O451" s="135">
        <v>44932</v>
      </c>
      <c r="P451" s="182">
        <v>44932</v>
      </c>
      <c r="Q451" s="135"/>
      <c r="R451" s="135"/>
      <c r="S451" s="135"/>
      <c r="T451" s="135"/>
      <c r="U451" s="144">
        <v>1</v>
      </c>
      <c r="V451" s="143">
        <v>21420</v>
      </c>
      <c r="W451" s="143" t="str">
        <f ca="1">IF(H451="",IF(D451="","",IF(U451+V451&lt;15,"Données Nb pers ou RFR manquantes",IF(COUNTA(INDIRECT("TabRFR["&amp;YEAR(D451)&amp;"]"))&lt;&gt;COUNTA(TabRFR[Recherche RFR]),"Data RFR manquantes", IF(V451&lt;=INDEX(TabRFR[[2021]:[2025]],MATCH(BD!U451&amp;"-Très modestes",TabRFR[Recherche RFR],0),MATCH(TEXT(YEAR(BD!D451),"Standard"),TabRFR[[#Headers],[2021]:[2025]],0)),"Très Modeste",IF(V451&lt;=INDEX(TabRFR[[2021]:[2025]],MATCH(BD!U451&amp;"-modestes",TabRFR[Recherche RFR],0),MATCH(TEXT(YEAR(BD!D451),"Standard"),TabRFR[[#Headers],[2021]:[2025]],0)),"Modeste",IF(V451&lt;=INDEX(TabRFR[[2021]:[2025]],MATCH(BD!U451&amp;"-Intermédiaire",TabRFR[Recherche RFR],0),MATCH(TEXT(YEAR(BD!D451),"Standard"),TabRFR[[#Headers],[2021]:[2025]],0)),"Intermédiaire","Supérieur")))))),IF(D451="","",IF(U451+V451&lt;15,"Données Nb pers ou RFR manquantes",IF(COUNTA(INDIRECT("TabRFR["&amp;YEAR(H451)&amp;"]"))&lt;&gt;COUNTA(TabRFR[Recherche RFR]),"Data RFR manquantes", IF(V451&lt;=INDEX(TabRFR[[2021]:[2025]],MATCH(BD!U451&amp;"-Très modestes",TabRFR[Recherche RFR],0),MATCH(TEXT(YEAR(BD!H451),"Standard"),TabRFR[[#Headers],[2021]:[2025]],0)),"Très Modeste",IF(V451&lt;=INDEX(TabRFR[[2021]:[2025]],MATCH(BD!U451&amp;"-modestes",TabRFR[Recherche RFR],0),MATCH(TEXT(YEAR(BD!H451),"Standard"),TabRFR[[#Headers],[2021]:[2025]],0)),"Modeste",IF(V451&lt;=INDEX(TabRFR[[2021]:[2025]],MATCH(BD!U451&amp;"-Intermédiaire",TabRFR[Recherche RFR],0),MATCH(TEXT(YEAR(BD!H451),"Standard"),TabRFR[[#Headers],[2021]:[2025]],0)),"Intermédiaire","Supérieur")))))))</f>
        <v>Intermédiaire</v>
      </c>
      <c r="X451" s="144"/>
      <c r="Y451" s="135" t="s">
        <v>107</v>
      </c>
      <c r="Z451" s="144">
        <v>38620</v>
      </c>
      <c r="AA451" s="135" t="s">
        <v>262</v>
      </c>
      <c r="AB451" s="148"/>
      <c r="AC451" s="149"/>
      <c r="AD451" s="135" t="s">
        <v>91</v>
      </c>
      <c r="AE451" s="135"/>
      <c r="AF451" s="135"/>
      <c r="AG451" s="135"/>
      <c r="AH451" s="135"/>
      <c r="AI451" s="143" t="s">
        <v>1106</v>
      </c>
      <c r="AJ451" s="143" t="s">
        <v>1075</v>
      </c>
      <c r="AK451" s="143" t="s">
        <v>1737</v>
      </c>
      <c r="AL451" s="169" t="s">
        <v>1108</v>
      </c>
      <c r="AM451" s="148" t="s">
        <v>1455</v>
      </c>
      <c r="AN451" s="143" t="s">
        <v>76</v>
      </c>
      <c r="AO451" s="150" t="s">
        <v>102</v>
      </c>
      <c r="AP451" s="147">
        <v>44731</v>
      </c>
      <c r="AQ451" s="135" t="s">
        <v>3496</v>
      </c>
      <c r="AR451" s="143">
        <v>1992</v>
      </c>
      <c r="AS451" s="143" t="s">
        <v>3413</v>
      </c>
      <c r="AT451" s="143" t="s">
        <v>98</v>
      </c>
      <c r="AU451" s="143" t="s">
        <v>1878</v>
      </c>
      <c r="AV451" s="135" t="s">
        <v>2016</v>
      </c>
      <c r="AW451" s="143">
        <v>16</v>
      </c>
      <c r="AX451" s="143">
        <v>9</v>
      </c>
      <c r="AY451" s="143" t="s">
        <v>2017</v>
      </c>
      <c r="AZ451" s="151" t="s">
        <v>2018</v>
      </c>
      <c r="BA451" s="135" t="s">
        <v>101</v>
      </c>
      <c r="BB451" s="135"/>
      <c r="BC451" s="151">
        <f>3824.15+957+395</f>
        <v>5176.1499999999996</v>
      </c>
      <c r="BD451" s="151"/>
      <c r="BE451" s="151">
        <v>500</v>
      </c>
      <c r="BF451" s="151">
        <f>BC451+BE451-462.88</f>
        <v>5213.2699999999995</v>
      </c>
      <c r="BG451" s="151">
        <f t="shared" si="28"/>
        <v>286.72985</v>
      </c>
      <c r="BH451" s="151">
        <f t="shared" si="29"/>
        <v>5499.9998499999992</v>
      </c>
      <c r="BI451" s="151">
        <v>5500</v>
      </c>
      <c r="BJ451" s="135" t="s">
        <v>102</v>
      </c>
      <c r="BK451" s="135"/>
      <c r="BL451" s="135"/>
      <c r="BM451" s="144" t="s">
        <v>3592</v>
      </c>
      <c r="BN451" s="143">
        <v>2022</v>
      </c>
      <c r="BO451" s="144" t="s">
        <v>143</v>
      </c>
      <c r="BP451" s="143" t="s">
        <v>3583</v>
      </c>
      <c r="BQ451" s="203" t="s">
        <v>144</v>
      </c>
    </row>
    <row r="452" spans="1:69" ht="41.1" customHeight="1">
      <c r="A452" s="218" t="s">
        <v>1705</v>
      </c>
      <c r="B452" s="218" t="s">
        <v>2019</v>
      </c>
      <c r="C452" s="143">
        <v>1000</v>
      </c>
      <c r="D452" s="135">
        <v>44711</v>
      </c>
      <c r="E452" s="135">
        <v>44712</v>
      </c>
      <c r="F452" s="182" t="s">
        <v>76</v>
      </c>
      <c r="G452" s="144" t="s">
        <v>76</v>
      </c>
      <c r="H452" s="135">
        <v>44733</v>
      </c>
      <c r="I452" s="135">
        <v>44733</v>
      </c>
      <c r="J452" s="135">
        <v>44749</v>
      </c>
      <c r="K452" s="135">
        <v>44777</v>
      </c>
      <c r="L452" s="135">
        <v>45111</v>
      </c>
      <c r="M452" s="135" t="s">
        <v>3292</v>
      </c>
      <c r="N452" s="135">
        <v>45308</v>
      </c>
      <c r="O452" s="135">
        <v>45308</v>
      </c>
      <c r="P452" s="135">
        <v>45314</v>
      </c>
      <c r="Q452" s="135"/>
      <c r="R452" s="135"/>
      <c r="S452" s="135"/>
      <c r="T452" s="135"/>
      <c r="U452" s="144">
        <v>1</v>
      </c>
      <c r="V452" s="143">
        <v>17151</v>
      </c>
      <c r="W452" s="143" t="str">
        <f ca="1">IF(H452="",IF(D452="","",IF(U452+V452&lt;15,"Données Nb pers ou RFR manquantes",IF(COUNTA(INDIRECT("TabRFR["&amp;YEAR(D452)&amp;"]"))&lt;&gt;COUNTA(TabRFR[Recherche RFR]),"Data RFR manquantes", IF(V452&lt;=INDEX(TabRFR[[2021]:[2025]],MATCH(BD!U452&amp;"-Très modestes",TabRFR[Recherche RFR],0),MATCH(TEXT(YEAR(BD!D452),"Standard"),TabRFR[[#Headers],[2021]:[2025]],0)),"Très Modeste",IF(V452&lt;=INDEX(TabRFR[[2021]:[2025]],MATCH(BD!U452&amp;"-modestes",TabRFR[Recherche RFR],0),MATCH(TEXT(YEAR(BD!D452),"Standard"),TabRFR[[#Headers],[2021]:[2025]],0)),"Modeste",IF(V452&lt;=INDEX(TabRFR[[2021]:[2025]],MATCH(BD!U452&amp;"-Intermédiaire",TabRFR[Recherche RFR],0),MATCH(TEXT(YEAR(BD!D452),"Standard"),TabRFR[[#Headers],[2021]:[2025]],0)),"Intermédiaire","Supérieur")))))),IF(D452="","",IF(U452+V452&lt;15,"Données Nb pers ou RFR manquantes",IF(COUNTA(INDIRECT("TabRFR["&amp;YEAR(H452)&amp;"]"))&lt;&gt;COUNTA(TabRFR[Recherche RFR]),"Data RFR manquantes", IF(V452&lt;=INDEX(TabRFR[[2021]:[2025]],MATCH(BD!U452&amp;"-Très modestes",TabRFR[Recherche RFR],0),MATCH(TEXT(YEAR(BD!H452),"Standard"),TabRFR[[#Headers],[2021]:[2025]],0)),"Très Modeste",IF(V452&lt;=INDEX(TabRFR[[2021]:[2025]],MATCH(BD!U452&amp;"-modestes",TabRFR[Recherche RFR],0),MATCH(TEXT(YEAR(BD!H452),"Standard"),TabRFR[[#Headers],[2021]:[2025]],0)),"Modeste",IF(V452&lt;=INDEX(TabRFR[[2021]:[2025]],MATCH(BD!U452&amp;"-Intermédiaire",TabRFR[Recherche RFR],0),MATCH(TEXT(YEAR(BD!H452),"Standard"),TabRFR[[#Headers],[2021]:[2025]],0)),"Intermédiaire","Supérieur")))))))</f>
        <v>Modeste</v>
      </c>
      <c r="X452" s="144"/>
      <c r="Y452" s="135" t="s">
        <v>2020</v>
      </c>
      <c r="Z452" s="144">
        <v>38850</v>
      </c>
      <c r="AA452" s="135" t="s">
        <v>168</v>
      </c>
      <c r="AB452" s="148"/>
      <c r="AC452" s="208"/>
      <c r="AD452" s="135" t="s">
        <v>91</v>
      </c>
      <c r="AE452" s="135"/>
      <c r="AF452" s="135"/>
      <c r="AG452" s="135"/>
      <c r="AH452" s="135"/>
      <c r="AI452" s="135" t="s">
        <v>285</v>
      </c>
      <c r="AJ452" s="143" t="s">
        <v>108</v>
      </c>
      <c r="AK452" s="143" t="s">
        <v>285</v>
      </c>
      <c r="AL452" s="169" t="s">
        <v>287</v>
      </c>
      <c r="AM452" s="148">
        <v>476069938</v>
      </c>
      <c r="AN452" s="135" t="s">
        <v>76</v>
      </c>
      <c r="AO452" s="148" t="s">
        <v>102</v>
      </c>
      <c r="AP452" s="135">
        <v>45192</v>
      </c>
      <c r="AQ452" s="135" t="s">
        <v>3496</v>
      </c>
      <c r="AR452" s="143">
        <v>1991</v>
      </c>
      <c r="AS452" s="143" t="s">
        <v>3413</v>
      </c>
      <c r="AT452" s="143" t="s">
        <v>98</v>
      </c>
      <c r="AU452" s="143" t="s">
        <v>430</v>
      </c>
      <c r="AV452" s="135" t="s">
        <v>2021</v>
      </c>
      <c r="AW452" s="143">
        <v>14</v>
      </c>
      <c r="AX452" s="143">
        <v>9.5</v>
      </c>
      <c r="AY452" s="143">
        <v>92.58</v>
      </c>
      <c r="AZ452" s="151">
        <v>128</v>
      </c>
      <c r="BA452" s="135" t="s">
        <v>1401</v>
      </c>
      <c r="BB452" s="135"/>
      <c r="BC452" s="151">
        <f>2511+630+175+430+390+110+3802</f>
        <v>8048</v>
      </c>
      <c r="BD452" s="151"/>
      <c r="BE452" s="151">
        <v>690</v>
      </c>
      <c r="BF452" s="151">
        <f>BC452+BE452</f>
        <v>8738</v>
      </c>
      <c r="BG452" s="151">
        <f t="shared" si="28"/>
        <v>480.59</v>
      </c>
      <c r="BH452" s="151">
        <f t="shared" si="29"/>
        <v>9218.59</v>
      </c>
      <c r="BI452" s="151">
        <v>9218.6</v>
      </c>
      <c r="BJ452" s="135" t="s">
        <v>115</v>
      </c>
      <c r="BK452" s="135"/>
      <c r="BL452" s="135"/>
      <c r="BM452" s="144" t="s">
        <v>3592</v>
      </c>
      <c r="BN452" s="143">
        <v>2022</v>
      </c>
      <c r="BO452" s="135" t="s">
        <v>155</v>
      </c>
      <c r="BP452" s="143" t="s">
        <v>3583</v>
      </c>
      <c r="BQ452" s="203" t="s">
        <v>3274</v>
      </c>
    </row>
    <row r="453" spans="1:69" ht="41.1" customHeight="1">
      <c r="A453" s="218" t="s">
        <v>1705</v>
      </c>
      <c r="B453" s="218" t="s">
        <v>2022</v>
      </c>
      <c r="C453" s="143">
        <v>1000</v>
      </c>
      <c r="D453" s="135">
        <v>44711</v>
      </c>
      <c r="E453" s="135">
        <v>44712</v>
      </c>
      <c r="F453" s="182">
        <v>44733</v>
      </c>
      <c r="G453" s="143" t="s">
        <v>2023</v>
      </c>
      <c r="H453" s="135">
        <v>44832</v>
      </c>
      <c r="I453" s="135">
        <v>44832</v>
      </c>
      <c r="J453" s="135">
        <v>44837</v>
      </c>
      <c r="K453" s="135">
        <v>44901</v>
      </c>
      <c r="L453" s="135">
        <v>44851</v>
      </c>
      <c r="M453" s="135" t="s">
        <v>76</v>
      </c>
      <c r="N453" s="135">
        <v>44915</v>
      </c>
      <c r="O453" s="135">
        <v>44915</v>
      </c>
      <c r="P453" s="135">
        <v>44932</v>
      </c>
      <c r="Q453" s="135"/>
      <c r="R453" s="135"/>
      <c r="S453" s="135"/>
      <c r="T453" s="135"/>
      <c r="U453" s="144">
        <v>1</v>
      </c>
      <c r="V453" s="143">
        <v>15307</v>
      </c>
      <c r="W453" s="143" t="str">
        <f ca="1">IF(H453="",IF(D453="","",IF(U453+V453&lt;15,"Données Nb pers ou RFR manquantes",IF(COUNTA(INDIRECT("TabRFR["&amp;YEAR(D453)&amp;"]"))&lt;&gt;COUNTA(TabRFR[Recherche RFR]),"Data RFR manquantes", IF(V453&lt;=INDEX(TabRFR[[2021]:[2025]],MATCH(BD!U453&amp;"-Très modestes",TabRFR[Recherche RFR],0),MATCH(TEXT(YEAR(BD!D453),"Standard"),TabRFR[[#Headers],[2021]:[2025]],0)),"Très Modeste",IF(V453&lt;=INDEX(TabRFR[[2021]:[2025]],MATCH(BD!U453&amp;"-modestes",TabRFR[Recherche RFR],0),MATCH(TEXT(YEAR(BD!D453),"Standard"),TabRFR[[#Headers],[2021]:[2025]],0)),"Modeste",IF(V453&lt;=INDEX(TabRFR[[2021]:[2025]],MATCH(BD!U453&amp;"-Intermédiaire",TabRFR[Recherche RFR],0),MATCH(TEXT(YEAR(BD!D453),"Standard"),TabRFR[[#Headers],[2021]:[2025]],0)),"Intermédiaire","Supérieur")))))),IF(D453="","",IF(U453+V453&lt;15,"Données Nb pers ou RFR manquantes",IF(COUNTA(INDIRECT("TabRFR["&amp;YEAR(H453)&amp;"]"))&lt;&gt;COUNTA(TabRFR[Recherche RFR]),"Data RFR manquantes", IF(V453&lt;=INDEX(TabRFR[[2021]:[2025]],MATCH(BD!U453&amp;"-Très modestes",TabRFR[Recherche RFR],0),MATCH(TEXT(YEAR(BD!H453),"Standard"),TabRFR[[#Headers],[2021]:[2025]],0)),"Très Modeste",IF(V453&lt;=INDEX(TabRFR[[2021]:[2025]],MATCH(BD!U453&amp;"-modestes",TabRFR[Recherche RFR],0),MATCH(TEXT(YEAR(BD!H453),"Standard"),TabRFR[[#Headers],[2021]:[2025]],0)),"Modeste",IF(V453&lt;=INDEX(TabRFR[[2021]:[2025]],MATCH(BD!U453&amp;"-Intermédiaire",TabRFR[Recherche RFR],0),MATCH(TEXT(YEAR(BD!H453),"Standard"),TabRFR[[#Headers],[2021]:[2025]],0)),"Intermédiaire","Supérieur")))))))</f>
        <v>Modeste</v>
      </c>
      <c r="X453" s="144"/>
      <c r="Y453" s="135" t="s">
        <v>2024</v>
      </c>
      <c r="Z453" s="144">
        <v>38430</v>
      </c>
      <c r="AA453" s="143" t="s">
        <v>351</v>
      </c>
      <c r="AB453" s="148"/>
      <c r="AC453" s="149"/>
      <c r="AD453" s="135" t="s">
        <v>91</v>
      </c>
      <c r="AE453" s="135"/>
      <c r="AF453" s="135"/>
      <c r="AG453" s="135"/>
      <c r="AH453" s="135"/>
      <c r="AI453" s="143" t="s">
        <v>109</v>
      </c>
      <c r="AJ453" s="135" t="s">
        <v>108</v>
      </c>
      <c r="AK453" s="135" t="s">
        <v>2025</v>
      </c>
      <c r="AL453" s="169" t="s">
        <v>2026</v>
      </c>
      <c r="AM453" s="148">
        <v>476071461</v>
      </c>
      <c r="AN453" s="135" t="s">
        <v>76</v>
      </c>
      <c r="AO453" s="135" t="s">
        <v>102</v>
      </c>
      <c r="AP453" s="135">
        <v>44868</v>
      </c>
      <c r="AQ453" s="135" t="s">
        <v>3496</v>
      </c>
      <c r="AR453" s="143">
        <v>1980</v>
      </c>
      <c r="AS453" s="143" t="s">
        <v>3413</v>
      </c>
      <c r="AT453" s="135" t="s">
        <v>3446</v>
      </c>
      <c r="AU453" s="143" t="s">
        <v>1117</v>
      </c>
      <c r="AV453" s="135" t="s">
        <v>2027</v>
      </c>
      <c r="AW453" s="143">
        <v>22</v>
      </c>
      <c r="AX453" s="143">
        <v>7</v>
      </c>
      <c r="AY453" s="143">
        <v>80</v>
      </c>
      <c r="AZ453" s="151" t="s">
        <v>2028</v>
      </c>
      <c r="BA453" s="135" t="s">
        <v>101</v>
      </c>
      <c r="BB453" s="135"/>
      <c r="BC453" s="151">
        <f>2808+490+101+132+60+60+90+22+47+45+168</f>
        <v>4023</v>
      </c>
      <c r="BD453" s="151"/>
      <c r="BE453" s="151">
        <f>15+35+420+30</f>
        <v>500</v>
      </c>
      <c r="BF453" s="151">
        <f>BC453+BE453-600</f>
        <v>3923</v>
      </c>
      <c r="BG453" s="151">
        <f t="shared" si="28"/>
        <v>215.76500000000001</v>
      </c>
      <c r="BH453" s="151">
        <f t="shared" si="29"/>
        <v>4138.7649999999994</v>
      </c>
      <c r="BI453" s="151">
        <v>4138.7700000000004</v>
      </c>
      <c r="BJ453" s="135" t="s">
        <v>115</v>
      </c>
      <c r="BK453" s="135"/>
      <c r="BL453" s="135"/>
      <c r="BM453" s="144" t="s">
        <v>3592</v>
      </c>
      <c r="BN453" s="143">
        <v>2022</v>
      </c>
      <c r="BO453" s="135" t="s">
        <v>155</v>
      </c>
      <c r="BP453" s="144">
        <v>2022</v>
      </c>
      <c r="BQ453" s="203" t="s">
        <v>3274</v>
      </c>
    </row>
    <row r="454" spans="1:69" ht="41.1" customHeight="1">
      <c r="A454" s="219" t="s">
        <v>1705</v>
      </c>
      <c r="B454" s="219" t="s">
        <v>2029</v>
      </c>
      <c r="C454" s="143">
        <v>1000</v>
      </c>
      <c r="D454" s="135">
        <v>44711</v>
      </c>
      <c r="E454" s="135">
        <v>44715</v>
      </c>
      <c r="F454" s="182">
        <v>44733</v>
      </c>
      <c r="G454" s="143" t="s">
        <v>2030</v>
      </c>
      <c r="H454" s="135">
        <v>44740</v>
      </c>
      <c r="I454" s="135">
        <v>44740</v>
      </c>
      <c r="J454" s="135">
        <v>44749</v>
      </c>
      <c r="K454" s="135">
        <v>45309</v>
      </c>
      <c r="L454" s="135">
        <v>44737</v>
      </c>
      <c r="M454" s="135" t="s">
        <v>3401</v>
      </c>
      <c r="N454" s="135"/>
      <c r="O454" s="135"/>
      <c r="P454" s="135"/>
      <c r="Q454" s="135"/>
      <c r="R454" s="135"/>
      <c r="S454" s="135"/>
      <c r="T454" s="135"/>
      <c r="U454" s="144">
        <v>3</v>
      </c>
      <c r="V454" s="143">
        <v>30335</v>
      </c>
      <c r="W454" s="143" t="str">
        <f ca="1">IF(H454="",IF(D454="","",IF(U454+V454&lt;15,"Données Nb pers ou RFR manquantes",IF(COUNTA(INDIRECT("TabRFR["&amp;YEAR(D454)&amp;"]"))&lt;&gt;COUNTA(TabRFR[Recherche RFR]),"Data RFR manquantes", IF(V454&lt;=INDEX(TabRFR[[2021]:[2025]],MATCH(BD!U454&amp;"-Très modestes",TabRFR[Recherche RFR],0),MATCH(TEXT(YEAR(BD!D454),"Standard"),TabRFR[[#Headers],[2021]:[2025]],0)),"Très Modeste",IF(V454&lt;=INDEX(TabRFR[[2021]:[2025]],MATCH(BD!U454&amp;"-modestes",TabRFR[Recherche RFR],0),MATCH(TEXT(YEAR(BD!D454),"Standard"),TabRFR[[#Headers],[2021]:[2025]],0)),"Modeste",IF(V454&lt;=INDEX(TabRFR[[2021]:[2025]],MATCH(BD!U454&amp;"-Intermédiaire",TabRFR[Recherche RFR],0),MATCH(TEXT(YEAR(BD!D454),"Standard"),TabRFR[[#Headers],[2021]:[2025]],0)),"Intermédiaire","Supérieur")))))),IF(D454="","",IF(U454+V454&lt;15,"Données Nb pers ou RFR manquantes",IF(COUNTA(INDIRECT("TabRFR["&amp;YEAR(H454)&amp;"]"))&lt;&gt;COUNTA(TabRFR[Recherche RFR]),"Data RFR manquantes", IF(V454&lt;=INDEX(TabRFR[[2021]:[2025]],MATCH(BD!U454&amp;"-Très modestes",TabRFR[Recherche RFR],0),MATCH(TEXT(YEAR(BD!H454),"Standard"),TabRFR[[#Headers],[2021]:[2025]],0)),"Très Modeste",IF(V454&lt;=INDEX(TabRFR[[2021]:[2025]],MATCH(BD!U454&amp;"-modestes",TabRFR[Recherche RFR],0),MATCH(TEXT(YEAR(BD!H454),"Standard"),TabRFR[[#Headers],[2021]:[2025]],0)),"Modeste",IF(V454&lt;=INDEX(TabRFR[[2021]:[2025]],MATCH(BD!U454&amp;"-Intermédiaire",TabRFR[Recherche RFR],0),MATCH(TEXT(YEAR(BD!H454),"Standard"),TabRFR[[#Headers],[2021]:[2025]],0)),"Intermédiaire","Supérieur")))))))</f>
        <v>Modeste</v>
      </c>
      <c r="X454" s="144"/>
      <c r="Y454" s="135" t="s">
        <v>2031</v>
      </c>
      <c r="Z454" s="144">
        <v>38490</v>
      </c>
      <c r="AA454" s="135" t="s">
        <v>1075</v>
      </c>
      <c r="AB454" s="148"/>
      <c r="AC454" s="149"/>
      <c r="AD454" s="135" t="s">
        <v>91</v>
      </c>
      <c r="AE454" s="135"/>
      <c r="AF454" s="135"/>
      <c r="AG454" s="135"/>
      <c r="AH454" s="135"/>
      <c r="AI454" s="143" t="s">
        <v>1106</v>
      </c>
      <c r="AJ454" s="135" t="s">
        <v>1075</v>
      </c>
      <c r="AK454" s="135" t="s">
        <v>1886</v>
      </c>
      <c r="AL454" s="169" t="s">
        <v>1454</v>
      </c>
      <c r="AM454" s="148">
        <v>476663386</v>
      </c>
      <c r="AN454" s="143" t="s">
        <v>76</v>
      </c>
      <c r="AO454" s="150" t="s">
        <v>102</v>
      </c>
      <c r="AP454" s="147">
        <v>44731</v>
      </c>
      <c r="AQ454" s="143" t="s">
        <v>3413</v>
      </c>
      <c r="AR454" s="143" t="s">
        <v>76</v>
      </c>
      <c r="AS454" s="143" t="s">
        <v>3413</v>
      </c>
      <c r="AT454" s="135" t="s">
        <v>3446</v>
      </c>
      <c r="AU454" s="143" t="s">
        <v>1878</v>
      </c>
      <c r="AV454" s="135" t="s">
        <v>2032</v>
      </c>
      <c r="AW454" s="143">
        <v>32</v>
      </c>
      <c r="AX454" s="143" t="s">
        <v>2033</v>
      </c>
      <c r="AY454" s="143">
        <v>76</v>
      </c>
      <c r="AZ454" s="151" t="s">
        <v>2034</v>
      </c>
      <c r="BA454" s="135" t="s">
        <v>101</v>
      </c>
      <c r="BB454" s="135"/>
      <c r="BC454" s="151">
        <f>1826.19+135+360+320+70+385+112+148+420</f>
        <v>3776.19</v>
      </c>
      <c r="BD454" s="151"/>
      <c r="BE454" s="151">
        <v>400</v>
      </c>
      <c r="BF454" s="151">
        <f>BC454+BE454</f>
        <v>4176.1900000000005</v>
      </c>
      <c r="BG454" s="151">
        <f t="shared" si="28"/>
        <v>229.69045000000003</v>
      </c>
      <c r="BH454" s="151">
        <f t="shared" si="29"/>
        <v>4405.8804500000006</v>
      </c>
      <c r="BI454" s="135"/>
      <c r="BJ454" s="135" t="s">
        <v>115</v>
      </c>
      <c r="BK454" s="135"/>
      <c r="BL454" s="135"/>
      <c r="BM454" s="144" t="s">
        <v>3592</v>
      </c>
      <c r="BN454" s="143">
        <v>2022</v>
      </c>
      <c r="BO454" s="135" t="s">
        <v>155</v>
      </c>
      <c r="BP454" s="144">
        <v>2022</v>
      </c>
      <c r="BQ454" s="203" t="s">
        <v>3274</v>
      </c>
    </row>
    <row r="455" spans="1:69" ht="41.1" customHeight="1">
      <c r="A455" s="218" t="s">
        <v>1705</v>
      </c>
      <c r="B455" s="218" t="s">
        <v>2035</v>
      </c>
      <c r="C455" s="143">
        <v>600</v>
      </c>
      <c r="D455" s="135">
        <v>44712</v>
      </c>
      <c r="E455" s="135">
        <v>44715</v>
      </c>
      <c r="F455" s="182" t="s">
        <v>76</v>
      </c>
      <c r="G455" s="144" t="s">
        <v>76</v>
      </c>
      <c r="H455" s="135">
        <v>44733</v>
      </c>
      <c r="I455" s="135">
        <v>44733</v>
      </c>
      <c r="J455" s="135">
        <v>44749</v>
      </c>
      <c r="K455" s="135">
        <v>44889</v>
      </c>
      <c r="L455" s="135">
        <v>44832</v>
      </c>
      <c r="M455" s="135" t="s">
        <v>1319</v>
      </c>
      <c r="N455" s="135">
        <v>44925</v>
      </c>
      <c r="O455" s="135">
        <v>44925</v>
      </c>
      <c r="P455" s="135">
        <v>44932</v>
      </c>
      <c r="Q455" s="135"/>
      <c r="R455" s="135"/>
      <c r="S455" s="135"/>
      <c r="T455" s="135"/>
      <c r="U455" s="144">
        <v>3</v>
      </c>
      <c r="V455" s="143">
        <v>42710</v>
      </c>
      <c r="W455" s="143" t="str">
        <f ca="1">IF(H455="",IF(D455="","",IF(U455+V455&lt;15,"Données Nb pers ou RFR manquantes",IF(COUNTA(INDIRECT("TabRFR["&amp;YEAR(D455)&amp;"]"))&lt;&gt;COUNTA(TabRFR[Recherche RFR]),"Data RFR manquantes", IF(V455&lt;=INDEX(TabRFR[[2021]:[2025]],MATCH(BD!U455&amp;"-Très modestes",TabRFR[Recherche RFR],0),MATCH(TEXT(YEAR(BD!D455),"Standard"),TabRFR[[#Headers],[2021]:[2025]],0)),"Très Modeste",IF(V455&lt;=INDEX(TabRFR[[2021]:[2025]],MATCH(BD!U455&amp;"-modestes",TabRFR[Recherche RFR],0),MATCH(TEXT(YEAR(BD!D455),"Standard"),TabRFR[[#Headers],[2021]:[2025]],0)),"Modeste",IF(V455&lt;=INDEX(TabRFR[[2021]:[2025]],MATCH(BD!U455&amp;"-Intermédiaire",TabRFR[Recherche RFR],0),MATCH(TEXT(YEAR(BD!D455),"Standard"),TabRFR[[#Headers],[2021]:[2025]],0)),"Intermédiaire","Supérieur")))))),IF(D455="","",IF(U455+V455&lt;15,"Données Nb pers ou RFR manquantes",IF(COUNTA(INDIRECT("TabRFR["&amp;YEAR(H455)&amp;"]"))&lt;&gt;COUNTA(TabRFR[Recherche RFR]),"Data RFR manquantes", IF(V455&lt;=INDEX(TabRFR[[2021]:[2025]],MATCH(BD!U455&amp;"-Très modestes",TabRFR[Recherche RFR],0),MATCH(TEXT(YEAR(BD!H455),"Standard"),TabRFR[[#Headers],[2021]:[2025]],0)),"Très Modeste",IF(V455&lt;=INDEX(TabRFR[[2021]:[2025]],MATCH(BD!U455&amp;"-modestes",TabRFR[Recherche RFR],0),MATCH(TEXT(YEAR(BD!H455),"Standard"),TabRFR[[#Headers],[2021]:[2025]],0)),"Modeste",IF(V455&lt;=INDEX(TabRFR[[2021]:[2025]],MATCH(BD!U455&amp;"-Intermédiaire",TabRFR[Recherche RFR],0),MATCH(TEXT(YEAR(BD!H455),"Standard"),TabRFR[[#Headers],[2021]:[2025]],0)),"Intermédiaire","Supérieur")))))))</f>
        <v>Intermédiaire</v>
      </c>
      <c r="X455" s="144"/>
      <c r="Y455" s="135" t="s">
        <v>2036</v>
      </c>
      <c r="Z455" s="144">
        <v>38620</v>
      </c>
      <c r="AA455" s="143" t="s">
        <v>680</v>
      </c>
      <c r="AB455" s="148"/>
      <c r="AC455" s="149"/>
      <c r="AD455" s="135" t="s">
        <v>91</v>
      </c>
      <c r="AE455" s="135"/>
      <c r="AF455" s="135"/>
      <c r="AG455" s="135"/>
      <c r="AH455" s="135"/>
      <c r="AI455" s="143" t="s">
        <v>2037</v>
      </c>
      <c r="AJ455" s="135" t="s">
        <v>93</v>
      </c>
      <c r="AK455" s="135" t="s">
        <v>1519</v>
      </c>
      <c r="AL455" s="169" t="s">
        <v>1989</v>
      </c>
      <c r="AM455" s="148">
        <v>476370350</v>
      </c>
      <c r="AN455" s="135" t="s">
        <v>76</v>
      </c>
      <c r="AO455" s="135" t="s">
        <v>102</v>
      </c>
      <c r="AP455" s="135">
        <v>45172</v>
      </c>
      <c r="AQ455" s="135" t="s">
        <v>3496</v>
      </c>
      <c r="AR455" s="143">
        <v>1995</v>
      </c>
      <c r="AS455" s="143" t="s">
        <v>3413</v>
      </c>
      <c r="AT455" s="143" t="s">
        <v>98</v>
      </c>
      <c r="AU455" s="143" t="s">
        <v>1990</v>
      </c>
      <c r="AV455" s="135" t="s">
        <v>2038</v>
      </c>
      <c r="AW455" s="143">
        <v>15</v>
      </c>
      <c r="AX455" s="143">
        <v>12</v>
      </c>
      <c r="AY455" s="143" t="s">
        <v>1916</v>
      </c>
      <c r="AZ455" s="151" t="s">
        <v>2039</v>
      </c>
      <c r="BA455" s="135" t="s">
        <v>101</v>
      </c>
      <c r="BB455" s="135"/>
      <c r="BC455" s="151">
        <f>4820+1496+128+463+235+295+156</f>
        <v>7593</v>
      </c>
      <c r="BD455" s="151"/>
      <c r="BE455" s="151">
        <v>790</v>
      </c>
      <c r="BF455" s="151">
        <f>BC455+BE455</f>
        <v>8383</v>
      </c>
      <c r="BG455" s="151">
        <f t="shared" si="28"/>
        <v>461.065</v>
      </c>
      <c r="BH455" s="151">
        <f t="shared" si="29"/>
        <v>8844.0649999999987</v>
      </c>
      <c r="BI455" s="151">
        <v>8844.06</v>
      </c>
      <c r="BJ455" s="135" t="s">
        <v>102</v>
      </c>
      <c r="BK455" s="135"/>
      <c r="BL455" s="135"/>
      <c r="BM455" s="144" t="s">
        <v>3592</v>
      </c>
      <c r="BN455" s="143">
        <v>2022</v>
      </c>
      <c r="BO455" s="144" t="s">
        <v>143</v>
      </c>
      <c r="BP455" s="143" t="s">
        <v>3583</v>
      </c>
      <c r="BQ455" s="203" t="s">
        <v>144</v>
      </c>
    </row>
    <row r="456" spans="1:69" ht="41.1" customHeight="1">
      <c r="A456" s="218" t="s">
        <v>1705</v>
      </c>
      <c r="B456" s="218" t="s">
        <v>2040</v>
      </c>
      <c r="C456" s="143">
        <v>600</v>
      </c>
      <c r="D456" s="135">
        <v>44715</v>
      </c>
      <c r="E456" s="135">
        <v>44720</v>
      </c>
      <c r="F456" s="182">
        <v>44733</v>
      </c>
      <c r="G456" s="143" t="s">
        <v>2041</v>
      </c>
      <c r="H456" s="135">
        <v>44739</v>
      </c>
      <c r="I456" s="135">
        <v>44739</v>
      </c>
      <c r="J456" s="135">
        <v>44749</v>
      </c>
      <c r="K456" s="135">
        <v>44974</v>
      </c>
      <c r="L456" s="135">
        <v>45211</v>
      </c>
      <c r="M456" s="135" t="s">
        <v>1708</v>
      </c>
      <c r="N456" s="135">
        <v>45007</v>
      </c>
      <c r="O456" s="135">
        <v>45007</v>
      </c>
      <c r="P456" s="135">
        <v>45020</v>
      </c>
      <c r="Q456" s="135"/>
      <c r="R456" s="135"/>
      <c r="S456" s="135"/>
      <c r="T456" s="144"/>
      <c r="U456" s="143">
        <v>4</v>
      </c>
      <c r="V456" s="143">
        <v>70082</v>
      </c>
      <c r="W456" s="143" t="str">
        <f ca="1">IF(H456="",IF(D456="","",IF(U456+V456&lt;15,"Données Nb pers ou RFR manquantes",IF(COUNTA(INDIRECT("TabRFR["&amp;YEAR(D456)&amp;"]"))&lt;&gt;COUNTA(TabRFR[Recherche RFR]),"Data RFR manquantes", IF(V456&lt;=INDEX(TabRFR[[2021]:[2025]],MATCH(BD!U456&amp;"-Très modestes",TabRFR[Recherche RFR],0),MATCH(TEXT(YEAR(BD!D456),"Standard"),TabRFR[[#Headers],[2021]:[2025]],0)),"Très Modeste",IF(V456&lt;=INDEX(TabRFR[[2021]:[2025]],MATCH(BD!U456&amp;"-modestes",TabRFR[Recherche RFR],0),MATCH(TEXT(YEAR(BD!D456),"Standard"),TabRFR[[#Headers],[2021]:[2025]],0)),"Modeste",IF(V456&lt;=INDEX(TabRFR[[2021]:[2025]],MATCH(BD!U456&amp;"-Intermédiaire",TabRFR[Recherche RFR],0),MATCH(TEXT(YEAR(BD!D456),"Standard"),TabRFR[[#Headers],[2021]:[2025]],0)),"Intermédiaire","Supérieur")))))),IF(D456="","",IF(U456+V456&lt;15,"Données Nb pers ou RFR manquantes",IF(COUNTA(INDIRECT("TabRFR["&amp;YEAR(H456)&amp;"]"))&lt;&gt;COUNTA(TabRFR[Recherche RFR]),"Data RFR manquantes", IF(V456&lt;=INDEX(TabRFR[[2021]:[2025]],MATCH(BD!U456&amp;"-Très modestes",TabRFR[Recherche RFR],0),MATCH(TEXT(YEAR(BD!H456),"Standard"),TabRFR[[#Headers],[2021]:[2025]],0)),"Très Modeste",IF(V456&lt;=INDEX(TabRFR[[2021]:[2025]],MATCH(BD!U456&amp;"-modestes",TabRFR[Recherche RFR],0),MATCH(TEXT(YEAR(BD!H456),"Standard"),TabRFR[[#Headers],[2021]:[2025]],0)),"Modeste",IF(V456&lt;=INDEX(TabRFR[[2021]:[2025]],MATCH(BD!U456&amp;"-Intermédiaire",TabRFR[Recherche RFR],0),MATCH(TEXT(YEAR(BD!H456),"Standard"),TabRFR[[#Headers],[2021]:[2025]],0)),"Intermédiaire","Supérieur")))))))</f>
        <v>Supérieur</v>
      </c>
      <c r="X456" s="144"/>
      <c r="Y456" s="135" t="s">
        <v>844</v>
      </c>
      <c r="Z456" s="144">
        <v>38500</v>
      </c>
      <c r="AA456" s="135" t="s">
        <v>284</v>
      </c>
      <c r="AB456" s="148"/>
      <c r="AC456" s="149"/>
      <c r="AD456" s="135" t="s">
        <v>91</v>
      </c>
      <c r="AE456" s="135"/>
      <c r="AF456" s="135"/>
      <c r="AG456" s="135"/>
      <c r="AH456" s="135"/>
      <c r="AI456" s="143" t="s">
        <v>109</v>
      </c>
      <c r="AJ456" s="143" t="s">
        <v>108</v>
      </c>
      <c r="AK456" s="143" t="s">
        <v>110</v>
      </c>
      <c r="AL456" s="183" t="s">
        <v>111</v>
      </c>
      <c r="AM456" s="148" t="s">
        <v>112</v>
      </c>
      <c r="AN456" s="135"/>
      <c r="AO456" s="148" t="s">
        <v>144</v>
      </c>
      <c r="AP456" s="135">
        <v>44868</v>
      </c>
      <c r="AQ456" s="135" t="s">
        <v>3449</v>
      </c>
      <c r="AR456" s="143">
        <v>1990</v>
      </c>
      <c r="AS456" s="143" t="s">
        <v>3413</v>
      </c>
      <c r="AT456" s="135" t="s">
        <v>3446</v>
      </c>
      <c r="AU456" s="143" t="s">
        <v>2042</v>
      </c>
      <c r="AV456" s="135" t="s">
        <v>2043</v>
      </c>
      <c r="AW456" s="143">
        <v>22</v>
      </c>
      <c r="AX456" s="143">
        <v>7</v>
      </c>
      <c r="AY456" s="143">
        <v>80</v>
      </c>
      <c r="AZ456" s="135" t="s">
        <v>2044</v>
      </c>
      <c r="BA456" s="135" t="s">
        <v>101</v>
      </c>
      <c r="BB456" s="135"/>
      <c r="BC456" s="151">
        <f>3213.92+350+101+88+85+168+558.76</f>
        <v>4564.68</v>
      </c>
      <c r="BD456" s="151"/>
      <c r="BE456" s="151">
        <f>15+30+455</f>
        <v>500</v>
      </c>
      <c r="BF456" s="151">
        <f>BC456+BE456-582.57</f>
        <v>4482.1100000000006</v>
      </c>
      <c r="BG456" s="151">
        <f t="shared" si="28"/>
        <v>246.51605000000004</v>
      </c>
      <c r="BH456" s="151">
        <f t="shared" si="29"/>
        <v>4728.6260500000008</v>
      </c>
      <c r="BI456" s="151">
        <v>4410.99</v>
      </c>
      <c r="BJ456" s="135" t="s">
        <v>102</v>
      </c>
      <c r="BK456" s="135"/>
      <c r="BL456" s="135"/>
      <c r="BM456" s="144" t="s">
        <v>3592</v>
      </c>
      <c r="BN456" s="143">
        <v>2022</v>
      </c>
      <c r="BO456" s="144" t="s">
        <v>143</v>
      </c>
      <c r="BP456" s="144">
        <v>2022</v>
      </c>
      <c r="BQ456" s="203" t="s">
        <v>144</v>
      </c>
    </row>
    <row r="457" spans="1:69" ht="41.1" customHeight="1">
      <c r="A457" s="218" t="s">
        <v>1705</v>
      </c>
      <c r="B457" s="218" t="s">
        <v>2045</v>
      </c>
      <c r="C457" s="143">
        <v>600</v>
      </c>
      <c r="D457" s="135">
        <v>44718</v>
      </c>
      <c r="E457" s="135">
        <v>44720</v>
      </c>
      <c r="F457" s="182">
        <v>44733</v>
      </c>
      <c r="G457" s="143" t="s">
        <v>1088</v>
      </c>
      <c r="H457" s="135">
        <v>44736</v>
      </c>
      <c r="I457" s="135">
        <v>44736</v>
      </c>
      <c r="J457" s="135">
        <v>44749</v>
      </c>
      <c r="K457" s="135">
        <v>44879</v>
      </c>
      <c r="L457" s="135">
        <v>44760</v>
      </c>
      <c r="M457" s="135" t="s">
        <v>76</v>
      </c>
      <c r="N457" s="135">
        <v>44895</v>
      </c>
      <c r="O457" s="135">
        <v>44895</v>
      </c>
      <c r="P457" s="135">
        <v>44897</v>
      </c>
      <c r="Q457" s="135"/>
      <c r="R457" s="135"/>
      <c r="S457" s="135"/>
      <c r="T457" s="135"/>
      <c r="U457" s="186">
        <v>4</v>
      </c>
      <c r="V457" s="143">
        <v>50612</v>
      </c>
      <c r="W457" s="143" t="str">
        <f ca="1">IF(H457="",IF(D457="","",IF(U457+V457&lt;15,"Données Nb pers ou RFR manquantes",IF(COUNTA(INDIRECT("TabRFR["&amp;YEAR(D457)&amp;"]"))&lt;&gt;COUNTA(TabRFR[Recherche RFR]),"Data RFR manquantes", IF(V457&lt;=INDEX(TabRFR[[2021]:[2025]],MATCH(BD!U457&amp;"-Très modestes",TabRFR[Recherche RFR],0),MATCH(TEXT(YEAR(BD!D457),"Standard"),TabRFR[[#Headers],[2021]:[2025]],0)),"Très Modeste",IF(V457&lt;=INDEX(TabRFR[[2021]:[2025]],MATCH(BD!U457&amp;"-modestes",TabRFR[Recherche RFR],0),MATCH(TEXT(YEAR(BD!D457),"Standard"),TabRFR[[#Headers],[2021]:[2025]],0)),"Modeste",IF(V457&lt;=INDEX(TabRFR[[2021]:[2025]],MATCH(BD!U457&amp;"-Intermédiaire",TabRFR[Recherche RFR],0),MATCH(TEXT(YEAR(BD!D457),"Standard"),TabRFR[[#Headers],[2021]:[2025]],0)),"Intermédiaire","Supérieur")))))),IF(D457="","",IF(U457+V457&lt;15,"Données Nb pers ou RFR manquantes",IF(COUNTA(INDIRECT("TabRFR["&amp;YEAR(H457)&amp;"]"))&lt;&gt;COUNTA(TabRFR[Recherche RFR]),"Data RFR manquantes", IF(V457&lt;=INDEX(TabRFR[[2021]:[2025]],MATCH(BD!U457&amp;"-Très modestes",TabRFR[Recherche RFR],0),MATCH(TEXT(YEAR(BD!H457),"Standard"),TabRFR[[#Headers],[2021]:[2025]],0)),"Très Modeste",IF(V457&lt;=INDEX(TabRFR[[2021]:[2025]],MATCH(BD!U457&amp;"-modestes",TabRFR[Recherche RFR],0),MATCH(TEXT(YEAR(BD!H457),"Standard"),TabRFR[[#Headers],[2021]:[2025]],0)),"Modeste",IF(V457&lt;=INDEX(TabRFR[[2021]:[2025]],MATCH(BD!U457&amp;"-Intermédiaire",TabRFR[Recherche RFR],0),MATCH(TEXT(YEAR(BD!H457),"Standard"),TabRFR[[#Headers],[2021]:[2025]],0)),"Intermédiaire","Supérieur")))))))</f>
        <v>Intermédiaire</v>
      </c>
      <c r="X457" s="144"/>
      <c r="Y457" s="135" t="s">
        <v>2046</v>
      </c>
      <c r="Z457" s="144">
        <v>38140</v>
      </c>
      <c r="AA457" s="143" t="s">
        <v>159</v>
      </c>
      <c r="AB457" s="148"/>
      <c r="AC457" s="149"/>
      <c r="AD457" s="135" t="s">
        <v>91</v>
      </c>
      <c r="AE457" s="143" t="s">
        <v>76</v>
      </c>
      <c r="AF457" s="143" t="s">
        <v>76</v>
      </c>
      <c r="AG457" s="143" t="s">
        <v>76</v>
      </c>
      <c r="AH457" s="143" t="s">
        <v>76</v>
      </c>
      <c r="AI457" s="135" t="s">
        <v>285</v>
      </c>
      <c r="AJ457" s="143" t="s">
        <v>108</v>
      </c>
      <c r="AK457" s="143" t="s">
        <v>285</v>
      </c>
      <c r="AL457" s="169" t="s">
        <v>287</v>
      </c>
      <c r="AM457" s="148">
        <v>476069938</v>
      </c>
      <c r="AN457" s="135" t="s">
        <v>76</v>
      </c>
      <c r="AO457" s="148" t="s">
        <v>102</v>
      </c>
      <c r="AP457" s="135">
        <v>45192</v>
      </c>
      <c r="AQ457" s="135" t="s">
        <v>3496</v>
      </c>
      <c r="AR457" s="143">
        <v>1987</v>
      </c>
      <c r="AS457" s="143" t="s">
        <v>3413</v>
      </c>
      <c r="AT457" s="143" t="s">
        <v>98</v>
      </c>
      <c r="AU457" s="143" t="s">
        <v>430</v>
      </c>
      <c r="AV457" s="135" t="s">
        <v>564</v>
      </c>
      <c r="AW457" s="143">
        <v>15</v>
      </c>
      <c r="AX457" s="143">
        <v>7.4</v>
      </c>
      <c r="AY457" s="143">
        <v>92.5</v>
      </c>
      <c r="AZ457" s="151">
        <v>153</v>
      </c>
      <c r="BA457" s="135" t="s">
        <v>1401</v>
      </c>
      <c r="BB457" s="135"/>
      <c r="BC457" s="151">
        <f>3370+275+89+990+490</f>
        <v>5214</v>
      </c>
      <c r="BD457" s="151"/>
      <c r="BE457" s="151">
        <v>420</v>
      </c>
      <c r="BF457" s="151">
        <f>BC457+BE457</f>
        <v>5634</v>
      </c>
      <c r="BG457" s="151">
        <f t="shared" si="28"/>
        <v>309.87</v>
      </c>
      <c r="BH457" s="151">
        <f t="shared" si="29"/>
        <v>5943.87</v>
      </c>
      <c r="BI457" s="151">
        <v>5943.88</v>
      </c>
      <c r="BJ457" s="135" t="s">
        <v>102</v>
      </c>
      <c r="BK457" s="135"/>
      <c r="BL457" s="135"/>
      <c r="BM457" s="144" t="s">
        <v>3592</v>
      </c>
      <c r="BN457" s="143">
        <v>2022</v>
      </c>
      <c r="BO457" s="144" t="s">
        <v>143</v>
      </c>
      <c r="BP457" s="143" t="s">
        <v>3583</v>
      </c>
      <c r="BQ457" s="203" t="s">
        <v>144</v>
      </c>
    </row>
    <row r="458" spans="1:69" ht="41.1" customHeight="1">
      <c r="A458" s="218" t="s">
        <v>1705</v>
      </c>
      <c r="B458" s="218" t="s">
        <v>2047</v>
      </c>
      <c r="C458" s="143">
        <v>600</v>
      </c>
      <c r="D458" s="135">
        <v>44719</v>
      </c>
      <c r="E458" s="135">
        <v>44720</v>
      </c>
      <c r="F458" s="182" t="s">
        <v>76</v>
      </c>
      <c r="G458" s="135" t="s">
        <v>76</v>
      </c>
      <c r="H458" s="135">
        <v>44733</v>
      </c>
      <c r="I458" s="135">
        <v>44733</v>
      </c>
      <c r="J458" s="135">
        <v>44749</v>
      </c>
      <c r="K458" s="135">
        <v>44854</v>
      </c>
      <c r="L458" s="135">
        <v>44852</v>
      </c>
      <c r="M458" s="135" t="s">
        <v>76</v>
      </c>
      <c r="N458" s="135">
        <v>44874</v>
      </c>
      <c r="O458" s="135">
        <v>44874</v>
      </c>
      <c r="P458" s="135">
        <v>44879</v>
      </c>
      <c r="Q458" s="135"/>
      <c r="R458" s="135"/>
      <c r="S458" s="135"/>
      <c r="T458" s="135"/>
      <c r="U458" s="144">
        <v>2</v>
      </c>
      <c r="V458" s="143">
        <v>54852</v>
      </c>
      <c r="W458" s="143" t="str">
        <f ca="1">IF(H458="",IF(D458="","",IF(U458+V458&lt;15,"Données Nb pers ou RFR manquantes",IF(COUNTA(INDIRECT("TabRFR["&amp;YEAR(D458)&amp;"]"))&lt;&gt;COUNTA(TabRFR[Recherche RFR]),"Data RFR manquantes", IF(V458&lt;=INDEX(TabRFR[[2021]:[2025]],MATCH(BD!U458&amp;"-Très modestes",TabRFR[Recherche RFR],0),MATCH(TEXT(YEAR(BD!D458),"Standard"),TabRFR[[#Headers],[2021]:[2025]],0)),"Très Modeste",IF(V458&lt;=INDEX(TabRFR[[2021]:[2025]],MATCH(BD!U458&amp;"-modestes",TabRFR[Recherche RFR],0),MATCH(TEXT(YEAR(BD!D458),"Standard"),TabRFR[[#Headers],[2021]:[2025]],0)),"Modeste",IF(V458&lt;=INDEX(TabRFR[[2021]:[2025]],MATCH(BD!U458&amp;"-Intermédiaire",TabRFR[Recherche RFR],0),MATCH(TEXT(YEAR(BD!D458),"Standard"),TabRFR[[#Headers],[2021]:[2025]],0)),"Intermédiaire","Supérieur")))))),IF(D458="","",IF(U458+V458&lt;15,"Données Nb pers ou RFR manquantes",IF(COUNTA(INDIRECT("TabRFR["&amp;YEAR(H458)&amp;"]"))&lt;&gt;COUNTA(TabRFR[Recherche RFR]),"Data RFR manquantes", IF(V458&lt;=INDEX(TabRFR[[2021]:[2025]],MATCH(BD!U458&amp;"-Très modestes",TabRFR[Recherche RFR],0),MATCH(TEXT(YEAR(BD!H458),"Standard"),TabRFR[[#Headers],[2021]:[2025]],0)),"Très Modeste",IF(V458&lt;=INDEX(TabRFR[[2021]:[2025]],MATCH(BD!U458&amp;"-modestes",TabRFR[Recherche RFR],0),MATCH(TEXT(YEAR(BD!H458),"Standard"),TabRFR[[#Headers],[2021]:[2025]],0)),"Modeste",IF(V458&lt;=INDEX(TabRFR[[2021]:[2025]],MATCH(BD!U458&amp;"-Intermédiaire",TabRFR[Recherche RFR],0),MATCH(TEXT(YEAR(BD!H458),"Standard"),TabRFR[[#Headers],[2021]:[2025]],0)),"Intermédiaire","Supérieur")))))))</f>
        <v>Supérieur</v>
      </c>
      <c r="X458" s="144"/>
      <c r="Y458" s="135" t="s">
        <v>1682</v>
      </c>
      <c r="Z458" s="144">
        <v>38340</v>
      </c>
      <c r="AA458" s="135" t="s">
        <v>266</v>
      </c>
      <c r="AB458" s="148"/>
      <c r="AC458" s="149"/>
      <c r="AD458" s="135" t="s">
        <v>91</v>
      </c>
      <c r="AE458" s="135"/>
      <c r="AF458" s="135"/>
      <c r="AG458" s="135"/>
      <c r="AH458" s="135"/>
      <c r="AI458" s="135" t="s">
        <v>2703</v>
      </c>
      <c r="AJ458" s="143" t="s">
        <v>266</v>
      </c>
      <c r="AK458" s="143" t="s">
        <v>317</v>
      </c>
      <c r="AL458" s="150" t="s">
        <v>318</v>
      </c>
      <c r="AM458" s="148">
        <v>476500550</v>
      </c>
      <c r="AN458" s="143" t="s">
        <v>76</v>
      </c>
      <c r="AO458" s="150" t="s">
        <v>102</v>
      </c>
      <c r="AP458" s="147">
        <v>44740</v>
      </c>
      <c r="AQ458" s="135" t="s">
        <v>3449</v>
      </c>
      <c r="AR458" s="143">
        <v>1972</v>
      </c>
      <c r="AS458" s="143" t="s">
        <v>3413</v>
      </c>
      <c r="AT458" s="135" t="s">
        <v>3446</v>
      </c>
      <c r="AU458" s="143" t="s">
        <v>319</v>
      </c>
      <c r="AV458" s="135" t="s">
        <v>2048</v>
      </c>
      <c r="AW458" s="143">
        <v>32</v>
      </c>
      <c r="AX458" s="143">
        <v>7</v>
      </c>
      <c r="AY458" s="143" t="s">
        <v>2049</v>
      </c>
      <c r="AZ458" s="135" t="s">
        <v>2028</v>
      </c>
      <c r="BA458" s="135" t="s">
        <v>101</v>
      </c>
      <c r="BB458" s="135"/>
      <c r="BC458" s="151">
        <f>3625+185.2+71.09+530.64+125+222.45+185.2+545.2+245.3+58.2</f>
        <v>5793.28</v>
      </c>
      <c r="BD458" s="151"/>
      <c r="BE458" s="151">
        <v>750</v>
      </c>
      <c r="BF458" s="151">
        <f>BC458+BE458-284.36</f>
        <v>6258.92</v>
      </c>
      <c r="BG458" s="151">
        <f t="shared" si="28"/>
        <v>344.24060000000003</v>
      </c>
      <c r="BH458" s="151">
        <f t="shared" si="29"/>
        <v>6603.1605999999992</v>
      </c>
      <c r="BI458" s="151">
        <v>6368.48</v>
      </c>
      <c r="BJ458" s="135" t="s">
        <v>102</v>
      </c>
      <c r="BK458" s="135"/>
      <c r="BL458" s="135"/>
      <c r="BM458" s="144" t="s">
        <v>3592</v>
      </c>
      <c r="BN458" s="143">
        <v>2022</v>
      </c>
      <c r="BO458" s="144" t="s">
        <v>143</v>
      </c>
      <c r="BP458" s="144">
        <v>2022</v>
      </c>
      <c r="BQ458" s="203" t="s">
        <v>144</v>
      </c>
    </row>
    <row r="459" spans="1:69" ht="41.1" customHeight="1">
      <c r="A459" s="218" t="s">
        <v>1705</v>
      </c>
      <c r="B459" s="218" t="s">
        <v>2050</v>
      </c>
      <c r="C459" s="143">
        <v>1000</v>
      </c>
      <c r="D459" s="135">
        <v>44719</v>
      </c>
      <c r="E459" s="135">
        <v>44720</v>
      </c>
      <c r="F459" s="182">
        <v>44733</v>
      </c>
      <c r="G459" s="143" t="s">
        <v>2051</v>
      </c>
      <c r="H459" s="135">
        <v>44740</v>
      </c>
      <c r="I459" s="135">
        <v>44740</v>
      </c>
      <c r="J459" s="135">
        <v>44749</v>
      </c>
      <c r="K459" s="135">
        <v>44846</v>
      </c>
      <c r="L459" s="147">
        <v>44809</v>
      </c>
      <c r="M459" s="135" t="s">
        <v>76</v>
      </c>
      <c r="N459" s="135">
        <v>44873</v>
      </c>
      <c r="O459" s="135">
        <v>44873</v>
      </c>
      <c r="P459" s="135">
        <v>44879</v>
      </c>
      <c r="Q459" s="135"/>
      <c r="R459" s="135"/>
      <c r="S459" s="135"/>
      <c r="T459" s="135"/>
      <c r="U459" s="144">
        <v>4</v>
      </c>
      <c r="V459" s="143">
        <v>14749</v>
      </c>
      <c r="W459" s="143" t="str">
        <f ca="1">IF(H459="",IF(D459="","",IF(U459+V459&lt;15,"Données Nb pers ou RFR manquantes",IF(COUNTA(INDIRECT("TabRFR["&amp;YEAR(D459)&amp;"]"))&lt;&gt;COUNTA(TabRFR[Recherche RFR]),"Data RFR manquantes", IF(V459&lt;=INDEX(TabRFR[[2021]:[2025]],MATCH(BD!U459&amp;"-Très modestes",TabRFR[Recherche RFR],0),MATCH(TEXT(YEAR(BD!D459),"Standard"),TabRFR[[#Headers],[2021]:[2025]],0)),"Très Modeste",IF(V459&lt;=INDEX(TabRFR[[2021]:[2025]],MATCH(BD!U459&amp;"-modestes",TabRFR[Recherche RFR],0),MATCH(TEXT(YEAR(BD!D459),"Standard"),TabRFR[[#Headers],[2021]:[2025]],0)),"Modeste",IF(V459&lt;=INDEX(TabRFR[[2021]:[2025]],MATCH(BD!U459&amp;"-Intermédiaire",TabRFR[Recherche RFR],0),MATCH(TEXT(YEAR(BD!D459),"Standard"),TabRFR[[#Headers],[2021]:[2025]],0)),"Intermédiaire","Supérieur")))))),IF(D459="","",IF(U459+V459&lt;15,"Données Nb pers ou RFR manquantes",IF(COUNTA(INDIRECT("TabRFR["&amp;YEAR(H459)&amp;"]"))&lt;&gt;COUNTA(TabRFR[Recherche RFR]),"Data RFR manquantes", IF(V459&lt;=INDEX(TabRFR[[2021]:[2025]],MATCH(BD!U459&amp;"-Très modestes",TabRFR[Recherche RFR],0),MATCH(TEXT(YEAR(BD!H459),"Standard"),TabRFR[[#Headers],[2021]:[2025]],0)),"Très Modeste",IF(V459&lt;=INDEX(TabRFR[[2021]:[2025]],MATCH(BD!U459&amp;"-modestes",TabRFR[Recherche RFR],0),MATCH(TEXT(YEAR(BD!H459),"Standard"),TabRFR[[#Headers],[2021]:[2025]],0)),"Modeste",IF(V459&lt;=INDEX(TabRFR[[2021]:[2025]],MATCH(BD!U459&amp;"-Intermédiaire",TabRFR[Recherche RFR],0),MATCH(TEXT(YEAR(BD!H459),"Standard"),TabRFR[[#Headers],[2021]:[2025]],0)),"Intermédiaire","Supérieur")))))))</f>
        <v>Très Modeste</v>
      </c>
      <c r="X459" s="144"/>
      <c r="Y459" s="135" t="s">
        <v>1397</v>
      </c>
      <c r="Z459" s="144">
        <v>38500</v>
      </c>
      <c r="AA459" s="135" t="s">
        <v>108</v>
      </c>
      <c r="AB459" s="148"/>
      <c r="AC459" s="149"/>
      <c r="AD459" s="135" t="s">
        <v>91</v>
      </c>
      <c r="AE459" s="135"/>
      <c r="AF459" s="135"/>
      <c r="AG459" s="135"/>
      <c r="AH459" s="135"/>
      <c r="AI459" s="135" t="s">
        <v>285</v>
      </c>
      <c r="AJ459" s="143" t="s">
        <v>108</v>
      </c>
      <c r="AK459" s="143" t="s">
        <v>285</v>
      </c>
      <c r="AL459" s="169" t="s">
        <v>287</v>
      </c>
      <c r="AM459" s="148">
        <v>476069938</v>
      </c>
      <c r="AN459" s="135" t="s">
        <v>76</v>
      </c>
      <c r="AO459" s="148" t="s">
        <v>102</v>
      </c>
      <c r="AP459" s="135">
        <v>45192</v>
      </c>
      <c r="AQ459" s="143" t="s">
        <v>3413</v>
      </c>
      <c r="AR459" s="143">
        <v>1996</v>
      </c>
      <c r="AS459" s="143" t="s">
        <v>3413</v>
      </c>
      <c r="AT459" s="135" t="s">
        <v>3446</v>
      </c>
      <c r="AU459" s="143" t="s">
        <v>2052</v>
      </c>
      <c r="AV459" s="135" t="s">
        <v>2053</v>
      </c>
      <c r="AW459" s="143">
        <v>28</v>
      </c>
      <c r="AX459" s="143">
        <v>8</v>
      </c>
      <c r="AY459" s="143" t="s">
        <v>2054</v>
      </c>
      <c r="AZ459" s="135" t="s">
        <v>2055</v>
      </c>
      <c r="BA459" s="135" t="s">
        <v>101</v>
      </c>
      <c r="BB459" s="135"/>
      <c r="BC459" s="151">
        <f>645.65+1+275+150+89+4191</f>
        <v>5351.65</v>
      </c>
      <c r="BD459" s="151"/>
      <c r="BE459" s="151">
        <v>330</v>
      </c>
      <c r="BF459" s="151">
        <f t="shared" ref="BF459:BF464" si="30">BC459+BE459</f>
        <v>5681.65</v>
      </c>
      <c r="BG459" s="151">
        <f t="shared" si="28"/>
        <v>312.49074999999999</v>
      </c>
      <c r="BH459" s="151">
        <f t="shared" si="29"/>
        <v>5994.1407499999996</v>
      </c>
      <c r="BI459" s="151">
        <v>5994.16</v>
      </c>
      <c r="BJ459" s="135" t="s">
        <v>102</v>
      </c>
      <c r="BK459" s="135"/>
      <c r="BL459" s="135"/>
      <c r="BM459" s="144" t="s">
        <v>3592</v>
      </c>
      <c r="BN459" s="143">
        <v>2022</v>
      </c>
      <c r="BO459" s="135" t="s">
        <v>155</v>
      </c>
      <c r="BP459" s="144">
        <v>2022</v>
      </c>
      <c r="BQ459" s="203" t="s">
        <v>144</v>
      </c>
    </row>
    <row r="460" spans="1:69" ht="41.1" customHeight="1">
      <c r="A460" s="218" t="s">
        <v>1705</v>
      </c>
      <c r="B460" s="218" t="s">
        <v>2056</v>
      </c>
      <c r="C460" s="143">
        <v>600</v>
      </c>
      <c r="D460" s="135">
        <v>44726</v>
      </c>
      <c r="E460" s="135">
        <v>44728</v>
      </c>
      <c r="F460" s="182">
        <v>44733</v>
      </c>
      <c r="G460" s="143" t="s">
        <v>2057</v>
      </c>
      <c r="H460" s="135">
        <v>44832</v>
      </c>
      <c r="I460" s="135">
        <v>44832</v>
      </c>
      <c r="J460" s="135">
        <v>44837</v>
      </c>
      <c r="K460" s="135">
        <v>45132</v>
      </c>
      <c r="L460" s="135">
        <v>44905</v>
      </c>
      <c r="M460" s="135" t="s">
        <v>76</v>
      </c>
      <c r="N460" s="135">
        <v>45146</v>
      </c>
      <c r="O460" s="135">
        <v>45146</v>
      </c>
      <c r="P460" s="135">
        <v>45147</v>
      </c>
      <c r="Q460" s="135"/>
      <c r="R460" s="135"/>
      <c r="S460" s="135"/>
      <c r="T460" s="135"/>
      <c r="U460" s="144">
        <v>2</v>
      </c>
      <c r="V460" s="143">
        <v>40430</v>
      </c>
      <c r="W460" s="143" t="str">
        <f ca="1">IF(H460="",IF(D460="","",IF(U460+V460&lt;15,"Données Nb pers ou RFR manquantes",IF(COUNTA(INDIRECT("TabRFR["&amp;YEAR(D460)&amp;"]"))&lt;&gt;COUNTA(TabRFR[Recherche RFR]),"Data RFR manquantes", IF(V460&lt;=INDEX(TabRFR[[2021]:[2025]],MATCH(BD!U460&amp;"-Très modestes",TabRFR[Recherche RFR],0),MATCH(TEXT(YEAR(BD!D460),"Standard"),TabRFR[[#Headers],[2021]:[2025]],0)),"Très Modeste",IF(V460&lt;=INDEX(TabRFR[[2021]:[2025]],MATCH(BD!U460&amp;"-modestes",TabRFR[Recherche RFR],0),MATCH(TEXT(YEAR(BD!D460),"Standard"),TabRFR[[#Headers],[2021]:[2025]],0)),"Modeste",IF(V460&lt;=INDEX(TabRFR[[2021]:[2025]],MATCH(BD!U460&amp;"-Intermédiaire",TabRFR[Recherche RFR],0),MATCH(TEXT(YEAR(BD!D460),"Standard"),TabRFR[[#Headers],[2021]:[2025]],0)),"Intermédiaire","Supérieur")))))),IF(D460="","",IF(U460+V460&lt;15,"Données Nb pers ou RFR manquantes",IF(COUNTA(INDIRECT("TabRFR["&amp;YEAR(H460)&amp;"]"))&lt;&gt;COUNTA(TabRFR[Recherche RFR]),"Data RFR manquantes", IF(V460&lt;=INDEX(TabRFR[[2021]:[2025]],MATCH(BD!U460&amp;"-Très modestes",TabRFR[Recherche RFR],0),MATCH(TEXT(YEAR(BD!H460),"Standard"),TabRFR[[#Headers],[2021]:[2025]],0)),"Très Modeste",IF(V460&lt;=INDEX(TabRFR[[2021]:[2025]],MATCH(BD!U460&amp;"-modestes",TabRFR[Recherche RFR],0),MATCH(TEXT(YEAR(BD!H460),"Standard"),TabRFR[[#Headers],[2021]:[2025]],0)),"Modeste",IF(V460&lt;=INDEX(TabRFR[[2021]:[2025]],MATCH(BD!U460&amp;"-Intermédiaire",TabRFR[Recherche RFR],0),MATCH(TEXT(YEAR(BD!H460),"Standard"),TabRFR[[#Headers],[2021]:[2025]],0)),"Intermédiaire","Supérieur")))))))</f>
        <v>Intermédiaire</v>
      </c>
      <c r="X460" s="144"/>
      <c r="Y460" s="135" t="s">
        <v>2058</v>
      </c>
      <c r="Z460" s="144">
        <v>38960</v>
      </c>
      <c r="AA460" s="143" t="s">
        <v>360</v>
      </c>
      <c r="AB460" s="148"/>
      <c r="AC460" s="149"/>
      <c r="AD460" s="135" t="s">
        <v>91</v>
      </c>
      <c r="AE460" s="135"/>
      <c r="AF460" s="135"/>
      <c r="AG460" s="135"/>
      <c r="AH460" s="135"/>
      <c r="AI460" s="135" t="s">
        <v>220</v>
      </c>
      <c r="AJ460" s="135" t="s">
        <v>108</v>
      </c>
      <c r="AK460" s="135" t="s">
        <v>2059</v>
      </c>
      <c r="AL460" s="169" t="s">
        <v>1947</v>
      </c>
      <c r="AM460" s="148">
        <v>476323235</v>
      </c>
      <c r="AN460" s="135" t="s">
        <v>76</v>
      </c>
      <c r="AO460" s="135" t="s">
        <v>102</v>
      </c>
      <c r="AP460" s="135">
        <v>44794</v>
      </c>
      <c r="AQ460" s="143" t="s">
        <v>3413</v>
      </c>
      <c r="AR460" s="143">
        <v>1980</v>
      </c>
      <c r="AS460" s="143" t="s">
        <v>3413</v>
      </c>
      <c r="AT460" s="135" t="s">
        <v>3446</v>
      </c>
      <c r="AU460" s="135" t="s">
        <v>2060</v>
      </c>
      <c r="AV460" s="135" t="s">
        <v>2061</v>
      </c>
      <c r="AW460" s="143">
        <v>11</v>
      </c>
      <c r="AX460" s="143">
        <v>8.8000000000000007</v>
      </c>
      <c r="AY460" s="143">
        <v>82</v>
      </c>
      <c r="AZ460" s="135" t="s">
        <v>2062</v>
      </c>
      <c r="BA460" s="135" t="s">
        <v>101</v>
      </c>
      <c r="BB460" s="135"/>
      <c r="BC460" s="151">
        <f>2790+190+79+48+31+29+120</f>
        <v>3287</v>
      </c>
      <c r="BD460" s="151"/>
      <c r="BE460" s="151">
        <f>40+60+480+15</f>
        <v>595</v>
      </c>
      <c r="BF460" s="151">
        <f t="shared" si="30"/>
        <v>3882</v>
      </c>
      <c r="BG460" s="151">
        <f>BF460*0.2</f>
        <v>776.40000000000009</v>
      </c>
      <c r="BH460" s="151">
        <f t="shared" ref="BH460:BH480" si="31">BF460+BG460</f>
        <v>4658.3999999999996</v>
      </c>
      <c r="BI460" s="151">
        <v>4290</v>
      </c>
      <c r="BJ460" s="135" t="s">
        <v>1391</v>
      </c>
      <c r="BK460" s="135"/>
      <c r="BL460" s="135"/>
      <c r="BM460" s="144" t="s">
        <v>3592</v>
      </c>
      <c r="BN460" s="143">
        <v>2022</v>
      </c>
      <c r="BO460" s="144" t="s">
        <v>143</v>
      </c>
      <c r="BP460" s="144">
        <v>2022</v>
      </c>
      <c r="BQ460" s="203" t="s">
        <v>3274</v>
      </c>
    </row>
    <row r="461" spans="1:69" ht="41.1" customHeight="1">
      <c r="A461" s="218" t="s">
        <v>1705</v>
      </c>
      <c r="B461" s="218" t="s">
        <v>2063</v>
      </c>
      <c r="C461" s="143">
        <v>600</v>
      </c>
      <c r="D461" s="135">
        <v>44716</v>
      </c>
      <c r="E461" s="135">
        <v>44728</v>
      </c>
      <c r="F461" s="182">
        <v>44762</v>
      </c>
      <c r="G461" s="143" t="s">
        <v>1962</v>
      </c>
      <c r="H461" s="135">
        <v>44777</v>
      </c>
      <c r="I461" s="135">
        <v>44777</v>
      </c>
      <c r="J461" s="135">
        <v>44778</v>
      </c>
      <c r="K461" s="135">
        <v>44883</v>
      </c>
      <c r="L461" s="135">
        <v>44824</v>
      </c>
      <c r="M461" s="135" t="s">
        <v>76</v>
      </c>
      <c r="N461" s="135">
        <v>44895</v>
      </c>
      <c r="O461" s="135">
        <v>44895</v>
      </c>
      <c r="P461" s="135">
        <v>44897</v>
      </c>
      <c r="Q461" s="135"/>
      <c r="R461" s="135"/>
      <c r="S461" s="135"/>
      <c r="T461" s="135"/>
      <c r="U461" s="144">
        <v>5</v>
      </c>
      <c r="V461" s="143">
        <v>113758</v>
      </c>
      <c r="W461" s="143" t="str">
        <f ca="1">IF(H461="",IF(D461="","",IF(U461+V461&lt;15,"Données Nb pers ou RFR manquantes",IF(COUNTA(INDIRECT("TabRFR["&amp;YEAR(D461)&amp;"]"))&lt;&gt;COUNTA(TabRFR[Recherche RFR]),"Data RFR manquantes", IF(V461&lt;=INDEX(TabRFR[[2021]:[2025]],MATCH(BD!U461&amp;"-Très modestes",TabRFR[Recherche RFR],0),MATCH(TEXT(YEAR(BD!D461),"Standard"),TabRFR[[#Headers],[2021]:[2025]],0)),"Très Modeste",IF(V461&lt;=INDEX(TabRFR[[2021]:[2025]],MATCH(BD!U461&amp;"-modestes",TabRFR[Recherche RFR],0),MATCH(TEXT(YEAR(BD!D461),"Standard"),TabRFR[[#Headers],[2021]:[2025]],0)),"Modeste",IF(V461&lt;=INDEX(TabRFR[[2021]:[2025]],MATCH(BD!U461&amp;"-Intermédiaire",TabRFR[Recherche RFR],0),MATCH(TEXT(YEAR(BD!D461),"Standard"),TabRFR[[#Headers],[2021]:[2025]],0)),"Intermédiaire","Supérieur")))))),IF(D461="","",IF(U461+V461&lt;15,"Données Nb pers ou RFR manquantes",IF(COUNTA(INDIRECT("TabRFR["&amp;YEAR(H461)&amp;"]"))&lt;&gt;COUNTA(TabRFR[Recherche RFR]),"Data RFR manquantes", IF(V461&lt;=INDEX(TabRFR[[2021]:[2025]],MATCH(BD!U461&amp;"-Très modestes",TabRFR[Recherche RFR],0),MATCH(TEXT(YEAR(BD!H461),"Standard"),TabRFR[[#Headers],[2021]:[2025]],0)),"Très Modeste",IF(V461&lt;=INDEX(TabRFR[[2021]:[2025]],MATCH(BD!U461&amp;"-modestes",TabRFR[Recherche RFR],0),MATCH(TEXT(YEAR(BD!H461),"Standard"),TabRFR[[#Headers],[2021]:[2025]],0)),"Modeste",IF(V461&lt;=INDEX(TabRFR[[2021]:[2025]],MATCH(BD!U461&amp;"-Intermédiaire",TabRFR[Recherche RFR],0),MATCH(TEXT(YEAR(BD!H461),"Standard"),TabRFR[[#Headers],[2021]:[2025]],0)),"Intermédiaire","Supérieur")))))))</f>
        <v>Supérieur</v>
      </c>
      <c r="X461" s="144"/>
      <c r="Y461" s="135" t="s">
        <v>2064</v>
      </c>
      <c r="Z461" s="144">
        <v>38500</v>
      </c>
      <c r="AA461" s="135" t="s">
        <v>108</v>
      </c>
      <c r="AB461" s="148"/>
      <c r="AC461" s="149"/>
      <c r="AD461" s="135" t="s">
        <v>91</v>
      </c>
      <c r="AE461" s="135"/>
      <c r="AF461" s="135"/>
      <c r="AG461" s="135"/>
      <c r="AH461" s="135"/>
      <c r="AI461" s="135" t="s">
        <v>220</v>
      </c>
      <c r="AJ461" s="135" t="s">
        <v>108</v>
      </c>
      <c r="AK461" s="135" t="s">
        <v>2059</v>
      </c>
      <c r="AL461" s="169" t="s">
        <v>1947</v>
      </c>
      <c r="AM461" s="148">
        <v>476323235</v>
      </c>
      <c r="AN461" s="135" t="s">
        <v>76</v>
      </c>
      <c r="AO461" s="135" t="s">
        <v>102</v>
      </c>
      <c r="AP461" s="135">
        <v>44794</v>
      </c>
      <c r="AQ461" s="135" t="s">
        <v>3449</v>
      </c>
      <c r="AR461" s="143">
        <v>1975</v>
      </c>
      <c r="AS461" s="143" t="s">
        <v>3413</v>
      </c>
      <c r="AT461" s="135" t="s">
        <v>3446</v>
      </c>
      <c r="AU461" s="143" t="s">
        <v>1346</v>
      </c>
      <c r="AV461" s="135" t="s">
        <v>2065</v>
      </c>
      <c r="AW461" s="143">
        <v>7</v>
      </c>
      <c r="AX461" s="143">
        <v>8</v>
      </c>
      <c r="AY461" s="143">
        <v>78</v>
      </c>
      <c r="AZ461" s="135" t="s">
        <v>2066</v>
      </c>
      <c r="BA461" s="135" t="s">
        <v>101</v>
      </c>
      <c r="BB461" s="135"/>
      <c r="BC461" s="151">
        <f>30+2332+475+4890+78+30+115+65+80</f>
        <v>8095</v>
      </c>
      <c r="BD461" s="151"/>
      <c r="BE461" s="151">
        <f>395+15</f>
        <v>410</v>
      </c>
      <c r="BF461" s="151">
        <f t="shared" si="30"/>
        <v>8505</v>
      </c>
      <c r="BG461" s="151">
        <f>BF461*0.055</f>
        <v>467.77499999999998</v>
      </c>
      <c r="BH461" s="151">
        <f t="shared" si="31"/>
        <v>8972.7749999999996</v>
      </c>
      <c r="BI461" s="143">
        <f>5501.83+3120.7</f>
        <v>8622.5299999999988</v>
      </c>
      <c r="BJ461" s="135" t="s">
        <v>144</v>
      </c>
      <c r="BK461" s="135"/>
      <c r="BL461" s="135"/>
      <c r="BM461" s="144" t="s">
        <v>3592</v>
      </c>
      <c r="BN461" s="143">
        <v>2022</v>
      </c>
      <c r="BO461" s="144" t="s">
        <v>143</v>
      </c>
      <c r="BP461" s="144">
        <v>2022</v>
      </c>
      <c r="BQ461" s="203" t="s">
        <v>144</v>
      </c>
    </row>
    <row r="462" spans="1:69" ht="41.1" customHeight="1">
      <c r="A462" s="218" t="s">
        <v>1705</v>
      </c>
      <c r="B462" s="218" t="s">
        <v>2067</v>
      </c>
      <c r="C462" s="143">
        <v>600</v>
      </c>
      <c r="D462" s="135">
        <v>44727</v>
      </c>
      <c r="E462" s="135">
        <v>44732</v>
      </c>
      <c r="F462" s="182" t="s">
        <v>76</v>
      </c>
      <c r="G462" s="143" t="s">
        <v>76</v>
      </c>
      <c r="H462" s="135">
        <v>44761</v>
      </c>
      <c r="I462" s="135">
        <v>44761</v>
      </c>
      <c r="J462" s="135">
        <v>44768</v>
      </c>
      <c r="K462" s="135">
        <v>44782</v>
      </c>
      <c r="L462" s="135">
        <v>44774</v>
      </c>
      <c r="M462" s="135" t="s">
        <v>76</v>
      </c>
      <c r="N462" s="135">
        <v>44795</v>
      </c>
      <c r="O462" s="135">
        <v>44795</v>
      </c>
      <c r="P462" s="135">
        <v>44796</v>
      </c>
      <c r="Q462" s="135"/>
      <c r="R462" s="135"/>
      <c r="S462" s="135"/>
      <c r="T462" s="135"/>
      <c r="U462" s="144">
        <v>2</v>
      </c>
      <c r="V462" s="143">
        <v>35756</v>
      </c>
      <c r="W462" s="143" t="str">
        <f ca="1">IF(H462="",IF(D462="","",IF(U462+V462&lt;15,"Données Nb pers ou RFR manquantes",IF(COUNTA(INDIRECT("TabRFR["&amp;YEAR(D462)&amp;"]"))&lt;&gt;COUNTA(TabRFR[Recherche RFR]),"Data RFR manquantes", IF(V462&lt;=INDEX(TabRFR[[2021]:[2025]],MATCH(BD!U462&amp;"-Très modestes",TabRFR[Recherche RFR],0),MATCH(TEXT(YEAR(BD!D462),"Standard"),TabRFR[[#Headers],[2021]:[2025]],0)),"Très Modeste",IF(V462&lt;=INDEX(TabRFR[[2021]:[2025]],MATCH(BD!U462&amp;"-modestes",TabRFR[Recherche RFR],0),MATCH(TEXT(YEAR(BD!D462),"Standard"),TabRFR[[#Headers],[2021]:[2025]],0)),"Modeste",IF(V462&lt;=INDEX(TabRFR[[2021]:[2025]],MATCH(BD!U462&amp;"-Intermédiaire",TabRFR[Recherche RFR],0),MATCH(TEXT(YEAR(BD!D462),"Standard"),TabRFR[[#Headers],[2021]:[2025]],0)),"Intermédiaire","Supérieur")))))),IF(D462="","",IF(U462+V462&lt;15,"Données Nb pers ou RFR manquantes",IF(COUNTA(INDIRECT("TabRFR["&amp;YEAR(H462)&amp;"]"))&lt;&gt;COUNTA(TabRFR[Recherche RFR]),"Data RFR manquantes", IF(V462&lt;=INDEX(TabRFR[[2021]:[2025]],MATCH(BD!U462&amp;"-Très modestes",TabRFR[Recherche RFR],0),MATCH(TEXT(YEAR(BD!H462),"Standard"),TabRFR[[#Headers],[2021]:[2025]],0)),"Très Modeste",IF(V462&lt;=INDEX(TabRFR[[2021]:[2025]],MATCH(BD!U462&amp;"-modestes",TabRFR[Recherche RFR],0),MATCH(TEXT(YEAR(BD!H462),"Standard"),TabRFR[[#Headers],[2021]:[2025]],0)),"Modeste",IF(V462&lt;=INDEX(TabRFR[[2021]:[2025]],MATCH(BD!U462&amp;"-Intermédiaire",TabRFR[Recherche RFR],0),MATCH(TEXT(YEAR(BD!H462),"Standard"),TabRFR[[#Headers],[2021]:[2025]],0)),"Intermédiaire","Supérieur")))))))</f>
        <v>Intermédiaire</v>
      </c>
      <c r="X462" s="144"/>
      <c r="Y462" s="135" t="s">
        <v>2068</v>
      </c>
      <c r="Z462" s="144">
        <v>38850</v>
      </c>
      <c r="AA462" s="135" t="s">
        <v>435</v>
      </c>
      <c r="AB462" s="148"/>
      <c r="AC462" s="149"/>
      <c r="AD462" s="135" t="s">
        <v>91</v>
      </c>
      <c r="AE462" s="135"/>
      <c r="AF462" s="135"/>
      <c r="AG462" s="135"/>
      <c r="AH462" s="135"/>
      <c r="AI462" s="143" t="s">
        <v>1106</v>
      </c>
      <c r="AJ462" s="143" t="s">
        <v>1075</v>
      </c>
      <c r="AK462" s="143" t="s">
        <v>1737</v>
      </c>
      <c r="AL462" s="169" t="s">
        <v>1108</v>
      </c>
      <c r="AM462" s="148" t="s">
        <v>1455</v>
      </c>
      <c r="AN462" s="143" t="s">
        <v>76</v>
      </c>
      <c r="AO462" s="150" t="s">
        <v>102</v>
      </c>
      <c r="AP462" s="147">
        <v>44731</v>
      </c>
      <c r="AQ462" s="135" t="s">
        <v>3449</v>
      </c>
      <c r="AR462" s="143">
        <v>1977</v>
      </c>
      <c r="AS462" s="135" t="s">
        <v>3496</v>
      </c>
      <c r="AT462" s="135" t="s">
        <v>3446</v>
      </c>
      <c r="AU462" s="143" t="s">
        <v>1878</v>
      </c>
      <c r="AV462" s="135" t="s">
        <v>1192</v>
      </c>
      <c r="AW462" s="143">
        <v>34</v>
      </c>
      <c r="AX462" s="143" t="s">
        <v>2069</v>
      </c>
      <c r="AY462" s="143" t="s">
        <v>2070</v>
      </c>
      <c r="AZ462" s="135" t="s">
        <v>1901</v>
      </c>
      <c r="BA462" s="135" t="s">
        <v>101</v>
      </c>
      <c r="BB462" s="135"/>
      <c r="BC462" s="151">
        <f>1723.06+395+280+510+340+167+295+567+82.2+44.8</f>
        <v>4404.0599999999995</v>
      </c>
      <c r="BD462" s="151"/>
      <c r="BE462" s="151">
        <v>750</v>
      </c>
      <c r="BF462" s="151">
        <f t="shared" si="30"/>
        <v>5154.0599999999995</v>
      </c>
      <c r="BG462" s="151">
        <f>BF462*0.055</f>
        <v>283.47329999999999</v>
      </c>
      <c r="BH462" s="151">
        <f t="shared" si="31"/>
        <v>5437.5332999999991</v>
      </c>
      <c r="BI462" s="151">
        <v>5437.53</v>
      </c>
      <c r="BJ462" s="135" t="s">
        <v>103</v>
      </c>
      <c r="BK462" s="135"/>
      <c r="BL462" s="135"/>
      <c r="BM462" s="144" t="s">
        <v>3592</v>
      </c>
      <c r="BN462" s="143">
        <v>2022</v>
      </c>
      <c r="BO462" s="144" t="s">
        <v>143</v>
      </c>
      <c r="BP462" s="144">
        <v>2022</v>
      </c>
      <c r="BQ462" s="203" t="s">
        <v>3274</v>
      </c>
    </row>
    <row r="463" spans="1:69" ht="41.1" customHeight="1">
      <c r="A463" s="218" t="s">
        <v>1705</v>
      </c>
      <c r="B463" s="218" t="s">
        <v>2071</v>
      </c>
      <c r="C463" s="143">
        <v>600</v>
      </c>
      <c r="D463" s="135">
        <v>44728</v>
      </c>
      <c r="E463" s="135">
        <v>44733</v>
      </c>
      <c r="F463" s="135">
        <v>44761</v>
      </c>
      <c r="G463" s="135" t="s">
        <v>2072</v>
      </c>
      <c r="H463" s="135">
        <v>44832</v>
      </c>
      <c r="I463" s="135">
        <v>44832</v>
      </c>
      <c r="J463" s="135">
        <v>44837</v>
      </c>
      <c r="K463" s="135">
        <v>44951</v>
      </c>
      <c r="L463" s="135">
        <v>44859</v>
      </c>
      <c r="M463" s="135" t="s">
        <v>76</v>
      </c>
      <c r="N463" s="135">
        <v>44974</v>
      </c>
      <c r="O463" s="135">
        <v>44974</v>
      </c>
      <c r="P463" s="135">
        <v>44977</v>
      </c>
      <c r="Q463" s="135"/>
      <c r="R463" s="135"/>
      <c r="S463" s="135"/>
      <c r="T463" s="135"/>
      <c r="U463" s="144">
        <v>3</v>
      </c>
      <c r="V463" s="143">
        <v>55998</v>
      </c>
      <c r="W463" s="143" t="str">
        <f ca="1">IF(H463="",IF(D463="","",IF(U463+V463&lt;15,"Données Nb pers ou RFR manquantes",IF(COUNTA(INDIRECT("TabRFR["&amp;YEAR(D463)&amp;"]"))&lt;&gt;COUNTA(TabRFR[Recherche RFR]),"Data RFR manquantes", IF(V463&lt;=INDEX(TabRFR[[2021]:[2025]],MATCH(BD!U463&amp;"-Très modestes",TabRFR[Recherche RFR],0),MATCH(TEXT(YEAR(BD!D463),"Standard"),TabRFR[[#Headers],[2021]:[2025]],0)),"Très Modeste",IF(V463&lt;=INDEX(TabRFR[[2021]:[2025]],MATCH(BD!U463&amp;"-modestes",TabRFR[Recherche RFR],0),MATCH(TEXT(YEAR(BD!D463),"Standard"),TabRFR[[#Headers],[2021]:[2025]],0)),"Modeste",IF(V463&lt;=INDEX(TabRFR[[2021]:[2025]],MATCH(BD!U463&amp;"-Intermédiaire",TabRFR[Recherche RFR],0),MATCH(TEXT(YEAR(BD!D463),"Standard"),TabRFR[[#Headers],[2021]:[2025]],0)),"Intermédiaire","Supérieur")))))),IF(D463="","",IF(U463+V463&lt;15,"Données Nb pers ou RFR manquantes",IF(COUNTA(INDIRECT("TabRFR["&amp;YEAR(H463)&amp;"]"))&lt;&gt;COUNTA(TabRFR[Recherche RFR]),"Data RFR manquantes", IF(V463&lt;=INDEX(TabRFR[[2021]:[2025]],MATCH(BD!U463&amp;"-Très modestes",TabRFR[Recherche RFR],0),MATCH(TEXT(YEAR(BD!H463),"Standard"),TabRFR[[#Headers],[2021]:[2025]],0)),"Très Modeste",IF(V463&lt;=INDEX(TabRFR[[2021]:[2025]],MATCH(BD!U463&amp;"-modestes",TabRFR[Recherche RFR],0),MATCH(TEXT(YEAR(BD!H463),"Standard"),TabRFR[[#Headers],[2021]:[2025]],0)),"Modeste",IF(V463&lt;=INDEX(TabRFR[[2021]:[2025]],MATCH(BD!U463&amp;"-Intermédiaire",TabRFR[Recherche RFR],0),MATCH(TEXT(YEAR(BD!H463),"Standard"),TabRFR[[#Headers],[2021]:[2025]],0)),"Intermédiaire","Supérieur")))))))</f>
        <v>Supérieur</v>
      </c>
      <c r="X463" s="144"/>
      <c r="Y463" s="135" t="s">
        <v>2073</v>
      </c>
      <c r="Z463" s="144">
        <v>38340</v>
      </c>
      <c r="AA463" s="135" t="s">
        <v>266</v>
      </c>
      <c r="AB463" s="148"/>
      <c r="AC463" s="149"/>
      <c r="AD463" s="135" t="s">
        <v>91</v>
      </c>
      <c r="AE463" s="135"/>
      <c r="AF463" s="135"/>
      <c r="AG463" s="135"/>
      <c r="AH463" s="135"/>
      <c r="AI463" s="135" t="s">
        <v>160</v>
      </c>
      <c r="AJ463" s="135" t="s">
        <v>161</v>
      </c>
      <c r="AK463" s="135" t="s">
        <v>2074</v>
      </c>
      <c r="AL463" s="169" t="s">
        <v>228</v>
      </c>
      <c r="AM463" s="148">
        <v>474934316</v>
      </c>
      <c r="AN463" s="135" t="s">
        <v>76</v>
      </c>
      <c r="AO463" s="135" t="s">
        <v>102</v>
      </c>
      <c r="AP463" s="135">
        <v>45006</v>
      </c>
      <c r="AQ463" s="143" t="s">
        <v>3413</v>
      </c>
      <c r="AR463" s="143">
        <v>2000</v>
      </c>
      <c r="AS463" s="143" t="s">
        <v>3413</v>
      </c>
      <c r="AT463" s="143" t="s">
        <v>98</v>
      </c>
      <c r="AU463" s="135" t="s">
        <v>164</v>
      </c>
      <c r="AV463" s="135" t="s">
        <v>2075</v>
      </c>
      <c r="AW463" s="143">
        <v>16</v>
      </c>
      <c r="AX463" s="143" t="s">
        <v>2076</v>
      </c>
      <c r="AY463" s="143" t="s">
        <v>2077</v>
      </c>
      <c r="AZ463" s="135" t="s">
        <v>2078</v>
      </c>
      <c r="BA463" s="135" t="s">
        <v>101</v>
      </c>
      <c r="BB463" s="135"/>
      <c r="BC463" s="151">
        <f>3901+242+1105+862</f>
        <v>6110</v>
      </c>
      <c r="BD463" s="135"/>
      <c r="BE463" s="151">
        <v>850</v>
      </c>
      <c r="BF463" s="151">
        <f t="shared" si="30"/>
        <v>6960</v>
      </c>
      <c r="BG463" s="151">
        <f>BF463*0.055</f>
        <v>382.8</v>
      </c>
      <c r="BH463" s="151">
        <f t="shared" si="31"/>
        <v>7342.8</v>
      </c>
      <c r="BI463" s="151">
        <v>7343</v>
      </c>
      <c r="BJ463" s="135" t="s">
        <v>144</v>
      </c>
      <c r="BK463" s="135"/>
      <c r="BL463" s="135"/>
      <c r="BM463" s="144" t="s">
        <v>3592</v>
      </c>
      <c r="BN463" s="143">
        <v>2022</v>
      </c>
      <c r="BO463" s="144" t="s">
        <v>143</v>
      </c>
      <c r="BP463" s="143" t="s">
        <v>3583</v>
      </c>
      <c r="BQ463" s="203" t="s">
        <v>144</v>
      </c>
    </row>
    <row r="464" spans="1:69" ht="41.1" customHeight="1">
      <c r="A464" s="218" t="s">
        <v>1705</v>
      </c>
      <c r="B464" s="218" t="s">
        <v>2079</v>
      </c>
      <c r="C464" s="143">
        <v>1000</v>
      </c>
      <c r="D464" s="135">
        <v>44728</v>
      </c>
      <c r="E464" s="135">
        <v>44739</v>
      </c>
      <c r="F464" s="135">
        <v>44762</v>
      </c>
      <c r="G464" s="143" t="s">
        <v>2080</v>
      </c>
      <c r="H464" s="135">
        <v>44763</v>
      </c>
      <c r="I464" s="135">
        <v>44763</v>
      </c>
      <c r="J464" s="135">
        <v>44768</v>
      </c>
      <c r="K464" s="135">
        <v>44903</v>
      </c>
      <c r="L464" s="135">
        <v>44879</v>
      </c>
      <c r="M464" s="135" t="s">
        <v>76</v>
      </c>
      <c r="N464" s="135">
        <v>44915</v>
      </c>
      <c r="O464" s="135">
        <v>44915</v>
      </c>
      <c r="P464" s="135">
        <v>44932</v>
      </c>
      <c r="Q464" s="135"/>
      <c r="R464" s="135"/>
      <c r="S464" s="135"/>
      <c r="T464" s="135"/>
      <c r="U464" s="144">
        <v>4</v>
      </c>
      <c r="V464" s="143">
        <v>31659</v>
      </c>
      <c r="W464" s="143" t="str">
        <f ca="1">IF(H464="",IF(D464="","",IF(U464+V464&lt;15,"Données Nb pers ou RFR manquantes",IF(COUNTA(INDIRECT("TabRFR["&amp;YEAR(D464)&amp;"]"))&lt;&gt;COUNTA(TabRFR[Recherche RFR]),"Data RFR manquantes", IF(V464&lt;=INDEX(TabRFR[[2021]:[2025]],MATCH(BD!U464&amp;"-Très modestes",TabRFR[Recherche RFR],0),MATCH(TEXT(YEAR(BD!D464),"Standard"),TabRFR[[#Headers],[2021]:[2025]],0)),"Très Modeste",IF(V464&lt;=INDEX(TabRFR[[2021]:[2025]],MATCH(BD!U464&amp;"-modestes",TabRFR[Recherche RFR],0),MATCH(TEXT(YEAR(BD!D464),"Standard"),TabRFR[[#Headers],[2021]:[2025]],0)),"Modeste",IF(V464&lt;=INDEX(TabRFR[[2021]:[2025]],MATCH(BD!U464&amp;"-Intermédiaire",TabRFR[Recherche RFR],0),MATCH(TEXT(YEAR(BD!D464),"Standard"),TabRFR[[#Headers],[2021]:[2025]],0)),"Intermédiaire","Supérieur")))))),IF(D464="","",IF(U464+V464&lt;15,"Données Nb pers ou RFR manquantes",IF(COUNTA(INDIRECT("TabRFR["&amp;YEAR(H464)&amp;"]"))&lt;&gt;COUNTA(TabRFR[Recherche RFR]),"Data RFR manquantes", IF(V464&lt;=INDEX(TabRFR[[2021]:[2025]],MATCH(BD!U464&amp;"-Très modestes",TabRFR[Recherche RFR],0),MATCH(TEXT(YEAR(BD!H464),"Standard"),TabRFR[[#Headers],[2021]:[2025]],0)),"Très Modeste",IF(V464&lt;=INDEX(TabRFR[[2021]:[2025]],MATCH(BD!U464&amp;"-modestes",TabRFR[Recherche RFR],0),MATCH(TEXT(YEAR(BD!H464),"Standard"),TabRFR[[#Headers],[2021]:[2025]],0)),"Modeste",IF(V464&lt;=INDEX(TabRFR[[2021]:[2025]],MATCH(BD!U464&amp;"-Intermédiaire",TabRFR[Recherche RFR],0),MATCH(TEXT(YEAR(BD!H464),"Standard"),TabRFR[[#Headers],[2021]:[2025]],0)),"Intermédiaire","Supérieur")))))))</f>
        <v>Modeste</v>
      </c>
      <c r="X464" s="144"/>
      <c r="Y464" s="135" t="s">
        <v>2081</v>
      </c>
      <c r="Z464" s="144">
        <v>38500</v>
      </c>
      <c r="AA464" s="135" t="s">
        <v>134</v>
      </c>
      <c r="AB464" s="148"/>
      <c r="AC464" s="149"/>
      <c r="AD464" s="135" t="s">
        <v>91</v>
      </c>
      <c r="AE464" s="135"/>
      <c r="AF464" s="135"/>
      <c r="AG464" s="135"/>
      <c r="AH464" s="135"/>
      <c r="AI464" s="135" t="s">
        <v>120</v>
      </c>
      <c r="AJ464" s="143" t="s">
        <v>121</v>
      </c>
      <c r="AK464" s="135" t="s">
        <v>2082</v>
      </c>
      <c r="AL464" s="169" t="s">
        <v>123</v>
      </c>
      <c r="AM464" s="148">
        <v>438029038</v>
      </c>
      <c r="AN464" s="135" t="s">
        <v>76</v>
      </c>
      <c r="AO464" s="135" t="s">
        <v>102</v>
      </c>
      <c r="AP464" s="135">
        <v>45147</v>
      </c>
      <c r="AQ464" s="135" t="s">
        <v>3449</v>
      </c>
      <c r="AR464" s="143">
        <v>1958</v>
      </c>
      <c r="AS464" s="143" t="s">
        <v>3413</v>
      </c>
      <c r="AT464" s="135" t="s">
        <v>3446</v>
      </c>
      <c r="AU464" s="135" t="s">
        <v>2083</v>
      </c>
      <c r="AV464" s="135" t="s">
        <v>2084</v>
      </c>
      <c r="AW464" s="143">
        <v>8</v>
      </c>
      <c r="AX464" s="143" t="s">
        <v>2085</v>
      </c>
      <c r="AY464" s="143">
        <v>81</v>
      </c>
      <c r="AZ464" s="135" t="s">
        <v>2086</v>
      </c>
      <c r="BA464" s="135" t="s">
        <v>101</v>
      </c>
      <c r="BB464" s="135"/>
      <c r="BC464" s="151">
        <f>4887+1650</f>
        <v>6537</v>
      </c>
      <c r="BD464" s="135"/>
      <c r="BE464" s="151">
        <f>850+65</f>
        <v>915</v>
      </c>
      <c r="BF464" s="151">
        <f t="shared" si="30"/>
        <v>7452</v>
      </c>
      <c r="BG464" s="151">
        <f>BF464*0.055</f>
        <v>409.86</v>
      </c>
      <c r="BH464" s="151">
        <f t="shared" si="31"/>
        <v>7861.86</v>
      </c>
      <c r="BI464" s="151">
        <v>7500</v>
      </c>
      <c r="BJ464" s="135" t="s">
        <v>102</v>
      </c>
      <c r="BK464" s="135"/>
      <c r="BL464" s="135"/>
      <c r="BM464" s="144" t="s">
        <v>3592</v>
      </c>
      <c r="BN464" s="143">
        <v>2022</v>
      </c>
      <c r="BO464" s="135" t="s">
        <v>155</v>
      </c>
      <c r="BP464" s="144">
        <v>2022</v>
      </c>
      <c r="BQ464" s="203" t="s">
        <v>144</v>
      </c>
    </row>
    <row r="465" spans="1:69" ht="41.1" customHeight="1">
      <c r="A465" s="218" t="s">
        <v>1705</v>
      </c>
      <c r="B465" s="218" t="s">
        <v>2087</v>
      </c>
      <c r="C465" s="143">
        <v>1000</v>
      </c>
      <c r="D465" s="135">
        <v>44732</v>
      </c>
      <c r="E465" s="135">
        <v>44741</v>
      </c>
      <c r="F465" s="135" t="s">
        <v>76</v>
      </c>
      <c r="G465" s="143" t="s">
        <v>76</v>
      </c>
      <c r="H465" s="135">
        <v>44762</v>
      </c>
      <c r="I465" s="135">
        <v>44762</v>
      </c>
      <c r="J465" s="135">
        <v>44769</v>
      </c>
      <c r="K465" s="135">
        <v>44879</v>
      </c>
      <c r="L465" s="135">
        <v>44859</v>
      </c>
      <c r="M465" s="135" t="s">
        <v>2088</v>
      </c>
      <c r="N465" s="135">
        <v>44925</v>
      </c>
      <c r="O465" s="135">
        <v>44925</v>
      </c>
      <c r="P465" s="135">
        <v>44932</v>
      </c>
      <c r="Q465" s="135"/>
      <c r="R465" s="135"/>
      <c r="S465" s="135"/>
      <c r="T465" s="135"/>
      <c r="U465" s="144">
        <v>1</v>
      </c>
      <c r="V465" s="143">
        <v>2021</v>
      </c>
      <c r="W465" s="143" t="str">
        <f ca="1">IF(H465="",IF(D465="","",IF(U465+V465&lt;15,"Données Nb pers ou RFR manquantes",IF(COUNTA(INDIRECT("TabRFR["&amp;YEAR(D465)&amp;"]"))&lt;&gt;COUNTA(TabRFR[Recherche RFR]),"Data RFR manquantes", IF(V465&lt;=INDEX(TabRFR[[2021]:[2025]],MATCH(BD!U465&amp;"-Très modestes",TabRFR[Recherche RFR],0),MATCH(TEXT(YEAR(BD!D465),"Standard"),TabRFR[[#Headers],[2021]:[2025]],0)),"Très Modeste",IF(V465&lt;=INDEX(TabRFR[[2021]:[2025]],MATCH(BD!U465&amp;"-modestes",TabRFR[Recherche RFR],0),MATCH(TEXT(YEAR(BD!D465),"Standard"),TabRFR[[#Headers],[2021]:[2025]],0)),"Modeste",IF(V465&lt;=INDEX(TabRFR[[2021]:[2025]],MATCH(BD!U465&amp;"-Intermédiaire",TabRFR[Recherche RFR],0),MATCH(TEXT(YEAR(BD!D465),"Standard"),TabRFR[[#Headers],[2021]:[2025]],0)),"Intermédiaire","Supérieur")))))),IF(D465="","",IF(U465+V465&lt;15,"Données Nb pers ou RFR manquantes",IF(COUNTA(INDIRECT("TabRFR["&amp;YEAR(H465)&amp;"]"))&lt;&gt;COUNTA(TabRFR[Recherche RFR]),"Data RFR manquantes", IF(V465&lt;=INDEX(TabRFR[[2021]:[2025]],MATCH(BD!U465&amp;"-Très modestes",TabRFR[Recherche RFR],0),MATCH(TEXT(YEAR(BD!H465),"Standard"),TabRFR[[#Headers],[2021]:[2025]],0)),"Très Modeste",IF(V465&lt;=INDEX(TabRFR[[2021]:[2025]],MATCH(BD!U465&amp;"-modestes",TabRFR[Recherche RFR],0),MATCH(TEXT(YEAR(BD!H465),"Standard"),TabRFR[[#Headers],[2021]:[2025]],0)),"Modeste",IF(V465&lt;=INDEX(TabRFR[[2021]:[2025]],MATCH(BD!U465&amp;"-Intermédiaire",TabRFR[Recherche RFR],0),MATCH(TEXT(YEAR(BD!H465),"Standard"),TabRFR[[#Headers],[2021]:[2025]],0)),"Intermédiaire","Supérieur")))))))</f>
        <v>Très Modeste</v>
      </c>
      <c r="X465" s="144"/>
      <c r="Y465" s="135" t="s">
        <v>2089</v>
      </c>
      <c r="Z465" s="144">
        <v>38430</v>
      </c>
      <c r="AA465" s="135" t="s">
        <v>119</v>
      </c>
      <c r="AB465" s="148"/>
      <c r="AC465" s="149"/>
      <c r="AD465" s="135" t="s">
        <v>91</v>
      </c>
      <c r="AE465" s="135"/>
      <c r="AF465" s="135"/>
      <c r="AG465" s="135"/>
      <c r="AH465" s="135"/>
      <c r="AI465" s="135" t="s">
        <v>185</v>
      </c>
      <c r="AJ465" s="135" t="s">
        <v>1394</v>
      </c>
      <c r="AK465" s="135" t="s">
        <v>2090</v>
      </c>
      <c r="AL465" s="169" t="s">
        <v>187</v>
      </c>
      <c r="AM465" s="148">
        <v>665630048</v>
      </c>
      <c r="AN465" s="135" t="s">
        <v>76</v>
      </c>
      <c r="AO465" s="135" t="s">
        <v>102</v>
      </c>
      <c r="AP465" s="135">
        <v>44798</v>
      </c>
      <c r="AQ465" s="135" t="s">
        <v>3496</v>
      </c>
      <c r="AR465" s="143">
        <v>1982</v>
      </c>
      <c r="AS465" s="143" t="s">
        <v>3413</v>
      </c>
      <c r="AT465" s="143" t="s">
        <v>98</v>
      </c>
      <c r="AU465" s="135" t="s">
        <v>356</v>
      </c>
      <c r="AV465" s="135" t="s">
        <v>2091</v>
      </c>
      <c r="AW465" s="143">
        <v>13</v>
      </c>
      <c r="AX465" s="143" t="s">
        <v>2092</v>
      </c>
      <c r="AY465" s="143" t="s">
        <v>2093</v>
      </c>
      <c r="AZ465" s="135" t="s">
        <v>2094</v>
      </c>
      <c r="BA465" s="135" t="s">
        <v>101</v>
      </c>
      <c r="BB465" s="135"/>
      <c r="BC465" s="151">
        <f>3647.5+350.83+340.5+271.35+247.8+209.9+35</f>
        <v>5102.88</v>
      </c>
      <c r="BD465" s="135"/>
      <c r="BE465" s="151">
        <v>630</v>
      </c>
      <c r="BF465" s="151">
        <f>BC465+BE465-847.13</f>
        <v>4885.75</v>
      </c>
      <c r="BG465" s="151">
        <f>BF465*0.055</f>
        <v>268.71625</v>
      </c>
      <c r="BH465" s="151">
        <f t="shared" si="31"/>
        <v>5154.4662500000004</v>
      </c>
      <c r="BI465" s="151">
        <v>5154.47</v>
      </c>
      <c r="BJ465" s="135" t="s">
        <v>115</v>
      </c>
      <c r="BK465" s="135"/>
      <c r="BL465" s="135"/>
      <c r="BM465" s="144" t="s">
        <v>3592</v>
      </c>
      <c r="BN465" s="143">
        <v>2022</v>
      </c>
      <c r="BO465" s="135" t="s">
        <v>155</v>
      </c>
      <c r="BP465" s="143" t="s">
        <v>3583</v>
      </c>
      <c r="BQ465" s="203" t="s">
        <v>3274</v>
      </c>
    </row>
    <row r="466" spans="1:69" ht="41.1" customHeight="1">
      <c r="A466" s="218" t="s">
        <v>1705</v>
      </c>
      <c r="B466" s="218" t="s">
        <v>2095</v>
      </c>
      <c r="C466" s="143">
        <v>600</v>
      </c>
      <c r="D466" s="135">
        <v>44736</v>
      </c>
      <c r="E466" s="135">
        <v>44741</v>
      </c>
      <c r="F466" s="135">
        <v>44762</v>
      </c>
      <c r="G466" s="143" t="s">
        <v>2096</v>
      </c>
      <c r="H466" s="135">
        <v>44763</v>
      </c>
      <c r="I466" s="135">
        <v>44763</v>
      </c>
      <c r="J466" s="135">
        <v>44768</v>
      </c>
      <c r="K466" s="135">
        <v>44994</v>
      </c>
      <c r="L466" s="135">
        <v>44973</v>
      </c>
      <c r="M466" s="135" t="s">
        <v>2097</v>
      </c>
      <c r="N466" s="135">
        <v>45012</v>
      </c>
      <c r="O466" s="135">
        <v>45012</v>
      </c>
      <c r="P466" s="135">
        <v>45020</v>
      </c>
      <c r="Q466" s="135"/>
      <c r="R466" s="135"/>
      <c r="S466" s="135"/>
      <c r="T466" s="135"/>
      <c r="U466" s="144">
        <v>4</v>
      </c>
      <c r="V466" s="143">
        <v>62329</v>
      </c>
      <c r="W466" s="143" t="str">
        <f ca="1">IF(H466="",IF(D466="","",IF(U466+V466&lt;15,"Données Nb pers ou RFR manquantes",IF(COUNTA(INDIRECT("TabRFR["&amp;YEAR(D466)&amp;"]"))&lt;&gt;COUNTA(TabRFR[Recherche RFR]),"Data RFR manquantes", IF(V466&lt;=INDEX(TabRFR[[2021]:[2025]],MATCH(BD!U466&amp;"-Très modestes",TabRFR[Recherche RFR],0),MATCH(TEXT(YEAR(BD!D466),"Standard"),TabRFR[[#Headers],[2021]:[2025]],0)),"Très Modeste",IF(V466&lt;=INDEX(TabRFR[[2021]:[2025]],MATCH(BD!U466&amp;"-modestes",TabRFR[Recherche RFR],0),MATCH(TEXT(YEAR(BD!D466),"Standard"),TabRFR[[#Headers],[2021]:[2025]],0)),"Modeste",IF(V466&lt;=INDEX(TabRFR[[2021]:[2025]],MATCH(BD!U466&amp;"-Intermédiaire",TabRFR[Recherche RFR],0),MATCH(TEXT(YEAR(BD!D466),"Standard"),TabRFR[[#Headers],[2021]:[2025]],0)),"Intermédiaire","Supérieur")))))),IF(D466="","",IF(U466+V466&lt;15,"Données Nb pers ou RFR manquantes",IF(COUNTA(INDIRECT("TabRFR["&amp;YEAR(H466)&amp;"]"))&lt;&gt;COUNTA(TabRFR[Recherche RFR]),"Data RFR manquantes", IF(V466&lt;=INDEX(TabRFR[[2021]:[2025]],MATCH(BD!U466&amp;"-Très modestes",TabRFR[Recherche RFR],0),MATCH(TEXT(YEAR(BD!H466),"Standard"),TabRFR[[#Headers],[2021]:[2025]],0)),"Très Modeste",IF(V466&lt;=INDEX(TabRFR[[2021]:[2025]],MATCH(BD!U466&amp;"-modestes",TabRFR[Recherche RFR],0),MATCH(TEXT(YEAR(BD!H466),"Standard"),TabRFR[[#Headers],[2021]:[2025]],0)),"Modeste",IF(V466&lt;=INDEX(TabRFR[[2021]:[2025]],MATCH(BD!U466&amp;"-Intermédiaire",TabRFR[Recherche RFR],0),MATCH(TEXT(YEAR(BD!H466),"Standard"),TabRFR[[#Headers],[2021]:[2025]],0)),"Intermédiaire","Supérieur")))))))</f>
        <v>Supérieur</v>
      </c>
      <c r="X466" s="144"/>
      <c r="Y466" s="135" t="s">
        <v>2098</v>
      </c>
      <c r="Z466" s="144">
        <v>38140</v>
      </c>
      <c r="AA466" s="135" t="s">
        <v>219</v>
      </c>
      <c r="AB466" s="148"/>
      <c r="AC466" s="149"/>
      <c r="AD466" s="135" t="s">
        <v>91</v>
      </c>
      <c r="AE466" s="135"/>
      <c r="AF466" s="135"/>
      <c r="AG466" s="135"/>
      <c r="AH466" s="135"/>
      <c r="AI466" s="135" t="s">
        <v>267</v>
      </c>
      <c r="AJ466" s="135" t="s">
        <v>268</v>
      </c>
      <c r="AK466" s="135" t="s">
        <v>2099</v>
      </c>
      <c r="AL466" s="169" t="s">
        <v>2100</v>
      </c>
      <c r="AM466" s="148">
        <v>457939338</v>
      </c>
      <c r="AN466" s="135" t="s">
        <v>76</v>
      </c>
      <c r="AO466" s="135" t="s">
        <v>102</v>
      </c>
      <c r="AP466" s="135">
        <v>44998</v>
      </c>
      <c r="AQ466" s="135" t="s">
        <v>3496</v>
      </c>
      <c r="AR466" s="143">
        <v>1985</v>
      </c>
      <c r="AS466" s="143" t="s">
        <v>3413</v>
      </c>
      <c r="AT466" s="135" t="s">
        <v>3446</v>
      </c>
      <c r="AU466" s="135" t="s">
        <v>2101</v>
      </c>
      <c r="AV466" s="135" t="s">
        <v>2102</v>
      </c>
      <c r="AW466" s="143">
        <v>40</v>
      </c>
      <c r="AX466" s="143">
        <v>7</v>
      </c>
      <c r="AY466" s="143" t="s">
        <v>2103</v>
      </c>
      <c r="AZ466" s="135" t="s">
        <v>1775</v>
      </c>
      <c r="BA466" s="135" t="s">
        <v>101</v>
      </c>
      <c r="BB466" s="135"/>
      <c r="BC466" s="151">
        <f>(6192.26-1141.98-109)/1.055</f>
        <v>4683.677725118484</v>
      </c>
      <c r="BD466" s="135"/>
      <c r="BE466" s="151">
        <f>1141.98/1.055+109/1.2</f>
        <v>1173.2788309636651</v>
      </c>
      <c r="BF466" s="151">
        <f>BC466+BE466</f>
        <v>5856.9565560821493</v>
      </c>
      <c r="BG466" s="151">
        <f>317.13+18.17</f>
        <v>335.3</v>
      </c>
      <c r="BH466" s="151">
        <f t="shared" si="31"/>
        <v>6192.2565560821495</v>
      </c>
      <c r="BI466" s="151">
        <v>6201.97</v>
      </c>
      <c r="BJ466" s="135" t="s">
        <v>102</v>
      </c>
      <c r="BK466" s="135"/>
      <c r="BL466" s="135"/>
      <c r="BM466" s="144" t="s">
        <v>3592</v>
      </c>
      <c r="BN466" s="143">
        <v>2022</v>
      </c>
      <c r="BO466" s="144" t="s">
        <v>143</v>
      </c>
      <c r="BP466" s="144">
        <v>2022</v>
      </c>
      <c r="BQ466" s="203" t="s">
        <v>144</v>
      </c>
    </row>
    <row r="467" spans="1:69" ht="41.1" customHeight="1">
      <c r="A467" s="218" t="s">
        <v>1705</v>
      </c>
      <c r="B467" s="218" t="s">
        <v>2104</v>
      </c>
      <c r="C467" s="143">
        <v>600</v>
      </c>
      <c r="D467" s="135">
        <v>44739</v>
      </c>
      <c r="E467" s="135">
        <v>44741</v>
      </c>
      <c r="F467" s="135" t="s">
        <v>76</v>
      </c>
      <c r="G467" s="143" t="s">
        <v>76</v>
      </c>
      <c r="H467" s="135">
        <v>44762</v>
      </c>
      <c r="I467" s="135">
        <v>44762</v>
      </c>
      <c r="J467" s="135">
        <v>44769</v>
      </c>
      <c r="K467" s="135">
        <v>44854</v>
      </c>
      <c r="L467" s="135">
        <v>44840</v>
      </c>
      <c r="M467" s="135" t="s">
        <v>76</v>
      </c>
      <c r="N467" s="135">
        <v>44874</v>
      </c>
      <c r="O467" s="135">
        <v>44874</v>
      </c>
      <c r="P467" s="135">
        <v>44879</v>
      </c>
      <c r="Q467" s="135"/>
      <c r="R467" s="135"/>
      <c r="S467" s="135"/>
      <c r="T467" s="135"/>
      <c r="U467" s="144">
        <v>3</v>
      </c>
      <c r="V467" s="143">
        <v>56320</v>
      </c>
      <c r="W467" s="143" t="str">
        <f ca="1">IF(H467="",IF(D467="","",IF(U467+V467&lt;15,"Données Nb pers ou RFR manquantes",IF(COUNTA(INDIRECT("TabRFR["&amp;YEAR(D467)&amp;"]"))&lt;&gt;COUNTA(TabRFR[Recherche RFR]),"Data RFR manquantes", IF(V467&lt;=INDEX(TabRFR[[2021]:[2025]],MATCH(BD!U467&amp;"-Très modestes",TabRFR[Recherche RFR],0),MATCH(TEXT(YEAR(BD!D467),"Standard"),TabRFR[[#Headers],[2021]:[2025]],0)),"Très Modeste",IF(V467&lt;=INDEX(TabRFR[[2021]:[2025]],MATCH(BD!U467&amp;"-modestes",TabRFR[Recherche RFR],0),MATCH(TEXT(YEAR(BD!D467),"Standard"),TabRFR[[#Headers],[2021]:[2025]],0)),"Modeste",IF(V467&lt;=INDEX(TabRFR[[2021]:[2025]],MATCH(BD!U467&amp;"-Intermédiaire",TabRFR[Recherche RFR],0),MATCH(TEXT(YEAR(BD!D467),"Standard"),TabRFR[[#Headers],[2021]:[2025]],0)),"Intermédiaire","Supérieur")))))),IF(D467="","",IF(U467+V467&lt;15,"Données Nb pers ou RFR manquantes",IF(COUNTA(INDIRECT("TabRFR["&amp;YEAR(H467)&amp;"]"))&lt;&gt;COUNTA(TabRFR[Recherche RFR]),"Data RFR manquantes", IF(V467&lt;=INDEX(TabRFR[[2021]:[2025]],MATCH(BD!U467&amp;"-Très modestes",TabRFR[Recherche RFR],0),MATCH(TEXT(YEAR(BD!H467),"Standard"),TabRFR[[#Headers],[2021]:[2025]],0)),"Très Modeste",IF(V467&lt;=INDEX(TabRFR[[2021]:[2025]],MATCH(BD!U467&amp;"-modestes",TabRFR[Recherche RFR],0),MATCH(TEXT(YEAR(BD!H467),"Standard"),TabRFR[[#Headers],[2021]:[2025]],0)),"Modeste",IF(V467&lt;=INDEX(TabRFR[[2021]:[2025]],MATCH(BD!U467&amp;"-Intermédiaire",TabRFR[Recherche RFR],0),MATCH(TEXT(YEAR(BD!H467),"Standard"),TabRFR[[#Headers],[2021]:[2025]],0)),"Intermédiaire","Supérieur")))))))</f>
        <v>Supérieur</v>
      </c>
      <c r="X467" s="144"/>
      <c r="Y467" s="135" t="s">
        <v>2105</v>
      </c>
      <c r="Z467" s="144">
        <v>38500</v>
      </c>
      <c r="AA467" s="135" t="s">
        <v>108</v>
      </c>
      <c r="AB467" s="148"/>
      <c r="AC467" s="149"/>
      <c r="AD467" s="135" t="s">
        <v>91</v>
      </c>
      <c r="AE467" s="135"/>
      <c r="AF467" s="135"/>
      <c r="AG467" s="135"/>
      <c r="AH467" s="135"/>
      <c r="AI467" s="143" t="s">
        <v>109</v>
      </c>
      <c r="AJ467" s="135" t="s">
        <v>108</v>
      </c>
      <c r="AK467" s="135" t="s">
        <v>2025</v>
      </c>
      <c r="AL467" s="169" t="s">
        <v>111</v>
      </c>
      <c r="AM467" s="148">
        <v>476071461</v>
      </c>
      <c r="AN467" s="135" t="s">
        <v>76</v>
      </c>
      <c r="AO467" s="135" t="s">
        <v>102</v>
      </c>
      <c r="AP467" s="135">
        <v>44868</v>
      </c>
      <c r="AQ467" s="135" t="s">
        <v>3449</v>
      </c>
      <c r="AR467" s="143">
        <v>1990</v>
      </c>
      <c r="AS467" s="143" t="s">
        <v>3413</v>
      </c>
      <c r="AT467" s="135" t="s">
        <v>3446</v>
      </c>
      <c r="AU467" s="135" t="s">
        <v>173</v>
      </c>
      <c r="AV467" s="135" t="s">
        <v>704</v>
      </c>
      <c r="AW467" s="143">
        <v>22</v>
      </c>
      <c r="AX467" s="143">
        <v>7</v>
      </c>
      <c r="AY467" s="143">
        <v>80</v>
      </c>
      <c r="AZ467" s="135" t="s">
        <v>2028</v>
      </c>
      <c r="BA467" s="135" t="s">
        <v>101</v>
      </c>
      <c r="BB467" s="135"/>
      <c r="BC467" s="151">
        <f>3665.62+525+101+93+120+37+90+48+22+89+168</f>
        <v>4958.62</v>
      </c>
      <c r="BD467" s="135"/>
      <c r="BE467" s="151">
        <f>450+15+30+420+30</f>
        <v>945</v>
      </c>
      <c r="BF467" s="151">
        <f>BC467+BE467-733</f>
        <v>5170.62</v>
      </c>
      <c r="BG467" s="151">
        <f t="shared" ref="BG467:BG480" si="32">BF467*0.055</f>
        <v>284.38409999999999</v>
      </c>
      <c r="BH467" s="151">
        <f t="shared" si="31"/>
        <v>5455.0041000000001</v>
      </c>
      <c r="BI467" s="151">
        <v>5455</v>
      </c>
      <c r="BJ467" s="135" t="s">
        <v>102</v>
      </c>
      <c r="BK467" s="135"/>
      <c r="BL467" s="135"/>
      <c r="BM467" s="144" t="s">
        <v>3592</v>
      </c>
      <c r="BN467" s="143">
        <v>2022</v>
      </c>
      <c r="BO467" s="144" t="s">
        <v>143</v>
      </c>
      <c r="BP467" s="144">
        <v>2022</v>
      </c>
      <c r="BQ467" s="203" t="s">
        <v>144</v>
      </c>
    </row>
    <row r="468" spans="1:69" ht="41.1" customHeight="1">
      <c r="A468" s="219" t="s">
        <v>1705</v>
      </c>
      <c r="B468" s="219" t="s">
        <v>2106</v>
      </c>
      <c r="C468" s="143">
        <v>600</v>
      </c>
      <c r="D468" s="135">
        <v>44740</v>
      </c>
      <c r="E468" s="135">
        <v>44741</v>
      </c>
      <c r="F468" s="135" t="s">
        <v>76</v>
      </c>
      <c r="G468" s="135" t="s">
        <v>76</v>
      </c>
      <c r="H468" s="135">
        <v>44762</v>
      </c>
      <c r="I468" s="135">
        <v>44762</v>
      </c>
      <c r="J468" s="135">
        <v>44769</v>
      </c>
      <c r="K468" s="135">
        <v>45369</v>
      </c>
      <c r="L468" s="135">
        <v>45071</v>
      </c>
      <c r="M468" s="135" t="s">
        <v>3392</v>
      </c>
      <c r="N468" s="135">
        <v>45373</v>
      </c>
      <c r="O468" s="135">
        <v>45373</v>
      </c>
      <c r="P468" s="135">
        <v>45376</v>
      </c>
      <c r="Q468" s="135"/>
      <c r="R468" s="135"/>
      <c r="S468" s="135"/>
      <c r="T468" s="135"/>
      <c r="U468" s="144">
        <v>4</v>
      </c>
      <c r="V468" s="143">
        <v>82040</v>
      </c>
      <c r="W468" s="143" t="str">
        <f ca="1">IF(H468="",IF(D468="","",IF(U468+V468&lt;15,"Données Nb pers ou RFR manquantes",IF(COUNTA(INDIRECT("TabRFR["&amp;YEAR(D468)&amp;"]"))&lt;&gt;COUNTA(TabRFR[Recherche RFR]),"Data RFR manquantes", IF(V468&lt;=INDEX(TabRFR[[2021]:[2025]],MATCH(BD!U468&amp;"-Très modestes",TabRFR[Recherche RFR],0),MATCH(TEXT(YEAR(BD!D468),"Standard"),TabRFR[[#Headers],[2021]:[2025]],0)),"Très Modeste",IF(V468&lt;=INDEX(TabRFR[[2021]:[2025]],MATCH(BD!U468&amp;"-modestes",TabRFR[Recherche RFR],0),MATCH(TEXT(YEAR(BD!D468),"Standard"),TabRFR[[#Headers],[2021]:[2025]],0)),"Modeste",IF(V468&lt;=INDEX(TabRFR[[2021]:[2025]],MATCH(BD!U468&amp;"-Intermédiaire",TabRFR[Recherche RFR],0),MATCH(TEXT(YEAR(BD!D468),"Standard"),TabRFR[[#Headers],[2021]:[2025]],0)),"Intermédiaire","Supérieur")))))),IF(D468="","",IF(U468+V468&lt;15,"Données Nb pers ou RFR manquantes",IF(COUNTA(INDIRECT("TabRFR["&amp;YEAR(H468)&amp;"]"))&lt;&gt;COUNTA(TabRFR[Recherche RFR]),"Data RFR manquantes", IF(V468&lt;=INDEX(TabRFR[[2021]:[2025]],MATCH(BD!U468&amp;"-Très modestes",TabRFR[Recherche RFR],0),MATCH(TEXT(YEAR(BD!H468),"Standard"),TabRFR[[#Headers],[2021]:[2025]],0)),"Très Modeste",IF(V468&lt;=INDEX(TabRFR[[2021]:[2025]],MATCH(BD!U468&amp;"-modestes",TabRFR[Recherche RFR],0),MATCH(TEXT(YEAR(BD!H468),"Standard"),TabRFR[[#Headers],[2021]:[2025]],0)),"Modeste",IF(V468&lt;=INDEX(TabRFR[[2021]:[2025]],MATCH(BD!U468&amp;"-Intermédiaire",TabRFR[Recherche RFR],0),MATCH(TEXT(YEAR(BD!H468),"Standard"),TabRFR[[#Headers],[2021]:[2025]],0)),"Intermédiaire","Supérieur")))))))</f>
        <v>Supérieur</v>
      </c>
      <c r="X468" s="144"/>
      <c r="Y468" s="135" t="s">
        <v>2107</v>
      </c>
      <c r="Z468" s="144">
        <v>38960</v>
      </c>
      <c r="AA468" s="143" t="s">
        <v>360</v>
      </c>
      <c r="AB468" s="148"/>
      <c r="AC468" s="149"/>
      <c r="AD468" s="135" t="s">
        <v>91</v>
      </c>
      <c r="AE468" s="135"/>
      <c r="AF468" s="135"/>
      <c r="AG468" s="135"/>
      <c r="AH468" s="135"/>
      <c r="AI468" s="135" t="s">
        <v>2108</v>
      </c>
      <c r="AJ468" s="135" t="s">
        <v>2109</v>
      </c>
      <c r="AK468" s="135" t="s">
        <v>2110</v>
      </c>
      <c r="AL468" s="169" t="s">
        <v>2111</v>
      </c>
      <c r="AM468" s="148">
        <v>479324446</v>
      </c>
      <c r="AN468" s="135" t="s">
        <v>76</v>
      </c>
      <c r="AO468" s="135" t="s">
        <v>102</v>
      </c>
      <c r="AP468" s="135">
        <v>44857</v>
      </c>
      <c r="AQ468" s="135" t="s">
        <v>3496</v>
      </c>
      <c r="AR468" s="143">
        <v>1985</v>
      </c>
      <c r="AS468" s="135" t="s">
        <v>3496</v>
      </c>
      <c r="AT468" s="135" t="s">
        <v>3446</v>
      </c>
      <c r="AU468" s="135" t="s">
        <v>2112</v>
      </c>
      <c r="AV468" s="135" t="s">
        <v>2113</v>
      </c>
      <c r="AW468" s="143">
        <v>12</v>
      </c>
      <c r="AX468" s="143">
        <v>10</v>
      </c>
      <c r="AY468" s="143">
        <v>87</v>
      </c>
      <c r="AZ468" s="143">
        <v>56</v>
      </c>
      <c r="BA468" s="135" t="s">
        <v>1401</v>
      </c>
      <c r="BB468" s="135" t="s">
        <v>76</v>
      </c>
      <c r="BC468" s="151">
        <f>9723.46+400+612.5+935+231+125.32+701.96+93.33+45.32+21.54+1500+670+670+465+144.46+460.08+135+49.38+75</f>
        <v>17058.349999999999</v>
      </c>
      <c r="BD468" s="135" t="s">
        <v>76</v>
      </c>
      <c r="BE468" s="151">
        <v>2500</v>
      </c>
      <c r="BF468" s="151">
        <f>BC468+BE468-601.02</f>
        <v>18957.329999999998</v>
      </c>
      <c r="BG468" s="151">
        <f t="shared" si="32"/>
        <v>1042.6531499999999</v>
      </c>
      <c r="BH468" s="151">
        <f t="shared" si="31"/>
        <v>19999.983149999996</v>
      </c>
      <c r="BI468" s="151">
        <v>20338.16</v>
      </c>
      <c r="BJ468" s="135" t="s">
        <v>115</v>
      </c>
      <c r="BK468" s="135"/>
      <c r="BL468" s="135"/>
      <c r="BM468" s="144" t="s">
        <v>3592</v>
      </c>
      <c r="BN468" s="143">
        <v>2022</v>
      </c>
      <c r="BO468" s="144" t="s">
        <v>143</v>
      </c>
      <c r="BP468" s="144">
        <v>2022</v>
      </c>
      <c r="BQ468" s="203" t="s">
        <v>3274</v>
      </c>
    </row>
    <row r="469" spans="1:69" ht="41.1" customHeight="1">
      <c r="A469" s="218" t="s">
        <v>1705</v>
      </c>
      <c r="B469" s="218" t="s">
        <v>2114</v>
      </c>
      <c r="C469" s="143">
        <v>600</v>
      </c>
      <c r="D469" s="135">
        <v>44741</v>
      </c>
      <c r="E469" s="135">
        <v>44741</v>
      </c>
      <c r="F469" s="135">
        <v>44762</v>
      </c>
      <c r="G469" s="143" t="s">
        <v>2096</v>
      </c>
      <c r="H469" s="135">
        <v>44763</v>
      </c>
      <c r="I469" s="135">
        <v>44763</v>
      </c>
      <c r="J469" s="135">
        <v>44768</v>
      </c>
      <c r="K469" s="135">
        <v>44829</v>
      </c>
      <c r="L469" s="135">
        <v>44796</v>
      </c>
      <c r="M469" s="135" t="s">
        <v>76</v>
      </c>
      <c r="N469" s="135">
        <v>44873</v>
      </c>
      <c r="O469" s="135">
        <v>44873</v>
      </c>
      <c r="P469" s="135">
        <v>44879</v>
      </c>
      <c r="Q469" s="135"/>
      <c r="R469" s="135"/>
      <c r="S469" s="135"/>
      <c r="T469" s="135"/>
      <c r="U469" s="144">
        <v>2</v>
      </c>
      <c r="V469" s="143">
        <v>55250</v>
      </c>
      <c r="W469" s="143" t="str">
        <f ca="1">IF(H469="",IF(D469="","",IF(U469+V469&lt;15,"Données Nb pers ou RFR manquantes",IF(COUNTA(INDIRECT("TabRFR["&amp;YEAR(D469)&amp;"]"))&lt;&gt;COUNTA(TabRFR[Recherche RFR]),"Data RFR manquantes", IF(V469&lt;=INDEX(TabRFR[[2021]:[2025]],MATCH(BD!U469&amp;"-Très modestes",TabRFR[Recherche RFR],0),MATCH(TEXT(YEAR(BD!D469),"Standard"),TabRFR[[#Headers],[2021]:[2025]],0)),"Très Modeste",IF(V469&lt;=INDEX(TabRFR[[2021]:[2025]],MATCH(BD!U469&amp;"-modestes",TabRFR[Recherche RFR],0),MATCH(TEXT(YEAR(BD!D469),"Standard"),TabRFR[[#Headers],[2021]:[2025]],0)),"Modeste",IF(V469&lt;=INDEX(TabRFR[[2021]:[2025]],MATCH(BD!U469&amp;"-Intermédiaire",TabRFR[Recherche RFR],0),MATCH(TEXT(YEAR(BD!D469),"Standard"),TabRFR[[#Headers],[2021]:[2025]],0)),"Intermédiaire","Supérieur")))))),IF(D469="","",IF(U469+V469&lt;15,"Données Nb pers ou RFR manquantes",IF(COUNTA(INDIRECT("TabRFR["&amp;YEAR(H469)&amp;"]"))&lt;&gt;COUNTA(TabRFR[Recherche RFR]),"Data RFR manquantes", IF(V469&lt;=INDEX(TabRFR[[2021]:[2025]],MATCH(BD!U469&amp;"-Très modestes",TabRFR[Recherche RFR],0),MATCH(TEXT(YEAR(BD!H469),"Standard"),TabRFR[[#Headers],[2021]:[2025]],0)),"Très Modeste",IF(V469&lt;=INDEX(TabRFR[[2021]:[2025]],MATCH(BD!U469&amp;"-modestes",TabRFR[Recherche RFR],0),MATCH(TEXT(YEAR(BD!H469),"Standard"),TabRFR[[#Headers],[2021]:[2025]],0)),"Modeste",IF(V469&lt;=INDEX(TabRFR[[2021]:[2025]],MATCH(BD!U469&amp;"-Intermédiaire",TabRFR[Recherche RFR],0),MATCH(TEXT(YEAR(BD!H469),"Standard"),TabRFR[[#Headers],[2021]:[2025]],0)),"Intermédiaire","Supérieur")))))))</f>
        <v>Supérieur</v>
      </c>
      <c r="X469" s="144"/>
      <c r="Y469" s="135" t="s">
        <v>2115</v>
      </c>
      <c r="Z469" s="144">
        <v>38620</v>
      </c>
      <c r="AA469" s="143" t="s">
        <v>680</v>
      </c>
      <c r="AB469" s="148"/>
      <c r="AC469" s="149"/>
      <c r="AD469" s="135" t="s">
        <v>91</v>
      </c>
      <c r="AE469" s="135"/>
      <c r="AF469" s="135"/>
      <c r="AG469" s="135"/>
      <c r="AH469" s="135"/>
      <c r="AI469" s="135" t="s">
        <v>120</v>
      </c>
      <c r="AJ469" s="135" t="s">
        <v>121</v>
      </c>
      <c r="AK469" s="135" t="s">
        <v>2082</v>
      </c>
      <c r="AL469" s="169" t="s">
        <v>123</v>
      </c>
      <c r="AM469" s="148">
        <v>438029038</v>
      </c>
      <c r="AN469" s="135" t="s">
        <v>76</v>
      </c>
      <c r="AO469" s="135" t="s">
        <v>102</v>
      </c>
      <c r="AP469" s="135">
        <v>45147</v>
      </c>
      <c r="AQ469" s="143" t="s">
        <v>3413</v>
      </c>
      <c r="AR469" s="143">
        <v>1990</v>
      </c>
      <c r="AS469" s="143" t="s">
        <v>3413</v>
      </c>
      <c r="AT469" s="135" t="s">
        <v>3446</v>
      </c>
      <c r="AU469" s="135" t="s">
        <v>2116</v>
      </c>
      <c r="AV469" s="135" t="s">
        <v>2117</v>
      </c>
      <c r="AW469" s="143">
        <v>31</v>
      </c>
      <c r="AX469" s="143">
        <v>6.5</v>
      </c>
      <c r="AY469" s="143">
        <v>87</v>
      </c>
      <c r="AZ469" s="143">
        <v>1074</v>
      </c>
      <c r="BA469" s="135" t="s">
        <v>1401</v>
      </c>
      <c r="BB469" s="135"/>
      <c r="BC469" s="151">
        <f>(6366+45)/1.055</f>
        <v>6076.7772511848343</v>
      </c>
      <c r="BD469" s="135"/>
      <c r="BE469" s="151">
        <f>480/1.055</f>
        <v>454.97630331753555</v>
      </c>
      <c r="BF469" s="151">
        <f>BC469+BE469</f>
        <v>6531.7535545023702</v>
      </c>
      <c r="BG469" s="151">
        <f t="shared" si="32"/>
        <v>359.24644549763036</v>
      </c>
      <c r="BH469" s="151">
        <f t="shared" si="31"/>
        <v>6891.0000000000009</v>
      </c>
      <c r="BI469" s="151">
        <v>7221</v>
      </c>
      <c r="BJ469" s="135" t="s">
        <v>144</v>
      </c>
      <c r="BK469" s="135"/>
      <c r="BL469" s="135"/>
      <c r="BM469" s="144" t="s">
        <v>3592</v>
      </c>
      <c r="BN469" s="143">
        <v>2022</v>
      </c>
      <c r="BO469" s="144" t="s">
        <v>143</v>
      </c>
      <c r="BP469" s="144">
        <v>2022</v>
      </c>
      <c r="BQ469" s="203" t="s">
        <v>144</v>
      </c>
    </row>
    <row r="470" spans="1:69" ht="41.1" customHeight="1">
      <c r="A470" s="218" t="s">
        <v>1705</v>
      </c>
      <c r="B470" s="218" t="s">
        <v>2118</v>
      </c>
      <c r="C470" s="143">
        <v>600</v>
      </c>
      <c r="D470" s="135">
        <v>44741</v>
      </c>
      <c r="E470" s="135">
        <v>44747</v>
      </c>
      <c r="F470" s="135" t="s">
        <v>76</v>
      </c>
      <c r="G470" s="143" t="s">
        <v>76</v>
      </c>
      <c r="H470" s="135">
        <v>44762</v>
      </c>
      <c r="I470" s="135">
        <v>44762</v>
      </c>
      <c r="J470" s="135">
        <v>44769</v>
      </c>
      <c r="K470" s="135">
        <v>44877</v>
      </c>
      <c r="L470" s="135">
        <v>44812</v>
      </c>
      <c r="M470" s="135" t="s">
        <v>76</v>
      </c>
      <c r="N470" s="135">
        <v>44895</v>
      </c>
      <c r="O470" s="135">
        <v>44895</v>
      </c>
      <c r="P470" s="135">
        <v>44897</v>
      </c>
      <c r="Q470" s="135"/>
      <c r="R470" s="135"/>
      <c r="S470" s="135"/>
      <c r="T470" s="135"/>
      <c r="U470" s="144">
        <v>4</v>
      </c>
      <c r="V470" s="143">
        <v>50452</v>
      </c>
      <c r="W470" s="143" t="str">
        <f ca="1">IF(H470="",IF(D470="","",IF(U470+V470&lt;15,"Données Nb pers ou RFR manquantes",IF(COUNTA(INDIRECT("TabRFR["&amp;YEAR(D470)&amp;"]"))&lt;&gt;COUNTA(TabRFR[Recherche RFR]),"Data RFR manquantes", IF(V470&lt;=INDEX(TabRFR[[2021]:[2025]],MATCH(BD!U470&amp;"-Très modestes",TabRFR[Recherche RFR],0),MATCH(TEXT(YEAR(BD!D470),"Standard"),TabRFR[[#Headers],[2021]:[2025]],0)),"Très Modeste",IF(V470&lt;=INDEX(TabRFR[[2021]:[2025]],MATCH(BD!U470&amp;"-modestes",TabRFR[Recherche RFR],0),MATCH(TEXT(YEAR(BD!D470),"Standard"),TabRFR[[#Headers],[2021]:[2025]],0)),"Modeste",IF(V470&lt;=INDEX(TabRFR[[2021]:[2025]],MATCH(BD!U470&amp;"-Intermédiaire",TabRFR[Recherche RFR],0),MATCH(TEXT(YEAR(BD!D470),"Standard"),TabRFR[[#Headers],[2021]:[2025]],0)),"Intermédiaire","Supérieur")))))),IF(D470="","",IF(U470+V470&lt;15,"Données Nb pers ou RFR manquantes",IF(COUNTA(INDIRECT("TabRFR["&amp;YEAR(H470)&amp;"]"))&lt;&gt;COUNTA(TabRFR[Recherche RFR]),"Data RFR manquantes", IF(V470&lt;=INDEX(TabRFR[[2021]:[2025]],MATCH(BD!U470&amp;"-Très modestes",TabRFR[Recherche RFR],0),MATCH(TEXT(YEAR(BD!H470),"Standard"),TabRFR[[#Headers],[2021]:[2025]],0)),"Très Modeste",IF(V470&lt;=INDEX(TabRFR[[2021]:[2025]],MATCH(BD!U470&amp;"-modestes",TabRFR[Recherche RFR],0),MATCH(TEXT(YEAR(BD!H470),"Standard"),TabRFR[[#Headers],[2021]:[2025]],0)),"Modeste",IF(V470&lt;=INDEX(TabRFR[[2021]:[2025]],MATCH(BD!U470&amp;"-Intermédiaire",TabRFR[Recherche RFR],0),MATCH(TEXT(YEAR(BD!H470),"Standard"),TabRFR[[#Headers],[2021]:[2025]],0)),"Intermédiaire","Supérieur")))))))</f>
        <v>Intermédiaire</v>
      </c>
      <c r="X470" s="144"/>
      <c r="Y470" s="135" t="s">
        <v>2119</v>
      </c>
      <c r="Z470" s="144">
        <v>38210</v>
      </c>
      <c r="AA470" s="135" t="s">
        <v>130</v>
      </c>
      <c r="AB470" s="148"/>
      <c r="AC470" s="149"/>
      <c r="AD470" s="135" t="s">
        <v>91</v>
      </c>
      <c r="AE470" s="135"/>
      <c r="AF470" s="135"/>
      <c r="AG470" s="135"/>
      <c r="AH470" s="135"/>
      <c r="AI470" s="135" t="s">
        <v>826</v>
      </c>
      <c r="AJ470" s="135" t="s">
        <v>827</v>
      </c>
      <c r="AK470" s="135" t="s">
        <v>2120</v>
      </c>
      <c r="AL470" s="135" t="s">
        <v>76</v>
      </c>
      <c r="AM470" s="148">
        <v>476134004</v>
      </c>
      <c r="AN470" s="135" t="s">
        <v>76</v>
      </c>
      <c r="AO470" s="135" t="s">
        <v>102</v>
      </c>
      <c r="AP470" s="135">
        <v>44879</v>
      </c>
      <c r="AQ470" s="135" t="s">
        <v>3496</v>
      </c>
      <c r="AR470" s="143">
        <v>1985</v>
      </c>
      <c r="AS470" s="143" t="s">
        <v>3413</v>
      </c>
      <c r="AT470" s="143" t="s">
        <v>98</v>
      </c>
      <c r="AU470" s="135" t="s">
        <v>1670</v>
      </c>
      <c r="AV470" s="135" t="s">
        <v>2121</v>
      </c>
      <c r="AW470" s="143">
        <v>20</v>
      </c>
      <c r="AX470" s="143" t="s">
        <v>2122</v>
      </c>
      <c r="AY470" s="143">
        <v>91</v>
      </c>
      <c r="AZ470" s="135" t="s">
        <v>1747</v>
      </c>
      <c r="BA470" s="135" t="s">
        <v>101</v>
      </c>
      <c r="BB470" s="135"/>
      <c r="BC470" s="151">
        <f>4459+17+67+360+90+79+89+300+50</f>
        <v>5511</v>
      </c>
      <c r="BD470" s="135"/>
      <c r="BE470" s="151">
        <v>740</v>
      </c>
      <c r="BF470" s="151">
        <f>BC470+BE470-300</f>
        <v>5951</v>
      </c>
      <c r="BG470" s="151">
        <f t="shared" si="32"/>
        <v>327.30500000000001</v>
      </c>
      <c r="BH470" s="151">
        <f t="shared" si="31"/>
        <v>6278.3050000000003</v>
      </c>
      <c r="BI470" s="151">
        <v>6278.31</v>
      </c>
      <c r="BJ470" s="135" t="s">
        <v>102</v>
      </c>
      <c r="BK470" s="135"/>
      <c r="BL470" s="135"/>
      <c r="BM470" s="144" t="s">
        <v>3592</v>
      </c>
      <c r="BN470" s="143">
        <v>2022</v>
      </c>
      <c r="BO470" s="144" t="s">
        <v>143</v>
      </c>
      <c r="BP470" s="143" t="s">
        <v>3583</v>
      </c>
      <c r="BQ470" s="203" t="s">
        <v>144</v>
      </c>
    </row>
    <row r="471" spans="1:69" ht="41.1" customHeight="1">
      <c r="A471" s="218" t="s">
        <v>1705</v>
      </c>
      <c r="B471" s="218" t="s">
        <v>2123</v>
      </c>
      <c r="C471" s="143">
        <v>1000</v>
      </c>
      <c r="D471" s="135">
        <v>44742</v>
      </c>
      <c r="E471" s="135">
        <v>44747</v>
      </c>
      <c r="F471" s="135" t="s">
        <v>76</v>
      </c>
      <c r="G471" s="143" t="s">
        <v>76</v>
      </c>
      <c r="H471" s="135">
        <v>44762</v>
      </c>
      <c r="I471" s="135">
        <v>44762</v>
      </c>
      <c r="J471" s="135">
        <v>44769</v>
      </c>
      <c r="K471" s="135">
        <v>44937</v>
      </c>
      <c r="L471" s="135">
        <v>44922</v>
      </c>
      <c r="M471" s="135" t="s">
        <v>76</v>
      </c>
      <c r="N471" s="135">
        <v>44991</v>
      </c>
      <c r="O471" s="135">
        <v>44991</v>
      </c>
      <c r="P471" s="135">
        <v>44992</v>
      </c>
      <c r="Q471" s="135"/>
      <c r="R471" s="135"/>
      <c r="S471" s="135"/>
      <c r="T471" s="135"/>
      <c r="U471" s="144">
        <v>1</v>
      </c>
      <c r="V471" s="143">
        <v>18700</v>
      </c>
      <c r="W471" s="143" t="str">
        <f ca="1">IF(H471="",IF(D471="","",IF(U471+V471&lt;15,"Données Nb pers ou RFR manquantes",IF(COUNTA(INDIRECT("TabRFR["&amp;YEAR(D471)&amp;"]"))&lt;&gt;COUNTA(TabRFR[Recherche RFR]),"Data RFR manquantes", IF(V471&lt;=INDEX(TabRFR[[2021]:[2025]],MATCH(BD!U471&amp;"-Très modestes",TabRFR[Recherche RFR],0),MATCH(TEXT(YEAR(BD!D471),"Standard"),TabRFR[[#Headers],[2021]:[2025]],0)),"Très Modeste",IF(V471&lt;=INDEX(TabRFR[[2021]:[2025]],MATCH(BD!U471&amp;"-modestes",TabRFR[Recherche RFR],0),MATCH(TEXT(YEAR(BD!D471),"Standard"),TabRFR[[#Headers],[2021]:[2025]],0)),"Modeste",IF(V471&lt;=INDEX(TabRFR[[2021]:[2025]],MATCH(BD!U471&amp;"-Intermédiaire",TabRFR[Recherche RFR],0),MATCH(TEXT(YEAR(BD!D471),"Standard"),TabRFR[[#Headers],[2021]:[2025]],0)),"Intermédiaire","Supérieur")))))),IF(D471="","",IF(U471+V471&lt;15,"Données Nb pers ou RFR manquantes",IF(COUNTA(INDIRECT("TabRFR["&amp;YEAR(H471)&amp;"]"))&lt;&gt;COUNTA(TabRFR[Recherche RFR]),"Data RFR manquantes", IF(V471&lt;=INDEX(TabRFR[[2021]:[2025]],MATCH(BD!U471&amp;"-Très modestes",TabRFR[Recherche RFR],0),MATCH(TEXT(YEAR(BD!H471),"Standard"),TabRFR[[#Headers],[2021]:[2025]],0)),"Très Modeste",IF(V471&lt;=INDEX(TabRFR[[2021]:[2025]],MATCH(BD!U471&amp;"-modestes",TabRFR[Recherche RFR],0),MATCH(TEXT(YEAR(BD!H471),"Standard"),TabRFR[[#Headers],[2021]:[2025]],0)),"Modeste",IF(V471&lt;=INDEX(TabRFR[[2021]:[2025]],MATCH(BD!U471&amp;"-Intermédiaire",TabRFR[Recherche RFR],0),MATCH(TEXT(YEAR(BD!H471),"Standard"),TabRFR[[#Headers],[2021]:[2025]],0)),"Intermédiaire","Supérieur")))))))</f>
        <v>Modeste</v>
      </c>
      <c r="X471" s="144"/>
      <c r="Y471" s="135" t="s">
        <v>2124</v>
      </c>
      <c r="Z471" s="144">
        <v>38360</v>
      </c>
      <c r="AA471" s="143" t="s">
        <v>360</v>
      </c>
      <c r="AB471" s="148"/>
      <c r="AC471" s="149"/>
      <c r="AD471" s="135" t="s">
        <v>91</v>
      </c>
      <c r="AE471" s="135"/>
      <c r="AF471" s="135"/>
      <c r="AG471" s="135"/>
      <c r="AH471" s="135"/>
      <c r="AI471" s="135" t="s">
        <v>185</v>
      </c>
      <c r="AJ471" s="135" t="s">
        <v>1394</v>
      </c>
      <c r="AK471" s="135" t="s">
        <v>2090</v>
      </c>
      <c r="AL471" s="169" t="s">
        <v>187</v>
      </c>
      <c r="AM471" s="148">
        <v>972179856</v>
      </c>
      <c r="AN471" s="135" t="s">
        <v>76</v>
      </c>
      <c r="AO471" s="135" t="s">
        <v>102</v>
      </c>
      <c r="AP471" s="135">
        <v>44798</v>
      </c>
      <c r="AQ471" s="135" t="s">
        <v>3496</v>
      </c>
      <c r="AR471" s="143">
        <v>1979</v>
      </c>
      <c r="AS471" s="143" t="s">
        <v>3413</v>
      </c>
      <c r="AT471" s="143" t="s">
        <v>98</v>
      </c>
      <c r="AU471" s="135" t="s">
        <v>356</v>
      </c>
      <c r="AV471" s="135" t="s">
        <v>2125</v>
      </c>
      <c r="AW471" s="143">
        <v>13</v>
      </c>
      <c r="AX471" s="143" t="s">
        <v>2092</v>
      </c>
      <c r="AY471" s="143" t="s">
        <v>2126</v>
      </c>
      <c r="AZ471" s="135" t="s">
        <v>2094</v>
      </c>
      <c r="BA471" s="135" t="s">
        <v>101</v>
      </c>
      <c r="BB471" s="135"/>
      <c r="BC471" s="151">
        <f>3765+211.52+340.5+271.35+118+269.9+600+35</f>
        <v>5611.27</v>
      </c>
      <c r="BD471" s="135"/>
      <c r="BE471" s="151">
        <v>830</v>
      </c>
      <c r="BF471" s="151">
        <f>BC471+BE471-600</f>
        <v>5841.27</v>
      </c>
      <c r="BG471" s="151">
        <f t="shared" si="32"/>
        <v>321.26985000000002</v>
      </c>
      <c r="BH471" s="151">
        <f t="shared" si="31"/>
        <v>6162.5398500000001</v>
      </c>
      <c r="BI471" s="151">
        <v>7196.44</v>
      </c>
      <c r="BJ471" s="135" t="s">
        <v>102</v>
      </c>
      <c r="BK471" s="135"/>
      <c r="BL471" s="135"/>
      <c r="BM471" s="144" t="s">
        <v>3592</v>
      </c>
      <c r="BN471" s="143">
        <v>2022</v>
      </c>
      <c r="BO471" s="135" t="s">
        <v>155</v>
      </c>
      <c r="BP471" s="143" t="s">
        <v>3583</v>
      </c>
      <c r="BQ471" s="203" t="s">
        <v>144</v>
      </c>
    </row>
    <row r="472" spans="1:69" ht="41.1" customHeight="1">
      <c r="A472" s="218" t="s">
        <v>1705</v>
      </c>
      <c r="B472" s="218" t="s">
        <v>2127</v>
      </c>
      <c r="C472" s="143">
        <v>600</v>
      </c>
      <c r="D472" s="135">
        <v>44743</v>
      </c>
      <c r="E472" s="135">
        <v>44747</v>
      </c>
      <c r="F472" s="135" t="s">
        <v>76</v>
      </c>
      <c r="G472" s="143" t="s">
        <v>76</v>
      </c>
      <c r="H472" s="135">
        <v>44762</v>
      </c>
      <c r="I472" s="135">
        <v>44762</v>
      </c>
      <c r="J472" s="135">
        <v>44769</v>
      </c>
      <c r="K472" s="135">
        <v>44897</v>
      </c>
      <c r="L472" s="135">
        <v>44858</v>
      </c>
      <c r="M472" s="135" t="s">
        <v>76</v>
      </c>
      <c r="N472" s="135">
        <v>44915</v>
      </c>
      <c r="O472" s="135">
        <v>44915</v>
      </c>
      <c r="P472" s="135">
        <v>44932</v>
      </c>
      <c r="Q472" s="135"/>
      <c r="R472" s="135"/>
      <c r="S472" s="135"/>
      <c r="T472" s="135"/>
      <c r="U472" s="144">
        <v>1</v>
      </c>
      <c r="V472" s="143">
        <v>20364</v>
      </c>
      <c r="W472" s="143" t="str">
        <f ca="1">IF(H472="",IF(D472="","",IF(U472+V472&lt;15,"Données Nb pers ou RFR manquantes",IF(COUNTA(INDIRECT("TabRFR["&amp;YEAR(D472)&amp;"]"))&lt;&gt;COUNTA(TabRFR[Recherche RFR]),"Data RFR manquantes", IF(V472&lt;=INDEX(TabRFR[[2021]:[2025]],MATCH(BD!U472&amp;"-Très modestes",TabRFR[Recherche RFR],0),MATCH(TEXT(YEAR(BD!D472),"Standard"),TabRFR[[#Headers],[2021]:[2025]],0)),"Très Modeste",IF(V472&lt;=INDEX(TabRFR[[2021]:[2025]],MATCH(BD!U472&amp;"-modestes",TabRFR[Recherche RFR],0),MATCH(TEXT(YEAR(BD!D472),"Standard"),TabRFR[[#Headers],[2021]:[2025]],0)),"Modeste",IF(V472&lt;=INDEX(TabRFR[[2021]:[2025]],MATCH(BD!U472&amp;"-Intermédiaire",TabRFR[Recherche RFR],0),MATCH(TEXT(YEAR(BD!D472),"Standard"),TabRFR[[#Headers],[2021]:[2025]],0)),"Intermédiaire","Supérieur")))))),IF(D472="","",IF(U472+V472&lt;15,"Données Nb pers ou RFR manquantes",IF(COUNTA(INDIRECT("TabRFR["&amp;YEAR(H472)&amp;"]"))&lt;&gt;COUNTA(TabRFR[Recherche RFR]),"Data RFR manquantes", IF(V472&lt;=INDEX(TabRFR[[2021]:[2025]],MATCH(BD!U472&amp;"-Très modestes",TabRFR[Recherche RFR],0),MATCH(TEXT(YEAR(BD!H472),"Standard"),TabRFR[[#Headers],[2021]:[2025]],0)),"Très Modeste",IF(V472&lt;=INDEX(TabRFR[[2021]:[2025]],MATCH(BD!U472&amp;"-modestes",TabRFR[Recherche RFR],0),MATCH(TEXT(YEAR(BD!H472),"Standard"),TabRFR[[#Headers],[2021]:[2025]],0)),"Modeste",IF(V472&lt;=INDEX(TabRFR[[2021]:[2025]],MATCH(BD!U472&amp;"-Intermédiaire",TabRFR[Recherche RFR],0),MATCH(TEXT(YEAR(BD!H472),"Standard"),TabRFR[[#Headers],[2021]:[2025]],0)),"Intermédiaire","Supérieur")))))))</f>
        <v>Intermédiaire</v>
      </c>
      <c r="X472" s="144"/>
      <c r="Y472" s="135" t="s">
        <v>2128</v>
      </c>
      <c r="Z472" s="144">
        <v>38500</v>
      </c>
      <c r="AA472" s="135" t="s">
        <v>284</v>
      </c>
      <c r="AB472" s="148"/>
      <c r="AC472" s="149"/>
      <c r="AD472" s="135" t="s">
        <v>91</v>
      </c>
      <c r="AE472" s="135"/>
      <c r="AF472" s="135"/>
      <c r="AG472" s="135"/>
      <c r="AH472" s="135"/>
      <c r="AI472" s="143" t="s">
        <v>1106</v>
      </c>
      <c r="AJ472" s="143" t="s">
        <v>1075</v>
      </c>
      <c r="AK472" s="143" t="s">
        <v>1737</v>
      </c>
      <c r="AL472" s="169" t="s">
        <v>1108</v>
      </c>
      <c r="AM472" s="148" t="s">
        <v>1455</v>
      </c>
      <c r="AN472" s="143" t="s">
        <v>76</v>
      </c>
      <c r="AO472" s="150" t="s">
        <v>102</v>
      </c>
      <c r="AP472" s="147">
        <v>44731</v>
      </c>
      <c r="AQ472" s="135" t="s">
        <v>3449</v>
      </c>
      <c r="AR472" s="143">
        <v>1970</v>
      </c>
      <c r="AS472" s="135" t="s">
        <v>3496</v>
      </c>
      <c r="AT472" s="135" t="s">
        <v>3446</v>
      </c>
      <c r="AU472" s="143" t="s">
        <v>1815</v>
      </c>
      <c r="AV472" s="135" t="s">
        <v>1192</v>
      </c>
      <c r="AW472" s="143">
        <v>34</v>
      </c>
      <c r="AX472" s="143" t="s">
        <v>2069</v>
      </c>
      <c r="AY472" s="143" t="s">
        <v>2070</v>
      </c>
      <c r="AZ472" s="135" t="s">
        <v>1901</v>
      </c>
      <c r="BA472" s="135" t="s">
        <v>101</v>
      </c>
      <c r="BB472" s="135"/>
      <c r="BC472" s="151">
        <f>1723.06+875+425+340+280+167+395+567+385</f>
        <v>5157.0599999999995</v>
      </c>
      <c r="BD472" s="135"/>
      <c r="BE472" s="151">
        <v>750</v>
      </c>
      <c r="BF472" s="151">
        <f>BC472+BE472-219.86</f>
        <v>5687.2</v>
      </c>
      <c r="BG472" s="151">
        <f t="shared" si="32"/>
        <v>312.79599999999999</v>
      </c>
      <c r="BH472" s="151">
        <f t="shared" si="31"/>
        <v>5999.9960000000001</v>
      </c>
      <c r="BI472" s="151">
        <v>6000</v>
      </c>
      <c r="BJ472" s="135" t="s">
        <v>102</v>
      </c>
      <c r="BK472" s="135"/>
      <c r="BL472" s="135"/>
      <c r="BM472" s="144" t="s">
        <v>3592</v>
      </c>
      <c r="BN472" s="143">
        <v>2022</v>
      </c>
      <c r="BO472" s="144" t="s">
        <v>143</v>
      </c>
      <c r="BP472" s="144">
        <v>2022</v>
      </c>
      <c r="BQ472" s="203" t="s">
        <v>144</v>
      </c>
    </row>
    <row r="473" spans="1:69" ht="41.1" customHeight="1">
      <c r="A473" s="218" t="s">
        <v>1705</v>
      </c>
      <c r="B473" s="218" t="s">
        <v>2129</v>
      </c>
      <c r="C473" s="143">
        <v>1000</v>
      </c>
      <c r="D473" s="135">
        <v>44743</v>
      </c>
      <c r="E473" s="135">
        <v>44747</v>
      </c>
      <c r="F473" s="135" t="s">
        <v>76</v>
      </c>
      <c r="G473" s="143" t="s">
        <v>76</v>
      </c>
      <c r="H473" s="135">
        <v>44762</v>
      </c>
      <c r="I473" s="135">
        <v>44762</v>
      </c>
      <c r="J473" s="135">
        <v>44769</v>
      </c>
      <c r="K473" s="135">
        <v>44839</v>
      </c>
      <c r="L473" s="135">
        <v>44776</v>
      </c>
      <c r="M473" s="135" t="s">
        <v>76</v>
      </c>
      <c r="N473" s="135">
        <v>44873</v>
      </c>
      <c r="O473" s="135">
        <v>44873</v>
      </c>
      <c r="P473" s="135">
        <v>44879</v>
      </c>
      <c r="Q473" s="135"/>
      <c r="R473" s="135"/>
      <c r="S473" s="135"/>
      <c r="T473" s="135"/>
      <c r="U473" s="144">
        <v>1</v>
      </c>
      <c r="V473" s="143">
        <v>19267</v>
      </c>
      <c r="W473" s="143" t="str">
        <f ca="1">IF(H473="",IF(D473="","",IF(U473+V473&lt;15,"Données Nb pers ou RFR manquantes",IF(COUNTA(INDIRECT("TabRFR["&amp;YEAR(D473)&amp;"]"))&lt;&gt;COUNTA(TabRFR[Recherche RFR]),"Data RFR manquantes", IF(V473&lt;=INDEX(TabRFR[[2021]:[2025]],MATCH(BD!U473&amp;"-Très modestes",TabRFR[Recherche RFR],0),MATCH(TEXT(YEAR(BD!D473),"Standard"),TabRFR[[#Headers],[2021]:[2025]],0)),"Très Modeste",IF(V473&lt;=INDEX(TabRFR[[2021]:[2025]],MATCH(BD!U473&amp;"-modestes",TabRFR[Recherche RFR],0),MATCH(TEXT(YEAR(BD!D473),"Standard"),TabRFR[[#Headers],[2021]:[2025]],0)),"Modeste",IF(V473&lt;=INDEX(TabRFR[[2021]:[2025]],MATCH(BD!U473&amp;"-Intermédiaire",TabRFR[Recherche RFR],0),MATCH(TEXT(YEAR(BD!D473),"Standard"),TabRFR[[#Headers],[2021]:[2025]],0)),"Intermédiaire","Supérieur")))))),IF(D473="","",IF(U473+V473&lt;15,"Données Nb pers ou RFR manquantes",IF(COUNTA(INDIRECT("TabRFR["&amp;YEAR(H473)&amp;"]"))&lt;&gt;COUNTA(TabRFR[Recherche RFR]),"Data RFR manquantes", IF(V473&lt;=INDEX(TabRFR[[2021]:[2025]],MATCH(BD!U473&amp;"-Très modestes",TabRFR[Recherche RFR],0),MATCH(TEXT(YEAR(BD!H473),"Standard"),TabRFR[[#Headers],[2021]:[2025]],0)),"Très Modeste",IF(V473&lt;=INDEX(TabRFR[[2021]:[2025]],MATCH(BD!U473&amp;"-modestes",TabRFR[Recherche RFR],0),MATCH(TEXT(YEAR(BD!H473),"Standard"),TabRFR[[#Headers],[2021]:[2025]],0)),"Modeste",IF(V473&lt;=INDEX(TabRFR[[2021]:[2025]],MATCH(BD!U473&amp;"-Intermédiaire",TabRFR[Recherche RFR],0),MATCH(TEXT(YEAR(BD!H473),"Standard"),TabRFR[[#Headers],[2021]:[2025]],0)),"Intermédiaire","Supérieur")))))))</f>
        <v>Modeste</v>
      </c>
      <c r="X473" s="144"/>
      <c r="Y473" s="135" t="s">
        <v>2130</v>
      </c>
      <c r="Z473" s="144">
        <v>38620</v>
      </c>
      <c r="AA473" s="135" t="s">
        <v>262</v>
      </c>
      <c r="AB473" s="148"/>
      <c r="AC473" s="149"/>
      <c r="AD473" s="135" t="s">
        <v>91</v>
      </c>
      <c r="AE473" s="135"/>
      <c r="AF473" s="135"/>
      <c r="AG473" s="135"/>
      <c r="AH473" s="135"/>
      <c r="AI473" s="143" t="s">
        <v>1106</v>
      </c>
      <c r="AJ473" s="143" t="s">
        <v>1075</v>
      </c>
      <c r="AK473" s="143" t="s">
        <v>1737</v>
      </c>
      <c r="AL473" s="169" t="s">
        <v>1108</v>
      </c>
      <c r="AM473" s="148" t="s">
        <v>1455</v>
      </c>
      <c r="AN473" s="143" t="s">
        <v>76</v>
      </c>
      <c r="AO473" s="150" t="s">
        <v>102</v>
      </c>
      <c r="AP473" s="147">
        <v>44731</v>
      </c>
      <c r="AQ473" s="143" t="s">
        <v>3413</v>
      </c>
      <c r="AR473" s="143">
        <v>1995</v>
      </c>
      <c r="AS473" s="143" t="s">
        <v>3413</v>
      </c>
      <c r="AT473" s="143" t="s">
        <v>98</v>
      </c>
      <c r="AU473" s="135" t="s">
        <v>1564</v>
      </c>
      <c r="AV473" s="135" t="s">
        <v>2131</v>
      </c>
      <c r="AW473" s="143">
        <v>14</v>
      </c>
      <c r="AX473" s="143">
        <v>8</v>
      </c>
      <c r="AY473" s="143" t="s">
        <v>2132</v>
      </c>
      <c r="AZ473" s="135" t="s">
        <v>2133</v>
      </c>
      <c r="BA473" s="135" t="s">
        <v>101</v>
      </c>
      <c r="BB473" s="135"/>
      <c r="BC473" s="151">
        <f>2526+76.9+495+468+55.4+187+67+60.06</f>
        <v>3935.36</v>
      </c>
      <c r="BD473" s="135"/>
      <c r="BE473" s="151">
        <f>550+90</f>
        <v>640</v>
      </c>
      <c r="BF473" s="151">
        <f t="shared" ref="BF473:BF480" si="33">BC473+BE473</f>
        <v>4575.3600000000006</v>
      </c>
      <c r="BG473" s="151">
        <f t="shared" si="32"/>
        <v>251.64480000000003</v>
      </c>
      <c r="BH473" s="151">
        <f t="shared" si="31"/>
        <v>4827.0048000000006</v>
      </c>
      <c r="BI473" s="151">
        <v>4827</v>
      </c>
      <c r="BJ473" s="135" t="s">
        <v>115</v>
      </c>
      <c r="BK473" s="135"/>
      <c r="BL473" s="135"/>
      <c r="BM473" s="144" t="s">
        <v>3592</v>
      </c>
      <c r="BN473" s="143">
        <v>2022</v>
      </c>
      <c r="BO473" s="135" t="s">
        <v>155</v>
      </c>
      <c r="BP473" s="143" t="s">
        <v>3583</v>
      </c>
      <c r="BQ473" s="203" t="s">
        <v>3274</v>
      </c>
    </row>
    <row r="474" spans="1:69" ht="41.1" customHeight="1">
      <c r="A474" s="218" t="s">
        <v>1705</v>
      </c>
      <c r="B474" s="218" t="s">
        <v>2134</v>
      </c>
      <c r="C474" s="143">
        <v>1000</v>
      </c>
      <c r="D474" s="135">
        <v>44749</v>
      </c>
      <c r="E474" s="135">
        <v>44754</v>
      </c>
      <c r="F474" s="135">
        <v>44762</v>
      </c>
      <c r="G474" s="143" t="s">
        <v>1639</v>
      </c>
      <c r="H474" s="135">
        <v>44763</v>
      </c>
      <c r="I474" s="135">
        <v>44763</v>
      </c>
      <c r="J474" s="135">
        <v>44768</v>
      </c>
      <c r="K474" s="135">
        <v>44978</v>
      </c>
      <c r="L474" s="135">
        <v>45275</v>
      </c>
      <c r="M474" s="135" t="s">
        <v>76</v>
      </c>
      <c r="N474" s="135">
        <v>45001</v>
      </c>
      <c r="O474" s="135">
        <v>45002</v>
      </c>
      <c r="P474" s="135">
        <v>45005</v>
      </c>
      <c r="Q474" s="135"/>
      <c r="R474" s="135"/>
      <c r="S474" s="135"/>
      <c r="T474" s="135"/>
      <c r="U474" s="144">
        <v>5</v>
      </c>
      <c r="V474" s="143">
        <f>18282+18769</f>
        <v>37051</v>
      </c>
      <c r="W474" s="143" t="str">
        <f ca="1">IF(H474="",IF(D474="","",IF(U474+V474&lt;15,"Données Nb pers ou RFR manquantes",IF(COUNTA(INDIRECT("TabRFR["&amp;YEAR(D474)&amp;"]"))&lt;&gt;COUNTA(TabRFR[Recherche RFR]),"Data RFR manquantes", IF(V474&lt;=INDEX(TabRFR[[2021]:[2025]],MATCH(BD!U474&amp;"-Très modestes",TabRFR[Recherche RFR],0),MATCH(TEXT(YEAR(BD!D474),"Standard"),TabRFR[[#Headers],[2021]:[2025]],0)),"Très Modeste",IF(V474&lt;=INDEX(TabRFR[[2021]:[2025]],MATCH(BD!U474&amp;"-modestes",TabRFR[Recherche RFR],0),MATCH(TEXT(YEAR(BD!D474),"Standard"),TabRFR[[#Headers],[2021]:[2025]],0)),"Modeste",IF(V474&lt;=INDEX(TabRFR[[2021]:[2025]],MATCH(BD!U474&amp;"-Intermédiaire",TabRFR[Recherche RFR],0),MATCH(TEXT(YEAR(BD!D474),"Standard"),TabRFR[[#Headers],[2021]:[2025]],0)),"Intermédiaire","Supérieur")))))),IF(D474="","",IF(U474+V474&lt;15,"Données Nb pers ou RFR manquantes",IF(COUNTA(INDIRECT("TabRFR["&amp;YEAR(H474)&amp;"]"))&lt;&gt;COUNTA(TabRFR[Recherche RFR]),"Data RFR manquantes", IF(V474&lt;=INDEX(TabRFR[[2021]:[2025]],MATCH(BD!U474&amp;"-Très modestes",TabRFR[Recherche RFR],0),MATCH(TEXT(YEAR(BD!H474),"Standard"),TabRFR[[#Headers],[2021]:[2025]],0)),"Très Modeste",IF(V474&lt;=INDEX(TabRFR[[2021]:[2025]],MATCH(BD!U474&amp;"-modestes",TabRFR[Recherche RFR],0),MATCH(TEXT(YEAR(BD!H474),"Standard"),TabRFR[[#Headers],[2021]:[2025]],0)),"Modeste",IF(V474&lt;=INDEX(TabRFR[[2021]:[2025]],MATCH(BD!U474&amp;"-Intermédiaire",TabRFR[Recherche RFR],0),MATCH(TEXT(YEAR(BD!H474),"Standard"),TabRFR[[#Headers],[2021]:[2025]],0)),"Intermédiaire","Supérieur")))))))</f>
        <v>Modeste</v>
      </c>
      <c r="X474" s="144"/>
      <c r="Y474" s="135" t="s">
        <v>2135</v>
      </c>
      <c r="Z474" s="144">
        <v>38850</v>
      </c>
      <c r="AA474" s="135" t="s">
        <v>168</v>
      </c>
      <c r="AB474" s="148"/>
      <c r="AC474" s="149"/>
      <c r="AD474" s="135" t="s">
        <v>91</v>
      </c>
      <c r="AE474" s="135"/>
      <c r="AF474" s="135"/>
      <c r="AG474" s="135"/>
      <c r="AH474" s="135"/>
      <c r="AI474" s="143" t="s">
        <v>2136</v>
      </c>
      <c r="AJ474" s="143" t="s">
        <v>108</v>
      </c>
      <c r="AK474" s="143" t="s">
        <v>1247</v>
      </c>
      <c r="AL474" s="150" t="s">
        <v>1248</v>
      </c>
      <c r="AM474" s="148">
        <v>685231565</v>
      </c>
      <c r="AN474" s="143" t="s">
        <v>76</v>
      </c>
      <c r="AO474" s="150" t="s">
        <v>102</v>
      </c>
      <c r="AP474" s="147">
        <v>45006</v>
      </c>
      <c r="AQ474" s="143" t="s">
        <v>3413</v>
      </c>
      <c r="AR474" s="143">
        <v>2002</v>
      </c>
      <c r="AS474" s="143" t="s">
        <v>3413</v>
      </c>
      <c r="AT474" s="143" t="s">
        <v>98</v>
      </c>
      <c r="AU474" s="135" t="s">
        <v>1547</v>
      </c>
      <c r="AV474" s="135" t="s">
        <v>1548</v>
      </c>
      <c r="AW474" s="143">
        <v>12</v>
      </c>
      <c r="AX474" s="143" t="s">
        <v>2137</v>
      </c>
      <c r="AY474" s="143" t="s">
        <v>2138</v>
      </c>
      <c r="AZ474" s="135" t="s">
        <v>2139</v>
      </c>
      <c r="BA474" s="135" t="s">
        <v>101</v>
      </c>
      <c r="BB474" s="135"/>
      <c r="BC474" s="151">
        <f>3300+55+40+190+45+227+49+65+50+105+115+150+190+50+42+30+120</f>
        <v>4823</v>
      </c>
      <c r="BD474" s="135"/>
      <c r="BE474" s="151">
        <v>1200</v>
      </c>
      <c r="BF474" s="151">
        <f t="shared" si="33"/>
        <v>6023</v>
      </c>
      <c r="BG474" s="151">
        <f t="shared" si="32"/>
        <v>331.26499999999999</v>
      </c>
      <c r="BH474" s="151">
        <f t="shared" si="31"/>
        <v>6354.2650000000003</v>
      </c>
      <c r="BI474" s="151">
        <v>6354.27</v>
      </c>
      <c r="BJ474" s="135" t="s">
        <v>115</v>
      </c>
      <c r="BK474" s="135"/>
      <c r="BL474" s="135"/>
      <c r="BM474" s="144" t="s">
        <v>3592</v>
      </c>
      <c r="BN474" s="143">
        <v>2022</v>
      </c>
      <c r="BO474" s="135" t="s">
        <v>155</v>
      </c>
      <c r="BP474" s="143" t="s">
        <v>3583</v>
      </c>
      <c r="BQ474" s="203" t="s">
        <v>3274</v>
      </c>
    </row>
    <row r="475" spans="1:69" ht="41.1" customHeight="1">
      <c r="A475" s="218" t="s">
        <v>1705</v>
      </c>
      <c r="B475" s="218" t="s">
        <v>2140</v>
      </c>
      <c r="C475" s="143">
        <v>600</v>
      </c>
      <c r="D475" s="135">
        <v>44749</v>
      </c>
      <c r="E475" s="135">
        <v>44754</v>
      </c>
      <c r="F475" s="135">
        <v>44762</v>
      </c>
      <c r="G475" s="143" t="s">
        <v>2141</v>
      </c>
      <c r="H475" s="135">
        <v>44764</v>
      </c>
      <c r="I475" s="135">
        <v>44764</v>
      </c>
      <c r="J475" s="135">
        <v>44768</v>
      </c>
      <c r="K475" s="135">
        <v>44900</v>
      </c>
      <c r="L475" s="135">
        <v>44874</v>
      </c>
      <c r="M475" s="135" t="s">
        <v>76</v>
      </c>
      <c r="N475" s="135">
        <v>44915</v>
      </c>
      <c r="O475" s="135">
        <v>44915</v>
      </c>
      <c r="P475" s="135">
        <v>44932</v>
      </c>
      <c r="Q475" s="135"/>
      <c r="R475" s="135"/>
      <c r="S475" s="135"/>
      <c r="T475" s="135"/>
      <c r="U475" s="144">
        <v>5</v>
      </c>
      <c r="V475" s="143">
        <v>102089</v>
      </c>
      <c r="W475" s="143" t="str">
        <f ca="1">IF(H475="",IF(D475="","",IF(U475+V475&lt;15,"Données Nb pers ou RFR manquantes",IF(COUNTA(INDIRECT("TabRFR["&amp;YEAR(D475)&amp;"]"))&lt;&gt;COUNTA(TabRFR[Recherche RFR]),"Data RFR manquantes", IF(V475&lt;=INDEX(TabRFR[[2021]:[2025]],MATCH(BD!U475&amp;"-Très modestes",TabRFR[Recherche RFR],0),MATCH(TEXT(YEAR(BD!D475),"Standard"),TabRFR[[#Headers],[2021]:[2025]],0)),"Très Modeste",IF(V475&lt;=INDEX(TabRFR[[2021]:[2025]],MATCH(BD!U475&amp;"-modestes",TabRFR[Recherche RFR],0),MATCH(TEXT(YEAR(BD!D475),"Standard"),TabRFR[[#Headers],[2021]:[2025]],0)),"Modeste",IF(V475&lt;=INDEX(TabRFR[[2021]:[2025]],MATCH(BD!U475&amp;"-Intermédiaire",TabRFR[Recherche RFR],0),MATCH(TEXT(YEAR(BD!D475),"Standard"),TabRFR[[#Headers],[2021]:[2025]],0)),"Intermédiaire","Supérieur")))))),IF(D475="","",IF(U475+V475&lt;15,"Données Nb pers ou RFR manquantes",IF(COUNTA(INDIRECT("TabRFR["&amp;YEAR(H475)&amp;"]"))&lt;&gt;COUNTA(TabRFR[Recherche RFR]),"Data RFR manquantes", IF(V475&lt;=INDEX(TabRFR[[2021]:[2025]],MATCH(BD!U475&amp;"-Très modestes",TabRFR[Recherche RFR],0),MATCH(TEXT(YEAR(BD!H475),"Standard"),TabRFR[[#Headers],[2021]:[2025]],0)),"Très Modeste",IF(V475&lt;=INDEX(TabRFR[[2021]:[2025]],MATCH(BD!U475&amp;"-modestes",TabRFR[Recherche RFR],0),MATCH(TEXT(YEAR(BD!H475),"Standard"),TabRFR[[#Headers],[2021]:[2025]],0)),"Modeste",IF(V475&lt;=INDEX(TabRFR[[2021]:[2025]],MATCH(BD!U475&amp;"-Intermédiaire",TabRFR[Recherche RFR],0),MATCH(TEXT(YEAR(BD!H475),"Standard"),TabRFR[[#Headers],[2021]:[2025]],0)),"Intermédiaire","Supérieur")))))))</f>
        <v>Supérieur</v>
      </c>
      <c r="X475" s="144"/>
      <c r="Y475" s="135" t="s">
        <v>2142</v>
      </c>
      <c r="Z475" s="144">
        <v>38430</v>
      </c>
      <c r="AA475" s="143" t="s">
        <v>351</v>
      </c>
      <c r="AB475" s="148"/>
      <c r="AC475" s="149"/>
      <c r="AD475" s="135" t="s">
        <v>91</v>
      </c>
      <c r="AE475" s="135"/>
      <c r="AF475" s="135"/>
      <c r="AG475" s="135"/>
      <c r="AH475" s="135"/>
      <c r="AI475" s="135" t="s">
        <v>2703</v>
      </c>
      <c r="AJ475" s="143" t="s">
        <v>266</v>
      </c>
      <c r="AK475" s="143" t="s">
        <v>317</v>
      </c>
      <c r="AL475" s="150" t="s">
        <v>318</v>
      </c>
      <c r="AM475" s="148">
        <v>476500550</v>
      </c>
      <c r="AN475" s="143" t="s">
        <v>76</v>
      </c>
      <c r="AO475" s="150" t="s">
        <v>102</v>
      </c>
      <c r="AP475" s="147">
        <v>45137</v>
      </c>
      <c r="AQ475" s="135" t="s">
        <v>3496</v>
      </c>
      <c r="AR475" s="143">
        <v>1968</v>
      </c>
      <c r="AS475" s="143" t="s">
        <v>3413</v>
      </c>
      <c r="AT475" s="135" t="s">
        <v>3446</v>
      </c>
      <c r="AU475" s="135" t="s">
        <v>319</v>
      </c>
      <c r="AV475" s="135" t="s">
        <v>2143</v>
      </c>
      <c r="AW475" s="143">
        <v>29</v>
      </c>
      <c r="AX475" s="143" t="s">
        <v>2144</v>
      </c>
      <c r="AY475" s="143" t="s">
        <v>1893</v>
      </c>
      <c r="AZ475" s="135" t="s">
        <v>2145</v>
      </c>
      <c r="BA475" s="135" t="s">
        <v>101</v>
      </c>
      <c r="BB475" s="135"/>
      <c r="BC475" s="151">
        <f>901.2+71.1+266.21+129.45+3083.33+168.1</f>
        <v>4619.3900000000003</v>
      </c>
      <c r="BD475" s="135"/>
      <c r="BE475" s="151">
        <v>1020</v>
      </c>
      <c r="BF475" s="151">
        <f t="shared" si="33"/>
        <v>5639.39</v>
      </c>
      <c r="BG475" s="151">
        <f t="shared" si="32"/>
        <v>310.16645</v>
      </c>
      <c r="BH475" s="151">
        <f t="shared" si="31"/>
        <v>5949.55645</v>
      </c>
      <c r="BI475" s="151">
        <v>5901.03</v>
      </c>
      <c r="BJ475" s="135" t="s">
        <v>115</v>
      </c>
      <c r="BK475" s="135"/>
      <c r="BL475" s="135"/>
      <c r="BM475" s="144" t="s">
        <v>3592</v>
      </c>
      <c r="BN475" s="143">
        <v>2022</v>
      </c>
      <c r="BO475" s="144" t="s">
        <v>143</v>
      </c>
      <c r="BP475" s="144">
        <v>2022</v>
      </c>
      <c r="BQ475" s="203" t="s">
        <v>3274</v>
      </c>
    </row>
    <row r="476" spans="1:69" ht="41.1" customHeight="1">
      <c r="A476" s="218" t="s">
        <v>1705</v>
      </c>
      <c r="B476" s="218" t="s">
        <v>2146</v>
      </c>
      <c r="C476" s="143">
        <v>1000</v>
      </c>
      <c r="D476" s="135">
        <v>44750</v>
      </c>
      <c r="E476" s="135">
        <v>44754</v>
      </c>
      <c r="F476" s="135" t="s">
        <v>76</v>
      </c>
      <c r="G476" s="143" t="s">
        <v>76</v>
      </c>
      <c r="H476" s="135">
        <v>44762</v>
      </c>
      <c r="I476" s="135">
        <v>44762</v>
      </c>
      <c r="J476" s="135">
        <v>44769</v>
      </c>
      <c r="K476" s="135">
        <v>44881</v>
      </c>
      <c r="L476" s="135">
        <v>44813</v>
      </c>
      <c r="M476" s="135" t="s">
        <v>76</v>
      </c>
      <c r="N476" s="135">
        <v>44895</v>
      </c>
      <c r="O476" s="135">
        <v>44895</v>
      </c>
      <c r="P476" s="135">
        <v>44897</v>
      </c>
      <c r="Q476" s="135"/>
      <c r="R476" s="135"/>
      <c r="S476" s="135"/>
      <c r="T476" s="135"/>
      <c r="U476" s="144">
        <v>1</v>
      </c>
      <c r="V476" s="143">
        <v>17869</v>
      </c>
      <c r="W476" s="143" t="str">
        <f ca="1">IF(H476="",IF(D476="","",IF(U476+V476&lt;15,"Données Nb pers ou RFR manquantes",IF(COUNTA(INDIRECT("TabRFR["&amp;YEAR(D476)&amp;"]"))&lt;&gt;COUNTA(TabRFR[Recherche RFR]),"Data RFR manquantes", IF(V476&lt;=INDEX(TabRFR[[2021]:[2025]],MATCH(BD!U476&amp;"-Très modestes",TabRFR[Recherche RFR],0),MATCH(TEXT(YEAR(BD!D476),"Standard"),TabRFR[[#Headers],[2021]:[2025]],0)),"Très Modeste",IF(V476&lt;=INDEX(TabRFR[[2021]:[2025]],MATCH(BD!U476&amp;"-modestes",TabRFR[Recherche RFR],0),MATCH(TEXT(YEAR(BD!D476),"Standard"),TabRFR[[#Headers],[2021]:[2025]],0)),"Modeste",IF(V476&lt;=INDEX(TabRFR[[2021]:[2025]],MATCH(BD!U476&amp;"-Intermédiaire",TabRFR[Recherche RFR],0),MATCH(TEXT(YEAR(BD!D476),"Standard"),TabRFR[[#Headers],[2021]:[2025]],0)),"Intermédiaire","Supérieur")))))),IF(D476="","",IF(U476+V476&lt;15,"Données Nb pers ou RFR manquantes",IF(COUNTA(INDIRECT("TabRFR["&amp;YEAR(H476)&amp;"]"))&lt;&gt;COUNTA(TabRFR[Recherche RFR]),"Data RFR manquantes", IF(V476&lt;=INDEX(TabRFR[[2021]:[2025]],MATCH(BD!U476&amp;"-Très modestes",TabRFR[Recherche RFR],0),MATCH(TEXT(YEAR(BD!H476),"Standard"),TabRFR[[#Headers],[2021]:[2025]],0)),"Très Modeste",IF(V476&lt;=INDEX(TabRFR[[2021]:[2025]],MATCH(BD!U476&amp;"-modestes",TabRFR[Recherche RFR],0),MATCH(TEXT(YEAR(BD!H476),"Standard"),TabRFR[[#Headers],[2021]:[2025]],0)),"Modeste",IF(V476&lt;=INDEX(TabRFR[[2021]:[2025]],MATCH(BD!U476&amp;"-Intermédiaire",TabRFR[Recherche RFR],0),MATCH(TEXT(YEAR(BD!H476),"Standard"),TabRFR[[#Headers],[2021]:[2025]],0)),"Intermédiaire","Supérieur")))))))</f>
        <v>Modeste</v>
      </c>
      <c r="X476" s="144"/>
      <c r="Y476" s="135" t="s">
        <v>2147</v>
      </c>
      <c r="Z476" s="144">
        <v>38500</v>
      </c>
      <c r="AA476" s="135" t="s">
        <v>435</v>
      </c>
      <c r="AB476" s="148"/>
      <c r="AC476" s="149"/>
      <c r="AD476" s="135" t="s">
        <v>91</v>
      </c>
      <c r="AE476" s="135"/>
      <c r="AF476" s="135"/>
      <c r="AG476" s="135"/>
      <c r="AH476" s="135"/>
      <c r="AI476" s="143" t="s">
        <v>1106</v>
      </c>
      <c r="AJ476" s="143" t="s">
        <v>1075</v>
      </c>
      <c r="AK476" s="143" t="s">
        <v>1737</v>
      </c>
      <c r="AL476" s="169" t="s">
        <v>1108</v>
      </c>
      <c r="AM476" s="148" t="s">
        <v>1455</v>
      </c>
      <c r="AN476" s="143" t="s">
        <v>76</v>
      </c>
      <c r="AO476" s="150" t="s">
        <v>102</v>
      </c>
      <c r="AP476" s="147">
        <v>45096</v>
      </c>
      <c r="AQ476" s="135" t="s">
        <v>3496</v>
      </c>
      <c r="AR476" s="143">
        <v>1995</v>
      </c>
      <c r="AS476" s="143" t="s">
        <v>3413</v>
      </c>
      <c r="AT476" s="143" t="s">
        <v>98</v>
      </c>
      <c r="AU476" s="135" t="s">
        <v>1564</v>
      </c>
      <c r="AV476" s="135" t="s">
        <v>2131</v>
      </c>
      <c r="AW476" s="143">
        <v>14</v>
      </c>
      <c r="AX476" s="143">
        <v>8</v>
      </c>
      <c r="AY476" s="143" t="s">
        <v>2132</v>
      </c>
      <c r="AZ476" s="135" t="s">
        <v>2133</v>
      </c>
      <c r="BA476" s="135" t="s">
        <v>101</v>
      </c>
      <c r="BB476" s="135"/>
      <c r="BC476" s="151">
        <f>2726+588+238+325+155+90+129</f>
        <v>4251</v>
      </c>
      <c r="BD476" s="135"/>
      <c r="BE476" s="151">
        <v>750</v>
      </c>
      <c r="BF476" s="151">
        <f t="shared" si="33"/>
        <v>5001</v>
      </c>
      <c r="BG476" s="151">
        <f t="shared" si="32"/>
        <v>275.05500000000001</v>
      </c>
      <c r="BH476" s="151">
        <f t="shared" si="31"/>
        <v>5276.0550000000003</v>
      </c>
      <c r="BI476" s="143">
        <v>5276.06</v>
      </c>
      <c r="BJ476" s="135" t="s">
        <v>115</v>
      </c>
      <c r="BK476" s="135"/>
      <c r="BL476" s="135"/>
      <c r="BM476" s="144" t="s">
        <v>3592</v>
      </c>
      <c r="BN476" s="143">
        <v>2022</v>
      </c>
      <c r="BO476" s="135" t="s">
        <v>155</v>
      </c>
      <c r="BP476" s="143" t="s">
        <v>3583</v>
      </c>
      <c r="BQ476" s="203" t="s">
        <v>3274</v>
      </c>
    </row>
    <row r="477" spans="1:69" ht="41.1" customHeight="1">
      <c r="A477" s="219" t="s">
        <v>1705</v>
      </c>
      <c r="B477" s="219" t="s">
        <v>2148</v>
      </c>
      <c r="C477" s="143">
        <v>1000</v>
      </c>
      <c r="D477" s="135">
        <v>44750</v>
      </c>
      <c r="E477" s="135">
        <v>44754</v>
      </c>
      <c r="F477" s="135" t="s">
        <v>76</v>
      </c>
      <c r="G477" s="143" t="s">
        <v>76</v>
      </c>
      <c r="H477" s="135">
        <v>44762</v>
      </c>
      <c r="I477" s="135">
        <v>44762</v>
      </c>
      <c r="J477" s="135">
        <v>44769</v>
      </c>
      <c r="K477" s="135"/>
      <c r="L477" s="135"/>
      <c r="M477" s="135" t="s">
        <v>3392</v>
      </c>
      <c r="N477" s="135"/>
      <c r="O477" s="135"/>
      <c r="P477" s="135"/>
      <c r="Q477" s="135"/>
      <c r="R477" s="135"/>
      <c r="S477" s="135"/>
      <c r="T477" s="135"/>
      <c r="U477" s="144">
        <v>1</v>
      </c>
      <c r="V477" s="143">
        <v>18559</v>
      </c>
      <c r="W477" s="143" t="str">
        <f ca="1">IF(H477="",IF(D477="","",IF(U477+V477&lt;15,"Données Nb pers ou RFR manquantes",IF(COUNTA(INDIRECT("TabRFR["&amp;YEAR(D477)&amp;"]"))&lt;&gt;COUNTA(TabRFR[Recherche RFR]),"Data RFR manquantes", IF(V477&lt;=INDEX(TabRFR[[2021]:[2025]],MATCH(BD!U477&amp;"-Très modestes",TabRFR[Recherche RFR],0),MATCH(TEXT(YEAR(BD!D477),"Standard"),TabRFR[[#Headers],[2021]:[2025]],0)),"Très Modeste",IF(V477&lt;=INDEX(TabRFR[[2021]:[2025]],MATCH(BD!U477&amp;"-modestes",TabRFR[Recherche RFR],0),MATCH(TEXT(YEAR(BD!D477),"Standard"),TabRFR[[#Headers],[2021]:[2025]],0)),"Modeste",IF(V477&lt;=INDEX(TabRFR[[2021]:[2025]],MATCH(BD!U477&amp;"-Intermédiaire",TabRFR[Recherche RFR],0),MATCH(TEXT(YEAR(BD!D477),"Standard"),TabRFR[[#Headers],[2021]:[2025]],0)),"Intermédiaire","Supérieur")))))),IF(D477="","",IF(U477+V477&lt;15,"Données Nb pers ou RFR manquantes",IF(COUNTA(INDIRECT("TabRFR["&amp;YEAR(H477)&amp;"]"))&lt;&gt;COUNTA(TabRFR[Recherche RFR]),"Data RFR manquantes", IF(V477&lt;=INDEX(TabRFR[[2021]:[2025]],MATCH(BD!U477&amp;"-Très modestes",TabRFR[Recherche RFR],0),MATCH(TEXT(YEAR(BD!H477),"Standard"),TabRFR[[#Headers],[2021]:[2025]],0)),"Très Modeste",IF(V477&lt;=INDEX(TabRFR[[2021]:[2025]],MATCH(BD!U477&amp;"-modestes",TabRFR[Recherche RFR],0),MATCH(TEXT(YEAR(BD!H477),"Standard"),TabRFR[[#Headers],[2021]:[2025]],0)),"Modeste",IF(V477&lt;=INDEX(TabRFR[[2021]:[2025]],MATCH(BD!U477&amp;"-Intermédiaire",TabRFR[Recherche RFR],0),MATCH(TEXT(YEAR(BD!H477),"Standard"),TabRFR[[#Headers],[2021]:[2025]],0)),"Intermédiaire","Supérieur")))))))</f>
        <v>Modeste</v>
      </c>
      <c r="X477" s="144"/>
      <c r="Y477" s="135" t="s">
        <v>2149</v>
      </c>
      <c r="Z477" s="144">
        <v>38620</v>
      </c>
      <c r="AA477" s="135" t="s">
        <v>90</v>
      </c>
      <c r="AB477" s="148"/>
      <c r="AC477" s="149"/>
      <c r="AD477" s="135" t="s">
        <v>91</v>
      </c>
      <c r="AE477" s="135"/>
      <c r="AF477" s="135"/>
      <c r="AG477" s="135"/>
      <c r="AH477" s="135"/>
      <c r="AI477" s="143" t="s">
        <v>92</v>
      </c>
      <c r="AJ477" s="143" t="s">
        <v>93</v>
      </c>
      <c r="AK477" s="143" t="s">
        <v>94</v>
      </c>
      <c r="AL477" s="149" t="s">
        <v>95</v>
      </c>
      <c r="AM477" s="148" t="s">
        <v>96</v>
      </c>
      <c r="AN477" s="143" t="s">
        <v>76</v>
      </c>
      <c r="AO477" s="150" t="s">
        <v>97</v>
      </c>
      <c r="AP477" s="147">
        <v>44821</v>
      </c>
      <c r="AQ477" s="135" t="s">
        <v>3449</v>
      </c>
      <c r="AR477" s="143">
        <v>1990</v>
      </c>
      <c r="AS477" s="143" t="s">
        <v>3413</v>
      </c>
      <c r="AT477" s="143" t="s">
        <v>98</v>
      </c>
      <c r="AU477" s="135" t="s">
        <v>99</v>
      </c>
      <c r="AV477" s="135" t="s">
        <v>2150</v>
      </c>
      <c r="AW477" s="143">
        <v>15</v>
      </c>
      <c r="AX477" s="143">
        <v>9</v>
      </c>
      <c r="AY477" s="143">
        <v>91</v>
      </c>
      <c r="AZ477" s="135" t="s">
        <v>2151</v>
      </c>
      <c r="BA477" s="135" t="s">
        <v>101</v>
      </c>
      <c r="BB477" s="135"/>
      <c r="BC477" s="151">
        <f>3460+995+288.5+193+198+225+150+115</f>
        <v>5624.5</v>
      </c>
      <c r="BD477" s="135"/>
      <c r="BE477" s="151">
        <v>890</v>
      </c>
      <c r="BF477" s="151">
        <f t="shared" si="33"/>
        <v>6514.5</v>
      </c>
      <c r="BG477" s="151">
        <f t="shared" si="32"/>
        <v>358.29750000000001</v>
      </c>
      <c r="BH477" s="151">
        <f t="shared" si="31"/>
        <v>6872.7974999999997</v>
      </c>
      <c r="BI477" s="135"/>
      <c r="BJ477" s="135" t="s">
        <v>102</v>
      </c>
      <c r="BK477" s="135"/>
      <c r="BL477" s="135"/>
      <c r="BM477" s="144" t="s">
        <v>3592</v>
      </c>
      <c r="BN477" s="143">
        <v>2022</v>
      </c>
      <c r="BO477" s="135" t="s">
        <v>155</v>
      </c>
      <c r="BP477" s="143" t="s">
        <v>3583</v>
      </c>
      <c r="BQ477" s="203"/>
    </row>
    <row r="478" spans="1:69" ht="41.1" customHeight="1">
      <c r="A478" s="218" t="s">
        <v>1705</v>
      </c>
      <c r="B478" s="218" t="s">
        <v>2152</v>
      </c>
      <c r="C478" s="143">
        <v>600</v>
      </c>
      <c r="D478" s="135">
        <v>44751</v>
      </c>
      <c r="E478" s="135">
        <v>44754</v>
      </c>
      <c r="F478" s="135" t="s">
        <v>76</v>
      </c>
      <c r="G478" s="143" t="s">
        <v>76</v>
      </c>
      <c r="H478" s="135">
        <v>44762</v>
      </c>
      <c r="I478" s="135">
        <v>44762</v>
      </c>
      <c r="J478" s="135">
        <v>44769</v>
      </c>
      <c r="K478" s="135">
        <v>44882</v>
      </c>
      <c r="L478" s="135">
        <v>44873</v>
      </c>
      <c r="M478" s="135" t="s">
        <v>76</v>
      </c>
      <c r="N478" s="135">
        <v>44895</v>
      </c>
      <c r="O478" s="135">
        <v>44895</v>
      </c>
      <c r="P478" s="135">
        <v>44897</v>
      </c>
      <c r="Q478" s="135"/>
      <c r="R478" s="135"/>
      <c r="S478" s="135"/>
      <c r="T478" s="135"/>
      <c r="U478" s="144">
        <v>2</v>
      </c>
      <c r="V478" s="143">
        <v>37223</v>
      </c>
      <c r="W478" s="143" t="str">
        <f ca="1">IF(H478="",IF(D478="","",IF(U478+V478&lt;15,"Données Nb pers ou RFR manquantes",IF(COUNTA(INDIRECT("TabRFR["&amp;YEAR(D478)&amp;"]"))&lt;&gt;COUNTA(TabRFR[Recherche RFR]),"Data RFR manquantes", IF(V478&lt;=INDEX(TabRFR[[2021]:[2025]],MATCH(BD!U478&amp;"-Très modestes",TabRFR[Recherche RFR],0),MATCH(TEXT(YEAR(BD!D478),"Standard"),TabRFR[[#Headers],[2021]:[2025]],0)),"Très Modeste",IF(V478&lt;=INDEX(TabRFR[[2021]:[2025]],MATCH(BD!U478&amp;"-modestes",TabRFR[Recherche RFR],0),MATCH(TEXT(YEAR(BD!D478),"Standard"),TabRFR[[#Headers],[2021]:[2025]],0)),"Modeste",IF(V478&lt;=INDEX(TabRFR[[2021]:[2025]],MATCH(BD!U478&amp;"-Intermédiaire",TabRFR[Recherche RFR],0),MATCH(TEXT(YEAR(BD!D478),"Standard"),TabRFR[[#Headers],[2021]:[2025]],0)),"Intermédiaire","Supérieur")))))),IF(D478="","",IF(U478+V478&lt;15,"Données Nb pers ou RFR manquantes",IF(COUNTA(INDIRECT("TabRFR["&amp;YEAR(H478)&amp;"]"))&lt;&gt;COUNTA(TabRFR[Recherche RFR]),"Data RFR manquantes", IF(V478&lt;=INDEX(TabRFR[[2021]:[2025]],MATCH(BD!U478&amp;"-Très modestes",TabRFR[Recherche RFR],0),MATCH(TEXT(YEAR(BD!H478),"Standard"),TabRFR[[#Headers],[2021]:[2025]],0)),"Très Modeste",IF(V478&lt;=INDEX(TabRFR[[2021]:[2025]],MATCH(BD!U478&amp;"-modestes",TabRFR[Recherche RFR],0),MATCH(TEXT(YEAR(BD!H478),"Standard"),TabRFR[[#Headers],[2021]:[2025]],0)),"Modeste",IF(V478&lt;=INDEX(TabRFR[[2021]:[2025]],MATCH(BD!U478&amp;"-Intermédiaire",TabRFR[Recherche RFR],0),MATCH(TEXT(YEAR(BD!H478),"Standard"),TabRFR[[#Headers],[2021]:[2025]],0)),"Intermédiaire","Supérieur")))))))</f>
        <v>Intermédiaire</v>
      </c>
      <c r="X478" s="144"/>
      <c r="Y478" s="135" t="s">
        <v>2153</v>
      </c>
      <c r="Z478" s="144">
        <v>38430</v>
      </c>
      <c r="AA478" s="143" t="s">
        <v>351</v>
      </c>
      <c r="AB478" s="148"/>
      <c r="AC478" s="149"/>
      <c r="AD478" s="135" t="s">
        <v>91</v>
      </c>
      <c r="AE478" s="135"/>
      <c r="AF478" s="135"/>
      <c r="AG478" s="135"/>
      <c r="AH478" s="135"/>
      <c r="AI478" s="143" t="s">
        <v>185</v>
      </c>
      <c r="AJ478" s="143" t="s">
        <v>108</v>
      </c>
      <c r="AK478" s="143" t="s">
        <v>186</v>
      </c>
      <c r="AL478" s="150" t="s">
        <v>187</v>
      </c>
      <c r="AM478" s="148">
        <v>951096343</v>
      </c>
      <c r="AN478" s="143" t="s">
        <v>76</v>
      </c>
      <c r="AO478" s="150" t="s">
        <v>102</v>
      </c>
      <c r="AP478" s="147">
        <v>44798</v>
      </c>
      <c r="AQ478" s="143" t="s">
        <v>3413</v>
      </c>
      <c r="AR478" s="143">
        <v>1980</v>
      </c>
      <c r="AS478" s="143" t="s">
        <v>3413</v>
      </c>
      <c r="AT478" s="143" t="s">
        <v>98</v>
      </c>
      <c r="AU478" s="135" t="s">
        <v>1670</v>
      </c>
      <c r="AV478" s="135" t="s">
        <v>2154</v>
      </c>
      <c r="AW478" s="143">
        <v>20</v>
      </c>
      <c r="AX478" s="143" t="s">
        <v>1973</v>
      </c>
      <c r="AY478" s="143">
        <v>92</v>
      </c>
      <c r="AZ478" s="135" t="s">
        <v>1747</v>
      </c>
      <c r="BA478" s="135" t="s">
        <v>101</v>
      </c>
      <c r="BB478" s="135"/>
      <c r="BC478" s="151">
        <f>269+5990+400.5+271.35+295+569.9+35</f>
        <v>7830.75</v>
      </c>
      <c r="BD478" s="135"/>
      <c r="BE478" s="151">
        <v>630</v>
      </c>
      <c r="BF478" s="151">
        <f t="shared" si="33"/>
        <v>8460.75</v>
      </c>
      <c r="BG478" s="151">
        <f t="shared" si="32"/>
        <v>465.34125</v>
      </c>
      <c r="BH478" s="151">
        <f t="shared" si="31"/>
        <v>8926.0912499999995</v>
      </c>
      <c r="BI478" s="143">
        <v>8926.09</v>
      </c>
      <c r="BJ478" s="135" t="s">
        <v>102</v>
      </c>
      <c r="BK478" s="135"/>
      <c r="BL478" s="135"/>
      <c r="BM478" s="144" t="s">
        <v>3592</v>
      </c>
      <c r="BN478" s="143">
        <v>2022</v>
      </c>
      <c r="BO478" s="144" t="s">
        <v>143</v>
      </c>
      <c r="BP478" s="143" t="s">
        <v>3583</v>
      </c>
      <c r="BQ478" s="203" t="s">
        <v>144</v>
      </c>
    </row>
    <row r="479" spans="1:69" ht="41.1" customHeight="1">
      <c r="A479" s="218" t="s">
        <v>1705</v>
      </c>
      <c r="B479" s="218" t="s">
        <v>2155</v>
      </c>
      <c r="C479" s="143">
        <v>1000</v>
      </c>
      <c r="D479" s="135">
        <v>44753</v>
      </c>
      <c r="E479" s="135">
        <v>44754</v>
      </c>
      <c r="F479" s="135">
        <v>44762</v>
      </c>
      <c r="G479" s="143" t="s">
        <v>1707</v>
      </c>
      <c r="H479" s="135">
        <v>44802</v>
      </c>
      <c r="I479" s="135">
        <v>44802</v>
      </c>
      <c r="J479" s="135">
        <v>44824</v>
      </c>
      <c r="K479" s="135">
        <v>44903</v>
      </c>
      <c r="L479" s="135">
        <v>44888</v>
      </c>
      <c r="M479" s="135" t="s">
        <v>2156</v>
      </c>
      <c r="N479" s="135">
        <v>44932</v>
      </c>
      <c r="O479" s="135">
        <v>44932</v>
      </c>
      <c r="P479" s="135">
        <v>44932</v>
      </c>
      <c r="Q479" s="135"/>
      <c r="R479" s="135"/>
      <c r="S479" s="135"/>
      <c r="T479" s="135"/>
      <c r="U479" s="144">
        <v>1</v>
      </c>
      <c r="V479" s="143">
        <v>19528</v>
      </c>
      <c r="W479" s="143" t="str">
        <f ca="1">IF(H479="",IF(D479="","",IF(U479+V479&lt;15,"Données Nb pers ou RFR manquantes",IF(COUNTA(INDIRECT("TabRFR["&amp;YEAR(D479)&amp;"]"))&lt;&gt;COUNTA(TabRFR[Recherche RFR]),"Data RFR manquantes", IF(V479&lt;=INDEX(TabRFR[[2021]:[2025]],MATCH(BD!U479&amp;"-Très modestes",TabRFR[Recherche RFR],0),MATCH(TEXT(YEAR(BD!D479),"Standard"),TabRFR[[#Headers],[2021]:[2025]],0)),"Très Modeste",IF(V479&lt;=INDEX(TabRFR[[2021]:[2025]],MATCH(BD!U479&amp;"-modestes",TabRFR[Recherche RFR],0),MATCH(TEXT(YEAR(BD!D479),"Standard"),TabRFR[[#Headers],[2021]:[2025]],0)),"Modeste",IF(V479&lt;=INDEX(TabRFR[[2021]:[2025]],MATCH(BD!U479&amp;"-Intermédiaire",TabRFR[Recherche RFR],0),MATCH(TEXT(YEAR(BD!D479),"Standard"),TabRFR[[#Headers],[2021]:[2025]],0)),"Intermédiaire","Supérieur")))))),IF(D479="","",IF(U479+V479&lt;15,"Données Nb pers ou RFR manquantes",IF(COUNTA(INDIRECT("TabRFR["&amp;YEAR(H479)&amp;"]"))&lt;&gt;COUNTA(TabRFR[Recherche RFR]),"Data RFR manquantes", IF(V479&lt;=INDEX(TabRFR[[2021]:[2025]],MATCH(BD!U479&amp;"-Très modestes",TabRFR[Recherche RFR],0),MATCH(TEXT(YEAR(BD!H479),"Standard"),TabRFR[[#Headers],[2021]:[2025]],0)),"Très Modeste",IF(V479&lt;=INDEX(TabRFR[[2021]:[2025]],MATCH(BD!U479&amp;"-modestes",TabRFR[Recherche RFR],0),MATCH(TEXT(YEAR(BD!H479),"Standard"),TabRFR[[#Headers],[2021]:[2025]],0)),"Modeste",IF(V479&lt;=INDEX(TabRFR[[2021]:[2025]],MATCH(BD!U479&amp;"-Intermédiaire",TabRFR[Recherche RFR],0),MATCH(TEXT(YEAR(BD!H479),"Standard"),TabRFR[[#Headers],[2021]:[2025]],0)),"Intermédiaire","Supérieur")))))))</f>
        <v>Modeste</v>
      </c>
      <c r="X479" s="144"/>
      <c r="Y479" s="135" t="s">
        <v>2157</v>
      </c>
      <c r="Z479" s="144">
        <v>38210</v>
      </c>
      <c r="AA479" s="135" t="s">
        <v>202</v>
      </c>
      <c r="AB479" s="148"/>
      <c r="AC479" s="149"/>
      <c r="AD479" s="135" t="s">
        <v>91</v>
      </c>
      <c r="AE479" s="135"/>
      <c r="AF479" s="135"/>
      <c r="AG479" s="135"/>
      <c r="AH479" s="135"/>
      <c r="AI479" s="135" t="s">
        <v>1366</v>
      </c>
      <c r="AJ479" s="135" t="s">
        <v>1367</v>
      </c>
      <c r="AK479" s="135" t="s">
        <v>1872</v>
      </c>
      <c r="AL479" s="169" t="s">
        <v>1745</v>
      </c>
      <c r="AM479" s="148">
        <v>476389584</v>
      </c>
      <c r="AN479" s="143" t="s">
        <v>76</v>
      </c>
      <c r="AO479" s="150" t="s">
        <v>102</v>
      </c>
      <c r="AP479" s="147">
        <v>44867</v>
      </c>
      <c r="AQ479" s="143" t="s">
        <v>3413</v>
      </c>
      <c r="AR479" s="143">
        <v>1990</v>
      </c>
      <c r="AS479" s="143" t="s">
        <v>3413</v>
      </c>
      <c r="AT479" s="143" t="s">
        <v>98</v>
      </c>
      <c r="AU479" s="135" t="s">
        <v>430</v>
      </c>
      <c r="AV479" s="135" t="s">
        <v>1505</v>
      </c>
      <c r="AW479" s="143">
        <v>15</v>
      </c>
      <c r="AX479" s="143">
        <v>7.4</v>
      </c>
      <c r="AY479" s="143">
        <v>92.5</v>
      </c>
      <c r="AZ479" s="143">
        <v>0.01</v>
      </c>
      <c r="BA479" s="135" t="s">
        <v>1401</v>
      </c>
      <c r="BB479" s="135"/>
      <c r="BC479" s="151">
        <f>3856+1639.12</f>
        <v>5495.12</v>
      </c>
      <c r="BD479" s="135"/>
      <c r="BE479" s="151">
        <f>128.7+585</f>
        <v>713.7</v>
      </c>
      <c r="BF479" s="151">
        <f t="shared" si="33"/>
        <v>6208.82</v>
      </c>
      <c r="BG479" s="151">
        <f t="shared" si="32"/>
        <v>341.48509999999999</v>
      </c>
      <c r="BH479" s="151">
        <f t="shared" si="31"/>
        <v>6550.3050999999996</v>
      </c>
      <c r="BI479" s="151">
        <v>6550.31</v>
      </c>
      <c r="BJ479" s="135" t="s">
        <v>102</v>
      </c>
      <c r="BK479" s="135"/>
      <c r="BL479" s="135"/>
      <c r="BM479" s="144" t="s">
        <v>3592</v>
      </c>
      <c r="BN479" s="143">
        <v>2022</v>
      </c>
      <c r="BO479" s="135" t="s">
        <v>155</v>
      </c>
      <c r="BP479" s="143" t="s">
        <v>3583</v>
      </c>
      <c r="BQ479" s="203" t="s">
        <v>144</v>
      </c>
    </row>
    <row r="480" spans="1:69" ht="41.1" customHeight="1">
      <c r="A480" s="218" t="s">
        <v>1705</v>
      </c>
      <c r="B480" s="218" t="s">
        <v>2158</v>
      </c>
      <c r="C480" s="143">
        <v>1000</v>
      </c>
      <c r="D480" s="135">
        <v>44754</v>
      </c>
      <c r="E480" s="135">
        <v>44755</v>
      </c>
      <c r="F480" s="135">
        <v>44762</v>
      </c>
      <c r="G480" s="143" t="s">
        <v>2159</v>
      </c>
      <c r="H480" s="135">
        <v>44832</v>
      </c>
      <c r="I480" s="135">
        <v>44832</v>
      </c>
      <c r="J480" s="135">
        <v>44837</v>
      </c>
      <c r="K480" s="135">
        <v>45028</v>
      </c>
      <c r="L480" s="135">
        <v>45006</v>
      </c>
      <c r="M480" s="135" t="s">
        <v>76</v>
      </c>
      <c r="N480" s="135">
        <v>45037</v>
      </c>
      <c r="O480" s="135">
        <v>45037</v>
      </c>
      <c r="P480" s="135">
        <v>45040</v>
      </c>
      <c r="Q480" s="135"/>
      <c r="R480" s="135"/>
      <c r="S480" s="135"/>
      <c r="T480" s="135"/>
      <c r="U480" s="144">
        <v>1</v>
      </c>
      <c r="V480" s="143">
        <v>14196</v>
      </c>
      <c r="W480" s="143" t="str">
        <f ca="1">IF(H480="",IF(D480="","",IF(U480+V480&lt;15,"Données Nb pers ou RFR manquantes",IF(COUNTA(INDIRECT("TabRFR["&amp;YEAR(D480)&amp;"]"))&lt;&gt;COUNTA(TabRFR[Recherche RFR]),"Data RFR manquantes", IF(V480&lt;=INDEX(TabRFR[[2021]:[2025]],MATCH(BD!U480&amp;"-Très modestes",TabRFR[Recherche RFR],0),MATCH(TEXT(YEAR(BD!D480),"Standard"),TabRFR[[#Headers],[2021]:[2025]],0)),"Très Modeste",IF(V480&lt;=INDEX(TabRFR[[2021]:[2025]],MATCH(BD!U480&amp;"-modestes",TabRFR[Recherche RFR],0),MATCH(TEXT(YEAR(BD!D480),"Standard"),TabRFR[[#Headers],[2021]:[2025]],0)),"Modeste",IF(V480&lt;=INDEX(TabRFR[[2021]:[2025]],MATCH(BD!U480&amp;"-Intermédiaire",TabRFR[Recherche RFR],0),MATCH(TEXT(YEAR(BD!D480),"Standard"),TabRFR[[#Headers],[2021]:[2025]],0)),"Intermédiaire","Supérieur")))))),IF(D480="","",IF(U480+V480&lt;15,"Données Nb pers ou RFR manquantes",IF(COUNTA(INDIRECT("TabRFR["&amp;YEAR(H480)&amp;"]"))&lt;&gt;COUNTA(TabRFR[Recherche RFR]),"Data RFR manquantes", IF(V480&lt;=INDEX(TabRFR[[2021]:[2025]],MATCH(BD!U480&amp;"-Très modestes",TabRFR[Recherche RFR],0),MATCH(TEXT(YEAR(BD!H480),"Standard"),TabRFR[[#Headers],[2021]:[2025]],0)),"Très Modeste",IF(V480&lt;=INDEX(TabRFR[[2021]:[2025]],MATCH(BD!U480&amp;"-modestes",TabRFR[Recherche RFR],0),MATCH(TEXT(YEAR(BD!H480),"Standard"),TabRFR[[#Headers],[2021]:[2025]],0)),"Modeste",IF(V480&lt;=INDEX(TabRFR[[2021]:[2025]],MATCH(BD!U480&amp;"-Intermédiaire",TabRFR[Recherche RFR],0),MATCH(TEXT(YEAR(BD!H480),"Standard"),TabRFR[[#Headers],[2021]:[2025]],0)),"Intermédiaire","Supérieur")))))))</f>
        <v>Très Modeste</v>
      </c>
      <c r="X480" s="144"/>
      <c r="Y480" s="135" t="s">
        <v>2160</v>
      </c>
      <c r="Z480" s="144">
        <v>38620</v>
      </c>
      <c r="AA480" s="135" t="s">
        <v>90</v>
      </c>
      <c r="AB480" s="148"/>
      <c r="AC480" s="149"/>
      <c r="AD480" s="135" t="s">
        <v>91</v>
      </c>
      <c r="AE480" s="135"/>
      <c r="AF480" s="135"/>
      <c r="AG480" s="135"/>
      <c r="AH480" s="135"/>
      <c r="AI480" s="135" t="s">
        <v>220</v>
      </c>
      <c r="AJ480" s="143" t="s">
        <v>108</v>
      </c>
      <c r="AK480" s="143" t="s">
        <v>221</v>
      </c>
      <c r="AL480" s="169" t="s">
        <v>1947</v>
      </c>
      <c r="AM480" s="148">
        <v>476323235</v>
      </c>
      <c r="AN480" s="143" t="s">
        <v>76</v>
      </c>
      <c r="AO480" s="150" t="s">
        <v>102</v>
      </c>
      <c r="AP480" s="147">
        <v>44429</v>
      </c>
      <c r="AQ480" s="135" t="s">
        <v>3323</v>
      </c>
      <c r="AR480" s="143">
        <v>1996</v>
      </c>
      <c r="AS480" s="143" t="s">
        <v>2862</v>
      </c>
      <c r="AT480" s="135" t="s">
        <v>3446</v>
      </c>
      <c r="AU480" s="135" t="s">
        <v>1547</v>
      </c>
      <c r="AV480" s="135" t="s">
        <v>2161</v>
      </c>
      <c r="AW480" s="143">
        <v>30</v>
      </c>
      <c r="AX480" s="143" t="s">
        <v>2162</v>
      </c>
      <c r="AY480" s="143" t="s">
        <v>2163</v>
      </c>
      <c r="AZ480" s="135" t="s">
        <v>2164</v>
      </c>
      <c r="BA480" s="135" t="s">
        <v>101</v>
      </c>
      <c r="BB480" s="135"/>
      <c r="BC480" s="151">
        <f>2950+90+78+48*2+32+29+82+15</f>
        <v>3372</v>
      </c>
      <c r="BD480" s="135"/>
      <c r="BE480" s="151">
        <f>75+260</f>
        <v>335</v>
      </c>
      <c r="BF480" s="151">
        <f t="shared" si="33"/>
        <v>3707</v>
      </c>
      <c r="BG480" s="151">
        <f t="shared" si="32"/>
        <v>203.88499999999999</v>
      </c>
      <c r="BH480" s="151">
        <f t="shared" si="31"/>
        <v>3910.8850000000002</v>
      </c>
      <c r="BI480" s="151">
        <v>3910.89</v>
      </c>
      <c r="BJ480" s="135" t="s">
        <v>115</v>
      </c>
      <c r="BK480" s="135"/>
      <c r="BL480" s="135"/>
      <c r="BM480" s="144" t="s">
        <v>3592</v>
      </c>
      <c r="BN480" s="143">
        <v>2022</v>
      </c>
      <c r="BO480" s="135" t="s">
        <v>155</v>
      </c>
      <c r="BP480" s="144">
        <v>2022</v>
      </c>
      <c r="BQ480" s="203" t="s">
        <v>3274</v>
      </c>
    </row>
    <row r="481" spans="1:69" ht="41.1" customHeight="1">
      <c r="A481" s="218" t="s">
        <v>1353</v>
      </c>
      <c r="B481" s="218" t="s">
        <v>2165</v>
      </c>
      <c r="C481" s="143">
        <v>1000</v>
      </c>
      <c r="D481" s="135">
        <v>44754</v>
      </c>
      <c r="E481" s="135">
        <v>44776</v>
      </c>
      <c r="F481" s="135" t="s">
        <v>76</v>
      </c>
      <c r="G481" s="143" t="s">
        <v>76</v>
      </c>
      <c r="H481" s="135">
        <v>44790</v>
      </c>
      <c r="I481" s="135">
        <v>44790</v>
      </c>
      <c r="J481" s="135">
        <v>44792</v>
      </c>
      <c r="K481" s="135">
        <v>45254</v>
      </c>
      <c r="L481" s="135">
        <v>44834</v>
      </c>
      <c r="M481" s="135" t="s">
        <v>3310</v>
      </c>
      <c r="N481" s="135">
        <v>45268</v>
      </c>
      <c r="O481" s="135">
        <v>45268</v>
      </c>
      <c r="P481" s="135">
        <v>45272</v>
      </c>
      <c r="Q481" s="135"/>
      <c r="R481" s="135"/>
      <c r="S481" s="135"/>
      <c r="T481" s="135"/>
      <c r="U481" s="144">
        <v>4</v>
      </c>
      <c r="V481" s="143">
        <v>34906</v>
      </c>
      <c r="W481" s="143" t="str">
        <f ca="1">IF(H481="",IF(D481="","",IF(U481+V481&lt;15,"Données Nb pers ou RFR manquantes",IF(COUNTA(INDIRECT("TabRFR["&amp;YEAR(D481)&amp;"]"))&lt;&gt;COUNTA(TabRFR[Recherche RFR]),"Data RFR manquantes", IF(V481&lt;=INDEX(TabRFR[[2021]:[2025]],MATCH(BD!U481&amp;"-Très modestes",TabRFR[Recherche RFR],0),MATCH(TEXT(YEAR(BD!D481),"Standard"),TabRFR[[#Headers],[2021]:[2025]],0)),"Très Modeste",IF(V481&lt;=INDEX(TabRFR[[2021]:[2025]],MATCH(BD!U481&amp;"-modestes",TabRFR[Recherche RFR],0),MATCH(TEXT(YEAR(BD!D481),"Standard"),TabRFR[[#Headers],[2021]:[2025]],0)),"Modeste",IF(V481&lt;=INDEX(TabRFR[[2021]:[2025]],MATCH(BD!U481&amp;"-Intermédiaire",TabRFR[Recherche RFR],0),MATCH(TEXT(YEAR(BD!D481),"Standard"),TabRFR[[#Headers],[2021]:[2025]],0)),"Intermédiaire","Supérieur")))))),IF(D481="","",IF(U481+V481&lt;15,"Données Nb pers ou RFR manquantes",IF(COUNTA(INDIRECT("TabRFR["&amp;YEAR(H481)&amp;"]"))&lt;&gt;COUNTA(TabRFR[Recherche RFR]),"Data RFR manquantes", IF(V481&lt;=INDEX(TabRFR[[2021]:[2025]],MATCH(BD!U481&amp;"-Très modestes",TabRFR[Recherche RFR],0),MATCH(TEXT(YEAR(BD!H481),"Standard"),TabRFR[[#Headers],[2021]:[2025]],0)),"Très Modeste",IF(V481&lt;=INDEX(TabRFR[[2021]:[2025]],MATCH(BD!U481&amp;"-modestes",TabRFR[Recherche RFR],0),MATCH(TEXT(YEAR(BD!H481),"Standard"),TabRFR[[#Headers],[2021]:[2025]],0)),"Modeste",IF(V481&lt;=INDEX(TabRFR[[2021]:[2025]],MATCH(BD!U481&amp;"-Intermédiaire",TabRFR[Recherche RFR],0),MATCH(TEXT(YEAR(BD!H481),"Standard"),TabRFR[[#Headers],[2021]:[2025]],0)),"Intermédiaire","Supérieur")))))))</f>
        <v>Modeste</v>
      </c>
      <c r="X481" s="144"/>
      <c r="Y481" s="135" t="s">
        <v>2166</v>
      </c>
      <c r="Z481" s="144">
        <v>38850</v>
      </c>
      <c r="AA481" s="135" t="s">
        <v>148</v>
      </c>
      <c r="AB481" s="148"/>
      <c r="AC481" s="149"/>
      <c r="AD481" s="135" t="s">
        <v>91</v>
      </c>
      <c r="AE481" s="135"/>
      <c r="AF481" s="135"/>
      <c r="AG481" s="135"/>
      <c r="AH481" s="135"/>
      <c r="AI481" s="135" t="s">
        <v>160</v>
      </c>
      <c r="AJ481" s="135" t="s">
        <v>161</v>
      </c>
      <c r="AK481" s="135" t="s">
        <v>1388</v>
      </c>
      <c r="AL481" s="169" t="s">
        <v>228</v>
      </c>
      <c r="AM481" s="148">
        <v>474934316</v>
      </c>
      <c r="AN481" s="135" t="s">
        <v>1418</v>
      </c>
      <c r="AO481" s="135" t="s">
        <v>102</v>
      </c>
      <c r="AP481" s="135">
        <v>45006</v>
      </c>
      <c r="AQ481" s="135" t="s">
        <v>3496</v>
      </c>
      <c r="AR481" s="143">
        <v>1985</v>
      </c>
      <c r="AS481" s="143" t="s">
        <v>3413</v>
      </c>
      <c r="AT481" s="135" t="s">
        <v>3446</v>
      </c>
      <c r="AU481" s="135" t="s">
        <v>164</v>
      </c>
      <c r="AV481" s="135" t="s">
        <v>2167</v>
      </c>
      <c r="AW481" s="143">
        <v>29</v>
      </c>
      <c r="AX481" s="143">
        <v>8</v>
      </c>
      <c r="AY481" s="143">
        <v>77</v>
      </c>
      <c r="AZ481" s="143">
        <v>0.05</v>
      </c>
      <c r="BA481" s="135" t="s">
        <v>101</v>
      </c>
      <c r="BB481" s="135"/>
      <c r="BC481" s="151">
        <f>SUM(1329+1821)</f>
        <v>3150</v>
      </c>
      <c r="BD481" s="135"/>
      <c r="BE481" s="151">
        <v>892</v>
      </c>
      <c r="BF481" s="151">
        <f>SUM(BC481+BE481)</f>
        <v>4042</v>
      </c>
      <c r="BG481" s="151">
        <f>SUM(BF481*0.055)</f>
        <v>222.31</v>
      </c>
      <c r="BH481" s="151">
        <f>SUM(BF481+BG481)</f>
        <v>4264.3100000000004</v>
      </c>
      <c r="BI481" s="151">
        <v>4130</v>
      </c>
      <c r="BJ481" s="135" t="s">
        <v>102</v>
      </c>
      <c r="BK481" s="135"/>
      <c r="BL481" s="135"/>
      <c r="BM481" s="144" t="s">
        <v>3592</v>
      </c>
      <c r="BN481" s="143">
        <v>2022</v>
      </c>
      <c r="BO481" s="135" t="s">
        <v>155</v>
      </c>
      <c r="BP481" s="144">
        <v>2022</v>
      </c>
      <c r="BQ481" s="203" t="s">
        <v>144</v>
      </c>
    </row>
    <row r="482" spans="1:69" ht="41.1" customHeight="1">
      <c r="A482" s="145" t="s">
        <v>1353</v>
      </c>
      <c r="B482" s="145" t="s">
        <v>2168</v>
      </c>
      <c r="C482" s="143">
        <f ca="1">IF(W482="Très modeste",1000,IF(W482="Modeste",1000,IF(W482="Intermédiaire",600,IF(W482="Supérieur",600,"Non calculé"))))</f>
        <v>600</v>
      </c>
      <c r="D482" s="135">
        <v>44760</v>
      </c>
      <c r="E482" s="135">
        <v>44776</v>
      </c>
      <c r="F482" s="135">
        <v>44799</v>
      </c>
      <c r="G482" s="143" t="s">
        <v>3289</v>
      </c>
      <c r="H482" s="135"/>
      <c r="I482" s="135"/>
      <c r="J482" s="135"/>
      <c r="K482" s="135"/>
      <c r="L482" s="135"/>
      <c r="M482" s="135"/>
      <c r="N482" s="135"/>
      <c r="O482" s="135"/>
      <c r="P482" s="135"/>
      <c r="Q482" s="135">
        <v>45253</v>
      </c>
      <c r="R482" s="135" t="s">
        <v>3297</v>
      </c>
      <c r="S482" s="135"/>
      <c r="T482" s="135"/>
      <c r="U482" s="144">
        <v>3</v>
      </c>
      <c r="V482" s="143">
        <v>108177</v>
      </c>
      <c r="W482" s="143" t="str">
        <f ca="1">IF(H482="",IF(D482="","",IF(U482+V482&lt;15,"Données Nb pers ou RFR manquantes",IF(COUNTA(INDIRECT("TabRFR["&amp;YEAR(D482)&amp;"]"))&lt;&gt;COUNTA(TabRFR[Recherche RFR]),"Data RFR manquantes", IF(V482&lt;=INDEX(TabRFR[[2021]:[2025]],MATCH(BD!U482&amp;"-Très modestes",TabRFR[Recherche RFR],0),MATCH(TEXT(YEAR(BD!D482),"Standard"),TabRFR[[#Headers],[2021]:[2025]],0)),"Très Modeste",IF(V482&lt;=INDEX(TabRFR[[2021]:[2025]],MATCH(BD!U482&amp;"-modestes",TabRFR[Recherche RFR],0),MATCH(TEXT(YEAR(BD!D482),"Standard"),TabRFR[[#Headers],[2021]:[2025]],0)),"Modeste",IF(V482&lt;=INDEX(TabRFR[[2021]:[2025]],MATCH(BD!U482&amp;"-Intermédiaire",TabRFR[Recherche RFR],0),MATCH(TEXT(YEAR(BD!D482),"Standard"),TabRFR[[#Headers],[2021]:[2025]],0)),"Intermédiaire","Supérieur")))))),IF(D482="","",IF(U482+V482&lt;15,"Données Nb pers ou RFR manquantes",IF(COUNTA(INDIRECT("TabRFR["&amp;YEAR(H482)&amp;"]"))&lt;&gt;COUNTA(TabRFR[Recherche RFR]),"Data RFR manquantes", IF(V482&lt;=INDEX(TabRFR[[2021]:[2025]],MATCH(BD!U482&amp;"-Très modestes",TabRFR[Recherche RFR],0),MATCH(TEXT(YEAR(BD!H482),"Standard"),TabRFR[[#Headers],[2021]:[2025]],0)),"Très Modeste",IF(V482&lt;=INDEX(TabRFR[[2021]:[2025]],MATCH(BD!U482&amp;"-modestes",TabRFR[Recherche RFR],0),MATCH(TEXT(YEAR(BD!H482),"Standard"),TabRFR[[#Headers],[2021]:[2025]],0)),"Modeste",IF(V482&lt;=INDEX(TabRFR[[2021]:[2025]],MATCH(BD!U482&amp;"-Intermédiaire",TabRFR[Recherche RFR],0),MATCH(TEXT(YEAR(BD!H482),"Standard"),TabRFR[[#Headers],[2021]:[2025]],0)),"Intermédiaire","Supérieur")))))))</f>
        <v>Supérieur</v>
      </c>
      <c r="X482" s="144"/>
      <c r="Y482" s="135" t="s">
        <v>2169</v>
      </c>
      <c r="Z482" s="144">
        <v>38500</v>
      </c>
      <c r="AA482" s="135" t="s">
        <v>108</v>
      </c>
      <c r="AB482" s="148"/>
      <c r="AC482" s="149"/>
      <c r="AD482" s="135" t="s">
        <v>91</v>
      </c>
      <c r="AE482" s="135"/>
      <c r="AF482" s="135"/>
      <c r="AG482" s="135"/>
      <c r="AH482" s="135"/>
      <c r="AI482" s="143" t="s">
        <v>109</v>
      </c>
      <c r="AJ482" s="135" t="s">
        <v>108</v>
      </c>
      <c r="AK482" s="135" t="s">
        <v>110</v>
      </c>
      <c r="AL482" s="170" t="s">
        <v>1701</v>
      </c>
      <c r="AM482" s="148" t="s">
        <v>112</v>
      </c>
      <c r="AN482" s="135"/>
      <c r="AO482" s="135" t="s">
        <v>102</v>
      </c>
      <c r="AP482" s="135">
        <v>44868</v>
      </c>
      <c r="AQ482" s="135" t="s">
        <v>3449</v>
      </c>
      <c r="AR482" s="143">
        <v>2001</v>
      </c>
      <c r="AS482" s="135"/>
      <c r="AT482" s="135"/>
      <c r="AU482" s="135"/>
      <c r="AV482" s="135"/>
      <c r="AW482" s="143"/>
      <c r="AX482" s="143"/>
      <c r="AY482" s="143"/>
      <c r="AZ482" s="135"/>
      <c r="BA482" s="135"/>
      <c r="BB482" s="135"/>
      <c r="BC482" s="151"/>
      <c r="BD482" s="135"/>
      <c r="BE482" s="151"/>
      <c r="BF482" s="151"/>
      <c r="BG482" s="151"/>
      <c r="BH482" s="151"/>
      <c r="BI482" s="135"/>
      <c r="BJ482" s="135" t="s">
        <v>102</v>
      </c>
      <c r="BK482" s="135"/>
      <c r="BL482" s="135"/>
      <c r="BM482" s="144">
        <v>0</v>
      </c>
      <c r="BN482" s="153" t="s">
        <v>1496</v>
      </c>
      <c r="BO482" s="144" t="s">
        <v>143</v>
      </c>
      <c r="BP482" s="203" t="s">
        <v>3582</v>
      </c>
      <c r="BQ482" s="203" t="s">
        <v>3273</v>
      </c>
    </row>
    <row r="483" spans="1:69" ht="41.1" customHeight="1">
      <c r="A483" s="218" t="s">
        <v>1353</v>
      </c>
      <c r="B483" s="218" t="s">
        <v>2170</v>
      </c>
      <c r="C483" s="143">
        <v>1000</v>
      </c>
      <c r="D483" s="135">
        <v>44763</v>
      </c>
      <c r="E483" s="135">
        <v>44776</v>
      </c>
      <c r="F483" s="135">
        <v>44790</v>
      </c>
      <c r="G483" s="143" t="s">
        <v>1707</v>
      </c>
      <c r="H483" s="135">
        <v>44798</v>
      </c>
      <c r="I483" s="135">
        <v>44798</v>
      </c>
      <c r="J483" s="135">
        <v>44823</v>
      </c>
      <c r="K483" s="135">
        <v>44865</v>
      </c>
      <c r="L483" s="135">
        <v>44837</v>
      </c>
      <c r="M483" s="135" t="s">
        <v>76</v>
      </c>
      <c r="N483" s="135">
        <v>44874</v>
      </c>
      <c r="O483" s="135">
        <v>44874</v>
      </c>
      <c r="P483" s="135">
        <v>44879</v>
      </c>
      <c r="Q483" s="135"/>
      <c r="R483" s="135"/>
      <c r="S483" s="135"/>
      <c r="T483" s="135"/>
      <c r="U483" s="144">
        <v>5</v>
      </c>
      <c r="V483" s="143">
        <v>45718</v>
      </c>
      <c r="W483" s="143" t="str">
        <f ca="1">IF(H483="",IF(D483="","",IF(U483+V483&lt;15,"Données Nb pers ou RFR manquantes",IF(COUNTA(INDIRECT("TabRFR["&amp;YEAR(D483)&amp;"]"))&lt;&gt;COUNTA(TabRFR[Recherche RFR]),"Data RFR manquantes", IF(V483&lt;=INDEX(TabRFR[[2021]:[2025]],MATCH(BD!U483&amp;"-Très modestes",TabRFR[Recherche RFR],0),MATCH(TEXT(YEAR(BD!D483),"Standard"),TabRFR[[#Headers],[2021]:[2025]],0)),"Très Modeste",IF(V483&lt;=INDEX(TabRFR[[2021]:[2025]],MATCH(BD!U483&amp;"-modestes",TabRFR[Recherche RFR],0),MATCH(TEXT(YEAR(BD!D483),"Standard"),TabRFR[[#Headers],[2021]:[2025]],0)),"Modeste",IF(V483&lt;=INDEX(TabRFR[[2021]:[2025]],MATCH(BD!U483&amp;"-Intermédiaire",TabRFR[Recherche RFR],0),MATCH(TEXT(YEAR(BD!D483),"Standard"),TabRFR[[#Headers],[2021]:[2025]],0)),"Intermédiaire","Supérieur")))))),IF(D483="","",IF(U483+V483&lt;15,"Données Nb pers ou RFR manquantes",IF(COUNTA(INDIRECT("TabRFR["&amp;YEAR(H483)&amp;"]"))&lt;&gt;COUNTA(TabRFR[Recherche RFR]),"Data RFR manquantes", IF(V483&lt;=INDEX(TabRFR[[2021]:[2025]],MATCH(BD!U483&amp;"-Très modestes",TabRFR[Recherche RFR],0),MATCH(TEXT(YEAR(BD!H483),"Standard"),TabRFR[[#Headers],[2021]:[2025]],0)),"Très Modeste",IF(V483&lt;=INDEX(TabRFR[[2021]:[2025]],MATCH(BD!U483&amp;"-modestes",TabRFR[Recherche RFR],0),MATCH(TEXT(YEAR(BD!H483),"Standard"),TabRFR[[#Headers],[2021]:[2025]],0)),"Modeste",IF(V483&lt;=INDEX(TabRFR[[2021]:[2025]],MATCH(BD!U483&amp;"-Intermédiaire",TabRFR[Recherche RFR],0),MATCH(TEXT(YEAR(BD!H483),"Standard"),TabRFR[[#Headers],[2021]:[2025]],0)),"Intermédiaire","Supérieur")))))))</f>
        <v>Modeste</v>
      </c>
      <c r="X483" s="144"/>
      <c r="Y483" s="135" t="s">
        <v>2171</v>
      </c>
      <c r="Z483" s="144">
        <v>38850</v>
      </c>
      <c r="AA483" s="135" t="s">
        <v>193</v>
      </c>
      <c r="AB483" s="148"/>
      <c r="AC483" s="149"/>
      <c r="AD483" s="135" t="s">
        <v>91</v>
      </c>
      <c r="AE483" s="135"/>
      <c r="AF483" s="135"/>
      <c r="AG483" s="135"/>
      <c r="AH483" s="135"/>
      <c r="AI483" s="135" t="s">
        <v>1764</v>
      </c>
      <c r="AJ483" s="135" t="s">
        <v>299</v>
      </c>
      <c r="AK483" s="135" t="s">
        <v>2172</v>
      </c>
      <c r="AL483" s="170" t="s">
        <v>301</v>
      </c>
      <c r="AM483" s="148" t="s">
        <v>1485</v>
      </c>
      <c r="AN483" s="135"/>
      <c r="AO483" s="135" t="s">
        <v>102</v>
      </c>
      <c r="AP483" s="135">
        <v>45163</v>
      </c>
      <c r="AQ483" s="135" t="s">
        <v>3449</v>
      </c>
      <c r="AR483" s="143">
        <v>1983</v>
      </c>
      <c r="AS483" s="143" t="s">
        <v>3413</v>
      </c>
      <c r="AT483" s="143" t="s">
        <v>98</v>
      </c>
      <c r="AU483" s="135" t="s">
        <v>113</v>
      </c>
      <c r="AV483" s="135" t="s">
        <v>2173</v>
      </c>
      <c r="AW483" s="143">
        <v>20</v>
      </c>
      <c r="AX483" s="143">
        <v>8.8000000000000007</v>
      </c>
      <c r="AY483" s="143">
        <v>90.9</v>
      </c>
      <c r="AZ483" s="143">
        <v>6.0000000000000001E-3</v>
      </c>
      <c r="BA483" s="135" t="s">
        <v>101</v>
      </c>
      <c r="BB483" s="135"/>
      <c r="BC483" s="151">
        <f>SUM(76+92+462+99+95+175+285+280+260+4451.78+1.67)</f>
        <v>6277.45</v>
      </c>
      <c r="BD483" s="135"/>
      <c r="BE483" s="151">
        <f>SUM(870+55)</f>
        <v>925</v>
      </c>
      <c r="BF483" s="151">
        <f t="shared" ref="BF483:BF503" si="34">SUM(BC483+BE483)</f>
        <v>7202.45</v>
      </c>
      <c r="BG483" s="151">
        <f t="shared" ref="BG483:BG505" si="35">SUM(BF483*0.055)</f>
        <v>396.13475</v>
      </c>
      <c r="BH483" s="151">
        <f t="shared" ref="BH483:BH505" si="36">SUM(BF483+BG483)</f>
        <v>7598.58475</v>
      </c>
      <c r="BI483" s="151">
        <f>5321.58+2277</f>
        <v>7598.58</v>
      </c>
      <c r="BJ483" s="135" t="s">
        <v>102</v>
      </c>
      <c r="BK483" s="135"/>
      <c r="BL483" s="135"/>
      <c r="BM483" s="144" t="s">
        <v>3592</v>
      </c>
      <c r="BN483" s="143">
        <v>2022</v>
      </c>
      <c r="BO483" s="135" t="s">
        <v>155</v>
      </c>
      <c r="BP483" s="143" t="s">
        <v>3583</v>
      </c>
      <c r="BQ483" s="203" t="s">
        <v>144</v>
      </c>
    </row>
    <row r="484" spans="1:69" ht="41.1" customHeight="1">
      <c r="A484" s="219" t="s">
        <v>1353</v>
      </c>
      <c r="B484" s="219" t="s">
        <v>2174</v>
      </c>
      <c r="C484" s="143">
        <v>1000</v>
      </c>
      <c r="D484" s="135">
        <v>44764</v>
      </c>
      <c r="E484" s="135">
        <v>44776</v>
      </c>
      <c r="F484" s="135" t="s">
        <v>76</v>
      </c>
      <c r="G484" s="143" t="s">
        <v>76</v>
      </c>
      <c r="H484" s="135">
        <v>44790</v>
      </c>
      <c r="I484" s="135">
        <v>44790</v>
      </c>
      <c r="J484" s="135">
        <v>44792</v>
      </c>
      <c r="K484" s="135"/>
      <c r="L484" s="135"/>
      <c r="M484" s="135" t="s">
        <v>3396</v>
      </c>
      <c r="N484" s="135"/>
      <c r="O484" s="135"/>
      <c r="P484" s="135"/>
      <c r="Q484" s="135"/>
      <c r="R484" s="135"/>
      <c r="S484" s="135"/>
      <c r="T484" s="135"/>
      <c r="U484" s="144">
        <v>2</v>
      </c>
      <c r="V484" s="143">
        <v>26355</v>
      </c>
      <c r="W484" s="143" t="str">
        <f ca="1">IF(H484="",IF(D484="","",IF(U484+V484&lt;15,"Données Nb pers ou RFR manquantes",IF(COUNTA(INDIRECT("TabRFR["&amp;YEAR(D484)&amp;"]"))&lt;&gt;COUNTA(TabRFR[Recherche RFR]),"Data RFR manquantes", IF(V484&lt;=INDEX(TabRFR[[2021]:[2025]],MATCH(BD!U484&amp;"-Très modestes",TabRFR[Recherche RFR],0),MATCH(TEXT(YEAR(BD!D484),"Standard"),TabRFR[[#Headers],[2021]:[2025]],0)),"Très Modeste",IF(V484&lt;=INDEX(TabRFR[[2021]:[2025]],MATCH(BD!U484&amp;"-modestes",TabRFR[Recherche RFR],0),MATCH(TEXT(YEAR(BD!D484),"Standard"),TabRFR[[#Headers],[2021]:[2025]],0)),"Modeste",IF(V484&lt;=INDEX(TabRFR[[2021]:[2025]],MATCH(BD!U484&amp;"-Intermédiaire",TabRFR[Recherche RFR],0),MATCH(TEXT(YEAR(BD!D484),"Standard"),TabRFR[[#Headers],[2021]:[2025]],0)),"Intermédiaire","Supérieur")))))),IF(D484="","",IF(U484+V484&lt;15,"Données Nb pers ou RFR manquantes",IF(COUNTA(INDIRECT("TabRFR["&amp;YEAR(H484)&amp;"]"))&lt;&gt;COUNTA(TabRFR[Recherche RFR]),"Data RFR manquantes", IF(V484&lt;=INDEX(TabRFR[[2021]:[2025]],MATCH(BD!U484&amp;"-Très modestes",TabRFR[Recherche RFR],0),MATCH(TEXT(YEAR(BD!H484),"Standard"),TabRFR[[#Headers],[2021]:[2025]],0)),"Très Modeste",IF(V484&lt;=INDEX(TabRFR[[2021]:[2025]],MATCH(BD!U484&amp;"-modestes",TabRFR[Recherche RFR],0),MATCH(TEXT(YEAR(BD!H484),"Standard"),TabRFR[[#Headers],[2021]:[2025]],0)),"Modeste",IF(V484&lt;=INDEX(TabRFR[[2021]:[2025]],MATCH(BD!U484&amp;"-Intermédiaire",TabRFR[Recherche RFR],0),MATCH(TEXT(YEAR(BD!H484),"Standard"),TabRFR[[#Headers],[2021]:[2025]],0)),"Intermédiaire","Supérieur")))))))</f>
        <v>Modeste</v>
      </c>
      <c r="X484" s="144"/>
      <c r="Y484" s="135" t="s">
        <v>2175</v>
      </c>
      <c r="Z484" s="144">
        <v>38850</v>
      </c>
      <c r="AA484" s="135" t="s">
        <v>435</v>
      </c>
      <c r="AB484" s="148"/>
      <c r="AC484" s="149"/>
      <c r="AD484" s="135" t="s">
        <v>91</v>
      </c>
      <c r="AE484" s="135"/>
      <c r="AF484" s="135"/>
      <c r="AG484" s="135"/>
      <c r="AH484" s="135"/>
      <c r="AI484" s="135" t="s">
        <v>1436</v>
      </c>
      <c r="AJ484" s="135" t="s">
        <v>1437</v>
      </c>
      <c r="AK484" s="135" t="s">
        <v>2176</v>
      </c>
      <c r="AL484" s="170" t="s">
        <v>2177</v>
      </c>
      <c r="AM484" s="148" t="s">
        <v>2178</v>
      </c>
      <c r="AN484" s="135"/>
      <c r="AO484" s="135" t="s">
        <v>102</v>
      </c>
      <c r="AP484" s="135">
        <v>45052</v>
      </c>
      <c r="AQ484" s="135" t="s">
        <v>3496</v>
      </c>
      <c r="AR484" s="143">
        <v>2000</v>
      </c>
      <c r="AS484" s="135" t="s">
        <v>3496</v>
      </c>
      <c r="AT484" s="135" t="s">
        <v>3446</v>
      </c>
      <c r="AU484" s="135" t="s">
        <v>2179</v>
      </c>
      <c r="AV484" s="135" t="s">
        <v>2180</v>
      </c>
      <c r="AW484" s="143">
        <v>24</v>
      </c>
      <c r="AX484" s="143">
        <v>10</v>
      </c>
      <c r="AY484" s="143">
        <v>77</v>
      </c>
      <c r="AZ484" s="143">
        <v>9.9000000000000005E-2</v>
      </c>
      <c r="BA484" s="135" t="s">
        <v>1401</v>
      </c>
      <c r="BB484" s="135"/>
      <c r="BC484" s="151">
        <f>SUM(2205+55+238+704+224+320+326+75+46+328.2+320)</f>
        <v>4841.2</v>
      </c>
      <c r="BD484" s="135"/>
      <c r="BE484" s="151">
        <v>800</v>
      </c>
      <c r="BF484" s="151">
        <f t="shared" si="34"/>
        <v>5641.2</v>
      </c>
      <c r="BG484" s="151">
        <f t="shared" si="35"/>
        <v>310.26600000000002</v>
      </c>
      <c r="BH484" s="151">
        <f t="shared" si="36"/>
        <v>5951.4659999999994</v>
      </c>
      <c r="BI484" s="135"/>
      <c r="BJ484" s="135" t="s">
        <v>102</v>
      </c>
      <c r="BK484" s="135"/>
      <c r="BL484" s="135"/>
      <c r="BM484" s="144" t="s">
        <v>3592</v>
      </c>
      <c r="BN484" s="143">
        <v>2022</v>
      </c>
      <c r="BO484" s="135" t="s">
        <v>155</v>
      </c>
      <c r="BP484" s="144">
        <v>2022</v>
      </c>
      <c r="BQ484" s="203"/>
    </row>
    <row r="485" spans="1:69" ht="41.1" customHeight="1">
      <c r="A485" s="218" t="s">
        <v>1353</v>
      </c>
      <c r="B485" s="218" t="s">
        <v>2181</v>
      </c>
      <c r="C485" s="143">
        <v>600</v>
      </c>
      <c r="D485" s="135">
        <v>44764</v>
      </c>
      <c r="E485" s="135">
        <v>44776</v>
      </c>
      <c r="F485" s="135">
        <v>44790</v>
      </c>
      <c r="G485" s="143" t="s">
        <v>2182</v>
      </c>
      <c r="H485" s="135">
        <v>44798</v>
      </c>
      <c r="I485" s="135">
        <v>44798</v>
      </c>
      <c r="J485" s="135">
        <v>44823</v>
      </c>
      <c r="K485" s="135">
        <v>44865</v>
      </c>
      <c r="L485" s="135">
        <v>44860</v>
      </c>
      <c r="M485" s="135" t="s">
        <v>76</v>
      </c>
      <c r="N485" s="135">
        <v>44874</v>
      </c>
      <c r="O485" s="135">
        <v>44874</v>
      </c>
      <c r="P485" s="135">
        <v>44879</v>
      </c>
      <c r="Q485" s="135"/>
      <c r="R485" s="135"/>
      <c r="S485" s="135"/>
      <c r="T485" s="135"/>
      <c r="U485" s="144">
        <v>2</v>
      </c>
      <c r="V485" s="143">
        <v>102076</v>
      </c>
      <c r="W485" s="143" t="str">
        <f ca="1">IF(H485="",IF(D485="","",IF(U485+V485&lt;15,"Données Nb pers ou RFR manquantes",IF(COUNTA(INDIRECT("TabRFR["&amp;YEAR(D485)&amp;"]"))&lt;&gt;COUNTA(TabRFR[Recherche RFR]),"Data RFR manquantes", IF(V485&lt;=INDEX(TabRFR[[2021]:[2025]],MATCH(BD!U485&amp;"-Très modestes",TabRFR[Recherche RFR],0),MATCH(TEXT(YEAR(BD!D485),"Standard"),TabRFR[[#Headers],[2021]:[2025]],0)),"Très Modeste",IF(V485&lt;=INDEX(TabRFR[[2021]:[2025]],MATCH(BD!U485&amp;"-modestes",TabRFR[Recherche RFR],0),MATCH(TEXT(YEAR(BD!D485),"Standard"),TabRFR[[#Headers],[2021]:[2025]],0)),"Modeste",IF(V485&lt;=INDEX(TabRFR[[2021]:[2025]],MATCH(BD!U485&amp;"-Intermédiaire",TabRFR[Recherche RFR],0),MATCH(TEXT(YEAR(BD!D485),"Standard"),TabRFR[[#Headers],[2021]:[2025]],0)),"Intermédiaire","Supérieur")))))),IF(D485="","",IF(U485+V485&lt;15,"Données Nb pers ou RFR manquantes",IF(COUNTA(INDIRECT("TabRFR["&amp;YEAR(H485)&amp;"]"))&lt;&gt;COUNTA(TabRFR[Recherche RFR]),"Data RFR manquantes", IF(V485&lt;=INDEX(TabRFR[[2021]:[2025]],MATCH(BD!U485&amp;"-Très modestes",TabRFR[Recherche RFR],0),MATCH(TEXT(YEAR(BD!H485),"Standard"),TabRFR[[#Headers],[2021]:[2025]],0)),"Très Modeste",IF(V485&lt;=INDEX(TabRFR[[2021]:[2025]],MATCH(BD!U485&amp;"-modestes",TabRFR[Recherche RFR],0),MATCH(TEXT(YEAR(BD!H485),"Standard"),TabRFR[[#Headers],[2021]:[2025]],0)),"Modeste",IF(V485&lt;=INDEX(TabRFR[[2021]:[2025]],MATCH(BD!U485&amp;"-Intermédiaire",TabRFR[Recherche RFR],0),MATCH(TEXT(YEAR(BD!H485),"Standard"),TabRFR[[#Headers],[2021]:[2025]],0)),"Intermédiaire","Supérieur")))))))</f>
        <v>Supérieur</v>
      </c>
      <c r="X485" s="144"/>
      <c r="Y485" s="135" t="s">
        <v>133</v>
      </c>
      <c r="Z485" s="144">
        <v>38500</v>
      </c>
      <c r="AA485" s="135" t="s">
        <v>134</v>
      </c>
      <c r="AB485" s="148"/>
      <c r="AC485" s="149"/>
      <c r="AD485" s="135" t="s">
        <v>91</v>
      </c>
      <c r="AE485" s="135"/>
      <c r="AF485" s="135"/>
      <c r="AG485" s="135"/>
      <c r="AH485" s="135"/>
      <c r="AI485" s="135" t="s">
        <v>285</v>
      </c>
      <c r="AJ485" s="135" t="s">
        <v>108</v>
      </c>
      <c r="AK485" s="135" t="s">
        <v>2183</v>
      </c>
      <c r="AL485" s="170" t="s">
        <v>287</v>
      </c>
      <c r="AM485" s="148" t="s">
        <v>2184</v>
      </c>
      <c r="AN485" s="135"/>
      <c r="AO485" s="135" t="s">
        <v>102</v>
      </c>
      <c r="AP485" s="135">
        <v>44822</v>
      </c>
      <c r="AQ485" s="135" t="s">
        <v>3449</v>
      </c>
      <c r="AR485" s="143">
        <v>1991</v>
      </c>
      <c r="AS485" s="143" t="s">
        <v>3413</v>
      </c>
      <c r="AT485" s="143" t="s">
        <v>98</v>
      </c>
      <c r="AU485" s="135" t="s">
        <v>2052</v>
      </c>
      <c r="AV485" s="135" t="s">
        <v>2185</v>
      </c>
      <c r="AW485" s="143">
        <v>15</v>
      </c>
      <c r="AX485" s="143">
        <v>8</v>
      </c>
      <c r="AY485" s="143">
        <v>90</v>
      </c>
      <c r="AZ485" s="143">
        <v>1.92E-3</v>
      </c>
      <c r="BA485" s="135" t="s">
        <v>101</v>
      </c>
      <c r="BB485" s="135"/>
      <c r="BC485" s="151">
        <f>SUM(990+275+89+319+5658)</f>
        <v>7331</v>
      </c>
      <c r="BD485" s="135"/>
      <c r="BE485" s="151">
        <f>SUM(690+490+420)</f>
        <v>1600</v>
      </c>
      <c r="BF485" s="151">
        <f t="shared" si="34"/>
        <v>8931</v>
      </c>
      <c r="BG485" s="151">
        <f t="shared" si="35"/>
        <v>491.20499999999998</v>
      </c>
      <c r="BH485" s="151">
        <f t="shared" si="36"/>
        <v>9422.2049999999999</v>
      </c>
      <c r="BI485" s="151">
        <v>9422.2199999999993</v>
      </c>
      <c r="BJ485" s="135" t="s">
        <v>102</v>
      </c>
      <c r="BK485" s="135"/>
      <c r="BL485" s="135"/>
      <c r="BM485" s="144" t="s">
        <v>3592</v>
      </c>
      <c r="BN485" s="143">
        <v>2022</v>
      </c>
      <c r="BO485" s="144" t="s">
        <v>143</v>
      </c>
      <c r="BP485" s="143" t="s">
        <v>3583</v>
      </c>
      <c r="BQ485" s="203" t="s">
        <v>144</v>
      </c>
    </row>
    <row r="486" spans="1:69" ht="41.1" customHeight="1">
      <c r="A486" s="218" t="s">
        <v>1353</v>
      </c>
      <c r="B486" s="218" t="s">
        <v>2186</v>
      </c>
      <c r="C486" s="143">
        <v>600</v>
      </c>
      <c r="D486" s="135">
        <v>44768</v>
      </c>
      <c r="E486" s="135">
        <v>44776</v>
      </c>
      <c r="F486" s="135">
        <v>44790</v>
      </c>
      <c r="G486" s="143" t="s">
        <v>2187</v>
      </c>
      <c r="H486" s="135">
        <v>44809</v>
      </c>
      <c r="I486" s="135">
        <v>44809</v>
      </c>
      <c r="J486" s="135">
        <v>44830</v>
      </c>
      <c r="K486" s="135">
        <v>44884</v>
      </c>
      <c r="L486" s="135">
        <v>44852</v>
      </c>
      <c r="M486" s="135" t="s">
        <v>2088</v>
      </c>
      <c r="N486" s="135">
        <v>44897</v>
      </c>
      <c r="O486" s="135">
        <v>44897</v>
      </c>
      <c r="P486" s="135">
        <v>44900</v>
      </c>
      <c r="Q486" s="135"/>
      <c r="R486" s="135"/>
      <c r="S486" s="135"/>
      <c r="T486" s="135"/>
      <c r="U486" s="144">
        <v>1</v>
      </c>
      <c r="V486" s="143">
        <v>23475</v>
      </c>
      <c r="W486" s="143" t="str">
        <f ca="1">IF(H486="",IF(D486="","",IF(U486+V486&lt;15,"Données Nb pers ou RFR manquantes",IF(COUNTA(INDIRECT("TabRFR["&amp;YEAR(D486)&amp;"]"))&lt;&gt;COUNTA(TabRFR[Recherche RFR]),"Data RFR manquantes", IF(V486&lt;=INDEX(TabRFR[[2021]:[2025]],MATCH(BD!U486&amp;"-Très modestes",TabRFR[Recherche RFR],0),MATCH(TEXT(YEAR(BD!D486),"Standard"),TabRFR[[#Headers],[2021]:[2025]],0)),"Très Modeste",IF(V486&lt;=INDEX(TabRFR[[2021]:[2025]],MATCH(BD!U486&amp;"-modestes",TabRFR[Recherche RFR],0),MATCH(TEXT(YEAR(BD!D486),"Standard"),TabRFR[[#Headers],[2021]:[2025]],0)),"Modeste",IF(V486&lt;=INDEX(TabRFR[[2021]:[2025]],MATCH(BD!U486&amp;"-Intermédiaire",TabRFR[Recherche RFR],0),MATCH(TEXT(YEAR(BD!D486),"Standard"),TabRFR[[#Headers],[2021]:[2025]],0)),"Intermédiaire","Supérieur")))))),IF(D486="","",IF(U486+V486&lt;15,"Données Nb pers ou RFR manquantes",IF(COUNTA(INDIRECT("TabRFR["&amp;YEAR(H486)&amp;"]"))&lt;&gt;COUNTA(TabRFR[Recherche RFR]),"Data RFR manquantes", IF(V486&lt;=INDEX(TabRFR[[2021]:[2025]],MATCH(BD!U486&amp;"-Très modestes",TabRFR[Recherche RFR],0),MATCH(TEXT(YEAR(BD!H486),"Standard"),TabRFR[[#Headers],[2021]:[2025]],0)),"Très Modeste",IF(V486&lt;=INDEX(TabRFR[[2021]:[2025]],MATCH(BD!U486&amp;"-modestes",TabRFR[Recherche RFR],0),MATCH(TEXT(YEAR(BD!H486),"Standard"),TabRFR[[#Headers],[2021]:[2025]],0)),"Modeste",IF(V486&lt;=INDEX(TabRFR[[2021]:[2025]],MATCH(BD!U486&amp;"-Intermédiaire",TabRFR[Recherche RFR],0),MATCH(TEXT(YEAR(BD!H486),"Standard"),TabRFR[[#Headers],[2021]:[2025]],0)),"Intermédiaire","Supérieur")))))))</f>
        <v>Intermédiaire</v>
      </c>
      <c r="X486" s="144"/>
      <c r="Y486" s="135" t="s">
        <v>2188</v>
      </c>
      <c r="Z486" s="144">
        <v>38620</v>
      </c>
      <c r="AA486" s="135" t="s">
        <v>90</v>
      </c>
      <c r="AB486" s="148"/>
      <c r="AC486" s="149"/>
      <c r="AD486" s="135" t="s">
        <v>91</v>
      </c>
      <c r="AE486" s="135"/>
      <c r="AF486" s="135"/>
      <c r="AG486" s="135"/>
      <c r="AH486" s="135"/>
      <c r="AI486" s="135" t="s">
        <v>2748</v>
      </c>
      <c r="AJ486" s="135" t="s">
        <v>108</v>
      </c>
      <c r="AK486" s="135" t="s">
        <v>2749</v>
      </c>
      <c r="AL486" s="170" t="s">
        <v>275</v>
      </c>
      <c r="AM486" s="148" t="s">
        <v>1398</v>
      </c>
      <c r="AN486" s="135"/>
      <c r="AO486" s="135" t="s">
        <v>102</v>
      </c>
      <c r="AP486" s="135">
        <v>45154</v>
      </c>
      <c r="AQ486" s="135" t="s">
        <v>3449</v>
      </c>
      <c r="AR486" s="143">
        <v>1984</v>
      </c>
      <c r="AS486" s="143" t="s">
        <v>3413</v>
      </c>
      <c r="AT486" s="135" t="s">
        <v>3446</v>
      </c>
      <c r="AU486" s="135" t="s">
        <v>276</v>
      </c>
      <c r="AV486" s="135" t="s">
        <v>2189</v>
      </c>
      <c r="AW486" s="143">
        <v>25</v>
      </c>
      <c r="AX486" s="143">
        <v>8</v>
      </c>
      <c r="AY486" s="143">
        <v>83.2</v>
      </c>
      <c r="AZ486" s="143">
        <v>793</v>
      </c>
      <c r="BA486" s="135" t="s">
        <v>126</v>
      </c>
      <c r="BB486" s="135"/>
      <c r="BC486" s="151">
        <f>SUM(3150+1061.45+708)</f>
        <v>4919.45</v>
      </c>
      <c r="BD486" s="135"/>
      <c r="BE486" s="151">
        <f>SUM(944+703)</f>
        <v>1647</v>
      </c>
      <c r="BF486" s="151">
        <f t="shared" si="34"/>
        <v>6566.45</v>
      </c>
      <c r="BG486" s="151">
        <f t="shared" si="35"/>
        <v>361.15474999999998</v>
      </c>
      <c r="BH486" s="151">
        <f t="shared" si="36"/>
        <v>6927.6047499999995</v>
      </c>
      <c r="BI486" s="143">
        <v>7237.61</v>
      </c>
      <c r="BJ486" s="135" t="s">
        <v>102</v>
      </c>
      <c r="BK486" s="135"/>
      <c r="BL486" s="135"/>
      <c r="BM486" s="144" t="s">
        <v>3592</v>
      </c>
      <c r="BN486" s="143">
        <v>2022</v>
      </c>
      <c r="BO486" s="144" t="s">
        <v>143</v>
      </c>
      <c r="BP486" s="144">
        <v>2022</v>
      </c>
      <c r="BQ486" s="203" t="s">
        <v>144</v>
      </c>
    </row>
    <row r="487" spans="1:69" ht="41.1" customHeight="1">
      <c r="A487" s="218" t="s">
        <v>1353</v>
      </c>
      <c r="B487" s="218" t="s">
        <v>2190</v>
      </c>
      <c r="C487" s="143">
        <v>600</v>
      </c>
      <c r="D487" s="135">
        <v>44768</v>
      </c>
      <c r="E487" s="135">
        <v>44776</v>
      </c>
      <c r="F487" s="135"/>
      <c r="G487" s="143"/>
      <c r="H487" s="135">
        <v>44790</v>
      </c>
      <c r="I487" s="135">
        <v>44790</v>
      </c>
      <c r="J487" s="135">
        <v>44792</v>
      </c>
      <c r="K487" s="135">
        <v>44861</v>
      </c>
      <c r="L487" s="135">
        <v>44855</v>
      </c>
      <c r="M487" s="135" t="s">
        <v>76</v>
      </c>
      <c r="N487" s="135">
        <v>44874</v>
      </c>
      <c r="O487" s="135">
        <v>44874</v>
      </c>
      <c r="P487" s="135">
        <v>44879</v>
      </c>
      <c r="Q487" s="135"/>
      <c r="R487" s="135"/>
      <c r="S487" s="135"/>
      <c r="T487" s="135"/>
      <c r="U487" s="144">
        <v>4</v>
      </c>
      <c r="V487" s="143">
        <v>53299</v>
      </c>
      <c r="W487" s="143" t="str">
        <f ca="1">IF(H487="",IF(D487="","",IF(U487+V487&lt;15,"Données Nb pers ou RFR manquantes",IF(COUNTA(INDIRECT("TabRFR["&amp;YEAR(D487)&amp;"]"))&lt;&gt;COUNTA(TabRFR[Recherche RFR]),"Data RFR manquantes", IF(V487&lt;=INDEX(TabRFR[[2021]:[2025]],MATCH(BD!U487&amp;"-Très modestes",TabRFR[Recherche RFR],0),MATCH(TEXT(YEAR(BD!D487),"Standard"),TabRFR[[#Headers],[2021]:[2025]],0)),"Très Modeste",IF(V487&lt;=INDEX(TabRFR[[2021]:[2025]],MATCH(BD!U487&amp;"-modestes",TabRFR[Recherche RFR],0),MATCH(TEXT(YEAR(BD!D487),"Standard"),TabRFR[[#Headers],[2021]:[2025]],0)),"Modeste",IF(V487&lt;=INDEX(TabRFR[[2021]:[2025]],MATCH(BD!U487&amp;"-Intermédiaire",TabRFR[Recherche RFR],0),MATCH(TEXT(YEAR(BD!D487),"Standard"),TabRFR[[#Headers],[2021]:[2025]],0)),"Intermédiaire","Supérieur")))))),IF(D487="","",IF(U487+V487&lt;15,"Données Nb pers ou RFR manquantes",IF(COUNTA(INDIRECT("TabRFR["&amp;YEAR(H487)&amp;"]"))&lt;&gt;COUNTA(TabRFR[Recherche RFR]),"Data RFR manquantes", IF(V487&lt;=INDEX(TabRFR[[2021]:[2025]],MATCH(BD!U487&amp;"-Très modestes",TabRFR[Recherche RFR],0),MATCH(TEXT(YEAR(BD!H487),"Standard"),TabRFR[[#Headers],[2021]:[2025]],0)),"Très Modeste",IF(V487&lt;=INDEX(TabRFR[[2021]:[2025]],MATCH(BD!U487&amp;"-modestes",TabRFR[Recherche RFR],0),MATCH(TEXT(YEAR(BD!H487),"Standard"),TabRFR[[#Headers],[2021]:[2025]],0)),"Modeste",IF(V487&lt;=INDEX(TabRFR[[2021]:[2025]],MATCH(BD!U487&amp;"-Intermédiaire",TabRFR[Recherche RFR],0),MATCH(TEXT(YEAR(BD!H487),"Standard"),TabRFR[[#Headers],[2021]:[2025]],0)),"Intermédiaire","Supérieur")))))))</f>
        <v>Intermédiaire</v>
      </c>
      <c r="X487" s="144"/>
      <c r="Y487" s="135" t="s">
        <v>2191</v>
      </c>
      <c r="Z487" s="144">
        <v>38140</v>
      </c>
      <c r="AA487" s="135" t="s">
        <v>219</v>
      </c>
      <c r="AB487" s="148"/>
      <c r="AC487" s="149"/>
      <c r="AD487" s="135" t="s">
        <v>91</v>
      </c>
      <c r="AE487" s="135"/>
      <c r="AF487" s="135"/>
      <c r="AG487" s="135"/>
      <c r="AH487" s="135"/>
      <c r="AI487" s="135" t="s">
        <v>169</v>
      </c>
      <c r="AJ487" s="135" t="s">
        <v>119</v>
      </c>
      <c r="AK487" s="135" t="s">
        <v>2192</v>
      </c>
      <c r="AL487" s="170" t="s">
        <v>171</v>
      </c>
      <c r="AM487" s="148" t="s">
        <v>1406</v>
      </c>
      <c r="AN487" s="135"/>
      <c r="AO487" s="135" t="s">
        <v>102</v>
      </c>
      <c r="AP487" s="135">
        <v>44883</v>
      </c>
      <c r="AQ487" s="135" t="s">
        <v>3496</v>
      </c>
      <c r="AR487" s="143">
        <v>1985</v>
      </c>
      <c r="AS487" s="135" t="s">
        <v>3496</v>
      </c>
      <c r="AT487" s="135" t="s">
        <v>3446</v>
      </c>
      <c r="AU487" s="135" t="s">
        <v>173</v>
      </c>
      <c r="AV487" s="135" t="s">
        <v>1674</v>
      </c>
      <c r="AW487" s="143">
        <v>23</v>
      </c>
      <c r="AX487" s="143">
        <v>11</v>
      </c>
      <c r="AY487" s="143">
        <v>78</v>
      </c>
      <c r="AZ487" s="143">
        <v>7.0000000000000007E-2</v>
      </c>
      <c r="BA487" s="135" t="s">
        <v>101</v>
      </c>
      <c r="BB487" s="135"/>
      <c r="BC487" s="151">
        <f>SUM(650+38.47+68.25+1985+557+266.4+148+118.25)</f>
        <v>3831.3700000000003</v>
      </c>
      <c r="BD487" s="135"/>
      <c r="BE487" s="151">
        <f>SUM(356+99.09+1085)</f>
        <v>1540.0900000000001</v>
      </c>
      <c r="BF487" s="151">
        <f t="shared" si="34"/>
        <v>5371.4600000000009</v>
      </c>
      <c r="BG487" s="151">
        <f t="shared" si="35"/>
        <v>295.43030000000005</v>
      </c>
      <c r="BH487" s="151">
        <f t="shared" si="36"/>
        <v>5666.8903000000009</v>
      </c>
      <c r="BI487" s="151">
        <v>5666.89</v>
      </c>
      <c r="BJ487" s="135" t="s">
        <v>102</v>
      </c>
      <c r="BK487" s="135"/>
      <c r="BL487" s="135"/>
      <c r="BM487" s="144" t="s">
        <v>3592</v>
      </c>
      <c r="BN487" s="143">
        <v>2022</v>
      </c>
      <c r="BO487" s="144" t="s">
        <v>143</v>
      </c>
      <c r="BP487" s="144">
        <v>2022</v>
      </c>
      <c r="BQ487" s="203" t="s">
        <v>144</v>
      </c>
    </row>
    <row r="488" spans="1:69" ht="41.1" customHeight="1">
      <c r="A488" s="145" t="s">
        <v>1353</v>
      </c>
      <c r="B488" s="145" t="s">
        <v>2193</v>
      </c>
      <c r="C488" s="143">
        <v>600</v>
      </c>
      <c r="D488" s="135">
        <v>44768</v>
      </c>
      <c r="E488" s="135">
        <v>44776</v>
      </c>
      <c r="F488" s="135"/>
      <c r="G488" s="143"/>
      <c r="H488" s="135"/>
      <c r="I488" s="135"/>
      <c r="J488" s="135"/>
      <c r="K488" s="135"/>
      <c r="L488" s="135"/>
      <c r="M488" s="135"/>
      <c r="N488" s="135"/>
      <c r="O488" s="135"/>
      <c r="P488" s="135"/>
      <c r="Q488" s="135">
        <v>44790</v>
      </c>
      <c r="R488" s="135" t="s">
        <v>2194</v>
      </c>
      <c r="S488" s="135"/>
      <c r="T488" s="135"/>
      <c r="U488" s="144">
        <v>2</v>
      </c>
      <c r="V488" s="143">
        <v>35034</v>
      </c>
      <c r="W488" s="143" t="str">
        <f ca="1">IF(H488="",IF(D488="","",IF(U488+V488&lt;15,"Données Nb pers ou RFR manquantes",IF(COUNTA(INDIRECT("TabRFR["&amp;YEAR(D488)&amp;"]"))&lt;&gt;COUNTA(TabRFR[Recherche RFR]),"Data RFR manquantes", IF(V488&lt;=INDEX(TabRFR[[2021]:[2025]],MATCH(BD!U488&amp;"-Très modestes",TabRFR[Recherche RFR],0),MATCH(TEXT(YEAR(BD!D488),"Standard"),TabRFR[[#Headers],[2021]:[2025]],0)),"Très Modeste",IF(V488&lt;=INDEX(TabRFR[[2021]:[2025]],MATCH(BD!U488&amp;"-modestes",TabRFR[Recherche RFR],0),MATCH(TEXT(YEAR(BD!D488),"Standard"),TabRFR[[#Headers],[2021]:[2025]],0)),"Modeste",IF(V488&lt;=INDEX(TabRFR[[2021]:[2025]],MATCH(BD!U488&amp;"-Intermédiaire",TabRFR[Recherche RFR],0),MATCH(TEXT(YEAR(BD!D488),"Standard"),TabRFR[[#Headers],[2021]:[2025]],0)),"Intermédiaire","Supérieur")))))),IF(D488="","",IF(U488+V488&lt;15,"Données Nb pers ou RFR manquantes",IF(COUNTA(INDIRECT("TabRFR["&amp;YEAR(H488)&amp;"]"))&lt;&gt;COUNTA(TabRFR[Recherche RFR]),"Data RFR manquantes", IF(V488&lt;=INDEX(TabRFR[[2021]:[2025]],MATCH(BD!U488&amp;"-Très modestes",TabRFR[Recherche RFR],0),MATCH(TEXT(YEAR(BD!H488),"Standard"),TabRFR[[#Headers],[2021]:[2025]],0)),"Très Modeste",IF(V488&lt;=INDEX(TabRFR[[2021]:[2025]],MATCH(BD!U488&amp;"-modestes",TabRFR[Recherche RFR],0),MATCH(TEXT(YEAR(BD!H488),"Standard"),TabRFR[[#Headers],[2021]:[2025]],0)),"Modeste",IF(V488&lt;=INDEX(TabRFR[[2021]:[2025]],MATCH(BD!U488&amp;"-Intermédiaire",TabRFR[Recherche RFR],0),MATCH(TEXT(YEAR(BD!H488),"Standard"),TabRFR[[#Headers],[2021]:[2025]],0)),"Intermédiaire","Supérieur")))))))</f>
        <v>Intermédiaire</v>
      </c>
      <c r="X488" s="144"/>
      <c r="Y488" s="135" t="s">
        <v>1275</v>
      </c>
      <c r="Z488" s="144">
        <v>38850</v>
      </c>
      <c r="AA488" s="135" t="s">
        <v>435</v>
      </c>
      <c r="AB488" s="148"/>
      <c r="AC488" s="149"/>
      <c r="AD488" s="135" t="s">
        <v>91</v>
      </c>
      <c r="AE488" s="135"/>
      <c r="AF488" s="135"/>
      <c r="AG488" s="135"/>
      <c r="AH488" s="135"/>
      <c r="AI488" s="135"/>
      <c r="AJ488" s="135"/>
      <c r="AK488" s="135"/>
      <c r="AL488" s="143"/>
      <c r="AM488" s="148"/>
      <c r="AN488" s="135"/>
      <c r="AO488" s="135"/>
      <c r="AP488" s="135"/>
      <c r="AQ488" s="135"/>
      <c r="AR488" s="143"/>
      <c r="AS488" s="135"/>
      <c r="AT488" s="136"/>
      <c r="AU488" s="135"/>
      <c r="AV488" s="135"/>
      <c r="AW488" s="143"/>
      <c r="AX488" s="143"/>
      <c r="AY488" s="143"/>
      <c r="AZ488" s="135"/>
      <c r="BA488" s="135"/>
      <c r="BB488" s="135"/>
      <c r="BC488" s="151"/>
      <c r="BD488" s="135"/>
      <c r="BE488" s="151"/>
      <c r="BF488" s="151">
        <f t="shared" si="34"/>
        <v>0</v>
      </c>
      <c r="BG488" s="151">
        <f t="shared" si="35"/>
        <v>0</v>
      </c>
      <c r="BH488" s="151">
        <f t="shared" si="36"/>
        <v>0</v>
      </c>
      <c r="BI488" s="135"/>
      <c r="BJ488" s="135"/>
      <c r="BK488" s="135"/>
      <c r="BL488" s="135"/>
      <c r="BM488" s="143">
        <v>0</v>
      </c>
      <c r="BN488" s="153" t="s">
        <v>1496</v>
      </c>
      <c r="BO488" s="144" t="s">
        <v>103</v>
      </c>
      <c r="BP488" s="203" t="s">
        <v>3582</v>
      </c>
      <c r="BQ488" s="203" t="s">
        <v>3273</v>
      </c>
    </row>
    <row r="489" spans="1:69" ht="41.1" customHeight="1">
      <c r="A489" s="218" t="s">
        <v>1353</v>
      </c>
      <c r="B489" s="218" t="s">
        <v>2195</v>
      </c>
      <c r="C489" s="143">
        <v>600</v>
      </c>
      <c r="D489" s="135">
        <v>44770</v>
      </c>
      <c r="E489" s="135">
        <v>44776</v>
      </c>
      <c r="F489" s="135">
        <v>44790</v>
      </c>
      <c r="G489" s="143" t="s">
        <v>2196</v>
      </c>
      <c r="H489" s="135">
        <v>44809</v>
      </c>
      <c r="I489" s="135">
        <v>44809</v>
      </c>
      <c r="J489" s="135">
        <v>44830</v>
      </c>
      <c r="K489" s="135">
        <v>44881</v>
      </c>
      <c r="L489" s="135">
        <v>44874</v>
      </c>
      <c r="M489" s="135" t="s">
        <v>76</v>
      </c>
      <c r="N489" s="135">
        <v>44895</v>
      </c>
      <c r="O489" s="135">
        <v>44895</v>
      </c>
      <c r="P489" s="135">
        <v>44897</v>
      </c>
      <c r="Q489" s="135"/>
      <c r="R489" s="135"/>
      <c r="S489" s="135"/>
      <c r="T489" s="135"/>
      <c r="U489" s="144">
        <v>1</v>
      </c>
      <c r="V489" s="143">
        <v>23376</v>
      </c>
      <c r="W489" s="143" t="str">
        <f ca="1">IF(H489="",IF(D489="","",IF(U489+V489&lt;15,"Données Nb pers ou RFR manquantes",IF(COUNTA(INDIRECT("TabRFR["&amp;YEAR(D489)&amp;"]"))&lt;&gt;COUNTA(TabRFR[Recherche RFR]),"Data RFR manquantes", IF(V489&lt;=INDEX(TabRFR[[2021]:[2025]],MATCH(BD!U489&amp;"-Très modestes",TabRFR[Recherche RFR],0),MATCH(TEXT(YEAR(BD!D489),"Standard"),TabRFR[[#Headers],[2021]:[2025]],0)),"Très Modeste",IF(V489&lt;=INDEX(TabRFR[[2021]:[2025]],MATCH(BD!U489&amp;"-modestes",TabRFR[Recherche RFR],0),MATCH(TEXT(YEAR(BD!D489),"Standard"),TabRFR[[#Headers],[2021]:[2025]],0)),"Modeste",IF(V489&lt;=INDEX(TabRFR[[2021]:[2025]],MATCH(BD!U489&amp;"-Intermédiaire",TabRFR[Recherche RFR],0),MATCH(TEXT(YEAR(BD!D489),"Standard"),TabRFR[[#Headers],[2021]:[2025]],0)),"Intermédiaire","Supérieur")))))),IF(D489="","",IF(U489+V489&lt;15,"Données Nb pers ou RFR manquantes",IF(COUNTA(INDIRECT("TabRFR["&amp;YEAR(H489)&amp;"]"))&lt;&gt;COUNTA(TabRFR[Recherche RFR]),"Data RFR manquantes", IF(V489&lt;=INDEX(TabRFR[[2021]:[2025]],MATCH(BD!U489&amp;"-Très modestes",TabRFR[Recherche RFR],0),MATCH(TEXT(YEAR(BD!H489),"Standard"),TabRFR[[#Headers],[2021]:[2025]],0)),"Très Modeste",IF(V489&lt;=INDEX(TabRFR[[2021]:[2025]],MATCH(BD!U489&amp;"-modestes",TabRFR[Recherche RFR],0),MATCH(TEXT(YEAR(BD!H489),"Standard"),TabRFR[[#Headers],[2021]:[2025]],0)),"Modeste",IF(V489&lt;=INDEX(TabRFR[[2021]:[2025]],MATCH(BD!U489&amp;"-Intermédiaire",TabRFR[Recherche RFR],0),MATCH(TEXT(YEAR(BD!H489),"Standard"),TabRFR[[#Headers],[2021]:[2025]],0)),"Intermédiaire","Supérieur")))))))</f>
        <v>Intermédiaire</v>
      </c>
      <c r="X489" s="144"/>
      <c r="Y489" s="135" t="s">
        <v>1885</v>
      </c>
      <c r="Z489" s="144">
        <v>38620</v>
      </c>
      <c r="AA489" s="135" t="s">
        <v>537</v>
      </c>
      <c r="AB489" s="148"/>
      <c r="AC489" s="149"/>
      <c r="AD489" s="135" t="s">
        <v>91</v>
      </c>
      <c r="AE489" s="135"/>
      <c r="AF489" s="135"/>
      <c r="AG489" s="135"/>
      <c r="AH489" s="135"/>
      <c r="AI489" s="135" t="s">
        <v>1988</v>
      </c>
      <c r="AJ489" s="135" t="s">
        <v>93</v>
      </c>
      <c r="AK489" s="135" t="s">
        <v>2197</v>
      </c>
      <c r="AL489" s="170" t="s">
        <v>2198</v>
      </c>
      <c r="AM489" s="148" t="s">
        <v>96</v>
      </c>
      <c r="AN489" s="135"/>
      <c r="AO489" s="135" t="s">
        <v>102</v>
      </c>
      <c r="AP489" s="135">
        <v>44821</v>
      </c>
      <c r="AQ489" s="135" t="s">
        <v>3496</v>
      </c>
      <c r="AR489" s="143">
        <v>1980</v>
      </c>
      <c r="AS489" s="143" t="s">
        <v>2862</v>
      </c>
      <c r="AT489" s="135" t="s">
        <v>3446</v>
      </c>
      <c r="AU489" s="135" t="s">
        <v>385</v>
      </c>
      <c r="AV489" s="135" t="s">
        <v>2199</v>
      </c>
      <c r="AW489" s="143">
        <v>20</v>
      </c>
      <c r="AX489" s="143">
        <v>8</v>
      </c>
      <c r="AY489" s="143">
        <v>78</v>
      </c>
      <c r="AZ489" s="143">
        <v>0.1</v>
      </c>
      <c r="BA489" s="135" t="s">
        <v>101</v>
      </c>
      <c r="BB489" s="135"/>
      <c r="BC489" s="151">
        <f>SUM(3240+1395+195+945+138)</f>
        <v>5913</v>
      </c>
      <c r="BD489" s="135"/>
      <c r="BE489" s="151">
        <f>SUM(690)</f>
        <v>690</v>
      </c>
      <c r="BF489" s="151">
        <f t="shared" si="34"/>
        <v>6603</v>
      </c>
      <c r="BG489" s="151">
        <f t="shared" si="35"/>
        <v>363.16500000000002</v>
      </c>
      <c r="BH489" s="151">
        <f t="shared" si="36"/>
        <v>6966.165</v>
      </c>
      <c r="BI489" s="143">
        <v>6966.16</v>
      </c>
      <c r="BJ489" s="135" t="s">
        <v>102</v>
      </c>
      <c r="BK489" s="135"/>
      <c r="BL489" s="135"/>
      <c r="BM489" s="144" t="s">
        <v>3592</v>
      </c>
      <c r="BN489" s="143">
        <v>2022</v>
      </c>
      <c r="BO489" s="144" t="s">
        <v>143</v>
      </c>
      <c r="BP489" s="144">
        <v>2022</v>
      </c>
      <c r="BQ489" s="203" t="s">
        <v>144</v>
      </c>
    </row>
    <row r="490" spans="1:69" ht="41.1" customHeight="1">
      <c r="A490" s="219" t="s">
        <v>1353</v>
      </c>
      <c r="B490" s="219" t="s">
        <v>2200</v>
      </c>
      <c r="C490" s="143">
        <v>1000</v>
      </c>
      <c r="D490" s="135">
        <v>44771</v>
      </c>
      <c r="E490" s="135">
        <v>44776</v>
      </c>
      <c r="F490" s="135">
        <v>44790</v>
      </c>
      <c r="G490" s="143" t="s">
        <v>2201</v>
      </c>
      <c r="H490" s="135">
        <v>44798</v>
      </c>
      <c r="I490" s="135">
        <v>44798</v>
      </c>
      <c r="J490" s="135">
        <v>44823</v>
      </c>
      <c r="K490" s="135"/>
      <c r="L490" s="135"/>
      <c r="M490" s="135" t="s">
        <v>3397</v>
      </c>
      <c r="N490" s="135"/>
      <c r="O490" s="135"/>
      <c r="P490" s="135"/>
      <c r="Q490" s="135"/>
      <c r="R490" s="135"/>
      <c r="S490" s="135"/>
      <c r="T490" s="135"/>
      <c r="U490" s="144">
        <v>3</v>
      </c>
      <c r="V490" s="143">
        <v>2848</v>
      </c>
      <c r="W490" s="143" t="str">
        <f ca="1">IF(H490="",IF(D490="","",IF(U490+V490&lt;15,"Données Nb pers ou RFR manquantes",IF(COUNTA(INDIRECT("TabRFR["&amp;YEAR(D490)&amp;"]"))&lt;&gt;COUNTA(TabRFR[Recherche RFR]),"Data RFR manquantes", IF(V490&lt;=INDEX(TabRFR[[2021]:[2025]],MATCH(BD!U490&amp;"-Très modestes",TabRFR[Recherche RFR],0),MATCH(TEXT(YEAR(BD!D490),"Standard"),TabRFR[[#Headers],[2021]:[2025]],0)),"Très Modeste",IF(V490&lt;=INDEX(TabRFR[[2021]:[2025]],MATCH(BD!U490&amp;"-modestes",TabRFR[Recherche RFR],0),MATCH(TEXT(YEAR(BD!D490),"Standard"),TabRFR[[#Headers],[2021]:[2025]],0)),"Modeste",IF(V490&lt;=INDEX(TabRFR[[2021]:[2025]],MATCH(BD!U490&amp;"-Intermédiaire",TabRFR[Recherche RFR],0),MATCH(TEXT(YEAR(BD!D490),"Standard"),TabRFR[[#Headers],[2021]:[2025]],0)),"Intermédiaire","Supérieur")))))),IF(D490="","",IF(U490+V490&lt;15,"Données Nb pers ou RFR manquantes",IF(COUNTA(INDIRECT("TabRFR["&amp;YEAR(H490)&amp;"]"))&lt;&gt;COUNTA(TabRFR[Recherche RFR]),"Data RFR manquantes", IF(V490&lt;=INDEX(TabRFR[[2021]:[2025]],MATCH(BD!U490&amp;"-Très modestes",TabRFR[Recherche RFR],0),MATCH(TEXT(YEAR(BD!H490),"Standard"),TabRFR[[#Headers],[2021]:[2025]],0)),"Très Modeste",IF(V490&lt;=INDEX(TabRFR[[2021]:[2025]],MATCH(BD!U490&amp;"-modestes",TabRFR[Recherche RFR],0),MATCH(TEXT(YEAR(BD!H490),"Standard"),TabRFR[[#Headers],[2021]:[2025]],0)),"Modeste",IF(V490&lt;=INDEX(TabRFR[[2021]:[2025]],MATCH(BD!U490&amp;"-Intermédiaire",TabRFR[Recherche RFR],0),MATCH(TEXT(YEAR(BD!H490),"Standard"),TabRFR[[#Headers],[2021]:[2025]],0)),"Intermédiaire","Supérieur")))))))</f>
        <v>Très Modeste</v>
      </c>
      <c r="X490" s="144"/>
      <c r="Y490" s="135" t="s">
        <v>2202</v>
      </c>
      <c r="Z490" s="144">
        <v>38620</v>
      </c>
      <c r="AA490" s="135" t="s">
        <v>262</v>
      </c>
      <c r="AB490" s="148"/>
      <c r="AC490" s="149"/>
      <c r="AD490" s="135" t="s">
        <v>91</v>
      </c>
      <c r="AE490" s="135"/>
      <c r="AF490" s="135"/>
      <c r="AG490" s="135"/>
      <c r="AH490" s="135"/>
      <c r="AI490" s="143" t="s">
        <v>1106</v>
      </c>
      <c r="AJ490" s="135" t="s">
        <v>1075</v>
      </c>
      <c r="AK490" s="135" t="s">
        <v>2203</v>
      </c>
      <c r="AL490" s="170" t="s">
        <v>1454</v>
      </c>
      <c r="AM490" s="148" t="s">
        <v>2204</v>
      </c>
      <c r="AN490" s="135"/>
      <c r="AO490" s="135" t="s">
        <v>102</v>
      </c>
      <c r="AP490" s="135">
        <v>45096</v>
      </c>
      <c r="AQ490" s="143" t="s">
        <v>3413</v>
      </c>
      <c r="AR490" s="143">
        <v>2000</v>
      </c>
      <c r="AS490" s="143" t="s">
        <v>3413</v>
      </c>
      <c r="AT490" s="143" t="s">
        <v>98</v>
      </c>
      <c r="AU490" s="135" t="s">
        <v>2205</v>
      </c>
      <c r="AV490" s="135" t="s">
        <v>2206</v>
      </c>
      <c r="AW490" s="143">
        <v>14</v>
      </c>
      <c r="AX490" s="143">
        <v>9</v>
      </c>
      <c r="AY490" s="143">
        <v>92.7</v>
      </c>
      <c r="AZ490" s="143">
        <v>6.8799999999999998E-3</v>
      </c>
      <c r="BA490" s="135" t="s">
        <v>101</v>
      </c>
      <c r="BB490" s="135"/>
      <c r="BC490" s="151">
        <f>SUM(3826+298+165.63+464+159+35)</f>
        <v>4947.63</v>
      </c>
      <c r="BD490" s="135"/>
      <c r="BE490" s="151">
        <f>SUM(550)</f>
        <v>550</v>
      </c>
      <c r="BF490" s="151">
        <f t="shared" si="34"/>
        <v>5497.63</v>
      </c>
      <c r="BG490" s="151">
        <f t="shared" si="35"/>
        <v>302.36965000000004</v>
      </c>
      <c r="BH490" s="151">
        <f t="shared" si="36"/>
        <v>5799.9996499999997</v>
      </c>
      <c r="BI490" s="135"/>
      <c r="BJ490" s="135" t="s">
        <v>115</v>
      </c>
      <c r="BK490" s="135"/>
      <c r="BL490" s="135"/>
      <c r="BM490" s="144" t="s">
        <v>3592</v>
      </c>
      <c r="BN490" s="143">
        <v>2022</v>
      </c>
      <c r="BO490" s="135" t="s">
        <v>155</v>
      </c>
      <c r="BP490" s="143" t="s">
        <v>3583</v>
      </c>
      <c r="BQ490" s="203" t="s">
        <v>3274</v>
      </c>
    </row>
    <row r="491" spans="1:69" ht="41.1" customHeight="1">
      <c r="A491" s="218" t="s">
        <v>1353</v>
      </c>
      <c r="B491" s="218" t="s">
        <v>2207</v>
      </c>
      <c r="C491" s="143">
        <v>600</v>
      </c>
      <c r="D491" s="135">
        <v>44774</v>
      </c>
      <c r="E491" s="135">
        <v>44776</v>
      </c>
      <c r="F491" s="135"/>
      <c r="G491" s="143"/>
      <c r="H491" s="135">
        <v>44790</v>
      </c>
      <c r="I491" s="135">
        <v>44790</v>
      </c>
      <c r="J491" s="135">
        <v>44792</v>
      </c>
      <c r="K491" s="135">
        <v>45043</v>
      </c>
      <c r="L491" s="135">
        <v>44887</v>
      </c>
      <c r="M491" s="135" t="s">
        <v>76</v>
      </c>
      <c r="N491" s="135">
        <v>45048</v>
      </c>
      <c r="O491" s="135">
        <v>45048</v>
      </c>
      <c r="P491" s="135">
        <v>45050</v>
      </c>
      <c r="Q491" s="135"/>
      <c r="R491" s="135"/>
      <c r="S491" s="135"/>
      <c r="T491" s="135"/>
      <c r="U491" s="144">
        <v>4</v>
      </c>
      <c r="V491" s="143">
        <v>76028</v>
      </c>
      <c r="W491" s="143" t="str">
        <f ca="1">IF(H491="",IF(D491="","",IF(U491+V491&lt;15,"Données Nb pers ou RFR manquantes",IF(COUNTA(INDIRECT("TabRFR["&amp;YEAR(D491)&amp;"]"))&lt;&gt;COUNTA(TabRFR[Recherche RFR]),"Data RFR manquantes", IF(V491&lt;=INDEX(TabRFR[[2021]:[2025]],MATCH(BD!U491&amp;"-Très modestes",TabRFR[Recherche RFR],0),MATCH(TEXT(YEAR(BD!D491),"Standard"),TabRFR[[#Headers],[2021]:[2025]],0)),"Très Modeste",IF(V491&lt;=INDEX(TabRFR[[2021]:[2025]],MATCH(BD!U491&amp;"-modestes",TabRFR[Recherche RFR],0),MATCH(TEXT(YEAR(BD!D491),"Standard"),TabRFR[[#Headers],[2021]:[2025]],0)),"Modeste",IF(V491&lt;=INDEX(TabRFR[[2021]:[2025]],MATCH(BD!U491&amp;"-Intermédiaire",TabRFR[Recherche RFR],0),MATCH(TEXT(YEAR(BD!D491),"Standard"),TabRFR[[#Headers],[2021]:[2025]],0)),"Intermédiaire","Supérieur")))))),IF(D491="","",IF(U491+V491&lt;15,"Données Nb pers ou RFR manquantes",IF(COUNTA(INDIRECT("TabRFR["&amp;YEAR(H491)&amp;"]"))&lt;&gt;COUNTA(TabRFR[Recherche RFR]),"Data RFR manquantes", IF(V491&lt;=INDEX(TabRFR[[2021]:[2025]],MATCH(BD!U491&amp;"-Très modestes",TabRFR[Recherche RFR],0),MATCH(TEXT(YEAR(BD!H491),"Standard"),TabRFR[[#Headers],[2021]:[2025]],0)),"Très Modeste",IF(V491&lt;=INDEX(TabRFR[[2021]:[2025]],MATCH(BD!U491&amp;"-modestes",TabRFR[Recherche RFR],0),MATCH(TEXT(YEAR(BD!H491),"Standard"),TabRFR[[#Headers],[2021]:[2025]],0)),"Modeste",IF(V491&lt;=INDEX(TabRFR[[2021]:[2025]],MATCH(BD!U491&amp;"-Intermédiaire",TabRFR[Recherche RFR],0),MATCH(TEXT(YEAR(BD!H491),"Standard"),TabRFR[[#Headers],[2021]:[2025]],0)),"Intermédiaire","Supérieur")))))))</f>
        <v>Supérieur</v>
      </c>
      <c r="X491" s="144"/>
      <c r="Y491" s="135" t="s">
        <v>2208</v>
      </c>
      <c r="Z491" s="144">
        <v>38500</v>
      </c>
      <c r="AA491" s="135" t="s">
        <v>134</v>
      </c>
      <c r="AB491" s="148"/>
      <c r="AC491" s="149"/>
      <c r="AD491" s="135" t="s">
        <v>91</v>
      </c>
      <c r="AE491" s="135"/>
      <c r="AF491" s="135"/>
      <c r="AG491" s="135"/>
      <c r="AH491" s="135"/>
      <c r="AI491" s="135" t="s">
        <v>808</v>
      </c>
      <c r="AJ491" s="135" t="s">
        <v>809</v>
      </c>
      <c r="AK491" s="135" t="s">
        <v>2209</v>
      </c>
      <c r="AL491" s="170" t="s">
        <v>811</v>
      </c>
      <c r="AM491" s="148" t="s">
        <v>2210</v>
      </c>
      <c r="AN491" s="135"/>
      <c r="AO491" s="135" t="s">
        <v>1391</v>
      </c>
      <c r="AP491" s="135">
        <v>45092</v>
      </c>
      <c r="AQ491" s="143" t="s">
        <v>3413</v>
      </c>
      <c r="AR491" s="143">
        <v>2000</v>
      </c>
      <c r="AS491" s="143" t="s">
        <v>3413</v>
      </c>
      <c r="AT491" s="135" t="s">
        <v>3446</v>
      </c>
      <c r="AU491" s="135" t="s">
        <v>2211</v>
      </c>
      <c r="AV491" s="135" t="s">
        <v>2212</v>
      </c>
      <c r="AW491" s="143">
        <v>26</v>
      </c>
      <c r="AX491" s="143">
        <v>5.6</v>
      </c>
      <c r="AY491" s="143">
        <v>82.8</v>
      </c>
      <c r="AZ491" s="143">
        <v>5.0160000000000003E-2</v>
      </c>
      <c r="BA491" s="135" t="s">
        <v>101</v>
      </c>
      <c r="BB491" s="135"/>
      <c r="BC491" s="151">
        <f>SUM(272.9+585.9+141.2+152.6+255.6+174.5+78.2+49.5+88.5+88.5+128+95+78.9+49.8+117.8+42.5+3350)</f>
        <v>5749.4</v>
      </c>
      <c r="BD491" s="135"/>
      <c r="BE491" s="151">
        <f>SUM(1410)</f>
        <v>1410</v>
      </c>
      <c r="BF491" s="151">
        <f t="shared" si="34"/>
        <v>7159.4</v>
      </c>
      <c r="BG491" s="151">
        <f t="shared" si="35"/>
        <v>393.767</v>
      </c>
      <c r="BH491" s="151">
        <f t="shared" si="36"/>
        <v>7553.1669999999995</v>
      </c>
      <c r="BI491" s="151">
        <v>7214.83</v>
      </c>
      <c r="BJ491" s="135" t="s">
        <v>102</v>
      </c>
      <c r="BK491" s="135"/>
      <c r="BL491" s="135"/>
      <c r="BM491" s="144" t="s">
        <v>3592</v>
      </c>
      <c r="BN491" s="143">
        <v>2022</v>
      </c>
      <c r="BO491" s="144" t="s">
        <v>143</v>
      </c>
      <c r="BP491" s="144">
        <v>2022</v>
      </c>
      <c r="BQ491" s="203" t="s">
        <v>144</v>
      </c>
    </row>
    <row r="492" spans="1:69" ht="41.1" customHeight="1">
      <c r="A492" s="218" t="s">
        <v>1353</v>
      </c>
      <c r="B492" s="218" t="s">
        <v>2213</v>
      </c>
      <c r="C492" s="143">
        <v>600</v>
      </c>
      <c r="D492" s="135">
        <v>44777</v>
      </c>
      <c r="E492" s="135">
        <v>44781</v>
      </c>
      <c r="F492" s="135">
        <v>44790</v>
      </c>
      <c r="G492" s="143" t="s">
        <v>2214</v>
      </c>
      <c r="H492" s="135">
        <v>44798</v>
      </c>
      <c r="I492" s="135">
        <v>44798</v>
      </c>
      <c r="J492" s="135">
        <v>44823</v>
      </c>
      <c r="K492" s="135">
        <v>44903</v>
      </c>
      <c r="L492" s="135">
        <v>44894</v>
      </c>
      <c r="M492" s="135" t="s">
        <v>76</v>
      </c>
      <c r="N492" s="135">
        <v>44915</v>
      </c>
      <c r="O492" s="135">
        <v>44915</v>
      </c>
      <c r="P492" s="135">
        <v>44932</v>
      </c>
      <c r="Q492" s="135"/>
      <c r="R492" s="135"/>
      <c r="S492" s="135"/>
      <c r="T492" s="135"/>
      <c r="U492" s="144">
        <v>2</v>
      </c>
      <c r="V492" s="143">
        <v>43251</v>
      </c>
      <c r="W492" s="143" t="str">
        <f ca="1">IF(H492="",IF(D492="","",IF(U492+V492&lt;15,"Données Nb pers ou RFR manquantes",IF(COUNTA(INDIRECT("TabRFR["&amp;YEAR(D492)&amp;"]"))&lt;&gt;COUNTA(TabRFR[Recherche RFR]),"Data RFR manquantes", IF(V492&lt;=INDEX(TabRFR[[2021]:[2025]],MATCH(BD!U492&amp;"-Très modestes",TabRFR[Recherche RFR],0),MATCH(TEXT(YEAR(BD!D492),"Standard"),TabRFR[[#Headers],[2021]:[2025]],0)),"Très Modeste",IF(V492&lt;=INDEX(TabRFR[[2021]:[2025]],MATCH(BD!U492&amp;"-modestes",TabRFR[Recherche RFR],0),MATCH(TEXT(YEAR(BD!D492),"Standard"),TabRFR[[#Headers],[2021]:[2025]],0)),"Modeste",IF(V492&lt;=INDEX(TabRFR[[2021]:[2025]],MATCH(BD!U492&amp;"-Intermédiaire",TabRFR[Recherche RFR],0),MATCH(TEXT(YEAR(BD!D492),"Standard"),TabRFR[[#Headers],[2021]:[2025]],0)),"Intermédiaire","Supérieur")))))),IF(D492="","",IF(U492+V492&lt;15,"Données Nb pers ou RFR manquantes",IF(COUNTA(INDIRECT("TabRFR["&amp;YEAR(H492)&amp;"]"))&lt;&gt;COUNTA(TabRFR[Recherche RFR]),"Data RFR manquantes", IF(V492&lt;=INDEX(TabRFR[[2021]:[2025]],MATCH(BD!U492&amp;"-Très modestes",TabRFR[Recherche RFR],0),MATCH(TEXT(YEAR(BD!H492),"Standard"),TabRFR[[#Headers],[2021]:[2025]],0)),"Très Modeste",IF(V492&lt;=INDEX(TabRFR[[2021]:[2025]],MATCH(BD!U492&amp;"-modestes",TabRFR[Recherche RFR],0),MATCH(TEXT(YEAR(BD!H492),"Standard"),TabRFR[[#Headers],[2021]:[2025]],0)),"Modeste",IF(V492&lt;=INDEX(TabRFR[[2021]:[2025]],MATCH(BD!U492&amp;"-Intermédiaire",TabRFR[Recherche RFR],0),MATCH(TEXT(YEAR(BD!H492),"Standard"),TabRFR[[#Headers],[2021]:[2025]],0)),"Intermédiaire","Supérieur")))))))</f>
        <v>Supérieur</v>
      </c>
      <c r="X492" s="144"/>
      <c r="Y492" s="135" t="s">
        <v>2215</v>
      </c>
      <c r="Z492" s="144">
        <v>38240</v>
      </c>
      <c r="AA492" s="135" t="s">
        <v>266</v>
      </c>
      <c r="AB492" s="148"/>
      <c r="AC492" s="149"/>
      <c r="AD492" s="135" t="s">
        <v>91</v>
      </c>
      <c r="AE492" s="135"/>
      <c r="AF492" s="135"/>
      <c r="AG492" s="135"/>
      <c r="AH492" s="135"/>
      <c r="AI492" s="135" t="s">
        <v>120</v>
      </c>
      <c r="AJ492" s="143" t="s">
        <v>121</v>
      </c>
      <c r="AK492" s="135" t="s">
        <v>2082</v>
      </c>
      <c r="AL492" s="187" t="s">
        <v>123</v>
      </c>
      <c r="AM492" s="148">
        <v>438029038</v>
      </c>
      <c r="AN492" s="135" t="s">
        <v>76</v>
      </c>
      <c r="AO492" s="135" t="s">
        <v>144</v>
      </c>
      <c r="AP492" s="135">
        <v>45147</v>
      </c>
      <c r="AQ492" s="135" t="s">
        <v>3449</v>
      </c>
      <c r="AR492" s="143" t="s">
        <v>172</v>
      </c>
      <c r="AS492" s="135" t="s">
        <v>3496</v>
      </c>
      <c r="AT492" s="135" t="s">
        <v>3446</v>
      </c>
      <c r="AU492" s="135" t="s">
        <v>2216</v>
      </c>
      <c r="AV492" s="135" t="s">
        <v>2217</v>
      </c>
      <c r="AW492" s="143">
        <v>21</v>
      </c>
      <c r="AX492" s="143">
        <v>11.9</v>
      </c>
      <c r="AY492" s="143">
        <v>80.8</v>
      </c>
      <c r="AZ492" s="184"/>
      <c r="BA492" s="135" t="s">
        <v>1401</v>
      </c>
      <c r="BB492" s="135"/>
      <c r="BC492" s="151">
        <f>SUM(4445+609+250+896+85.1+74.5+35)</f>
        <v>6394.6</v>
      </c>
      <c r="BD492" s="135"/>
      <c r="BE492" s="151">
        <f>SUM(230+950)</f>
        <v>1180</v>
      </c>
      <c r="BF492" s="151">
        <f t="shared" si="34"/>
        <v>7574.6</v>
      </c>
      <c r="BG492" s="151">
        <f t="shared" si="35"/>
        <v>416.60300000000001</v>
      </c>
      <c r="BH492" s="151">
        <f t="shared" si="36"/>
        <v>7991.2030000000004</v>
      </c>
      <c r="BI492" s="151">
        <v>7800</v>
      </c>
      <c r="BJ492" s="135" t="s">
        <v>102</v>
      </c>
      <c r="BK492" s="135"/>
      <c r="BL492" s="135"/>
      <c r="BM492" s="144" t="s">
        <v>3592</v>
      </c>
      <c r="BN492" s="143">
        <v>2022</v>
      </c>
      <c r="BO492" s="144" t="s">
        <v>143</v>
      </c>
      <c r="BP492" s="144">
        <v>2022</v>
      </c>
      <c r="BQ492" s="203" t="s">
        <v>144</v>
      </c>
    </row>
    <row r="493" spans="1:69" ht="41.1" customHeight="1">
      <c r="A493" s="145" t="s">
        <v>1353</v>
      </c>
      <c r="B493" s="145" t="s">
        <v>2218</v>
      </c>
      <c r="C493" s="143">
        <v>1000</v>
      </c>
      <c r="D493" s="135">
        <v>44778</v>
      </c>
      <c r="E493" s="135">
        <v>44781</v>
      </c>
      <c r="F493" s="135" t="s">
        <v>1418</v>
      </c>
      <c r="G493" s="143"/>
      <c r="H493" s="135"/>
      <c r="I493" s="135"/>
      <c r="J493" s="135"/>
      <c r="K493" s="135"/>
      <c r="L493" s="135"/>
      <c r="M493" s="135"/>
      <c r="N493" s="135"/>
      <c r="O493" s="135"/>
      <c r="P493" s="135"/>
      <c r="Q493" s="135">
        <v>44790</v>
      </c>
      <c r="R493" s="135" t="s">
        <v>1656</v>
      </c>
      <c r="S493" s="135"/>
      <c r="T493" s="135"/>
      <c r="U493" s="144">
        <v>4</v>
      </c>
      <c r="V493" s="143">
        <v>26152</v>
      </c>
      <c r="W493" s="143" t="str">
        <f ca="1">IF(H493="",IF(D493="","",IF(U493+V493&lt;15,"Données Nb pers ou RFR manquantes",IF(COUNTA(INDIRECT("TabRFR["&amp;YEAR(D493)&amp;"]"))&lt;&gt;COUNTA(TabRFR[Recherche RFR]),"Data RFR manquantes", IF(V493&lt;=INDEX(TabRFR[[2021]:[2025]],MATCH(BD!U493&amp;"-Très modestes",TabRFR[Recherche RFR],0),MATCH(TEXT(YEAR(BD!D493),"Standard"),TabRFR[[#Headers],[2021]:[2025]],0)),"Très Modeste",IF(V493&lt;=INDEX(TabRFR[[2021]:[2025]],MATCH(BD!U493&amp;"-modestes",TabRFR[Recherche RFR],0),MATCH(TEXT(YEAR(BD!D493),"Standard"),TabRFR[[#Headers],[2021]:[2025]],0)),"Modeste",IF(V493&lt;=INDEX(TabRFR[[2021]:[2025]],MATCH(BD!U493&amp;"-Intermédiaire",TabRFR[Recherche RFR],0),MATCH(TEXT(YEAR(BD!D493),"Standard"),TabRFR[[#Headers],[2021]:[2025]],0)),"Intermédiaire","Supérieur")))))),IF(D493="","",IF(U493+V493&lt;15,"Données Nb pers ou RFR manquantes",IF(COUNTA(INDIRECT("TabRFR["&amp;YEAR(H493)&amp;"]"))&lt;&gt;COUNTA(TabRFR[Recherche RFR]),"Data RFR manquantes", IF(V493&lt;=INDEX(TabRFR[[2021]:[2025]],MATCH(BD!U493&amp;"-Très modestes",TabRFR[Recherche RFR],0),MATCH(TEXT(YEAR(BD!H493),"Standard"),TabRFR[[#Headers],[2021]:[2025]],0)),"Très Modeste",IF(V493&lt;=INDEX(TabRFR[[2021]:[2025]],MATCH(BD!U493&amp;"-modestes",TabRFR[Recherche RFR],0),MATCH(TEXT(YEAR(BD!H493),"Standard"),TabRFR[[#Headers],[2021]:[2025]],0)),"Modeste",IF(V493&lt;=INDEX(TabRFR[[2021]:[2025]],MATCH(BD!U493&amp;"-Intermédiaire",TabRFR[Recherche RFR],0),MATCH(TEXT(YEAR(BD!H493),"Standard"),TabRFR[[#Headers],[2021]:[2025]],0)),"Intermédiaire","Supérieur")))))))</f>
        <v>Très Modeste</v>
      </c>
      <c r="X493" s="144"/>
      <c r="Y493" s="135" t="s">
        <v>2219</v>
      </c>
      <c r="Z493" s="144">
        <v>38340</v>
      </c>
      <c r="AA493" s="135" t="s">
        <v>266</v>
      </c>
      <c r="AB493" s="148"/>
      <c r="AC493" s="149"/>
      <c r="AD493" s="135" t="s">
        <v>91</v>
      </c>
      <c r="AE493" s="135"/>
      <c r="AF493" s="135"/>
      <c r="AG493" s="135"/>
      <c r="AH493" s="135"/>
      <c r="AI493" s="135"/>
      <c r="AJ493" s="135"/>
      <c r="AK493" s="135"/>
      <c r="AL493" s="143"/>
      <c r="AM493" s="135"/>
      <c r="AN493" s="135"/>
      <c r="AO493" s="135"/>
      <c r="AP493" s="135"/>
      <c r="AQ493" s="135"/>
      <c r="AR493" s="143"/>
      <c r="AS493" s="135"/>
      <c r="AT493" s="136"/>
      <c r="AU493" s="135"/>
      <c r="AV493" s="135"/>
      <c r="AW493" s="143"/>
      <c r="AX493" s="143"/>
      <c r="AY493" s="143"/>
      <c r="AZ493" s="135"/>
      <c r="BA493" s="135"/>
      <c r="BB493" s="135"/>
      <c r="BC493" s="151"/>
      <c r="BD493" s="135"/>
      <c r="BE493" s="151"/>
      <c r="BF493" s="151">
        <f t="shared" si="34"/>
        <v>0</v>
      </c>
      <c r="BG493" s="151">
        <f t="shared" si="35"/>
        <v>0</v>
      </c>
      <c r="BH493" s="151">
        <f t="shared" si="36"/>
        <v>0</v>
      </c>
      <c r="BI493" s="135"/>
      <c r="BJ493" s="135"/>
      <c r="BK493" s="135"/>
      <c r="BL493" s="135"/>
      <c r="BM493" s="143">
        <v>0</v>
      </c>
      <c r="BN493" s="153" t="s">
        <v>1496</v>
      </c>
      <c r="BO493" s="144" t="s">
        <v>103</v>
      </c>
      <c r="BP493" s="203" t="s">
        <v>3582</v>
      </c>
      <c r="BQ493" s="203" t="s">
        <v>3273</v>
      </c>
    </row>
    <row r="494" spans="1:69" ht="41.1" customHeight="1">
      <c r="A494" s="145" t="s">
        <v>1353</v>
      </c>
      <c r="B494" s="145" t="s">
        <v>2220</v>
      </c>
      <c r="C494" s="143">
        <f ca="1">IF(W494="Très modeste",1000,IF(W494="Modeste",1000,IF(W494="Intermédiaire",600,IF(W494="Supérieur",600,"Non calculé"))))</f>
        <v>1000</v>
      </c>
      <c r="D494" s="135">
        <v>44782</v>
      </c>
      <c r="E494" s="135">
        <v>44783</v>
      </c>
      <c r="F494" s="135">
        <v>44790</v>
      </c>
      <c r="G494" s="143" t="s">
        <v>3290</v>
      </c>
      <c r="H494" s="135"/>
      <c r="I494" s="135"/>
      <c r="J494" s="135"/>
      <c r="K494" s="135"/>
      <c r="L494" s="135"/>
      <c r="M494" s="135"/>
      <c r="N494" s="135"/>
      <c r="O494" s="135"/>
      <c r="P494" s="135"/>
      <c r="Q494" s="135">
        <v>45253</v>
      </c>
      <c r="R494" s="135" t="s">
        <v>3297</v>
      </c>
      <c r="S494" s="135"/>
      <c r="T494" s="135"/>
      <c r="U494" s="144">
        <v>1</v>
      </c>
      <c r="V494" s="143">
        <v>6228</v>
      </c>
      <c r="W494" s="143" t="str">
        <f ca="1">IF(H494="",IF(D494="","",IF(U494+V494&lt;15,"Données Nb pers ou RFR manquantes",IF(COUNTA(INDIRECT("TabRFR["&amp;YEAR(D494)&amp;"]"))&lt;&gt;COUNTA(TabRFR[Recherche RFR]),"Data RFR manquantes", IF(V494&lt;=INDEX(TabRFR[[2021]:[2025]],MATCH(BD!U494&amp;"-Très modestes",TabRFR[Recherche RFR],0),MATCH(TEXT(YEAR(BD!D494),"Standard"),TabRFR[[#Headers],[2021]:[2025]],0)),"Très Modeste",IF(V494&lt;=INDEX(TabRFR[[2021]:[2025]],MATCH(BD!U494&amp;"-modestes",TabRFR[Recherche RFR],0),MATCH(TEXT(YEAR(BD!D494),"Standard"),TabRFR[[#Headers],[2021]:[2025]],0)),"Modeste",IF(V494&lt;=INDEX(TabRFR[[2021]:[2025]],MATCH(BD!U494&amp;"-Intermédiaire",TabRFR[Recherche RFR],0),MATCH(TEXT(YEAR(BD!D494),"Standard"),TabRFR[[#Headers],[2021]:[2025]],0)),"Intermédiaire","Supérieur")))))),IF(D494="","",IF(U494+V494&lt;15,"Données Nb pers ou RFR manquantes",IF(COUNTA(INDIRECT("TabRFR["&amp;YEAR(H494)&amp;"]"))&lt;&gt;COUNTA(TabRFR[Recherche RFR]),"Data RFR manquantes", IF(V494&lt;=INDEX(TabRFR[[2021]:[2025]],MATCH(BD!U494&amp;"-Très modestes",TabRFR[Recherche RFR],0),MATCH(TEXT(YEAR(BD!H494),"Standard"),TabRFR[[#Headers],[2021]:[2025]],0)),"Très Modeste",IF(V494&lt;=INDEX(TabRFR[[2021]:[2025]],MATCH(BD!U494&amp;"-modestes",TabRFR[Recherche RFR],0),MATCH(TEXT(YEAR(BD!H494),"Standard"),TabRFR[[#Headers],[2021]:[2025]],0)),"Modeste",IF(V494&lt;=INDEX(TabRFR[[2021]:[2025]],MATCH(BD!U494&amp;"-Intermédiaire",TabRFR[Recherche RFR],0),MATCH(TEXT(YEAR(BD!H494),"Standard"),TabRFR[[#Headers],[2021]:[2025]],0)),"Intermédiaire","Supérieur")))))))</f>
        <v>Très Modeste</v>
      </c>
      <c r="X494" s="144"/>
      <c r="Y494" s="135" t="s">
        <v>2221</v>
      </c>
      <c r="Z494" s="144">
        <v>38490</v>
      </c>
      <c r="AA494" s="135" t="s">
        <v>1075</v>
      </c>
      <c r="AB494" s="148"/>
      <c r="AC494" s="149"/>
      <c r="AD494" s="135" t="s">
        <v>91</v>
      </c>
      <c r="AE494" s="135"/>
      <c r="AF494" s="135"/>
      <c r="AG494" s="135"/>
      <c r="AH494" s="135"/>
      <c r="AI494" s="143" t="s">
        <v>1106</v>
      </c>
      <c r="AJ494" s="135" t="s">
        <v>1075</v>
      </c>
      <c r="AK494" s="135" t="s">
        <v>2222</v>
      </c>
      <c r="AL494" s="170" t="s">
        <v>1454</v>
      </c>
      <c r="AM494" s="135" t="s">
        <v>2204</v>
      </c>
      <c r="AN494" s="135"/>
      <c r="AO494" s="135" t="s">
        <v>102</v>
      </c>
      <c r="AP494" s="135">
        <v>45096</v>
      </c>
      <c r="AQ494" s="143" t="s">
        <v>3413</v>
      </c>
      <c r="AR494" s="135" t="s">
        <v>172</v>
      </c>
      <c r="AS494" s="143" t="s">
        <v>3413</v>
      </c>
      <c r="AT494" s="135" t="s">
        <v>3446</v>
      </c>
      <c r="AU494" s="135" t="s">
        <v>1677</v>
      </c>
      <c r="AV494" s="135" t="s">
        <v>2223</v>
      </c>
      <c r="AW494" s="143">
        <v>32</v>
      </c>
      <c r="AX494" s="143">
        <v>8.4</v>
      </c>
      <c r="AY494" s="143">
        <v>76</v>
      </c>
      <c r="AZ494" s="143">
        <v>0.04</v>
      </c>
      <c r="BA494" s="135" t="s">
        <v>101</v>
      </c>
      <c r="BB494" s="135"/>
      <c r="BC494" s="151">
        <f>SUM(1854+385+1190+81.2+125+225+87)</f>
        <v>3947.2</v>
      </c>
      <c r="BD494" s="135"/>
      <c r="BE494" s="151">
        <f>SUM(700)</f>
        <v>700</v>
      </c>
      <c r="BF494" s="151">
        <f t="shared" si="34"/>
        <v>4647.2</v>
      </c>
      <c r="BG494" s="151">
        <f t="shared" si="35"/>
        <v>255.596</v>
      </c>
      <c r="BH494" s="151">
        <f t="shared" si="36"/>
        <v>4902.7960000000003</v>
      </c>
      <c r="BI494" s="135"/>
      <c r="BJ494" s="135" t="s">
        <v>103</v>
      </c>
      <c r="BK494" s="135"/>
      <c r="BL494" s="135"/>
      <c r="BM494" s="144">
        <v>0</v>
      </c>
      <c r="BN494" s="153" t="s">
        <v>1496</v>
      </c>
      <c r="BO494" s="135" t="s">
        <v>155</v>
      </c>
      <c r="BP494" s="203" t="s">
        <v>3582</v>
      </c>
      <c r="BQ494" s="203" t="s">
        <v>3274</v>
      </c>
    </row>
    <row r="495" spans="1:69" ht="41.1" customHeight="1">
      <c r="A495" s="218" t="s">
        <v>1353</v>
      </c>
      <c r="B495" s="218" t="s">
        <v>2224</v>
      </c>
      <c r="C495" s="143">
        <v>1000</v>
      </c>
      <c r="D495" s="135">
        <v>44781</v>
      </c>
      <c r="E495" s="135">
        <v>44783</v>
      </c>
      <c r="F495" s="135">
        <v>44790</v>
      </c>
      <c r="G495" s="143" t="s">
        <v>2225</v>
      </c>
      <c r="H495" s="135">
        <v>44798</v>
      </c>
      <c r="I495" s="135">
        <v>44798</v>
      </c>
      <c r="J495" s="135">
        <v>44823</v>
      </c>
      <c r="K495" s="135">
        <v>44855</v>
      </c>
      <c r="L495" s="135">
        <v>44838</v>
      </c>
      <c r="M495" s="135" t="s">
        <v>76</v>
      </c>
      <c r="N495" s="135">
        <v>44874</v>
      </c>
      <c r="O495" s="135">
        <v>44874</v>
      </c>
      <c r="P495" s="135">
        <v>44879</v>
      </c>
      <c r="Q495" s="135"/>
      <c r="R495" s="135"/>
      <c r="S495" s="135"/>
      <c r="T495" s="135"/>
      <c r="U495" s="144">
        <v>5</v>
      </c>
      <c r="V495" s="143">
        <v>44878</v>
      </c>
      <c r="W495" s="143" t="str">
        <f ca="1">IF(H495="",IF(D495="","",IF(U495+V495&lt;15,"Données Nb pers ou RFR manquantes",IF(COUNTA(INDIRECT("TabRFR["&amp;YEAR(D495)&amp;"]"))&lt;&gt;COUNTA(TabRFR[Recherche RFR]),"Data RFR manquantes", IF(V495&lt;=INDEX(TabRFR[[2021]:[2025]],MATCH(BD!U495&amp;"-Très modestes",TabRFR[Recherche RFR],0),MATCH(TEXT(YEAR(BD!D495),"Standard"),TabRFR[[#Headers],[2021]:[2025]],0)),"Très Modeste",IF(V495&lt;=INDEX(TabRFR[[2021]:[2025]],MATCH(BD!U495&amp;"-modestes",TabRFR[Recherche RFR],0),MATCH(TEXT(YEAR(BD!D495),"Standard"),TabRFR[[#Headers],[2021]:[2025]],0)),"Modeste",IF(V495&lt;=INDEX(TabRFR[[2021]:[2025]],MATCH(BD!U495&amp;"-Intermédiaire",TabRFR[Recherche RFR],0),MATCH(TEXT(YEAR(BD!D495),"Standard"),TabRFR[[#Headers],[2021]:[2025]],0)),"Intermédiaire","Supérieur")))))),IF(D495="","",IF(U495+V495&lt;15,"Données Nb pers ou RFR manquantes",IF(COUNTA(INDIRECT("TabRFR["&amp;YEAR(H495)&amp;"]"))&lt;&gt;COUNTA(TabRFR[Recherche RFR]),"Data RFR manquantes", IF(V495&lt;=INDEX(TabRFR[[2021]:[2025]],MATCH(BD!U495&amp;"-Très modestes",TabRFR[Recherche RFR],0),MATCH(TEXT(YEAR(BD!H495),"Standard"),TabRFR[[#Headers],[2021]:[2025]],0)),"Très Modeste",IF(V495&lt;=INDEX(TabRFR[[2021]:[2025]],MATCH(BD!U495&amp;"-modestes",TabRFR[Recherche RFR],0),MATCH(TEXT(YEAR(BD!H495),"Standard"),TabRFR[[#Headers],[2021]:[2025]],0)),"Modeste",IF(V495&lt;=INDEX(TabRFR[[2021]:[2025]],MATCH(BD!U495&amp;"-Intermédiaire",TabRFR[Recherche RFR],0),MATCH(TEXT(YEAR(BD!H495),"Standard"),TabRFR[[#Headers],[2021]:[2025]],0)),"Intermédiaire","Supérieur")))))))</f>
        <v>Modeste</v>
      </c>
      <c r="X495" s="144"/>
      <c r="Y495" s="135" t="s">
        <v>2226</v>
      </c>
      <c r="Z495" s="144">
        <v>38620</v>
      </c>
      <c r="AA495" s="143" t="s">
        <v>1239</v>
      </c>
      <c r="AB495" s="148"/>
      <c r="AC495" s="149"/>
      <c r="AD495" s="135" t="s">
        <v>91</v>
      </c>
      <c r="AE495" s="135"/>
      <c r="AF495" s="135"/>
      <c r="AG495" s="135"/>
      <c r="AH495" s="135"/>
      <c r="AI495" s="135" t="s">
        <v>285</v>
      </c>
      <c r="AJ495" s="135" t="s">
        <v>108</v>
      </c>
      <c r="AK495" s="135" t="s">
        <v>2227</v>
      </c>
      <c r="AL495" s="170" t="s">
        <v>287</v>
      </c>
      <c r="AM495" s="135" t="s">
        <v>2184</v>
      </c>
      <c r="AN495" s="135"/>
      <c r="AO495" s="135" t="s">
        <v>102</v>
      </c>
      <c r="AP495" s="135">
        <v>44822</v>
      </c>
      <c r="AQ495" s="135" t="s">
        <v>3449</v>
      </c>
      <c r="AR495" s="143">
        <v>1983</v>
      </c>
      <c r="AS495" s="143" t="s">
        <v>3413</v>
      </c>
      <c r="AT495" s="135" t="s">
        <v>3446</v>
      </c>
      <c r="AU495" s="135" t="s">
        <v>532</v>
      </c>
      <c r="AV495" s="135" t="s">
        <v>2228</v>
      </c>
      <c r="AW495" s="143">
        <v>40</v>
      </c>
      <c r="AX495" s="143">
        <v>6</v>
      </c>
      <c r="AY495" s="143">
        <v>83.6</v>
      </c>
      <c r="AZ495" s="143">
        <v>7.3599999999999999E-2</v>
      </c>
      <c r="BA495" s="135" t="s">
        <v>101</v>
      </c>
      <c r="BB495" s="135"/>
      <c r="BC495" s="151">
        <f>SUM(506+275+89+3110)</f>
        <v>3980</v>
      </c>
      <c r="BD495" s="135"/>
      <c r="BE495" s="151">
        <f>SUM(490)</f>
        <v>490</v>
      </c>
      <c r="BF495" s="151">
        <f t="shared" si="34"/>
        <v>4470</v>
      </c>
      <c r="BG495" s="151">
        <f t="shared" si="35"/>
        <v>245.85</v>
      </c>
      <c r="BH495" s="151">
        <f t="shared" si="36"/>
        <v>4715.8500000000004</v>
      </c>
      <c r="BI495" s="151">
        <v>4715.8599999999997</v>
      </c>
      <c r="BJ495" s="135" t="s">
        <v>144</v>
      </c>
      <c r="BK495" s="135"/>
      <c r="BL495" s="135"/>
      <c r="BM495" s="144" t="s">
        <v>3592</v>
      </c>
      <c r="BN495" s="143">
        <v>2022</v>
      </c>
      <c r="BO495" s="135" t="s">
        <v>155</v>
      </c>
      <c r="BP495" s="144">
        <v>2022</v>
      </c>
      <c r="BQ495" s="203" t="s">
        <v>144</v>
      </c>
    </row>
    <row r="496" spans="1:69" ht="41.1" customHeight="1">
      <c r="A496" s="218" t="s">
        <v>1353</v>
      </c>
      <c r="B496" s="218" t="s">
        <v>2229</v>
      </c>
      <c r="C496" s="143">
        <v>600</v>
      </c>
      <c r="D496" s="135">
        <v>44781</v>
      </c>
      <c r="E496" s="135">
        <v>44783</v>
      </c>
      <c r="F496" s="135">
        <v>44790</v>
      </c>
      <c r="G496" s="143" t="s">
        <v>2230</v>
      </c>
      <c r="H496" s="135">
        <v>44798</v>
      </c>
      <c r="I496" s="135">
        <v>44798</v>
      </c>
      <c r="J496" s="135">
        <v>44823</v>
      </c>
      <c r="K496" s="135">
        <v>44846</v>
      </c>
      <c r="L496" s="135">
        <v>44824</v>
      </c>
      <c r="M496" s="135" t="s">
        <v>76</v>
      </c>
      <c r="N496" s="135">
        <v>44873</v>
      </c>
      <c r="O496" s="135">
        <v>44873</v>
      </c>
      <c r="P496" s="135">
        <v>44879</v>
      </c>
      <c r="Q496" s="135"/>
      <c r="R496" s="135"/>
      <c r="S496" s="135"/>
      <c r="T496" s="135"/>
      <c r="U496" s="144">
        <v>5</v>
      </c>
      <c r="V496" s="143">
        <v>181799</v>
      </c>
      <c r="W496" s="143" t="str">
        <f ca="1">IF(H496="",IF(D496="","",IF(U496+V496&lt;15,"Données Nb pers ou RFR manquantes",IF(COUNTA(INDIRECT("TabRFR["&amp;YEAR(D496)&amp;"]"))&lt;&gt;COUNTA(TabRFR[Recherche RFR]),"Data RFR manquantes", IF(V496&lt;=INDEX(TabRFR[[2021]:[2025]],MATCH(BD!U496&amp;"-Très modestes",TabRFR[Recherche RFR],0),MATCH(TEXT(YEAR(BD!D496),"Standard"),TabRFR[[#Headers],[2021]:[2025]],0)),"Très Modeste",IF(V496&lt;=INDEX(TabRFR[[2021]:[2025]],MATCH(BD!U496&amp;"-modestes",TabRFR[Recherche RFR],0),MATCH(TEXT(YEAR(BD!D496),"Standard"),TabRFR[[#Headers],[2021]:[2025]],0)),"Modeste",IF(V496&lt;=INDEX(TabRFR[[2021]:[2025]],MATCH(BD!U496&amp;"-Intermédiaire",TabRFR[Recherche RFR],0),MATCH(TEXT(YEAR(BD!D496),"Standard"),TabRFR[[#Headers],[2021]:[2025]],0)),"Intermédiaire","Supérieur")))))),IF(D496="","",IF(U496+V496&lt;15,"Données Nb pers ou RFR manquantes",IF(COUNTA(INDIRECT("TabRFR["&amp;YEAR(H496)&amp;"]"))&lt;&gt;COUNTA(TabRFR[Recherche RFR]),"Data RFR manquantes", IF(V496&lt;=INDEX(TabRFR[[2021]:[2025]],MATCH(BD!U496&amp;"-Très modestes",TabRFR[Recherche RFR],0),MATCH(TEXT(YEAR(BD!H496),"Standard"),TabRFR[[#Headers],[2021]:[2025]],0)),"Très Modeste",IF(V496&lt;=INDEX(TabRFR[[2021]:[2025]],MATCH(BD!U496&amp;"-modestes",TabRFR[Recherche RFR],0),MATCH(TEXT(YEAR(BD!H496),"Standard"),TabRFR[[#Headers],[2021]:[2025]],0)),"Modeste",IF(V496&lt;=INDEX(TabRFR[[2021]:[2025]],MATCH(BD!U496&amp;"-Intermédiaire",TabRFR[Recherche RFR],0),MATCH(TEXT(YEAR(BD!H496),"Standard"),TabRFR[[#Headers],[2021]:[2025]],0)),"Intermédiaire","Supérieur")))))))</f>
        <v>Supérieur</v>
      </c>
      <c r="X496" s="144"/>
      <c r="Y496" s="135" t="s">
        <v>2231</v>
      </c>
      <c r="Z496" s="144">
        <v>38960</v>
      </c>
      <c r="AA496" s="143" t="s">
        <v>360</v>
      </c>
      <c r="AB496" s="148"/>
      <c r="AC496" s="149"/>
      <c r="AD496" s="135" t="s">
        <v>91</v>
      </c>
      <c r="AE496" s="135"/>
      <c r="AF496" s="135"/>
      <c r="AG496" s="135"/>
      <c r="AH496" s="135"/>
      <c r="AI496" s="135" t="s">
        <v>120</v>
      </c>
      <c r="AJ496" s="135" t="s">
        <v>121</v>
      </c>
      <c r="AK496" s="135" t="s">
        <v>2232</v>
      </c>
      <c r="AL496" s="170" t="s">
        <v>123</v>
      </c>
      <c r="AM496" s="135" t="s">
        <v>1469</v>
      </c>
      <c r="AN496" s="135" t="s">
        <v>2233</v>
      </c>
      <c r="AO496" s="135" t="s">
        <v>102</v>
      </c>
      <c r="AP496" s="135">
        <v>45147</v>
      </c>
      <c r="AQ496" s="135" t="s">
        <v>3449</v>
      </c>
      <c r="AR496" s="135" t="s">
        <v>172</v>
      </c>
      <c r="AS496" s="135" t="s">
        <v>3496</v>
      </c>
      <c r="AT496" s="135" t="s">
        <v>3446</v>
      </c>
      <c r="AU496" s="135" t="s">
        <v>2216</v>
      </c>
      <c r="AV496" s="135" t="s">
        <v>2234</v>
      </c>
      <c r="AW496" s="143">
        <v>20</v>
      </c>
      <c r="AX496" s="143">
        <v>16</v>
      </c>
      <c r="AY496" s="143">
        <v>76</v>
      </c>
      <c r="AZ496" s="135"/>
      <c r="BA496" s="135" t="s">
        <v>1401</v>
      </c>
      <c r="BB496" s="135"/>
      <c r="BC496" s="151">
        <f>SUM(4384.83+80.57+597.16+65.4+142.18+85.31)</f>
        <v>5355.45</v>
      </c>
      <c r="BD496" s="135"/>
      <c r="BE496" s="151">
        <f>SUM(796.21)</f>
        <v>796.21</v>
      </c>
      <c r="BF496" s="151">
        <f t="shared" si="34"/>
        <v>6151.66</v>
      </c>
      <c r="BG496" s="151">
        <f t="shared" si="35"/>
        <v>338.34129999999999</v>
      </c>
      <c r="BH496" s="151">
        <f t="shared" si="36"/>
        <v>6490.0012999999999</v>
      </c>
      <c r="BI496" s="151">
        <v>6766</v>
      </c>
      <c r="BJ496" s="135" t="s">
        <v>144</v>
      </c>
      <c r="BK496" s="135"/>
      <c r="BL496" s="135"/>
      <c r="BM496" s="144" t="s">
        <v>3592</v>
      </c>
      <c r="BN496" s="143">
        <v>2022</v>
      </c>
      <c r="BO496" s="144" t="s">
        <v>143</v>
      </c>
      <c r="BP496" s="144">
        <v>2022</v>
      </c>
      <c r="BQ496" s="203" t="s">
        <v>144</v>
      </c>
    </row>
    <row r="497" spans="1:69" ht="41.1" customHeight="1">
      <c r="A497" s="218" t="s">
        <v>1353</v>
      </c>
      <c r="B497" s="218" t="s">
        <v>2235</v>
      </c>
      <c r="C497" s="143">
        <v>600</v>
      </c>
      <c r="D497" s="135">
        <v>44795</v>
      </c>
      <c r="E497" s="135">
        <v>44795</v>
      </c>
      <c r="F497" s="135">
        <v>44818</v>
      </c>
      <c r="G497" s="143" t="s">
        <v>2236</v>
      </c>
      <c r="H497" s="135">
        <v>44831</v>
      </c>
      <c r="I497" s="135">
        <v>44831</v>
      </c>
      <c r="J497" s="135">
        <v>44834</v>
      </c>
      <c r="K497" s="135">
        <v>44911</v>
      </c>
      <c r="L497" s="135">
        <v>44884</v>
      </c>
      <c r="M497" s="135" t="s">
        <v>76</v>
      </c>
      <c r="N497" s="135">
        <v>44915</v>
      </c>
      <c r="O497" s="135">
        <v>44915</v>
      </c>
      <c r="P497" s="135">
        <v>44932</v>
      </c>
      <c r="Q497" s="135"/>
      <c r="R497" s="135"/>
      <c r="S497" s="135"/>
      <c r="T497" s="135"/>
      <c r="U497" s="144">
        <v>2</v>
      </c>
      <c r="V497" s="143">
        <v>41419</v>
      </c>
      <c r="W497" s="143" t="str">
        <f ca="1">IF(H497="",IF(D497="","",IF(U497+V497&lt;15,"Données Nb pers ou RFR manquantes",IF(COUNTA(INDIRECT("TabRFR["&amp;YEAR(D497)&amp;"]"))&lt;&gt;COUNTA(TabRFR[Recherche RFR]),"Data RFR manquantes", IF(V497&lt;=INDEX(TabRFR[[2021]:[2025]],MATCH(BD!U497&amp;"-Très modestes",TabRFR[Recherche RFR],0),MATCH(TEXT(YEAR(BD!D497),"Standard"),TabRFR[[#Headers],[2021]:[2025]],0)),"Très Modeste",IF(V497&lt;=INDEX(TabRFR[[2021]:[2025]],MATCH(BD!U497&amp;"-modestes",TabRFR[Recherche RFR],0),MATCH(TEXT(YEAR(BD!D497),"Standard"),TabRFR[[#Headers],[2021]:[2025]],0)),"Modeste",IF(V497&lt;=INDEX(TabRFR[[2021]:[2025]],MATCH(BD!U497&amp;"-Intermédiaire",TabRFR[Recherche RFR],0),MATCH(TEXT(YEAR(BD!D497),"Standard"),TabRFR[[#Headers],[2021]:[2025]],0)),"Intermédiaire","Supérieur")))))),IF(D497="","",IF(U497+V497&lt;15,"Données Nb pers ou RFR manquantes",IF(COUNTA(INDIRECT("TabRFR["&amp;YEAR(H497)&amp;"]"))&lt;&gt;COUNTA(TabRFR[Recherche RFR]),"Data RFR manquantes", IF(V497&lt;=INDEX(TabRFR[[2021]:[2025]],MATCH(BD!U497&amp;"-Très modestes",TabRFR[Recherche RFR],0),MATCH(TEXT(YEAR(BD!H497),"Standard"),TabRFR[[#Headers],[2021]:[2025]],0)),"Très Modeste",IF(V497&lt;=INDEX(TabRFR[[2021]:[2025]],MATCH(BD!U497&amp;"-modestes",TabRFR[Recherche RFR],0),MATCH(TEXT(YEAR(BD!H497),"Standard"),TabRFR[[#Headers],[2021]:[2025]],0)),"Modeste",IF(V497&lt;=INDEX(TabRFR[[2021]:[2025]],MATCH(BD!U497&amp;"-Intermédiaire",TabRFR[Recherche RFR],0),MATCH(TEXT(YEAR(BD!H497),"Standard"),TabRFR[[#Headers],[2021]:[2025]],0)),"Intermédiaire","Supérieur")))))))</f>
        <v>Intermédiaire</v>
      </c>
      <c r="X497" s="144"/>
      <c r="Y497" s="135" t="s">
        <v>2237</v>
      </c>
      <c r="Z497" s="144">
        <v>38960</v>
      </c>
      <c r="AA497" s="143" t="s">
        <v>360</v>
      </c>
      <c r="AB497" s="148"/>
      <c r="AC497" s="149"/>
      <c r="AD497" s="135" t="s">
        <v>91</v>
      </c>
      <c r="AE497" s="135"/>
      <c r="AF497" s="135"/>
      <c r="AG497" s="135"/>
      <c r="AH497" s="135"/>
      <c r="AI497" s="135" t="s">
        <v>160</v>
      </c>
      <c r="AJ497" s="135" t="s">
        <v>161</v>
      </c>
      <c r="AK497" s="135" t="s">
        <v>2238</v>
      </c>
      <c r="AL497" s="170" t="s">
        <v>228</v>
      </c>
      <c r="AM497" s="135" t="s">
        <v>2239</v>
      </c>
      <c r="AN497" s="135"/>
      <c r="AO497" s="135" t="s">
        <v>102</v>
      </c>
      <c r="AP497" s="135">
        <v>45006</v>
      </c>
      <c r="AQ497" s="135" t="s">
        <v>3496</v>
      </c>
      <c r="AR497" s="135" t="s">
        <v>172</v>
      </c>
      <c r="AS497" s="143" t="s">
        <v>3413</v>
      </c>
      <c r="AT497" s="135" t="s">
        <v>3446</v>
      </c>
      <c r="AU497" s="135" t="s">
        <v>164</v>
      </c>
      <c r="AV497" s="135" t="s">
        <v>2240</v>
      </c>
      <c r="AW497" s="143">
        <v>38</v>
      </c>
      <c r="AX497" s="143">
        <v>8.5</v>
      </c>
      <c r="AY497" s="143">
        <v>75.400000000000006</v>
      </c>
      <c r="AZ497" s="143">
        <v>0.08</v>
      </c>
      <c r="BA497" s="135" t="s">
        <v>101</v>
      </c>
      <c r="BB497" s="135"/>
      <c r="BC497" s="151">
        <f>SUM(1988+2570+417)</f>
        <v>4975</v>
      </c>
      <c r="BD497" s="135"/>
      <c r="BE497" s="151">
        <v>995</v>
      </c>
      <c r="BF497" s="151">
        <f t="shared" si="34"/>
        <v>5970</v>
      </c>
      <c r="BG497" s="151">
        <f t="shared" si="35"/>
        <v>328.35</v>
      </c>
      <c r="BH497" s="143">
        <f t="shared" si="36"/>
        <v>6298.35</v>
      </c>
      <c r="BI497" s="151">
        <v>6000</v>
      </c>
      <c r="BJ497" s="135" t="s">
        <v>144</v>
      </c>
      <c r="BK497" s="135"/>
      <c r="BL497" s="135"/>
      <c r="BM497" s="144" t="s">
        <v>3592</v>
      </c>
      <c r="BN497" s="143">
        <v>2022</v>
      </c>
      <c r="BO497" s="144" t="s">
        <v>143</v>
      </c>
      <c r="BP497" s="144">
        <v>2022</v>
      </c>
      <c r="BQ497" s="203" t="s">
        <v>144</v>
      </c>
    </row>
    <row r="498" spans="1:69" ht="41.1" customHeight="1">
      <c r="A498" s="218" t="s">
        <v>1353</v>
      </c>
      <c r="B498" s="218" t="s">
        <v>2241</v>
      </c>
      <c r="C498" s="143">
        <v>1000</v>
      </c>
      <c r="D498" s="135">
        <v>44795</v>
      </c>
      <c r="E498" s="135">
        <v>44795</v>
      </c>
      <c r="F498" s="135"/>
      <c r="G498" s="143"/>
      <c r="H498" s="135">
        <v>44818</v>
      </c>
      <c r="I498" s="135">
        <v>44818</v>
      </c>
      <c r="J498" s="135">
        <v>44830</v>
      </c>
      <c r="K498" s="135">
        <v>44852</v>
      </c>
      <c r="L498" s="135">
        <v>44834</v>
      </c>
      <c r="M498" s="135" t="s">
        <v>76</v>
      </c>
      <c r="N498" s="135">
        <v>44874</v>
      </c>
      <c r="O498" s="135">
        <v>44874</v>
      </c>
      <c r="P498" s="135">
        <v>44879</v>
      </c>
      <c r="Q498" s="135"/>
      <c r="R498" s="135"/>
      <c r="S498" s="135"/>
      <c r="T498" s="135"/>
      <c r="U498" s="144">
        <v>3</v>
      </c>
      <c r="V498" s="143">
        <v>14607</v>
      </c>
      <c r="W498" s="143" t="str">
        <f ca="1">IF(H498="",IF(D498="","",IF(U498+V498&lt;15,"Données Nb pers ou RFR manquantes",IF(COUNTA(INDIRECT("TabRFR["&amp;YEAR(D498)&amp;"]"))&lt;&gt;COUNTA(TabRFR[Recherche RFR]),"Data RFR manquantes", IF(V498&lt;=INDEX(TabRFR[[2021]:[2025]],MATCH(BD!U498&amp;"-Très modestes",TabRFR[Recherche RFR],0),MATCH(TEXT(YEAR(BD!D498),"Standard"),TabRFR[[#Headers],[2021]:[2025]],0)),"Très Modeste",IF(V498&lt;=INDEX(TabRFR[[2021]:[2025]],MATCH(BD!U498&amp;"-modestes",TabRFR[Recherche RFR],0),MATCH(TEXT(YEAR(BD!D498),"Standard"),TabRFR[[#Headers],[2021]:[2025]],0)),"Modeste",IF(V498&lt;=INDEX(TabRFR[[2021]:[2025]],MATCH(BD!U498&amp;"-Intermédiaire",TabRFR[Recherche RFR],0),MATCH(TEXT(YEAR(BD!D498),"Standard"),TabRFR[[#Headers],[2021]:[2025]],0)),"Intermédiaire","Supérieur")))))),IF(D498="","",IF(U498+V498&lt;15,"Données Nb pers ou RFR manquantes",IF(COUNTA(INDIRECT("TabRFR["&amp;YEAR(H498)&amp;"]"))&lt;&gt;COUNTA(TabRFR[Recherche RFR]),"Data RFR manquantes", IF(V498&lt;=INDEX(TabRFR[[2021]:[2025]],MATCH(BD!U498&amp;"-Très modestes",TabRFR[Recherche RFR],0),MATCH(TEXT(YEAR(BD!H498),"Standard"),TabRFR[[#Headers],[2021]:[2025]],0)),"Très Modeste",IF(V498&lt;=INDEX(TabRFR[[2021]:[2025]],MATCH(BD!U498&amp;"-modestes",TabRFR[Recherche RFR],0),MATCH(TEXT(YEAR(BD!H498),"Standard"),TabRFR[[#Headers],[2021]:[2025]],0)),"Modeste",IF(V498&lt;=INDEX(TabRFR[[2021]:[2025]],MATCH(BD!U498&amp;"-Intermédiaire",TabRFR[Recherche RFR],0),MATCH(TEXT(YEAR(BD!H498),"Standard"),TabRFR[[#Headers],[2021]:[2025]],0)),"Intermédiaire","Supérieur")))))))</f>
        <v>Très Modeste</v>
      </c>
      <c r="X498" s="144"/>
      <c r="Y498" s="135" t="s">
        <v>2242</v>
      </c>
      <c r="Z498" s="144">
        <v>38140</v>
      </c>
      <c r="AA498" s="135" t="s">
        <v>184</v>
      </c>
      <c r="AB498" s="148"/>
      <c r="AC498" s="149"/>
      <c r="AD498" s="135" t="s">
        <v>91</v>
      </c>
      <c r="AE498" s="135"/>
      <c r="AF498" s="135"/>
      <c r="AG498" s="135"/>
      <c r="AH498" s="135"/>
      <c r="AI498" s="135" t="s">
        <v>220</v>
      </c>
      <c r="AJ498" s="135" t="s">
        <v>108</v>
      </c>
      <c r="AK498" s="135" t="s">
        <v>2243</v>
      </c>
      <c r="AL498" s="170" t="s">
        <v>1947</v>
      </c>
      <c r="AM498" s="135" t="s">
        <v>2244</v>
      </c>
      <c r="AN498" s="135"/>
      <c r="AO498" s="135" t="s">
        <v>102</v>
      </c>
      <c r="AP498" s="135">
        <v>45159</v>
      </c>
      <c r="AQ498" s="135" t="s">
        <v>3496</v>
      </c>
      <c r="AR498" s="135">
        <v>1995</v>
      </c>
      <c r="AS498" s="143" t="s">
        <v>3413</v>
      </c>
      <c r="AT498" s="135" t="s">
        <v>3446</v>
      </c>
      <c r="AU498" s="135" t="s">
        <v>223</v>
      </c>
      <c r="AV498" s="135" t="s">
        <v>2245</v>
      </c>
      <c r="AW498" s="143">
        <v>22</v>
      </c>
      <c r="AX498" s="143">
        <v>8.5</v>
      </c>
      <c r="AY498" s="143">
        <v>78</v>
      </c>
      <c r="AZ498" s="143">
        <v>5.04E-2</v>
      </c>
      <c r="BA498" s="135" t="s">
        <v>101</v>
      </c>
      <c r="BB498" s="135"/>
      <c r="BC498" s="151">
        <f>SUM(30+590+35+265+352+2990+120+115+78+96+32+30+60+15)</f>
        <v>4808</v>
      </c>
      <c r="BD498" s="135"/>
      <c r="BE498" s="151">
        <f>SUM(48+380)</f>
        <v>428</v>
      </c>
      <c r="BF498" s="151">
        <f t="shared" si="34"/>
        <v>5236</v>
      </c>
      <c r="BG498" s="151">
        <f t="shared" si="35"/>
        <v>287.98</v>
      </c>
      <c r="BH498" s="143">
        <f t="shared" si="36"/>
        <v>5523.98</v>
      </c>
      <c r="BI498" s="151">
        <v>5422.7</v>
      </c>
      <c r="BJ498" s="135" t="s">
        <v>144</v>
      </c>
      <c r="BK498" s="135"/>
      <c r="BL498" s="135"/>
      <c r="BM498" s="144" t="s">
        <v>3592</v>
      </c>
      <c r="BN498" s="143">
        <v>2022</v>
      </c>
      <c r="BO498" s="135" t="s">
        <v>155</v>
      </c>
      <c r="BP498" s="144">
        <v>2022</v>
      </c>
      <c r="BQ498" s="203" t="s">
        <v>144</v>
      </c>
    </row>
    <row r="499" spans="1:69" ht="41.1" customHeight="1">
      <c r="A499" s="219" t="s">
        <v>1353</v>
      </c>
      <c r="B499" s="219" t="s">
        <v>2246</v>
      </c>
      <c r="C499" s="143">
        <v>600</v>
      </c>
      <c r="D499" s="135">
        <v>44796</v>
      </c>
      <c r="E499" s="135">
        <v>44798</v>
      </c>
      <c r="F499" s="135">
        <v>44818</v>
      </c>
      <c r="G499" s="143" t="s">
        <v>2247</v>
      </c>
      <c r="H499" s="135">
        <v>44831</v>
      </c>
      <c r="I499" s="135">
        <v>44831</v>
      </c>
      <c r="J499" s="135">
        <v>44834</v>
      </c>
      <c r="K499" s="135"/>
      <c r="L499" s="135"/>
      <c r="M499" s="135" t="s">
        <v>3393</v>
      </c>
      <c r="N499" s="135"/>
      <c r="O499" s="135"/>
      <c r="P499" s="135"/>
      <c r="Q499" s="135"/>
      <c r="R499" s="135"/>
      <c r="S499" s="135"/>
      <c r="T499" s="135"/>
      <c r="U499" s="144">
        <v>3</v>
      </c>
      <c r="V499" s="143">
        <v>81442</v>
      </c>
      <c r="W499" s="143" t="str">
        <f ca="1">IF(H499="",IF(D499="","",IF(U499+V499&lt;15,"Données Nb pers ou RFR manquantes",IF(COUNTA(INDIRECT("TabRFR["&amp;YEAR(D499)&amp;"]"))&lt;&gt;COUNTA(TabRFR[Recherche RFR]),"Data RFR manquantes", IF(V499&lt;=INDEX(TabRFR[[2021]:[2025]],MATCH(BD!U499&amp;"-Très modestes",TabRFR[Recherche RFR],0),MATCH(TEXT(YEAR(BD!D499),"Standard"),TabRFR[[#Headers],[2021]:[2025]],0)),"Très Modeste",IF(V499&lt;=INDEX(TabRFR[[2021]:[2025]],MATCH(BD!U499&amp;"-modestes",TabRFR[Recherche RFR],0),MATCH(TEXT(YEAR(BD!D499),"Standard"),TabRFR[[#Headers],[2021]:[2025]],0)),"Modeste",IF(V499&lt;=INDEX(TabRFR[[2021]:[2025]],MATCH(BD!U499&amp;"-Intermédiaire",TabRFR[Recherche RFR],0),MATCH(TEXT(YEAR(BD!D499),"Standard"),TabRFR[[#Headers],[2021]:[2025]],0)),"Intermédiaire","Supérieur")))))),IF(D499="","",IF(U499+V499&lt;15,"Données Nb pers ou RFR manquantes",IF(COUNTA(INDIRECT("TabRFR["&amp;YEAR(H499)&amp;"]"))&lt;&gt;COUNTA(TabRFR[Recherche RFR]),"Data RFR manquantes", IF(V499&lt;=INDEX(TabRFR[[2021]:[2025]],MATCH(BD!U499&amp;"-Très modestes",TabRFR[Recherche RFR],0),MATCH(TEXT(YEAR(BD!H499),"Standard"),TabRFR[[#Headers],[2021]:[2025]],0)),"Très Modeste",IF(V499&lt;=INDEX(TabRFR[[2021]:[2025]],MATCH(BD!U499&amp;"-modestes",TabRFR[Recherche RFR],0),MATCH(TEXT(YEAR(BD!H499),"Standard"),TabRFR[[#Headers],[2021]:[2025]],0)),"Modeste",IF(V499&lt;=INDEX(TabRFR[[2021]:[2025]],MATCH(BD!U499&amp;"-Intermédiaire",TabRFR[Recherche RFR],0),MATCH(TEXT(YEAR(BD!H499),"Standard"),TabRFR[[#Headers],[2021]:[2025]],0)),"Intermédiaire","Supérieur")))))))</f>
        <v>Supérieur</v>
      </c>
      <c r="X499" s="144"/>
      <c r="Y499" s="135" t="s">
        <v>2248</v>
      </c>
      <c r="Z499" s="144">
        <v>38500</v>
      </c>
      <c r="AA499" s="135" t="s">
        <v>134</v>
      </c>
      <c r="AB499" s="148"/>
      <c r="AC499" s="149"/>
      <c r="AD499" s="135"/>
      <c r="AE499" s="135"/>
      <c r="AF499" s="135"/>
      <c r="AG499" s="135"/>
      <c r="AH499" s="135"/>
      <c r="AI499" s="135" t="s">
        <v>2249</v>
      </c>
      <c r="AJ499" s="135" t="s">
        <v>266</v>
      </c>
      <c r="AK499" s="135" t="s">
        <v>2250</v>
      </c>
      <c r="AL499" s="170" t="s">
        <v>2251</v>
      </c>
      <c r="AM499" s="135" t="s">
        <v>2252</v>
      </c>
      <c r="AN499" s="135"/>
      <c r="AO499" s="135" t="s">
        <v>1391</v>
      </c>
      <c r="AP499" s="135">
        <v>45102</v>
      </c>
      <c r="AQ499" s="135" t="s">
        <v>3449</v>
      </c>
      <c r="AR499" s="135" t="s">
        <v>172</v>
      </c>
      <c r="AS499" s="143" t="s">
        <v>3413</v>
      </c>
      <c r="AT499" s="135" t="s">
        <v>3446</v>
      </c>
      <c r="AU499" s="135" t="s">
        <v>2253</v>
      </c>
      <c r="AV499" s="135" t="s">
        <v>2254</v>
      </c>
      <c r="AW499" s="143">
        <v>21</v>
      </c>
      <c r="AX499" s="143">
        <v>6</v>
      </c>
      <c r="AY499" s="143">
        <v>80</v>
      </c>
      <c r="AZ499" s="143">
        <v>0.04</v>
      </c>
      <c r="BA499" s="135" t="s">
        <v>101</v>
      </c>
      <c r="BB499" s="135"/>
      <c r="BC499" s="151">
        <f>SUM(2806+49+95.1+45+243+86.4+94+50+54+171+144+1113+60+120+29)</f>
        <v>5159.5</v>
      </c>
      <c r="BD499" s="135"/>
      <c r="BE499" s="151">
        <v>1440</v>
      </c>
      <c r="BF499" s="151">
        <f t="shared" si="34"/>
        <v>6599.5</v>
      </c>
      <c r="BG499" s="151">
        <f t="shared" si="35"/>
        <v>362.97250000000003</v>
      </c>
      <c r="BH499" s="151">
        <f t="shared" si="36"/>
        <v>6962.4724999999999</v>
      </c>
      <c r="BI499" s="135"/>
      <c r="BJ499" s="135" t="s">
        <v>144</v>
      </c>
      <c r="BK499" s="135"/>
      <c r="BL499" s="135"/>
      <c r="BM499" s="144" t="s">
        <v>3592</v>
      </c>
      <c r="BN499" s="143">
        <v>2022</v>
      </c>
      <c r="BO499" s="144" t="s">
        <v>143</v>
      </c>
      <c r="BP499" s="144">
        <v>2022</v>
      </c>
      <c r="BQ499" s="203"/>
    </row>
    <row r="500" spans="1:69" ht="41.1" customHeight="1">
      <c r="A500" s="218" t="s">
        <v>1353</v>
      </c>
      <c r="B500" s="218" t="s">
        <v>2255</v>
      </c>
      <c r="C500" s="143">
        <v>600</v>
      </c>
      <c r="D500" s="135">
        <v>44802</v>
      </c>
      <c r="E500" s="135">
        <v>44802</v>
      </c>
      <c r="F500" s="135">
        <v>44818</v>
      </c>
      <c r="G500" s="143" t="s">
        <v>2256</v>
      </c>
      <c r="H500" s="135">
        <v>44831</v>
      </c>
      <c r="I500" s="135">
        <v>44831</v>
      </c>
      <c r="J500" s="135">
        <v>44834</v>
      </c>
      <c r="K500" s="135">
        <v>44932</v>
      </c>
      <c r="L500" s="135">
        <v>44873</v>
      </c>
      <c r="M500" s="135" t="s">
        <v>2257</v>
      </c>
      <c r="N500" s="135">
        <v>45181</v>
      </c>
      <c r="O500" s="135">
        <v>45181</v>
      </c>
      <c r="P500" s="135">
        <v>45197</v>
      </c>
      <c r="Q500" s="135"/>
      <c r="R500" s="135"/>
      <c r="S500" s="135"/>
      <c r="T500" s="135"/>
      <c r="U500" s="144">
        <v>2</v>
      </c>
      <c r="V500" s="143">
        <v>71078</v>
      </c>
      <c r="W500" s="143" t="str">
        <f ca="1">IF(H500="",IF(D500="","",IF(U500+V500&lt;15,"Données Nb pers ou RFR manquantes",IF(COUNTA(INDIRECT("TabRFR["&amp;YEAR(D500)&amp;"]"))&lt;&gt;COUNTA(TabRFR[Recherche RFR]),"Data RFR manquantes", IF(V500&lt;=INDEX(TabRFR[[2021]:[2025]],MATCH(BD!U500&amp;"-Très modestes",TabRFR[Recherche RFR],0),MATCH(TEXT(YEAR(BD!D500),"Standard"),TabRFR[[#Headers],[2021]:[2025]],0)),"Très Modeste",IF(V500&lt;=INDEX(TabRFR[[2021]:[2025]],MATCH(BD!U500&amp;"-modestes",TabRFR[Recherche RFR],0),MATCH(TEXT(YEAR(BD!D500),"Standard"),TabRFR[[#Headers],[2021]:[2025]],0)),"Modeste",IF(V500&lt;=INDEX(TabRFR[[2021]:[2025]],MATCH(BD!U500&amp;"-Intermédiaire",TabRFR[Recherche RFR],0),MATCH(TEXT(YEAR(BD!D500),"Standard"),TabRFR[[#Headers],[2021]:[2025]],0)),"Intermédiaire","Supérieur")))))),IF(D500="","",IF(U500+V500&lt;15,"Données Nb pers ou RFR manquantes",IF(COUNTA(INDIRECT("TabRFR["&amp;YEAR(H500)&amp;"]"))&lt;&gt;COUNTA(TabRFR[Recherche RFR]),"Data RFR manquantes", IF(V500&lt;=INDEX(TabRFR[[2021]:[2025]],MATCH(BD!U500&amp;"-Très modestes",TabRFR[Recherche RFR],0),MATCH(TEXT(YEAR(BD!H500),"Standard"),TabRFR[[#Headers],[2021]:[2025]],0)),"Très Modeste",IF(V500&lt;=INDEX(TabRFR[[2021]:[2025]],MATCH(BD!U500&amp;"-modestes",TabRFR[Recherche RFR],0),MATCH(TEXT(YEAR(BD!H500),"Standard"),TabRFR[[#Headers],[2021]:[2025]],0)),"Modeste",IF(V500&lt;=INDEX(TabRFR[[2021]:[2025]],MATCH(BD!U500&amp;"-Intermédiaire",TabRFR[Recherche RFR],0),MATCH(TEXT(YEAR(BD!H500),"Standard"),TabRFR[[#Headers],[2021]:[2025]],0)),"Intermédiaire","Supérieur")))))))</f>
        <v>Supérieur</v>
      </c>
      <c r="X500" s="144"/>
      <c r="Y500" s="135" t="s">
        <v>2258</v>
      </c>
      <c r="Z500" s="144">
        <v>38960</v>
      </c>
      <c r="AA500" s="143" t="s">
        <v>209</v>
      </c>
      <c r="AB500" s="148"/>
      <c r="AC500" s="149"/>
      <c r="AD500" s="135" t="s">
        <v>91</v>
      </c>
      <c r="AE500" s="135"/>
      <c r="AF500" s="135"/>
      <c r="AG500" s="135"/>
      <c r="AH500" s="135"/>
      <c r="AI500" s="135" t="s">
        <v>2259</v>
      </c>
      <c r="AJ500" s="135" t="s">
        <v>2260</v>
      </c>
      <c r="AK500" s="135" t="s">
        <v>2261</v>
      </c>
      <c r="AL500" s="170" t="s">
        <v>2262</v>
      </c>
      <c r="AM500" s="135" t="s">
        <v>2263</v>
      </c>
      <c r="AN500" s="135" t="s">
        <v>76</v>
      </c>
      <c r="AO500" s="135" t="s">
        <v>102</v>
      </c>
      <c r="AP500" s="135">
        <v>44844</v>
      </c>
      <c r="AQ500" s="143" t="s">
        <v>3413</v>
      </c>
      <c r="AR500" s="135" t="s">
        <v>172</v>
      </c>
      <c r="AS500" s="143" t="s">
        <v>3413</v>
      </c>
      <c r="AT500" s="135" t="s">
        <v>3446</v>
      </c>
      <c r="AU500" s="135" t="s">
        <v>334</v>
      </c>
      <c r="AV500" s="135" t="s">
        <v>2264</v>
      </c>
      <c r="AW500" s="143">
        <v>15</v>
      </c>
      <c r="AX500" s="143">
        <v>11</v>
      </c>
      <c r="AY500" s="143">
        <v>78</v>
      </c>
      <c r="AZ500" s="143">
        <v>0.09</v>
      </c>
      <c r="BA500" s="135" t="s">
        <v>101</v>
      </c>
      <c r="BB500" s="135"/>
      <c r="BC500" s="151">
        <f>SUM(3779.146+1387.677)</f>
        <v>5166.8230000000003</v>
      </c>
      <c r="BD500" s="135"/>
      <c r="BE500" s="151">
        <v>800</v>
      </c>
      <c r="BF500" s="151">
        <f t="shared" si="34"/>
        <v>5966.8230000000003</v>
      </c>
      <c r="BG500" s="151">
        <f t="shared" si="35"/>
        <v>328.17526500000002</v>
      </c>
      <c r="BH500" s="151">
        <f t="shared" si="36"/>
        <v>6294.9982650000002</v>
      </c>
      <c r="BI500" s="151">
        <v>4995.38</v>
      </c>
      <c r="BJ500" s="135" t="s">
        <v>144</v>
      </c>
      <c r="BK500" s="135"/>
      <c r="BL500" s="135"/>
      <c r="BM500" s="144" t="s">
        <v>3592</v>
      </c>
      <c r="BN500" s="143">
        <v>2022</v>
      </c>
      <c r="BO500" s="144" t="s">
        <v>143</v>
      </c>
      <c r="BP500" s="144">
        <v>2022</v>
      </c>
      <c r="BQ500" s="203" t="s">
        <v>144</v>
      </c>
    </row>
    <row r="501" spans="1:69" ht="41.1" customHeight="1">
      <c r="A501" s="218" t="s">
        <v>1353</v>
      </c>
      <c r="B501" s="218" t="s">
        <v>2265</v>
      </c>
      <c r="C501" s="143">
        <v>1000</v>
      </c>
      <c r="D501" s="135">
        <v>44803</v>
      </c>
      <c r="E501" s="135">
        <v>44803</v>
      </c>
      <c r="F501" s="135">
        <v>44818</v>
      </c>
      <c r="G501" s="143" t="s">
        <v>2266</v>
      </c>
      <c r="H501" s="135">
        <v>44831</v>
      </c>
      <c r="I501" s="135">
        <v>44831</v>
      </c>
      <c r="J501" s="135">
        <v>44834</v>
      </c>
      <c r="K501" s="135">
        <v>44855</v>
      </c>
      <c r="L501" s="135">
        <v>44839</v>
      </c>
      <c r="M501" s="135" t="s">
        <v>76</v>
      </c>
      <c r="N501" s="135">
        <v>44874</v>
      </c>
      <c r="O501" s="135">
        <v>44874</v>
      </c>
      <c r="P501" s="135">
        <v>44879</v>
      </c>
      <c r="Q501" s="135"/>
      <c r="R501" s="135"/>
      <c r="S501" s="135"/>
      <c r="T501" s="135"/>
      <c r="U501" s="144">
        <v>4</v>
      </c>
      <c r="V501" s="143">
        <v>39107</v>
      </c>
      <c r="W501" s="143" t="str">
        <f ca="1">IF(H501="",IF(D501="","",IF(U501+V501&lt;15,"Données Nb pers ou RFR manquantes",IF(COUNTA(INDIRECT("TabRFR["&amp;YEAR(D501)&amp;"]"))&lt;&gt;COUNTA(TabRFR[Recherche RFR]),"Data RFR manquantes", IF(V501&lt;=INDEX(TabRFR[[2021]:[2025]],MATCH(BD!U501&amp;"-Très modestes",TabRFR[Recherche RFR],0),MATCH(TEXT(YEAR(BD!D501),"Standard"),TabRFR[[#Headers],[2021]:[2025]],0)),"Très Modeste",IF(V501&lt;=INDEX(TabRFR[[2021]:[2025]],MATCH(BD!U501&amp;"-modestes",TabRFR[Recherche RFR],0),MATCH(TEXT(YEAR(BD!D501),"Standard"),TabRFR[[#Headers],[2021]:[2025]],0)),"Modeste",IF(V501&lt;=INDEX(TabRFR[[2021]:[2025]],MATCH(BD!U501&amp;"-Intermédiaire",TabRFR[Recherche RFR],0),MATCH(TEXT(YEAR(BD!D501),"Standard"),TabRFR[[#Headers],[2021]:[2025]],0)),"Intermédiaire","Supérieur")))))),IF(D501="","",IF(U501+V501&lt;15,"Données Nb pers ou RFR manquantes",IF(COUNTA(INDIRECT("TabRFR["&amp;YEAR(H501)&amp;"]"))&lt;&gt;COUNTA(TabRFR[Recherche RFR]),"Data RFR manquantes", IF(V501&lt;=INDEX(TabRFR[[2021]:[2025]],MATCH(BD!U501&amp;"-Très modestes",TabRFR[Recherche RFR],0),MATCH(TEXT(YEAR(BD!H501),"Standard"),TabRFR[[#Headers],[2021]:[2025]],0)),"Très Modeste",IF(V501&lt;=INDEX(TabRFR[[2021]:[2025]],MATCH(BD!U501&amp;"-modestes",TabRFR[Recherche RFR],0),MATCH(TEXT(YEAR(BD!H501),"Standard"),TabRFR[[#Headers],[2021]:[2025]],0)),"Modeste",IF(V501&lt;=INDEX(TabRFR[[2021]:[2025]],MATCH(BD!U501&amp;"-Intermédiaire",TabRFR[Recherche RFR],0),MATCH(TEXT(YEAR(BD!H501),"Standard"),TabRFR[[#Headers],[2021]:[2025]],0)),"Intermédiaire","Supérieur")))))))</f>
        <v>Modeste</v>
      </c>
      <c r="X501" s="144"/>
      <c r="Y501" s="135" t="s">
        <v>2267</v>
      </c>
      <c r="Z501" s="144">
        <v>38850</v>
      </c>
      <c r="AA501" s="135" t="s">
        <v>168</v>
      </c>
      <c r="AB501" s="148"/>
      <c r="AC501" s="149"/>
      <c r="AD501" s="135" t="s">
        <v>91</v>
      </c>
      <c r="AE501" s="135"/>
      <c r="AF501" s="135"/>
      <c r="AG501" s="135"/>
      <c r="AH501" s="135"/>
      <c r="AI501" s="135" t="s">
        <v>1436</v>
      </c>
      <c r="AJ501" s="135" t="s">
        <v>1437</v>
      </c>
      <c r="AK501" s="135" t="s">
        <v>2268</v>
      </c>
      <c r="AL501" s="170" t="s">
        <v>2177</v>
      </c>
      <c r="AM501" s="135" t="s">
        <v>1439</v>
      </c>
      <c r="AN501" s="135"/>
      <c r="AO501" s="135" t="s">
        <v>102</v>
      </c>
      <c r="AP501" s="135">
        <v>45052</v>
      </c>
      <c r="AQ501" s="143" t="s">
        <v>3413</v>
      </c>
      <c r="AR501" s="135" t="s">
        <v>172</v>
      </c>
      <c r="AS501" s="143" t="s">
        <v>3413</v>
      </c>
      <c r="AT501" s="135" t="s">
        <v>3446</v>
      </c>
      <c r="AU501" s="135" t="s">
        <v>214</v>
      </c>
      <c r="AV501" s="135" t="s">
        <v>2269</v>
      </c>
      <c r="AW501" s="143">
        <v>15</v>
      </c>
      <c r="AX501" s="143">
        <v>7.3</v>
      </c>
      <c r="AY501" s="143">
        <v>91.9</v>
      </c>
      <c r="AZ501" s="143">
        <v>5.4400000000000004E-3</v>
      </c>
      <c r="BA501" s="135" t="s">
        <v>101</v>
      </c>
      <c r="BB501" s="135"/>
      <c r="BC501" s="151">
        <f>SUM(3370+180+249+998+102+120)</f>
        <v>5019</v>
      </c>
      <c r="BD501" s="135"/>
      <c r="BE501" s="151">
        <v>730</v>
      </c>
      <c r="BF501" s="151">
        <f t="shared" si="34"/>
        <v>5749</v>
      </c>
      <c r="BG501" s="151">
        <f t="shared" si="35"/>
        <v>316.19499999999999</v>
      </c>
      <c r="BH501" s="151">
        <f t="shared" si="36"/>
        <v>6065.1949999999997</v>
      </c>
      <c r="BI501" s="151">
        <v>6065.2</v>
      </c>
      <c r="BJ501" s="135" t="s">
        <v>144</v>
      </c>
      <c r="BK501" s="135"/>
      <c r="BL501" s="135"/>
      <c r="BM501" s="144" t="s">
        <v>3592</v>
      </c>
      <c r="BN501" s="143">
        <v>2022</v>
      </c>
      <c r="BO501" s="135" t="s">
        <v>155</v>
      </c>
      <c r="BP501" s="144">
        <v>2022</v>
      </c>
      <c r="BQ501" s="203" t="s">
        <v>144</v>
      </c>
    </row>
    <row r="502" spans="1:69" ht="41.1" customHeight="1">
      <c r="A502" s="218" t="s">
        <v>1353</v>
      </c>
      <c r="B502" s="218" t="s">
        <v>2270</v>
      </c>
      <c r="C502" s="143">
        <v>600</v>
      </c>
      <c r="D502" s="135">
        <v>44810</v>
      </c>
      <c r="E502" s="135">
        <v>44813</v>
      </c>
      <c r="F502" s="135">
        <v>44818</v>
      </c>
      <c r="G502" s="135" t="s">
        <v>2271</v>
      </c>
      <c r="H502" s="135">
        <v>44837</v>
      </c>
      <c r="I502" s="135">
        <v>44837</v>
      </c>
      <c r="J502" s="135">
        <v>44840</v>
      </c>
      <c r="K502" s="135">
        <v>45055</v>
      </c>
      <c r="L502" s="135">
        <v>44903</v>
      </c>
      <c r="M502" s="135" t="s">
        <v>76</v>
      </c>
      <c r="N502" s="135">
        <v>45083</v>
      </c>
      <c r="O502" s="135">
        <v>45083</v>
      </c>
      <c r="P502" s="135">
        <v>45084</v>
      </c>
      <c r="Q502" s="135"/>
      <c r="R502" s="135"/>
      <c r="S502" s="135"/>
      <c r="T502" s="135"/>
      <c r="U502" s="144">
        <v>2</v>
      </c>
      <c r="V502" s="143">
        <v>37106</v>
      </c>
      <c r="W502" s="143" t="str">
        <f ca="1">IF(H502="",IF(D502="","",IF(U502+V502&lt;15,"Données Nb pers ou RFR manquantes",IF(COUNTA(INDIRECT("TabRFR["&amp;YEAR(D502)&amp;"]"))&lt;&gt;COUNTA(TabRFR[Recherche RFR]),"Data RFR manquantes", IF(V502&lt;=INDEX(TabRFR[[2021]:[2025]],MATCH(BD!U502&amp;"-Très modestes",TabRFR[Recherche RFR],0),MATCH(TEXT(YEAR(BD!D502),"Standard"),TabRFR[[#Headers],[2021]:[2025]],0)),"Très Modeste",IF(V502&lt;=INDEX(TabRFR[[2021]:[2025]],MATCH(BD!U502&amp;"-modestes",TabRFR[Recherche RFR],0),MATCH(TEXT(YEAR(BD!D502),"Standard"),TabRFR[[#Headers],[2021]:[2025]],0)),"Modeste",IF(V502&lt;=INDEX(TabRFR[[2021]:[2025]],MATCH(BD!U502&amp;"-Intermédiaire",TabRFR[Recherche RFR],0),MATCH(TEXT(YEAR(BD!D502),"Standard"),TabRFR[[#Headers],[2021]:[2025]],0)),"Intermédiaire","Supérieur")))))),IF(D502="","",IF(U502+V502&lt;15,"Données Nb pers ou RFR manquantes",IF(COUNTA(INDIRECT("TabRFR["&amp;YEAR(H502)&amp;"]"))&lt;&gt;COUNTA(TabRFR[Recherche RFR]),"Data RFR manquantes", IF(V502&lt;=INDEX(TabRFR[[2021]:[2025]],MATCH(BD!U502&amp;"-Très modestes",TabRFR[Recherche RFR],0),MATCH(TEXT(YEAR(BD!H502),"Standard"),TabRFR[[#Headers],[2021]:[2025]],0)),"Très Modeste",IF(V502&lt;=INDEX(TabRFR[[2021]:[2025]],MATCH(BD!U502&amp;"-modestes",TabRFR[Recherche RFR],0),MATCH(TEXT(YEAR(BD!H502),"Standard"),TabRFR[[#Headers],[2021]:[2025]],0)),"Modeste",IF(V502&lt;=INDEX(TabRFR[[2021]:[2025]],MATCH(BD!U502&amp;"-Intermédiaire",TabRFR[Recherche RFR],0),MATCH(TEXT(YEAR(BD!H502),"Standard"),TabRFR[[#Headers],[2021]:[2025]],0)),"Intermédiaire","Supérieur")))))))</f>
        <v>Intermédiaire</v>
      </c>
      <c r="X502" s="144"/>
      <c r="Y502" s="135" t="s">
        <v>2272</v>
      </c>
      <c r="Z502" s="144">
        <v>38490</v>
      </c>
      <c r="AA502" s="135" t="s">
        <v>1075</v>
      </c>
      <c r="AB502" s="148"/>
      <c r="AC502" s="149"/>
      <c r="AD502" s="135"/>
      <c r="AE502" s="135"/>
      <c r="AF502" s="135"/>
      <c r="AG502" s="135"/>
      <c r="AH502" s="135"/>
      <c r="AI502" s="135" t="s">
        <v>1436</v>
      </c>
      <c r="AJ502" s="135" t="s">
        <v>1437</v>
      </c>
      <c r="AK502" s="135" t="s">
        <v>2268</v>
      </c>
      <c r="AL502" s="170" t="s">
        <v>2273</v>
      </c>
      <c r="AM502" s="135" t="s">
        <v>1439</v>
      </c>
      <c r="AN502" s="135"/>
      <c r="AO502" s="135" t="s">
        <v>102</v>
      </c>
      <c r="AP502" s="135">
        <v>45052</v>
      </c>
      <c r="AQ502" s="135" t="s">
        <v>3449</v>
      </c>
      <c r="AR502" s="135" t="s">
        <v>172</v>
      </c>
      <c r="AS502" s="143" t="s">
        <v>3413</v>
      </c>
      <c r="AT502" s="143" t="s">
        <v>98</v>
      </c>
      <c r="AU502" s="135" t="s">
        <v>214</v>
      </c>
      <c r="AV502" s="135" t="s">
        <v>2274</v>
      </c>
      <c r="AW502" s="143">
        <v>15</v>
      </c>
      <c r="AX502" s="143">
        <v>7.9</v>
      </c>
      <c r="AY502" s="143">
        <v>91.4</v>
      </c>
      <c r="AZ502" s="143">
        <v>4.5599999999999998E-3</v>
      </c>
      <c r="BA502" s="135" t="s">
        <v>101</v>
      </c>
      <c r="BB502" s="135"/>
      <c r="BC502" s="143">
        <f>SUM(3880+249+592+162+46)</f>
        <v>4929</v>
      </c>
      <c r="BD502" s="143"/>
      <c r="BE502" s="143">
        <v>365</v>
      </c>
      <c r="BF502" s="143">
        <f t="shared" si="34"/>
        <v>5294</v>
      </c>
      <c r="BG502" s="143">
        <f t="shared" si="35"/>
        <v>291.17</v>
      </c>
      <c r="BH502" s="143">
        <f t="shared" si="36"/>
        <v>5585.17</v>
      </c>
      <c r="BI502" s="143">
        <v>5585.17</v>
      </c>
      <c r="BJ502" s="135" t="s">
        <v>144</v>
      </c>
      <c r="BK502" s="135"/>
      <c r="BL502" s="135"/>
      <c r="BM502" s="144" t="s">
        <v>3592</v>
      </c>
      <c r="BN502" s="143">
        <v>2022</v>
      </c>
      <c r="BO502" s="144" t="s">
        <v>143</v>
      </c>
      <c r="BP502" s="143" t="s">
        <v>3583</v>
      </c>
      <c r="BQ502" s="203" t="s">
        <v>144</v>
      </c>
    </row>
    <row r="503" spans="1:69" ht="41.1" customHeight="1">
      <c r="A503" s="218" t="s">
        <v>1353</v>
      </c>
      <c r="B503" s="218" t="s">
        <v>2275</v>
      </c>
      <c r="C503" s="143">
        <v>600</v>
      </c>
      <c r="D503" s="135">
        <v>44811</v>
      </c>
      <c r="E503" s="135">
        <v>44813</v>
      </c>
      <c r="F503" s="135">
        <v>44818</v>
      </c>
      <c r="G503" s="135" t="s">
        <v>2276</v>
      </c>
      <c r="H503" s="135">
        <v>44832</v>
      </c>
      <c r="I503" s="135">
        <v>44832</v>
      </c>
      <c r="J503" s="135">
        <v>44834</v>
      </c>
      <c r="K503" s="135">
        <v>44893</v>
      </c>
      <c r="L503" s="135">
        <v>44887</v>
      </c>
      <c r="M503" s="135" t="s">
        <v>76</v>
      </c>
      <c r="N503" s="135">
        <v>44915</v>
      </c>
      <c r="O503" s="135">
        <v>44915</v>
      </c>
      <c r="P503" s="135">
        <v>44932</v>
      </c>
      <c r="Q503" s="135"/>
      <c r="R503" s="135"/>
      <c r="S503" s="135"/>
      <c r="T503" s="135"/>
      <c r="U503" s="144">
        <v>3</v>
      </c>
      <c r="V503" s="143">
        <v>53953</v>
      </c>
      <c r="W503" s="143" t="str">
        <f ca="1">IF(H503="",IF(D503="","",IF(U503+V503&lt;15,"Données Nb pers ou RFR manquantes",IF(COUNTA(INDIRECT("TabRFR["&amp;YEAR(D503)&amp;"]"))&lt;&gt;COUNTA(TabRFR[Recherche RFR]),"Data RFR manquantes", IF(V503&lt;=INDEX(TabRFR[[2021]:[2025]],MATCH(BD!U503&amp;"-Très modestes",TabRFR[Recherche RFR],0),MATCH(TEXT(YEAR(BD!D503),"Standard"),TabRFR[[#Headers],[2021]:[2025]],0)),"Très Modeste",IF(V503&lt;=INDEX(TabRFR[[2021]:[2025]],MATCH(BD!U503&amp;"-modestes",TabRFR[Recherche RFR],0),MATCH(TEXT(YEAR(BD!D503),"Standard"),TabRFR[[#Headers],[2021]:[2025]],0)),"Modeste",IF(V503&lt;=INDEX(TabRFR[[2021]:[2025]],MATCH(BD!U503&amp;"-Intermédiaire",TabRFR[Recherche RFR],0),MATCH(TEXT(YEAR(BD!D503),"Standard"),TabRFR[[#Headers],[2021]:[2025]],0)),"Intermédiaire","Supérieur")))))),IF(D503="","",IF(U503+V503&lt;15,"Données Nb pers ou RFR manquantes",IF(COUNTA(INDIRECT("TabRFR["&amp;YEAR(H503)&amp;"]"))&lt;&gt;COUNTA(TabRFR[Recherche RFR]),"Data RFR manquantes", IF(V503&lt;=INDEX(TabRFR[[2021]:[2025]],MATCH(BD!U503&amp;"-Très modestes",TabRFR[Recherche RFR],0),MATCH(TEXT(YEAR(BD!H503),"Standard"),TabRFR[[#Headers],[2021]:[2025]],0)),"Très Modeste",IF(V503&lt;=INDEX(TabRFR[[2021]:[2025]],MATCH(BD!U503&amp;"-modestes",TabRFR[Recherche RFR],0),MATCH(TEXT(YEAR(BD!H503),"Standard"),TabRFR[[#Headers],[2021]:[2025]],0)),"Modeste",IF(V503&lt;=INDEX(TabRFR[[2021]:[2025]],MATCH(BD!U503&amp;"-Intermédiaire",TabRFR[Recherche RFR],0),MATCH(TEXT(YEAR(BD!H503),"Standard"),TabRFR[[#Headers],[2021]:[2025]],0)),"Intermédiaire","Supérieur")))))))</f>
        <v>Supérieur</v>
      </c>
      <c r="X503" s="144"/>
      <c r="Y503" s="135" t="s">
        <v>1925</v>
      </c>
      <c r="Z503" s="144">
        <v>38960</v>
      </c>
      <c r="AA503" s="143" t="s">
        <v>360</v>
      </c>
      <c r="AB503" s="148"/>
      <c r="AC503" s="149"/>
      <c r="AD503" s="135"/>
      <c r="AE503" s="135"/>
      <c r="AF503" s="135"/>
      <c r="AG503" s="135"/>
      <c r="AH503" s="135"/>
      <c r="AI503" s="135" t="s">
        <v>285</v>
      </c>
      <c r="AJ503" s="135" t="s">
        <v>108</v>
      </c>
      <c r="AK503" s="135" t="s">
        <v>2227</v>
      </c>
      <c r="AL503" s="170" t="s">
        <v>287</v>
      </c>
      <c r="AM503" s="135" t="s">
        <v>2184</v>
      </c>
      <c r="AN503" s="135"/>
      <c r="AO503" s="135" t="s">
        <v>102</v>
      </c>
      <c r="AP503" s="135">
        <v>44822</v>
      </c>
      <c r="AQ503" s="135" t="s">
        <v>3449</v>
      </c>
      <c r="AR503" s="135" t="s">
        <v>172</v>
      </c>
      <c r="AS503" s="143" t="s">
        <v>3413</v>
      </c>
      <c r="AT503" s="135" t="s">
        <v>3446</v>
      </c>
      <c r="AU503" s="135" t="s">
        <v>469</v>
      </c>
      <c r="AV503" s="135" t="s">
        <v>2277</v>
      </c>
      <c r="AW503" s="143">
        <v>22</v>
      </c>
      <c r="AX503" s="143">
        <v>7</v>
      </c>
      <c r="AY503" s="143">
        <v>82</v>
      </c>
      <c r="AZ503" s="143">
        <v>0.08</v>
      </c>
      <c r="BA503" s="135" t="s">
        <v>101</v>
      </c>
      <c r="BB503" s="135"/>
      <c r="BC503" s="143">
        <f>SUM(4261+170+3605+194)</f>
        <v>8230</v>
      </c>
      <c r="BD503" s="143"/>
      <c r="BE503" s="143">
        <f>SUM(530+330)</f>
        <v>860</v>
      </c>
      <c r="BF503" s="143">
        <f t="shared" si="34"/>
        <v>9090</v>
      </c>
      <c r="BG503" s="143">
        <f t="shared" si="35"/>
        <v>499.95</v>
      </c>
      <c r="BH503" s="143">
        <f t="shared" si="36"/>
        <v>9589.9500000000007</v>
      </c>
      <c r="BI503" s="151">
        <v>9589.9599999999991</v>
      </c>
      <c r="BJ503" s="135" t="s">
        <v>144</v>
      </c>
      <c r="BK503" s="135"/>
      <c r="BL503" s="135"/>
      <c r="BM503" s="144" t="s">
        <v>3592</v>
      </c>
      <c r="BN503" s="143">
        <v>2022</v>
      </c>
      <c r="BO503" s="144" t="s">
        <v>143</v>
      </c>
      <c r="BP503" s="144">
        <v>2022</v>
      </c>
      <c r="BQ503" s="203" t="s">
        <v>144</v>
      </c>
    </row>
    <row r="504" spans="1:69" ht="41.1" customHeight="1">
      <c r="A504" s="218" t="s">
        <v>1705</v>
      </c>
      <c r="B504" s="218" t="s">
        <v>2278</v>
      </c>
      <c r="C504" s="143">
        <v>1000</v>
      </c>
      <c r="D504" s="135">
        <v>44815</v>
      </c>
      <c r="E504" s="135">
        <v>44825</v>
      </c>
      <c r="F504" s="135">
        <v>44852</v>
      </c>
      <c r="G504" s="135" t="s">
        <v>2279</v>
      </c>
      <c r="H504" s="135">
        <v>44859</v>
      </c>
      <c r="I504" s="135">
        <v>44859</v>
      </c>
      <c r="J504" s="135">
        <v>44879</v>
      </c>
      <c r="K504" s="135">
        <v>44925</v>
      </c>
      <c r="L504" s="135">
        <v>44895</v>
      </c>
      <c r="M504" s="135" t="s">
        <v>76</v>
      </c>
      <c r="N504" s="135">
        <v>44932</v>
      </c>
      <c r="O504" s="135">
        <v>44932</v>
      </c>
      <c r="P504" s="135">
        <v>44932</v>
      </c>
      <c r="Q504" s="135"/>
      <c r="R504" s="135"/>
      <c r="S504" s="135"/>
      <c r="T504" s="135"/>
      <c r="U504" s="144">
        <v>4</v>
      </c>
      <c r="V504" s="143">
        <v>38110</v>
      </c>
      <c r="W504" s="143" t="str">
        <f ca="1">IF(H504="",IF(D504="","",IF(U504+V504&lt;15,"Données Nb pers ou RFR manquantes",IF(COUNTA(INDIRECT("TabRFR["&amp;YEAR(D504)&amp;"]"))&lt;&gt;COUNTA(TabRFR[Recherche RFR]),"Data RFR manquantes", IF(V504&lt;=INDEX(TabRFR[[2021]:[2025]],MATCH(BD!U504&amp;"-Très modestes",TabRFR[Recherche RFR],0),MATCH(TEXT(YEAR(BD!D504),"Standard"),TabRFR[[#Headers],[2021]:[2025]],0)),"Très Modeste",IF(V504&lt;=INDEX(TabRFR[[2021]:[2025]],MATCH(BD!U504&amp;"-modestes",TabRFR[Recherche RFR],0),MATCH(TEXT(YEAR(BD!D504),"Standard"),TabRFR[[#Headers],[2021]:[2025]],0)),"Modeste",IF(V504&lt;=INDEX(TabRFR[[2021]:[2025]],MATCH(BD!U504&amp;"-Intermédiaire",TabRFR[Recherche RFR],0),MATCH(TEXT(YEAR(BD!D504),"Standard"),TabRFR[[#Headers],[2021]:[2025]],0)),"Intermédiaire","Supérieur")))))),IF(D504="","",IF(U504+V504&lt;15,"Données Nb pers ou RFR manquantes",IF(COUNTA(INDIRECT("TabRFR["&amp;YEAR(H504)&amp;"]"))&lt;&gt;COUNTA(TabRFR[Recherche RFR]),"Data RFR manquantes", IF(V504&lt;=INDEX(TabRFR[[2021]:[2025]],MATCH(BD!U504&amp;"-Très modestes",TabRFR[Recherche RFR],0),MATCH(TEXT(YEAR(BD!H504),"Standard"),TabRFR[[#Headers],[2021]:[2025]],0)),"Très Modeste",IF(V504&lt;=INDEX(TabRFR[[2021]:[2025]],MATCH(BD!U504&amp;"-modestes",TabRFR[Recherche RFR],0),MATCH(TEXT(YEAR(BD!H504),"Standard"),TabRFR[[#Headers],[2021]:[2025]],0)),"Modeste",IF(V504&lt;=INDEX(TabRFR[[2021]:[2025]],MATCH(BD!U504&amp;"-Intermédiaire",TabRFR[Recherche RFR],0),MATCH(TEXT(YEAR(BD!H504),"Standard"),TabRFR[[#Headers],[2021]:[2025]],0)),"Intermédiaire","Supérieur")))))))</f>
        <v>Modeste</v>
      </c>
      <c r="X504" s="144"/>
      <c r="Y504" s="135" t="s">
        <v>2280</v>
      </c>
      <c r="Z504" s="144">
        <v>38500</v>
      </c>
      <c r="AA504" s="135" t="s">
        <v>108</v>
      </c>
      <c r="AB504" s="148"/>
      <c r="AC504" s="149"/>
      <c r="AD504" s="135" t="s">
        <v>91</v>
      </c>
      <c r="AE504" s="135"/>
      <c r="AF504" s="135"/>
      <c r="AG504" s="135"/>
      <c r="AH504" s="135"/>
      <c r="AI504" s="135" t="s">
        <v>285</v>
      </c>
      <c r="AJ504" s="135" t="s">
        <v>108</v>
      </c>
      <c r="AK504" s="135" t="s">
        <v>2227</v>
      </c>
      <c r="AL504" s="170" t="s">
        <v>287</v>
      </c>
      <c r="AM504" s="135" t="s">
        <v>2184</v>
      </c>
      <c r="AN504" s="135"/>
      <c r="AO504" s="135" t="s">
        <v>102</v>
      </c>
      <c r="AP504" s="135" t="s">
        <v>2281</v>
      </c>
      <c r="AQ504" s="135" t="s">
        <v>3496</v>
      </c>
      <c r="AR504" s="135" t="s">
        <v>172</v>
      </c>
      <c r="AS504" s="143" t="s">
        <v>3413</v>
      </c>
      <c r="AT504" s="143" t="s">
        <v>98</v>
      </c>
      <c r="AU504" s="135" t="s">
        <v>430</v>
      </c>
      <c r="AV504" s="135" t="s">
        <v>564</v>
      </c>
      <c r="AW504" s="143">
        <v>15</v>
      </c>
      <c r="AX504" s="143">
        <v>7.4</v>
      </c>
      <c r="AY504" s="143">
        <v>92.5</v>
      </c>
      <c r="AZ504" s="143">
        <v>153</v>
      </c>
      <c r="BA504" s="135" t="s">
        <v>1401</v>
      </c>
      <c r="BB504" s="135"/>
      <c r="BC504" s="143">
        <f>490+1190+3608+89+55</f>
        <v>5432</v>
      </c>
      <c r="BD504" s="143"/>
      <c r="BE504" s="143">
        <v>72.260000000000005</v>
      </c>
      <c r="BF504" s="143">
        <f>BC504+BE504</f>
        <v>5504.26</v>
      </c>
      <c r="BG504" s="151">
        <f t="shared" si="35"/>
        <v>302.73430000000002</v>
      </c>
      <c r="BH504" s="151">
        <f t="shared" si="36"/>
        <v>5806.9943000000003</v>
      </c>
      <c r="BI504" s="151">
        <v>6039.1</v>
      </c>
      <c r="BJ504" s="135" t="s">
        <v>144</v>
      </c>
      <c r="BK504" s="135"/>
      <c r="BL504" s="135"/>
      <c r="BM504" s="144" t="s">
        <v>3592</v>
      </c>
      <c r="BN504" s="143">
        <v>2022</v>
      </c>
      <c r="BO504" s="135" t="s">
        <v>155</v>
      </c>
      <c r="BP504" s="143" t="s">
        <v>3583</v>
      </c>
      <c r="BQ504" s="203" t="s">
        <v>144</v>
      </c>
    </row>
    <row r="505" spans="1:69" ht="41.1" customHeight="1">
      <c r="A505" s="218" t="s">
        <v>1705</v>
      </c>
      <c r="B505" s="218" t="s">
        <v>2282</v>
      </c>
      <c r="C505" s="143">
        <v>1000</v>
      </c>
      <c r="D505" s="135">
        <v>44816</v>
      </c>
      <c r="E505" s="135">
        <v>44825</v>
      </c>
      <c r="F505" s="135" t="s">
        <v>76</v>
      </c>
      <c r="G505" s="135" t="s">
        <v>76</v>
      </c>
      <c r="H505" s="135">
        <v>44852</v>
      </c>
      <c r="I505" s="135">
        <v>44852</v>
      </c>
      <c r="J505" s="135">
        <v>44855</v>
      </c>
      <c r="K505" s="135">
        <v>45044</v>
      </c>
      <c r="L505" s="135">
        <v>45034</v>
      </c>
      <c r="M505" s="135" t="s">
        <v>76</v>
      </c>
      <c r="N505" s="135">
        <v>45050</v>
      </c>
      <c r="O505" s="135">
        <v>45050</v>
      </c>
      <c r="P505" s="135">
        <v>45051</v>
      </c>
      <c r="Q505" s="135"/>
      <c r="R505" s="135"/>
      <c r="S505" s="135"/>
      <c r="T505" s="135"/>
      <c r="U505" s="144">
        <v>4</v>
      </c>
      <c r="V505" s="143">
        <v>38075</v>
      </c>
      <c r="W505" s="143" t="str">
        <f ca="1">IF(H505="",IF(D505="","",IF(U505+V505&lt;15,"Données Nb pers ou RFR manquantes",IF(COUNTA(INDIRECT("TabRFR["&amp;YEAR(D505)&amp;"]"))&lt;&gt;COUNTA(TabRFR[Recherche RFR]),"Data RFR manquantes", IF(V505&lt;=INDEX(TabRFR[[2021]:[2025]],MATCH(BD!U505&amp;"-Très modestes",TabRFR[Recherche RFR],0),MATCH(TEXT(YEAR(BD!D505),"Standard"),TabRFR[[#Headers],[2021]:[2025]],0)),"Très Modeste",IF(V505&lt;=INDEX(TabRFR[[2021]:[2025]],MATCH(BD!U505&amp;"-modestes",TabRFR[Recherche RFR],0),MATCH(TEXT(YEAR(BD!D505),"Standard"),TabRFR[[#Headers],[2021]:[2025]],0)),"Modeste",IF(V505&lt;=INDEX(TabRFR[[2021]:[2025]],MATCH(BD!U505&amp;"-Intermédiaire",TabRFR[Recherche RFR],0),MATCH(TEXT(YEAR(BD!D505),"Standard"),TabRFR[[#Headers],[2021]:[2025]],0)),"Intermédiaire","Supérieur")))))),IF(D505="","",IF(U505+V505&lt;15,"Données Nb pers ou RFR manquantes",IF(COUNTA(INDIRECT("TabRFR["&amp;YEAR(H505)&amp;"]"))&lt;&gt;COUNTA(TabRFR[Recherche RFR]),"Data RFR manquantes", IF(V505&lt;=INDEX(TabRFR[[2021]:[2025]],MATCH(BD!U505&amp;"-Très modestes",TabRFR[Recherche RFR],0),MATCH(TEXT(YEAR(BD!H505),"Standard"),TabRFR[[#Headers],[2021]:[2025]],0)),"Très Modeste",IF(V505&lt;=INDEX(TabRFR[[2021]:[2025]],MATCH(BD!U505&amp;"-modestes",TabRFR[Recherche RFR],0),MATCH(TEXT(YEAR(BD!H505),"Standard"),TabRFR[[#Headers],[2021]:[2025]],0)),"Modeste",IF(V505&lt;=INDEX(TabRFR[[2021]:[2025]],MATCH(BD!U505&amp;"-Intermédiaire",TabRFR[Recherche RFR],0),MATCH(TEXT(YEAR(BD!H505),"Standard"),TabRFR[[#Headers],[2021]:[2025]],0)),"Intermédiaire","Supérieur")))))))</f>
        <v>Modeste</v>
      </c>
      <c r="X505" s="144"/>
      <c r="Y505" s="135" t="s">
        <v>2283</v>
      </c>
      <c r="Z505" s="144">
        <v>38620</v>
      </c>
      <c r="AA505" s="143" t="s">
        <v>680</v>
      </c>
      <c r="AB505" s="148"/>
      <c r="AC505" s="149"/>
      <c r="AD505" s="135" t="s">
        <v>91</v>
      </c>
      <c r="AE505" s="135"/>
      <c r="AF505" s="135"/>
      <c r="AG505" s="135"/>
      <c r="AH505" s="135"/>
      <c r="AI505" s="143" t="s">
        <v>1106</v>
      </c>
      <c r="AJ505" s="135" t="s">
        <v>1075</v>
      </c>
      <c r="AK505" s="135" t="s">
        <v>2222</v>
      </c>
      <c r="AL505" s="170" t="s">
        <v>1454</v>
      </c>
      <c r="AM505" s="135" t="s">
        <v>2204</v>
      </c>
      <c r="AN505" s="135"/>
      <c r="AO505" s="135" t="s">
        <v>102</v>
      </c>
      <c r="AP505" s="135">
        <v>45096</v>
      </c>
      <c r="AQ505" s="135" t="s">
        <v>3496</v>
      </c>
      <c r="AR505" s="135" t="s">
        <v>213</v>
      </c>
      <c r="AS505" s="143" t="s">
        <v>3413</v>
      </c>
      <c r="AT505" s="135" t="s">
        <v>3446</v>
      </c>
      <c r="AU505" s="135" t="s">
        <v>1815</v>
      </c>
      <c r="AV505" s="135" t="s">
        <v>2284</v>
      </c>
      <c r="AW505" s="143">
        <v>29</v>
      </c>
      <c r="AX505" s="143" t="s">
        <v>2285</v>
      </c>
      <c r="AY505" s="143">
        <v>75</v>
      </c>
      <c r="AZ505" s="143" t="s">
        <v>2286</v>
      </c>
      <c r="BA505" s="135" t="s">
        <v>101</v>
      </c>
      <c r="BB505" s="135"/>
      <c r="BC505" s="143">
        <f>4392+280+2449.2+295+567+211+167</f>
        <v>8361.2000000000007</v>
      </c>
      <c r="BD505" s="143"/>
      <c r="BE505" s="143">
        <v>750</v>
      </c>
      <c r="BF505" s="143">
        <f>BC505+BE505-769.97</f>
        <v>8341.2300000000014</v>
      </c>
      <c r="BG505" s="151">
        <f t="shared" si="35"/>
        <v>458.76765000000006</v>
      </c>
      <c r="BH505" s="151">
        <f t="shared" si="36"/>
        <v>8799.9976500000012</v>
      </c>
      <c r="BI505" s="151">
        <v>8800</v>
      </c>
      <c r="BJ505" s="135" t="s">
        <v>1391</v>
      </c>
      <c r="BK505" s="135"/>
      <c r="BL505" s="135"/>
      <c r="BM505" s="144" t="s">
        <v>3592</v>
      </c>
      <c r="BN505" s="143">
        <v>2022</v>
      </c>
      <c r="BO505" s="135" t="s">
        <v>155</v>
      </c>
      <c r="BP505" s="144">
        <v>2022</v>
      </c>
      <c r="BQ505" s="203" t="s">
        <v>3274</v>
      </c>
    </row>
    <row r="506" spans="1:69" ht="41.1" customHeight="1">
      <c r="A506" s="145" t="s">
        <v>1705</v>
      </c>
      <c r="B506" s="145" t="s">
        <v>2287</v>
      </c>
      <c r="C506" s="143">
        <f ca="1">IF(W506="Très modeste",1000,IF(W506="Modeste",1000,IF(W506="Intermédiaire",600,IF(W506="Supérieur",600,"Non calculé"))))</f>
        <v>1000</v>
      </c>
      <c r="D506" s="135">
        <v>44818</v>
      </c>
      <c r="E506" s="135">
        <v>44825</v>
      </c>
      <c r="F506" s="135">
        <v>44852</v>
      </c>
      <c r="G506" s="135" t="s">
        <v>3299</v>
      </c>
      <c r="H506" s="135"/>
      <c r="I506" s="135"/>
      <c r="J506" s="135"/>
      <c r="K506" s="135"/>
      <c r="L506" s="135"/>
      <c r="M506" s="135"/>
      <c r="N506" s="135"/>
      <c r="O506" s="135"/>
      <c r="P506" s="135"/>
      <c r="Q506" s="135">
        <v>45253</v>
      </c>
      <c r="R506" s="135" t="s">
        <v>3297</v>
      </c>
      <c r="S506" s="135"/>
      <c r="T506" s="135"/>
      <c r="U506" s="144">
        <v>5</v>
      </c>
      <c r="V506" s="143">
        <v>45647</v>
      </c>
      <c r="W506" s="143" t="str">
        <f ca="1">IF(H506="",IF(D506="","",IF(U506+V506&lt;15,"Données Nb pers ou RFR manquantes",IF(COUNTA(INDIRECT("TabRFR["&amp;YEAR(D506)&amp;"]"))&lt;&gt;COUNTA(TabRFR[Recherche RFR]),"Data RFR manquantes", IF(V506&lt;=INDEX(TabRFR[[2021]:[2025]],MATCH(BD!U506&amp;"-Très modestes",TabRFR[Recherche RFR],0),MATCH(TEXT(YEAR(BD!D506),"Standard"),TabRFR[[#Headers],[2021]:[2025]],0)),"Très Modeste",IF(V506&lt;=INDEX(TabRFR[[2021]:[2025]],MATCH(BD!U506&amp;"-modestes",TabRFR[Recherche RFR],0),MATCH(TEXT(YEAR(BD!D506),"Standard"),TabRFR[[#Headers],[2021]:[2025]],0)),"Modeste",IF(V506&lt;=INDEX(TabRFR[[2021]:[2025]],MATCH(BD!U506&amp;"-Intermédiaire",TabRFR[Recherche RFR],0),MATCH(TEXT(YEAR(BD!D506),"Standard"),TabRFR[[#Headers],[2021]:[2025]],0)),"Intermédiaire","Supérieur")))))),IF(D506="","",IF(U506+V506&lt;15,"Données Nb pers ou RFR manquantes",IF(COUNTA(INDIRECT("TabRFR["&amp;YEAR(H506)&amp;"]"))&lt;&gt;COUNTA(TabRFR[Recherche RFR]),"Data RFR manquantes", IF(V506&lt;=INDEX(TabRFR[[2021]:[2025]],MATCH(BD!U506&amp;"-Très modestes",TabRFR[Recherche RFR],0),MATCH(TEXT(YEAR(BD!H506),"Standard"),TabRFR[[#Headers],[2021]:[2025]],0)),"Très Modeste",IF(V506&lt;=INDEX(TabRFR[[2021]:[2025]],MATCH(BD!U506&amp;"-modestes",TabRFR[Recherche RFR],0),MATCH(TEXT(YEAR(BD!H506),"Standard"),TabRFR[[#Headers],[2021]:[2025]],0)),"Modeste",IF(V506&lt;=INDEX(TabRFR[[2021]:[2025]],MATCH(BD!U506&amp;"-Intermédiaire",TabRFR[Recherche RFR],0),MATCH(TEXT(YEAR(BD!H506),"Standard"),TabRFR[[#Headers],[2021]:[2025]],0)),"Intermédiaire","Supérieur")))))))</f>
        <v>Modeste</v>
      </c>
      <c r="X506" s="144"/>
      <c r="Y506" s="135" t="s">
        <v>2081</v>
      </c>
      <c r="Z506" s="144">
        <v>38500</v>
      </c>
      <c r="AA506" s="135" t="s">
        <v>134</v>
      </c>
      <c r="AB506" s="148"/>
      <c r="AC506" s="149"/>
      <c r="AD506" s="135" t="s">
        <v>91</v>
      </c>
      <c r="AE506" s="135"/>
      <c r="AF506" s="135"/>
      <c r="AG506" s="135"/>
      <c r="AH506" s="135"/>
      <c r="AI506" s="135" t="s">
        <v>2249</v>
      </c>
      <c r="AJ506" s="135" t="s">
        <v>266</v>
      </c>
      <c r="AK506" s="135" t="s">
        <v>2250</v>
      </c>
      <c r="AL506" s="170" t="s">
        <v>2251</v>
      </c>
      <c r="AM506" s="135" t="s">
        <v>2252</v>
      </c>
      <c r="AN506" s="135"/>
      <c r="AO506" s="135" t="s">
        <v>102</v>
      </c>
      <c r="AP506" s="135">
        <v>45102</v>
      </c>
      <c r="AQ506" s="135" t="s">
        <v>3496</v>
      </c>
      <c r="AR506" s="143">
        <v>1973</v>
      </c>
      <c r="AS506" s="143" t="s">
        <v>3413</v>
      </c>
      <c r="AT506" s="135" t="s">
        <v>3446</v>
      </c>
      <c r="AU506" s="135"/>
      <c r="AV506" s="135"/>
      <c r="AW506" s="143"/>
      <c r="AX506" s="143"/>
      <c r="AY506" s="143"/>
      <c r="AZ506" s="143"/>
      <c r="BA506" s="135"/>
      <c r="BB506" s="135"/>
      <c r="BC506" s="143"/>
      <c r="BD506" s="143"/>
      <c r="BE506" s="143"/>
      <c r="BF506" s="143"/>
      <c r="BG506" s="151"/>
      <c r="BH506" s="143"/>
      <c r="BI506" s="135"/>
      <c r="BJ506" s="135"/>
      <c r="BK506" s="135"/>
      <c r="BL506" s="135"/>
      <c r="BM506" s="144">
        <v>0</v>
      </c>
      <c r="BN506" s="153" t="s">
        <v>1496</v>
      </c>
      <c r="BO506" s="144" t="s">
        <v>103</v>
      </c>
      <c r="BP506" s="203" t="s">
        <v>3582</v>
      </c>
      <c r="BQ506" s="203" t="s">
        <v>3273</v>
      </c>
    </row>
    <row r="507" spans="1:69" ht="41.1" customHeight="1">
      <c r="A507" s="218" t="s">
        <v>1705</v>
      </c>
      <c r="B507" s="218" t="s">
        <v>2288</v>
      </c>
      <c r="C507" s="143">
        <v>1000</v>
      </c>
      <c r="D507" s="135">
        <v>44818</v>
      </c>
      <c r="E507" s="135">
        <v>44825</v>
      </c>
      <c r="F507" s="135">
        <v>44852</v>
      </c>
      <c r="G507" s="135" t="s">
        <v>2289</v>
      </c>
      <c r="H507" s="135">
        <v>44853</v>
      </c>
      <c r="I507" s="135">
        <v>44853</v>
      </c>
      <c r="J507" s="135">
        <v>44855</v>
      </c>
      <c r="K507" s="135">
        <v>44879</v>
      </c>
      <c r="L507" s="135">
        <v>44868</v>
      </c>
      <c r="M507" s="135" t="s">
        <v>76</v>
      </c>
      <c r="N507" s="135">
        <v>44895</v>
      </c>
      <c r="O507" s="135">
        <v>44895</v>
      </c>
      <c r="P507" s="135">
        <v>44897</v>
      </c>
      <c r="Q507" s="135"/>
      <c r="R507" s="135"/>
      <c r="S507" s="135"/>
      <c r="T507" s="135"/>
      <c r="U507" s="144">
        <v>1</v>
      </c>
      <c r="V507" s="143">
        <v>17747</v>
      </c>
      <c r="W507" s="143" t="str">
        <f ca="1">IF(H507="",IF(D507="","",IF(U507+V507&lt;15,"Données Nb pers ou RFR manquantes",IF(COUNTA(INDIRECT("TabRFR["&amp;YEAR(D507)&amp;"]"))&lt;&gt;COUNTA(TabRFR[Recherche RFR]),"Data RFR manquantes", IF(V507&lt;=INDEX(TabRFR[[2021]:[2025]],MATCH(BD!U507&amp;"-Très modestes",TabRFR[Recherche RFR],0),MATCH(TEXT(YEAR(BD!D507),"Standard"),TabRFR[[#Headers],[2021]:[2025]],0)),"Très Modeste",IF(V507&lt;=INDEX(TabRFR[[2021]:[2025]],MATCH(BD!U507&amp;"-modestes",TabRFR[Recherche RFR],0),MATCH(TEXT(YEAR(BD!D507),"Standard"),TabRFR[[#Headers],[2021]:[2025]],0)),"Modeste",IF(V507&lt;=INDEX(TabRFR[[2021]:[2025]],MATCH(BD!U507&amp;"-Intermédiaire",TabRFR[Recherche RFR],0),MATCH(TEXT(YEAR(BD!D507),"Standard"),TabRFR[[#Headers],[2021]:[2025]],0)),"Intermédiaire","Supérieur")))))),IF(D507="","",IF(U507+V507&lt;15,"Données Nb pers ou RFR manquantes",IF(COUNTA(INDIRECT("TabRFR["&amp;YEAR(H507)&amp;"]"))&lt;&gt;COUNTA(TabRFR[Recherche RFR]),"Data RFR manquantes", IF(V507&lt;=INDEX(TabRFR[[2021]:[2025]],MATCH(BD!U507&amp;"-Très modestes",TabRFR[Recherche RFR],0),MATCH(TEXT(YEAR(BD!H507),"Standard"),TabRFR[[#Headers],[2021]:[2025]],0)),"Très Modeste",IF(V507&lt;=INDEX(TabRFR[[2021]:[2025]],MATCH(BD!U507&amp;"-modestes",TabRFR[Recherche RFR],0),MATCH(TEXT(YEAR(BD!H507),"Standard"),TabRFR[[#Headers],[2021]:[2025]],0)),"Modeste",IF(V507&lt;=INDEX(TabRFR[[2021]:[2025]],MATCH(BD!U507&amp;"-Intermédiaire",TabRFR[Recherche RFR],0),MATCH(TEXT(YEAR(BD!H507),"Standard"),TabRFR[[#Headers],[2021]:[2025]],0)),"Intermédiaire","Supérieur")))))))</f>
        <v>Modeste</v>
      </c>
      <c r="X507" s="144"/>
      <c r="Y507" s="135" t="s">
        <v>2290</v>
      </c>
      <c r="Z507" s="144">
        <v>38850</v>
      </c>
      <c r="AA507" s="135" t="s">
        <v>168</v>
      </c>
      <c r="AB507" s="148"/>
      <c r="AC507" s="149"/>
      <c r="AD507" s="135" t="s">
        <v>91</v>
      </c>
      <c r="AE507" s="135"/>
      <c r="AF507" s="135"/>
      <c r="AG507" s="135"/>
      <c r="AH507" s="135"/>
      <c r="AI507" s="135" t="s">
        <v>285</v>
      </c>
      <c r="AJ507" s="135" t="s">
        <v>108</v>
      </c>
      <c r="AK507" s="135" t="s">
        <v>2227</v>
      </c>
      <c r="AL507" s="170" t="s">
        <v>287</v>
      </c>
      <c r="AM507" s="135" t="s">
        <v>2184</v>
      </c>
      <c r="AN507" s="135"/>
      <c r="AO507" s="135" t="s">
        <v>102</v>
      </c>
      <c r="AP507" s="135" t="s">
        <v>2281</v>
      </c>
      <c r="AQ507" s="135" t="s">
        <v>3496</v>
      </c>
      <c r="AR507" s="143">
        <v>1980</v>
      </c>
      <c r="AS507" s="143" t="s">
        <v>3413</v>
      </c>
      <c r="AT507" s="135" t="s">
        <v>3446</v>
      </c>
      <c r="AU507" s="135" t="s">
        <v>532</v>
      </c>
      <c r="AV507" s="135" t="s">
        <v>1603</v>
      </c>
      <c r="AW507" s="143">
        <v>17</v>
      </c>
      <c r="AX507" s="143">
        <v>9</v>
      </c>
      <c r="AY507" s="143">
        <v>79.5</v>
      </c>
      <c r="AZ507" s="143" t="s">
        <v>2291</v>
      </c>
      <c r="BA507" s="135" t="s">
        <v>101</v>
      </c>
      <c r="BB507" s="135"/>
      <c r="BC507" s="143">
        <f>690+605+490+275+89+3110+550</f>
        <v>5809</v>
      </c>
      <c r="BD507" s="143"/>
      <c r="BE507" s="143">
        <v>330</v>
      </c>
      <c r="BF507" s="143">
        <f t="shared" ref="BF507:BF512" si="37">BC507+BE507</f>
        <v>6139</v>
      </c>
      <c r="BG507" s="151">
        <f t="shared" ref="BG507:BG538" si="38">BF507*0.055</f>
        <v>337.64499999999998</v>
      </c>
      <c r="BH507" s="151">
        <f t="shared" ref="BH507:BH538" si="39">BF507+BG507</f>
        <v>6476.6450000000004</v>
      </c>
      <c r="BI507" s="143">
        <v>6476.66</v>
      </c>
      <c r="BJ507" s="135" t="s">
        <v>144</v>
      </c>
      <c r="BK507" s="135"/>
      <c r="BL507" s="135"/>
      <c r="BM507" s="144" t="s">
        <v>3592</v>
      </c>
      <c r="BN507" s="143">
        <v>2022</v>
      </c>
      <c r="BO507" s="135" t="s">
        <v>155</v>
      </c>
      <c r="BP507" s="144">
        <v>2022</v>
      </c>
      <c r="BQ507" s="203" t="s">
        <v>144</v>
      </c>
    </row>
    <row r="508" spans="1:69" ht="41.1" customHeight="1">
      <c r="A508" s="218" t="s">
        <v>1705</v>
      </c>
      <c r="B508" s="218" t="s">
        <v>2292</v>
      </c>
      <c r="C508" s="143">
        <v>600</v>
      </c>
      <c r="D508" s="135">
        <v>44818</v>
      </c>
      <c r="E508" s="135">
        <v>44825</v>
      </c>
      <c r="F508" s="135">
        <v>44852</v>
      </c>
      <c r="G508" s="135" t="s">
        <v>2293</v>
      </c>
      <c r="H508" s="135">
        <v>44867</v>
      </c>
      <c r="I508" s="135">
        <v>44867</v>
      </c>
      <c r="J508" s="135">
        <v>44879</v>
      </c>
      <c r="K508" s="135">
        <v>45198</v>
      </c>
      <c r="L508" s="135">
        <v>45169</v>
      </c>
      <c r="M508" s="135" t="s">
        <v>76</v>
      </c>
      <c r="N508" s="135">
        <v>45212</v>
      </c>
      <c r="O508" s="135">
        <v>45212</v>
      </c>
      <c r="P508" s="135">
        <v>45236</v>
      </c>
      <c r="Q508" s="135"/>
      <c r="R508" s="135"/>
      <c r="S508" s="135"/>
      <c r="T508" s="135"/>
      <c r="U508" s="144">
        <v>1</v>
      </c>
      <c r="V508" s="143">
        <v>25075</v>
      </c>
      <c r="W508" s="143" t="str">
        <f ca="1">IF(H508="",IF(D508="","",IF(U508+V508&lt;15,"Données Nb pers ou RFR manquantes",IF(COUNTA(INDIRECT("TabRFR["&amp;YEAR(D508)&amp;"]"))&lt;&gt;COUNTA(TabRFR[Recherche RFR]),"Data RFR manquantes", IF(V508&lt;=INDEX(TabRFR[[2021]:[2025]],MATCH(BD!U508&amp;"-Très modestes",TabRFR[Recherche RFR],0),MATCH(TEXT(YEAR(BD!D508),"Standard"),TabRFR[[#Headers],[2021]:[2025]],0)),"Très Modeste",IF(V508&lt;=INDEX(TabRFR[[2021]:[2025]],MATCH(BD!U508&amp;"-modestes",TabRFR[Recherche RFR],0),MATCH(TEXT(YEAR(BD!D508),"Standard"),TabRFR[[#Headers],[2021]:[2025]],0)),"Modeste",IF(V508&lt;=INDEX(TabRFR[[2021]:[2025]],MATCH(BD!U508&amp;"-Intermédiaire",TabRFR[Recherche RFR],0),MATCH(TEXT(YEAR(BD!D508),"Standard"),TabRFR[[#Headers],[2021]:[2025]],0)),"Intermédiaire","Supérieur")))))),IF(D508="","",IF(U508+V508&lt;15,"Données Nb pers ou RFR manquantes",IF(COUNTA(INDIRECT("TabRFR["&amp;YEAR(H508)&amp;"]"))&lt;&gt;COUNTA(TabRFR[Recherche RFR]),"Data RFR manquantes", IF(V508&lt;=INDEX(TabRFR[[2021]:[2025]],MATCH(BD!U508&amp;"-Très modestes",TabRFR[Recherche RFR],0),MATCH(TEXT(YEAR(BD!H508),"Standard"),TabRFR[[#Headers],[2021]:[2025]],0)),"Très Modeste",IF(V508&lt;=INDEX(TabRFR[[2021]:[2025]],MATCH(BD!U508&amp;"-modestes",TabRFR[Recherche RFR],0),MATCH(TEXT(YEAR(BD!H508),"Standard"),TabRFR[[#Headers],[2021]:[2025]],0)),"Modeste",IF(V508&lt;=INDEX(TabRFR[[2021]:[2025]],MATCH(BD!U508&amp;"-Intermédiaire",TabRFR[Recherche RFR],0),MATCH(TEXT(YEAR(BD!H508),"Standard"),TabRFR[[#Headers],[2021]:[2025]],0)),"Intermédiaire","Supérieur")))))))</f>
        <v>Intermédiaire</v>
      </c>
      <c r="X508" s="144"/>
      <c r="Y508" s="135" t="s">
        <v>2294</v>
      </c>
      <c r="Z508" s="144">
        <v>38134</v>
      </c>
      <c r="AA508" s="135" t="s">
        <v>413</v>
      </c>
      <c r="AB508" s="148"/>
      <c r="AC508" s="149"/>
      <c r="AD508" s="135" t="s">
        <v>91</v>
      </c>
      <c r="AE508" s="135"/>
      <c r="AF508" s="135"/>
      <c r="AG508" s="135"/>
      <c r="AH508" s="135"/>
      <c r="AI508" s="143" t="s">
        <v>2136</v>
      </c>
      <c r="AJ508" s="143" t="s">
        <v>108</v>
      </c>
      <c r="AK508" s="143" t="s">
        <v>1247</v>
      </c>
      <c r="AL508" s="150" t="s">
        <v>1248</v>
      </c>
      <c r="AM508" s="148">
        <v>685231565</v>
      </c>
      <c r="AN508" s="143" t="s">
        <v>76</v>
      </c>
      <c r="AO508" s="150" t="s">
        <v>102</v>
      </c>
      <c r="AP508" s="147">
        <v>45006</v>
      </c>
      <c r="AQ508" s="143" t="s">
        <v>3413</v>
      </c>
      <c r="AR508" s="143">
        <v>2000</v>
      </c>
      <c r="AS508" s="143" t="s">
        <v>3413</v>
      </c>
      <c r="AT508" s="143" t="s">
        <v>98</v>
      </c>
      <c r="AU508" s="135" t="s">
        <v>430</v>
      </c>
      <c r="AV508" s="135" t="s">
        <v>2295</v>
      </c>
      <c r="AW508" s="143">
        <v>14</v>
      </c>
      <c r="AX508" s="143">
        <v>15</v>
      </c>
      <c r="AY508" s="143">
        <v>95.9</v>
      </c>
      <c r="AZ508" s="143">
        <v>92</v>
      </c>
      <c r="BA508" s="135" t="s">
        <v>1401</v>
      </c>
      <c r="BB508" s="135"/>
      <c r="BC508" s="143">
        <f>5500+425+390+190</f>
        <v>6505</v>
      </c>
      <c r="BD508" s="143"/>
      <c r="BE508" s="143">
        <v>1450</v>
      </c>
      <c r="BF508" s="143">
        <f t="shared" si="37"/>
        <v>7955</v>
      </c>
      <c r="BG508" s="151">
        <f t="shared" si="38"/>
        <v>437.52499999999998</v>
      </c>
      <c r="BH508" s="151">
        <f t="shared" si="39"/>
        <v>8392.5249999999996</v>
      </c>
      <c r="BI508" s="142">
        <v>8392.5300000000007</v>
      </c>
      <c r="BJ508" s="135" t="s">
        <v>1391</v>
      </c>
      <c r="BK508" s="135"/>
      <c r="BL508" s="135"/>
      <c r="BM508" s="144" t="s">
        <v>3592</v>
      </c>
      <c r="BN508" s="143">
        <v>2022</v>
      </c>
      <c r="BO508" s="144" t="s">
        <v>143</v>
      </c>
      <c r="BP508" s="143" t="s">
        <v>3583</v>
      </c>
      <c r="BQ508" s="203" t="s">
        <v>3274</v>
      </c>
    </row>
    <row r="509" spans="1:69" ht="41.1" customHeight="1">
      <c r="A509" s="218" t="s">
        <v>1705</v>
      </c>
      <c r="B509" s="218" t="s">
        <v>2296</v>
      </c>
      <c r="C509" s="143">
        <v>1000</v>
      </c>
      <c r="D509" s="135">
        <v>44820</v>
      </c>
      <c r="E509" s="135">
        <v>44825</v>
      </c>
      <c r="F509" s="135" t="s">
        <v>76</v>
      </c>
      <c r="G509" s="135" t="s">
        <v>76</v>
      </c>
      <c r="H509" s="135">
        <v>44852</v>
      </c>
      <c r="I509" s="135">
        <v>44852</v>
      </c>
      <c r="J509" s="135">
        <v>44855</v>
      </c>
      <c r="K509" s="135">
        <v>44976</v>
      </c>
      <c r="L509" s="135">
        <v>44971</v>
      </c>
      <c r="M509" s="135" t="s">
        <v>76</v>
      </c>
      <c r="N509" s="135">
        <v>45009</v>
      </c>
      <c r="O509" s="135">
        <v>45009</v>
      </c>
      <c r="P509" s="135">
        <v>45020</v>
      </c>
      <c r="Q509" s="135"/>
      <c r="R509" s="135"/>
      <c r="S509" s="135"/>
      <c r="T509" s="135"/>
      <c r="U509" s="144">
        <v>5</v>
      </c>
      <c r="V509" s="143">
        <v>39448</v>
      </c>
      <c r="W509" s="143" t="str">
        <f ca="1">IF(H509="",IF(D509="","",IF(U509+V509&lt;15,"Données Nb pers ou RFR manquantes",IF(COUNTA(INDIRECT("TabRFR["&amp;YEAR(D509)&amp;"]"))&lt;&gt;COUNTA(TabRFR[Recherche RFR]),"Data RFR manquantes", IF(V509&lt;=INDEX(TabRFR[[2021]:[2025]],MATCH(BD!U509&amp;"-Très modestes",TabRFR[Recherche RFR],0),MATCH(TEXT(YEAR(BD!D509),"Standard"),TabRFR[[#Headers],[2021]:[2025]],0)),"Très Modeste",IF(V509&lt;=INDEX(TabRFR[[2021]:[2025]],MATCH(BD!U509&amp;"-modestes",TabRFR[Recherche RFR],0),MATCH(TEXT(YEAR(BD!D509),"Standard"),TabRFR[[#Headers],[2021]:[2025]],0)),"Modeste",IF(V509&lt;=INDEX(TabRFR[[2021]:[2025]],MATCH(BD!U509&amp;"-Intermédiaire",TabRFR[Recherche RFR],0),MATCH(TEXT(YEAR(BD!D509),"Standard"),TabRFR[[#Headers],[2021]:[2025]],0)),"Intermédiaire","Supérieur")))))),IF(D509="","",IF(U509+V509&lt;15,"Données Nb pers ou RFR manquantes",IF(COUNTA(INDIRECT("TabRFR["&amp;YEAR(H509)&amp;"]"))&lt;&gt;COUNTA(TabRFR[Recherche RFR]),"Data RFR manquantes", IF(V509&lt;=INDEX(TabRFR[[2021]:[2025]],MATCH(BD!U509&amp;"-Très modestes",TabRFR[Recherche RFR],0),MATCH(TEXT(YEAR(BD!H509),"Standard"),TabRFR[[#Headers],[2021]:[2025]],0)),"Très Modeste",IF(V509&lt;=INDEX(TabRFR[[2021]:[2025]],MATCH(BD!U509&amp;"-modestes",TabRFR[Recherche RFR],0),MATCH(TEXT(YEAR(BD!H509),"Standard"),TabRFR[[#Headers],[2021]:[2025]],0)),"Modeste",IF(V509&lt;=INDEX(TabRFR[[2021]:[2025]],MATCH(BD!U509&amp;"-Intermédiaire",TabRFR[Recherche RFR],0),MATCH(TEXT(YEAR(BD!H509),"Standard"),TabRFR[[#Headers],[2021]:[2025]],0)),"Intermédiaire","Supérieur")))))))</f>
        <v>Modeste</v>
      </c>
      <c r="X509" s="144"/>
      <c r="Y509" s="135" t="s">
        <v>1664</v>
      </c>
      <c r="Z509" s="144">
        <v>38210</v>
      </c>
      <c r="AA509" s="135" t="s">
        <v>202</v>
      </c>
      <c r="AB509" s="148"/>
      <c r="AC509" s="149"/>
      <c r="AD509" s="135" t="s">
        <v>91</v>
      </c>
      <c r="AE509" s="135"/>
      <c r="AF509" s="135"/>
      <c r="AG509" s="135"/>
      <c r="AH509" s="135"/>
      <c r="AI509" s="135" t="s">
        <v>285</v>
      </c>
      <c r="AJ509" s="135" t="s">
        <v>108</v>
      </c>
      <c r="AK509" s="135" t="s">
        <v>2227</v>
      </c>
      <c r="AL509" s="170" t="s">
        <v>287</v>
      </c>
      <c r="AM509" s="135" t="s">
        <v>2184</v>
      </c>
      <c r="AN509" s="135"/>
      <c r="AO509" s="135" t="s">
        <v>102</v>
      </c>
      <c r="AP509" s="135" t="s">
        <v>2281</v>
      </c>
      <c r="AQ509" s="135" t="s">
        <v>3449</v>
      </c>
      <c r="AR509" s="143" t="s">
        <v>172</v>
      </c>
      <c r="AS509" s="135" t="s">
        <v>3496</v>
      </c>
      <c r="AT509" s="135" t="s">
        <v>3446</v>
      </c>
      <c r="AU509" s="135" t="s">
        <v>532</v>
      </c>
      <c r="AV509" s="135" t="s">
        <v>2297</v>
      </c>
      <c r="AW509" s="143">
        <v>28</v>
      </c>
      <c r="AX509" s="143">
        <v>10</v>
      </c>
      <c r="AY509" s="143">
        <v>81</v>
      </c>
      <c r="AZ509" s="143" t="s">
        <v>2298</v>
      </c>
      <c r="BA509" s="135" t="s">
        <v>101</v>
      </c>
      <c r="BB509" s="135"/>
      <c r="BC509" s="143">
        <f>790+1470+490+150+89+2750+990+290+590</f>
        <v>7609</v>
      </c>
      <c r="BD509" s="143"/>
      <c r="BE509" s="143">
        <v>840</v>
      </c>
      <c r="BF509" s="143">
        <f t="shared" si="37"/>
        <v>8449</v>
      </c>
      <c r="BG509" s="151">
        <f t="shared" si="38"/>
        <v>464.69499999999999</v>
      </c>
      <c r="BH509" s="151">
        <f t="shared" si="39"/>
        <v>8913.6949999999997</v>
      </c>
      <c r="BI509" s="151">
        <v>8913.7000000000007</v>
      </c>
      <c r="BJ509" s="135" t="s">
        <v>102</v>
      </c>
      <c r="BK509" s="135"/>
      <c r="BL509" s="135"/>
      <c r="BM509" s="144" t="s">
        <v>3592</v>
      </c>
      <c r="BN509" s="143">
        <v>2022</v>
      </c>
      <c r="BO509" s="135" t="s">
        <v>155</v>
      </c>
      <c r="BP509" s="144">
        <v>2022</v>
      </c>
      <c r="BQ509" s="203" t="s">
        <v>144</v>
      </c>
    </row>
    <row r="510" spans="1:69" ht="41.1" customHeight="1">
      <c r="A510" s="218" t="s">
        <v>1705</v>
      </c>
      <c r="B510" s="218" t="s">
        <v>2299</v>
      </c>
      <c r="C510" s="143">
        <v>600</v>
      </c>
      <c r="D510" s="135">
        <v>44823</v>
      </c>
      <c r="E510" s="135">
        <v>44825</v>
      </c>
      <c r="F510" s="135">
        <v>44852</v>
      </c>
      <c r="G510" s="135" t="s">
        <v>2300</v>
      </c>
      <c r="H510" s="135">
        <v>44859</v>
      </c>
      <c r="I510" s="135">
        <v>44859</v>
      </c>
      <c r="J510" s="135">
        <v>44879</v>
      </c>
      <c r="K510" s="135">
        <v>45169</v>
      </c>
      <c r="L510" s="135">
        <v>44928</v>
      </c>
      <c r="M510" s="135" t="s">
        <v>76</v>
      </c>
      <c r="N510" s="135">
        <v>45176</v>
      </c>
      <c r="O510" s="135">
        <v>45176</v>
      </c>
      <c r="P510" s="135">
        <v>45197</v>
      </c>
      <c r="Q510" s="135"/>
      <c r="R510" s="135"/>
      <c r="S510" s="135"/>
      <c r="T510" s="135"/>
      <c r="U510" s="144">
        <v>2</v>
      </c>
      <c r="V510" s="143">
        <v>37573</v>
      </c>
      <c r="W510" s="143" t="str">
        <f ca="1">IF(H510="",IF(D510="","",IF(U510+V510&lt;15,"Données Nb pers ou RFR manquantes",IF(COUNTA(INDIRECT("TabRFR["&amp;YEAR(D510)&amp;"]"))&lt;&gt;COUNTA(TabRFR[Recherche RFR]),"Data RFR manquantes", IF(V510&lt;=INDEX(TabRFR[[2021]:[2025]],MATCH(BD!U510&amp;"-Très modestes",TabRFR[Recherche RFR],0),MATCH(TEXT(YEAR(BD!D510),"Standard"),TabRFR[[#Headers],[2021]:[2025]],0)),"Très Modeste",IF(V510&lt;=INDEX(TabRFR[[2021]:[2025]],MATCH(BD!U510&amp;"-modestes",TabRFR[Recherche RFR],0),MATCH(TEXT(YEAR(BD!D510),"Standard"),TabRFR[[#Headers],[2021]:[2025]],0)),"Modeste",IF(V510&lt;=INDEX(TabRFR[[2021]:[2025]],MATCH(BD!U510&amp;"-Intermédiaire",TabRFR[Recherche RFR],0),MATCH(TEXT(YEAR(BD!D510),"Standard"),TabRFR[[#Headers],[2021]:[2025]],0)),"Intermédiaire","Supérieur")))))),IF(D510="","",IF(U510+V510&lt;15,"Données Nb pers ou RFR manquantes",IF(COUNTA(INDIRECT("TabRFR["&amp;YEAR(H510)&amp;"]"))&lt;&gt;COUNTA(TabRFR[Recherche RFR]),"Data RFR manquantes", IF(V510&lt;=INDEX(TabRFR[[2021]:[2025]],MATCH(BD!U510&amp;"-Très modestes",TabRFR[Recherche RFR],0),MATCH(TEXT(YEAR(BD!H510),"Standard"),TabRFR[[#Headers],[2021]:[2025]],0)),"Très Modeste",IF(V510&lt;=INDEX(TabRFR[[2021]:[2025]],MATCH(BD!U510&amp;"-modestes",TabRFR[Recherche RFR],0),MATCH(TEXT(YEAR(BD!H510),"Standard"),TabRFR[[#Headers],[2021]:[2025]],0)),"Modeste",IF(V510&lt;=INDEX(TabRFR[[2021]:[2025]],MATCH(BD!U510&amp;"-Intermédiaire",TabRFR[Recherche RFR],0),MATCH(TEXT(YEAR(BD!H510),"Standard"),TabRFR[[#Headers],[2021]:[2025]],0)),"Intermédiaire","Supérieur")))))))</f>
        <v>Intermédiaire</v>
      </c>
      <c r="X510" s="144"/>
      <c r="Y510" s="135" t="s">
        <v>1562</v>
      </c>
      <c r="Z510" s="144">
        <v>38850</v>
      </c>
      <c r="AA510" s="135" t="s">
        <v>435</v>
      </c>
      <c r="AB510" s="148"/>
      <c r="AC510" s="149"/>
      <c r="AD510" s="135" t="s">
        <v>91</v>
      </c>
      <c r="AE510" s="135"/>
      <c r="AF510" s="135"/>
      <c r="AG510" s="135"/>
      <c r="AH510" s="135"/>
      <c r="AI510" s="143" t="s">
        <v>109</v>
      </c>
      <c r="AJ510" s="135" t="s">
        <v>108</v>
      </c>
      <c r="AK510" s="135" t="s">
        <v>110</v>
      </c>
      <c r="AL510" s="170" t="s">
        <v>1701</v>
      </c>
      <c r="AM510" s="148" t="s">
        <v>112</v>
      </c>
      <c r="AN510" s="135"/>
      <c r="AO510" s="135" t="s">
        <v>102</v>
      </c>
      <c r="AP510" s="135">
        <v>44868</v>
      </c>
      <c r="AQ510" s="143" t="s">
        <v>3413</v>
      </c>
      <c r="AR510" s="143">
        <v>1985</v>
      </c>
      <c r="AS510" s="143" t="s">
        <v>3413</v>
      </c>
      <c r="AT510" s="143" t="s">
        <v>98</v>
      </c>
      <c r="AU510" s="135" t="s">
        <v>113</v>
      </c>
      <c r="AV510" s="135" t="s">
        <v>2301</v>
      </c>
      <c r="AW510" s="143">
        <v>14</v>
      </c>
      <c r="AX510" s="143" t="s">
        <v>1900</v>
      </c>
      <c r="AY510" s="143">
        <v>90.8</v>
      </c>
      <c r="AZ510" s="143" t="s">
        <v>2302</v>
      </c>
      <c r="BA510" s="135" t="s">
        <v>101</v>
      </c>
      <c r="BB510" s="135"/>
      <c r="BC510" s="143">
        <f>3975+650+101+88+318.98+85+120+132+90+45+22</f>
        <v>5626.98</v>
      </c>
      <c r="BD510" s="143"/>
      <c r="BE510" s="143">
        <f>10+30+450</f>
        <v>490</v>
      </c>
      <c r="BF510" s="143">
        <f t="shared" si="37"/>
        <v>6116.98</v>
      </c>
      <c r="BG510" s="151">
        <f t="shared" si="38"/>
        <v>336.43389999999999</v>
      </c>
      <c r="BH510" s="151">
        <f t="shared" si="39"/>
        <v>6453.4138999999996</v>
      </c>
      <c r="BI510" s="151">
        <v>6453.41</v>
      </c>
      <c r="BJ510" s="135" t="s">
        <v>1391</v>
      </c>
      <c r="BK510" s="135"/>
      <c r="BL510" s="135"/>
      <c r="BM510" s="144" t="s">
        <v>3592</v>
      </c>
      <c r="BN510" s="143">
        <v>2022</v>
      </c>
      <c r="BO510" s="144" t="s">
        <v>143</v>
      </c>
      <c r="BP510" s="143" t="s">
        <v>3583</v>
      </c>
      <c r="BQ510" s="203" t="s">
        <v>3274</v>
      </c>
    </row>
    <row r="511" spans="1:69" ht="41.1" customHeight="1">
      <c r="A511" s="218" t="s">
        <v>1705</v>
      </c>
      <c r="B511" s="218" t="s">
        <v>2303</v>
      </c>
      <c r="C511" s="143">
        <v>600</v>
      </c>
      <c r="D511" s="135">
        <v>44825</v>
      </c>
      <c r="E511" s="135">
        <v>44831</v>
      </c>
      <c r="F511" s="135">
        <v>44852</v>
      </c>
      <c r="G511" s="135" t="s">
        <v>2304</v>
      </c>
      <c r="H511" s="135">
        <v>44859</v>
      </c>
      <c r="I511" s="135">
        <v>44859</v>
      </c>
      <c r="J511" s="135">
        <v>44879</v>
      </c>
      <c r="K511" s="135">
        <v>44952</v>
      </c>
      <c r="L511" s="135">
        <v>44895</v>
      </c>
      <c r="M511" s="135" t="s">
        <v>76</v>
      </c>
      <c r="N511" s="135">
        <v>44974</v>
      </c>
      <c r="O511" s="135">
        <v>44974</v>
      </c>
      <c r="P511" s="135">
        <v>44977</v>
      </c>
      <c r="Q511" s="135"/>
      <c r="R511" s="135"/>
      <c r="S511" s="135"/>
      <c r="T511" s="135"/>
      <c r="U511" s="144">
        <v>3</v>
      </c>
      <c r="V511" s="143">
        <v>62310</v>
      </c>
      <c r="W511" s="143" t="str">
        <f ca="1">IF(H511="",IF(D511="","",IF(U511+V511&lt;15,"Données Nb pers ou RFR manquantes",IF(COUNTA(INDIRECT("TabRFR["&amp;YEAR(D511)&amp;"]"))&lt;&gt;COUNTA(TabRFR[Recherche RFR]),"Data RFR manquantes", IF(V511&lt;=INDEX(TabRFR[[2021]:[2025]],MATCH(BD!U511&amp;"-Très modestes",TabRFR[Recherche RFR],0),MATCH(TEXT(YEAR(BD!D511),"Standard"),TabRFR[[#Headers],[2021]:[2025]],0)),"Très Modeste",IF(V511&lt;=INDEX(TabRFR[[2021]:[2025]],MATCH(BD!U511&amp;"-modestes",TabRFR[Recherche RFR],0),MATCH(TEXT(YEAR(BD!D511),"Standard"),TabRFR[[#Headers],[2021]:[2025]],0)),"Modeste",IF(V511&lt;=INDEX(TabRFR[[2021]:[2025]],MATCH(BD!U511&amp;"-Intermédiaire",TabRFR[Recherche RFR],0),MATCH(TEXT(YEAR(BD!D511),"Standard"),TabRFR[[#Headers],[2021]:[2025]],0)),"Intermédiaire","Supérieur")))))),IF(D511="","",IF(U511+V511&lt;15,"Données Nb pers ou RFR manquantes",IF(COUNTA(INDIRECT("TabRFR["&amp;YEAR(H511)&amp;"]"))&lt;&gt;COUNTA(TabRFR[Recherche RFR]),"Data RFR manquantes", IF(V511&lt;=INDEX(TabRFR[[2021]:[2025]],MATCH(BD!U511&amp;"-Très modestes",TabRFR[Recherche RFR],0),MATCH(TEXT(YEAR(BD!H511),"Standard"),TabRFR[[#Headers],[2021]:[2025]],0)),"Très Modeste",IF(V511&lt;=INDEX(TabRFR[[2021]:[2025]],MATCH(BD!U511&amp;"-modestes",TabRFR[Recherche RFR],0),MATCH(TEXT(YEAR(BD!H511),"Standard"),TabRFR[[#Headers],[2021]:[2025]],0)),"Modeste",IF(V511&lt;=INDEX(TabRFR[[2021]:[2025]],MATCH(BD!U511&amp;"-Intermédiaire",TabRFR[Recherche RFR],0),MATCH(TEXT(YEAR(BD!H511),"Standard"),TabRFR[[#Headers],[2021]:[2025]],0)),"Intermédiaire","Supérieur")))))))</f>
        <v>Supérieur</v>
      </c>
      <c r="X511" s="144"/>
      <c r="Y511" s="135" t="s">
        <v>2305</v>
      </c>
      <c r="Z511" s="144">
        <v>38500</v>
      </c>
      <c r="AA511" s="143" t="s">
        <v>591</v>
      </c>
      <c r="AB511" s="148"/>
      <c r="AC511" s="149"/>
      <c r="AD511" s="135" t="s">
        <v>91</v>
      </c>
      <c r="AE511" s="135"/>
      <c r="AF511" s="135"/>
      <c r="AG511" s="135"/>
      <c r="AH511" s="135"/>
      <c r="AI511" s="135" t="s">
        <v>220</v>
      </c>
      <c r="AJ511" s="135" t="s">
        <v>108</v>
      </c>
      <c r="AK511" s="135" t="s">
        <v>2243</v>
      </c>
      <c r="AL511" s="170" t="s">
        <v>1947</v>
      </c>
      <c r="AM511" s="135" t="s">
        <v>2244</v>
      </c>
      <c r="AN511" s="135"/>
      <c r="AO511" s="135" t="s">
        <v>102</v>
      </c>
      <c r="AP511" s="135">
        <v>45159</v>
      </c>
      <c r="AQ511" s="135" t="s">
        <v>3449</v>
      </c>
      <c r="AR511" s="143">
        <v>1981</v>
      </c>
      <c r="AS511" s="143" t="s">
        <v>3413</v>
      </c>
      <c r="AT511" s="135" t="s">
        <v>3446</v>
      </c>
      <c r="AU511" s="135" t="s">
        <v>2306</v>
      </c>
      <c r="AV511" s="135" t="s">
        <v>2307</v>
      </c>
      <c r="AW511" s="143">
        <v>22</v>
      </c>
      <c r="AX511" s="143" t="s">
        <v>2308</v>
      </c>
      <c r="AY511" s="143">
        <v>78</v>
      </c>
      <c r="AZ511" s="143" t="s">
        <v>2309</v>
      </c>
      <c r="BA511" s="135" t="s">
        <v>101</v>
      </c>
      <c r="BB511" s="135"/>
      <c r="BC511" s="143">
        <f>160+2587+48*16+2390+120+65+49+51+35+32+65+35</f>
        <v>6357</v>
      </c>
      <c r="BD511" s="143"/>
      <c r="BE511" s="143">
        <f>40+360</f>
        <v>400</v>
      </c>
      <c r="BF511" s="143">
        <f t="shared" si="37"/>
        <v>6757</v>
      </c>
      <c r="BG511" s="151">
        <f t="shared" si="38"/>
        <v>371.63499999999999</v>
      </c>
      <c r="BH511" s="151">
        <f t="shared" si="39"/>
        <v>7128.6350000000002</v>
      </c>
      <c r="BI511" s="151">
        <v>3420.31</v>
      </c>
      <c r="BJ511" s="135" t="s">
        <v>1391</v>
      </c>
      <c r="BK511" s="135"/>
      <c r="BL511" s="135"/>
      <c r="BM511" s="144" t="s">
        <v>3592</v>
      </c>
      <c r="BN511" s="143">
        <v>2022</v>
      </c>
      <c r="BO511" s="144" t="s">
        <v>143</v>
      </c>
      <c r="BP511" s="144">
        <v>2022</v>
      </c>
      <c r="BQ511" s="203" t="s">
        <v>3274</v>
      </c>
    </row>
    <row r="512" spans="1:69" ht="41.1" customHeight="1">
      <c r="A512" s="218" t="s">
        <v>1705</v>
      </c>
      <c r="B512" s="218" t="s">
        <v>2310</v>
      </c>
      <c r="C512" s="143">
        <v>600</v>
      </c>
      <c r="D512" s="135">
        <v>44826</v>
      </c>
      <c r="E512" s="135">
        <v>44831</v>
      </c>
      <c r="F512" s="135">
        <v>44852</v>
      </c>
      <c r="G512" s="135" t="s">
        <v>2311</v>
      </c>
      <c r="H512" s="135">
        <v>44879</v>
      </c>
      <c r="I512" s="135">
        <v>44879</v>
      </c>
      <c r="J512" s="135">
        <v>44886</v>
      </c>
      <c r="K512" s="135">
        <v>44931</v>
      </c>
      <c r="L512" s="135">
        <v>44908</v>
      </c>
      <c r="M512" s="135" t="s">
        <v>76</v>
      </c>
      <c r="N512" s="135">
        <v>44956</v>
      </c>
      <c r="O512" s="135">
        <v>44956</v>
      </c>
      <c r="P512" s="135">
        <v>44959</v>
      </c>
      <c r="Q512" s="135"/>
      <c r="R512" s="135"/>
      <c r="S512" s="135"/>
      <c r="T512" s="135"/>
      <c r="U512" s="144">
        <v>2</v>
      </c>
      <c r="V512" s="143">
        <v>35945</v>
      </c>
      <c r="W512" s="143" t="str">
        <f ca="1">IF(H512="",IF(D512="","",IF(U512+V512&lt;15,"Données Nb pers ou RFR manquantes",IF(COUNTA(INDIRECT("TabRFR["&amp;YEAR(D512)&amp;"]"))&lt;&gt;COUNTA(TabRFR[Recherche RFR]),"Data RFR manquantes", IF(V512&lt;=INDEX(TabRFR[[2021]:[2025]],MATCH(BD!U512&amp;"-Très modestes",TabRFR[Recherche RFR],0),MATCH(TEXT(YEAR(BD!D512),"Standard"),TabRFR[[#Headers],[2021]:[2025]],0)),"Très Modeste",IF(V512&lt;=INDEX(TabRFR[[2021]:[2025]],MATCH(BD!U512&amp;"-modestes",TabRFR[Recherche RFR],0),MATCH(TEXT(YEAR(BD!D512),"Standard"),TabRFR[[#Headers],[2021]:[2025]],0)),"Modeste",IF(V512&lt;=INDEX(TabRFR[[2021]:[2025]],MATCH(BD!U512&amp;"-Intermédiaire",TabRFR[Recherche RFR],0),MATCH(TEXT(YEAR(BD!D512),"Standard"),TabRFR[[#Headers],[2021]:[2025]],0)),"Intermédiaire","Supérieur")))))),IF(D512="","",IF(U512+V512&lt;15,"Données Nb pers ou RFR manquantes",IF(COUNTA(INDIRECT("TabRFR["&amp;YEAR(H512)&amp;"]"))&lt;&gt;COUNTA(TabRFR[Recherche RFR]),"Data RFR manquantes", IF(V512&lt;=INDEX(TabRFR[[2021]:[2025]],MATCH(BD!U512&amp;"-Très modestes",TabRFR[Recherche RFR],0),MATCH(TEXT(YEAR(BD!H512),"Standard"),TabRFR[[#Headers],[2021]:[2025]],0)),"Très Modeste",IF(V512&lt;=INDEX(TabRFR[[2021]:[2025]],MATCH(BD!U512&amp;"-modestes",TabRFR[Recherche RFR],0),MATCH(TEXT(YEAR(BD!H512),"Standard"),TabRFR[[#Headers],[2021]:[2025]],0)),"Modeste",IF(V512&lt;=INDEX(TabRFR[[2021]:[2025]],MATCH(BD!U512&amp;"-Intermédiaire",TabRFR[Recherche RFR],0),MATCH(TEXT(YEAR(BD!H512),"Standard"),TabRFR[[#Headers],[2021]:[2025]],0)),"Intermédiaire","Supérieur")))))))</f>
        <v>Intermédiaire</v>
      </c>
      <c r="X512" s="144"/>
      <c r="Y512" s="135" t="s">
        <v>1912</v>
      </c>
      <c r="Z512" s="144">
        <v>38140</v>
      </c>
      <c r="AA512" s="135" t="s">
        <v>219</v>
      </c>
      <c r="AB512" s="148"/>
      <c r="AC512" s="149"/>
      <c r="AD512" s="135" t="s">
        <v>91</v>
      </c>
      <c r="AE512" s="135"/>
      <c r="AF512" s="135"/>
      <c r="AG512" s="135"/>
      <c r="AH512" s="135"/>
      <c r="AI512" s="135" t="s">
        <v>285</v>
      </c>
      <c r="AJ512" s="135" t="s">
        <v>108</v>
      </c>
      <c r="AK512" s="135" t="s">
        <v>2227</v>
      </c>
      <c r="AL512" s="170" t="s">
        <v>287</v>
      </c>
      <c r="AM512" s="135" t="s">
        <v>2184</v>
      </c>
      <c r="AN512" s="135"/>
      <c r="AO512" s="135" t="s">
        <v>102</v>
      </c>
      <c r="AP512" s="135" t="s">
        <v>2281</v>
      </c>
      <c r="AQ512" s="135" t="s">
        <v>3496</v>
      </c>
      <c r="AR512" s="143">
        <v>1992</v>
      </c>
      <c r="AS512" s="135" t="s">
        <v>3496</v>
      </c>
      <c r="AT512" s="135" t="s">
        <v>3446</v>
      </c>
      <c r="AU512" s="135" t="s">
        <v>381</v>
      </c>
      <c r="AV512" s="135" t="s">
        <v>2312</v>
      </c>
      <c r="AW512" s="143">
        <v>24</v>
      </c>
      <c r="AX512" s="143" t="s">
        <v>2313</v>
      </c>
      <c r="AY512" s="143" t="s">
        <v>2314</v>
      </c>
      <c r="AZ512" s="143" t="s">
        <v>2315</v>
      </c>
      <c r="BA512" s="135" t="s">
        <v>101</v>
      </c>
      <c r="BB512" s="135"/>
      <c r="BC512" s="143">
        <f>690+5688+990+290+759+490+430+158+250+590</f>
        <v>10335</v>
      </c>
      <c r="BD512" s="143"/>
      <c r="BE512" s="143">
        <v>840</v>
      </c>
      <c r="BF512" s="143">
        <f t="shared" si="37"/>
        <v>11175</v>
      </c>
      <c r="BG512" s="151">
        <f t="shared" si="38"/>
        <v>614.625</v>
      </c>
      <c r="BH512" s="151">
        <f t="shared" si="39"/>
        <v>11789.625</v>
      </c>
      <c r="BI512" s="151">
        <v>11818.12</v>
      </c>
      <c r="BJ512" s="135" t="s">
        <v>102</v>
      </c>
      <c r="BK512" s="135"/>
      <c r="BL512" s="135"/>
      <c r="BM512" s="144" t="s">
        <v>3592</v>
      </c>
      <c r="BN512" s="143">
        <v>2022</v>
      </c>
      <c r="BO512" s="144" t="s">
        <v>143</v>
      </c>
      <c r="BP512" s="143">
        <v>2022</v>
      </c>
      <c r="BQ512" s="203" t="s">
        <v>144</v>
      </c>
    </row>
    <row r="513" spans="1:69" ht="41.1" customHeight="1">
      <c r="A513" s="218" t="s">
        <v>1705</v>
      </c>
      <c r="B513" s="218" t="s">
        <v>2316</v>
      </c>
      <c r="C513" s="143">
        <v>600</v>
      </c>
      <c r="D513" s="135">
        <v>44826</v>
      </c>
      <c r="E513" s="135">
        <v>44831</v>
      </c>
      <c r="F513" s="135" t="s">
        <v>76</v>
      </c>
      <c r="G513" s="135" t="s">
        <v>76</v>
      </c>
      <c r="H513" s="135">
        <v>44852</v>
      </c>
      <c r="I513" s="135">
        <v>44852</v>
      </c>
      <c r="J513" s="135">
        <v>44855</v>
      </c>
      <c r="K513" s="135">
        <v>45001</v>
      </c>
      <c r="L513" s="135">
        <v>44978</v>
      </c>
      <c r="M513" s="135" t="s">
        <v>76</v>
      </c>
      <c r="N513" s="135">
        <v>45036</v>
      </c>
      <c r="O513" s="135">
        <v>45036</v>
      </c>
      <c r="P513" s="135">
        <v>45037</v>
      </c>
      <c r="Q513" s="135"/>
      <c r="R513" s="135"/>
      <c r="S513" s="135"/>
      <c r="T513" s="135"/>
      <c r="U513" s="144">
        <v>1</v>
      </c>
      <c r="V513" s="143">
        <v>38674</v>
      </c>
      <c r="W513" s="143" t="str">
        <f ca="1">IF(H513="",IF(D513="","",IF(U513+V513&lt;15,"Données Nb pers ou RFR manquantes",IF(COUNTA(INDIRECT("TabRFR["&amp;YEAR(D513)&amp;"]"))&lt;&gt;COUNTA(TabRFR[Recherche RFR]),"Data RFR manquantes", IF(V513&lt;=INDEX(TabRFR[[2021]:[2025]],MATCH(BD!U513&amp;"-Très modestes",TabRFR[Recherche RFR],0),MATCH(TEXT(YEAR(BD!D513),"Standard"),TabRFR[[#Headers],[2021]:[2025]],0)),"Très Modeste",IF(V513&lt;=INDEX(TabRFR[[2021]:[2025]],MATCH(BD!U513&amp;"-modestes",TabRFR[Recherche RFR],0),MATCH(TEXT(YEAR(BD!D513),"Standard"),TabRFR[[#Headers],[2021]:[2025]],0)),"Modeste",IF(V513&lt;=INDEX(TabRFR[[2021]:[2025]],MATCH(BD!U513&amp;"-Intermédiaire",TabRFR[Recherche RFR],0),MATCH(TEXT(YEAR(BD!D513),"Standard"),TabRFR[[#Headers],[2021]:[2025]],0)),"Intermédiaire","Supérieur")))))),IF(D513="","",IF(U513+V513&lt;15,"Données Nb pers ou RFR manquantes",IF(COUNTA(INDIRECT("TabRFR["&amp;YEAR(H513)&amp;"]"))&lt;&gt;COUNTA(TabRFR[Recherche RFR]),"Data RFR manquantes", IF(V513&lt;=INDEX(TabRFR[[2021]:[2025]],MATCH(BD!U513&amp;"-Très modestes",TabRFR[Recherche RFR],0),MATCH(TEXT(YEAR(BD!H513),"Standard"),TabRFR[[#Headers],[2021]:[2025]],0)),"Très Modeste",IF(V513&lt;=INDEX(TabRFR[[2021]:[2025]],MATCH(BD!U513&amp;"-modestes",TabRFR[Recherche RFR],0),MATCH(TEXT(YEAR(BD!H513),"Standard"),TabRFR[[#Headers],[2021]:[2025]],0)),"Modeste",IF(V513&lt;=INDEX(TabRFR[[2021]:[2025]],MATCH(BD!U513&amp;"-Intermédiaire",TabRFR[Recherche RFR],0),MATCH(TEXT(YEAR(BD!H513),"Standard"),TabRFR[[#Headers],[2021]:[2025]],0)),"Intermédiaire","Supérieur")))))))</f>
        <v>Supérieur</v>
      </c>
      <c r="X513" s="144"/>
      <c r="Y513" s="135" t="s">
        <v>2020</v>
      </c>
      <c r="Z513" s="144">
        <v>38850</v>
      </c>
      <c r="AA513" s="135" t="s">
        <v>168</v>
      </c>
      <c r="AB513" s="148"/>
      <c r="AC513" s="149"/>
      <c r="AD513" s="135" t="s">
        <v>91</v>
      </c>
      <c r="AE513" s="135"/>
      <c r="AF513" s="135"/>
      <c r="AG513" s="135"/>
      <c r="AH513" s="135"/>
      <c r="AI513" s="135" t="s">
        <v>905</v>
      </c>
      <c r="AJ513" s="143" t="s">
        <v>136</v>
      </c>
      <c r="AK513" s="143" t="s">
        <v>906</v>
      </c>
      <c r="AL513" s="144" t="s">
        <v>907</v>
      </c>
      <c r="AM513" s="148" t="s">
        <v>1944</v>
      </c>
      <c r="AN513" s="143" t="s">
        <v>76</v>
      </c>
      <c r="AO513" s="148" t="s">
        <v>102</v>
      </c>
      <c r="AP513" s="147">
        <v>45033</v>
      </c>
      <c r="AQ513" s="135" t="s">
        <v>3496</v>
      </c>
      <c r="AR513" s="143">
        <v>2001</v>
      </c>
      <c r="AS513" s="143" t="s">
        <v>3413</v>
      </c>
      <c r="AT513" s="135" t="s">
        <v>3446</v>
      </c>
      <c r="AU513" s="135" t="s">
        <v>1346</v>
      </c>
      <c r="AV513" s="135" t="s">
        <v>2317</v>
      </c>
      <c r="AW513" s="143">
        <v>14</v>
      </c>
      <c r="AX513" s="143" t="s">
        <v>2318</v>
      </c>
      <c r="AY513" s="143">
        <v>80</v>
      </c>
      <c r="AZ513" s="143" t="s">
        <v>2319</v>
      </c>
      <c r="BA513" s="135" t="s">
        <v>101</v>
      </c>
      <c r="BB513" s="135"/>
      <c r="BC513" s="143">
        <f>4764.93+59+381+260+278+921</f>
        <v>6663.93</v>
      </c>
      <c r="BD513" s="143"/>
      <c r="BE513" s="143">
        <v>1198</v>
      </c>
      <c r="BF513" s="143">
        <f>BC513+BE513-316.91</f>
        <v>7545.02</v>
      </c>
      <c r="BG513" s="151">
        <f t="shared" si="38"/>
        <v>414.97610000000003</v>
      </c>
      <c r="BH513" s="151">
        <f t="shared" si="39"/>
        <v>7959.9961000000003</v>
      </c>
      <c r="BI513" s="151">
        <v>7960</v>
      </c>
      <c r="BJ513" s="135" t="s">
        <v>102</v>
      </c>
      <c r="BK513" s="135"/>
      <c r="BL513" s="135"/>
      <c r="BM513" s="144" t="s">
        <v>3592</v>
      </c>
      <c r="BN513" s="143">
        <v>2022</v>
      </c>
      <c r="BO513" s="144" t="s">
        <v>143</v>
      </c>
      <c r="BP513" s="144">
        <v>2022</v>
      </c>
      <c r="BQ513" s="203" t="s">
        <v>144</v>
      </c>
    </row>
    <row r="514" spans="1:69" ht="41.1" customHeight="1">
      <c r="A514" s="218" t="s">
        <v>1705</v>
      </c>
      <c r="B514" s="218" t="s">
        <v>2320</v>
      </c>
      <c r="C514" s="143">
        <v>600</v>
      </c>
      <c r="D514" s="135">
        <v>44826</v>
      </c>
      <c r="E514" s="135">
        <v>44831</v>
      </c>
      <c r="F514" s="135" t="s">
        <v>76</v>
      </c>
      <c r="G514" s="135" t="s">
        <v>76</v>
      </c>
      <c r="H514" s="135">
        <v>44852</v>
      </c>
      <c r="I514" s="135">
        <v>44852</v>
      </c>
      <c r="J514" s="135">
        <v>44873</v>
      </c>
      <c r="K514" s="135">
        <v>44963</v>
      </c>
      <c r="L514" s="135">
        <v>44914</v>
      </c>
      <c r="M514" s="135" t="s">
        <v>76</v>
      </c>
      <c r="N514" s="135">
        <v>44974</v>
      </c>
      <c r="O514" s="135">
        <v>44974</v>
      </c>
      <c r="P514" s="135">
        <v>44977</v>
      </c>
      <c r="Q514" s="135"/>
      <c r="R514" s="135"/>
      <c r="S514" s="135"/>
      <c r="T514" s="135"/>
      <c r="U514" s="144">
        <v>3</v>
      </c>
      <c r="V514" s="143">
        <v>87395</v>
      </c>
      <c r="W514" s="143" t="str">
        <f ca="1">IF(H514="",IF(D514="","",IF(U514+V514&lt;15,"Données Nb pers ou RFR manquantes",IF(COUNTA(INDIRECT("TabRFR["&amp;YEAR(D514)&amp;"]"))&lt;&gt;COUNTA(TabRFR[Recherche RFR]),"Data RFR manquantes", IF(V514&lt;=INDEX(TabRFR[[2021]:[2025]],MATCH(BD!U514&amp;"-Très modestes",TabRFR[Recherche RFR],0),MATCH(TEXT(YEAR(BD!D514),"Standard"),TabRFR[[#Headers],[2021]:[2025]],0)),"Très Modeste",IF(V514&lt;=INDEX(TabRFR[[2021]:[2025]],MATCH(BD!U514&amp;"-modestes",TabRFR[Recherche RFR],0),MATCH(TEXT(YEAR(BD!D514),"Standard"),TabRFR[[#Headers],[2021]:[2025]],0)),"Modeste",IF(V514&lt;=INDEX(TabRFR[[2021]:[2025]],MATCH(BD!U514&amp;"-Intermédiaire",TabRFR[Recherche RFR],0),MATCH(TEXT(YEAR(BD!D514),"Standard"),TabRFR[[#Headers],[2021]:[2025]],0)),"Intermédiaire","Supérieur")))))),IF(D514="","",IF(U514+V514&lt;15,"Données Nb pers ou RFR manquantes",IF(COUNTA(INDIRECT("TabRFR["&amp;YEAR(H514)&amp;"]"))&lt;&gt;COUNTA(TabRFR[Recherche RFR]),"Data RFR manquantes", IF(V514&lt;=INDEX(TabRFR[[2021]:[2025]],MATCH(BD!U514&amp;"-Très modestes",TabRFR[Recherche RFR],0),MATCH(TEXT(YEAR(BD!H514),"Standard"),TabRFR[[#Headers],[2021]:[2025]],0)),"Très Modeste",IF(V514&lt;=INDEX(TabRFR[[2021]:[2025]],MATCH(BD!U514&amp;"-modestes",TabRFR[Recherche RFR],0),MATCH(TEXT(YEAR(BD!H514),"Standard"),TabRFR[[#Headers],[2021]:[2025]],0)),"Modeste",IF(V514&lt;=INDEX(TabRFR[[2021]:[2025]],MATCH(BD!U514&amp;"-Intermédiaire",TabRFR[Recherche RFR],0),MATCH(TEXT(YEAR(BD!H514),"Standard"),TabRFR[[#Headers],[2021]:[2025]],0)),"Intermédiaire","Supérieur")))))))</f>
        <v>Supérieur</v>
      </c>
      <c r="X514" s="144"/>
      <c r="Y514" s="135" t="s">
        <v>2321</v>
      </c>
      <c r="Z514" s="144">
        <v>38340</v>
      </c>
      <c r="AA514" s="135" t="s">
        <v>266</v>
      </c>
      <c r="AB514" s="148"/>
      <c r="AC514" s="149"/>
      <c r="AD514" s="135" t="s">
        <v>91</v>
      </c>
      <c r="AE514" s="135"/>
      <c r="AF514" s="135"/>
      <c r="AG514" s="135"/>
      <c r="AH514" s="135"/>
      <c r="AI514" s="135" t="s">
        <v>120</v>
      </c>
      <c r="AJ514" s="135" t="s">
        <v>121</v>
      </c>
      <c r="AK514" s="135" t="s">
        <v>2232</v>
      </c>
      <c r="AL514" s="170" t="s">
        <v>123</v>
      </c>
      <c r="AM514" s="135" t="s">
        <v>1469</v>
      </c>
      <c r="AN514" s="135" t="s">
        <v>2233</v>
      </c>
      <c r="AO514" s="135" t="s">
        <v>102</v>
      </c>
      <c r="AP514" s="135">
        <v>45147</v>
      </c>
      <c r="AQ514" s="143" t="s">
        <v>3413</v>
      </c>
      <c r="AR514" s="143" t="s">
        <v>139</v>
      </c>
      <c r="AS514" s="143" t="s">
        <v>3413</v>
      </c>
      <c r="AT514" s="135" t="s">
        <v>3446</v>
      </c>
      <c r="AU514" s="135" t="s">
        <v>194</v>
      </c>
      <c r="AV514" s="135" t="s">
        <v>2322</v>
      </c>
      <c r="AW514" s="143">
        <v>28</v>
      </c>
      <c r="AX514" s="143" t="s">
        <v>2323</v>
      </c>
      <c r="AY514" s="143">
        <v>80</v>
      </c>
      <c r="AZ514" s="143" t="s">
        <v>1901</v>
      </c>
      <c r="BA514" s="135" t="s">
        <v>101</v>
      </c>
      <c r="BB514" s="135"/>
      <c r="BC514" s="151">
        <f>(3703+210+762+30)/1.055</f>
        <v>4459.7156398104271</v>
      </c>
      <c r="BD514" s="143"/>
      <c r="BE514" s="151">
        <f>750/1.055</f>
        <v>710.90047393364932</v>
      </c>
      <c r="BF514" s="151">
        <f>BC514+BE514</f>
        <v>5170.6161137440768</v>
      </c>
      <c r="BG514" s="151">
        <f t="shared" si="38"/>
        <v>284.38388625592421</v>
      </c>
      <c r="BH514" s="151">
        <f t="shared" si="39"/>
        <v>5455.0000000000009</v>
      </c>
      <c r="BI514" s="151">
        <v>5455</v>
      </c>
      <c r="BJ514" s="135" t="s">
        <v>1391</v>
      </c>
      <c r="BK514" s="135"/>
      <c r="BL514" s="135"/>
      <c r="BM514" s="144" t="s">
        <v>3592</v>
      </c>
      <c r="BN514" s="143">
        <v>2022</v>
      </c>
      <c r="BO514" s="144" t="s">
        <v>143</v>
      </c>
      <c r="BP514" s="144">
        <v>2022</v>
      </c>
      <c r="BQ514" s="203" t="s">
        <v>3274</v>
      </c>
    </row>
    <row r="515" spans="1:69" ht="41.1" customHeight="1">
      <c r="A515" s="145" t="s">
        <v>2324</v>
      </c>
      <c r="B515" s="145" t="s">
        <v>2325</v>
      </c>
      <c r="C515" s="143">
        <f ca="1">IF(W515="Très modeste",1000,IF(W515="Modeste",1000,IF(W515="Intermédiaire",600,IF(W515="Supérieur",600,"Non calculé"))))</f>
        <v>600</v>
      </c>
      <c r="D515" s="135">
        <v>44826</v>
      </c>
      <c r="E515" s="135">
        <v>44831</v>
      </c>
      <c r="F515" s="135">
        <v>44858</v>
      </c>
      <c r="G515" s="135" t="s">
        <v>3291</v>
      </c>
      <c r="H515" s="135"/>
      <c r="I515" s="135"/>
      <c r="J515" s="135"/>
      <c r="K515" s="135"/>
      <c r="L515" s="135"/>
      <c r="M515" s="135"/>
      <c r="N515" s="135"/>
      <c r="O515" s="135"/>
      <c r="P515" s="135"/>
      <c r="Q515" s="135">
        <v>45253</v>
      </c>
      <c r="R515" s="135" t="s">
        <v>3297</v>
      </c>
      <c r="S515" s="135"/>
      <c r="T515" s="135"/>
      <c r="U515" s="144">
        <v>2</v>
      </c>
      <c r="V515" s="143">
        <v>28893</v>
      </c>
      <c r="W515" s="143" t="str">
        <f ca="1">IF(H515="",IF(D515="","",IF(U515+V515&lt;15,"Données Nb pers ou RFR manquantes",IF(COUNTA(INDIRECT("TabRFR["&amp;YEAR(D515)&amp;"]"))&lt;&gt;COUNTA(TabRFR[Recherche RFR]),"Data RFR manquantes", IF(V515&lt;=INDEX(TabRFR[[2021]:[2025]],MATCH(BD!U515&amp;"-Très modestes",TabRFR[Recherche RFR],0),MATCH(TEXT(YEAR(BD!D515),"Standard"),TabRFR[[#Headers],[2021]:[2025]],0)),"Très Modeste",IF(V515&lt;=INDEX(TabRFR[[2021]:[2025]],MATCH(BD!U515&amp;"-modestes",TabRFR[Recherche RFR],0),MATCH(TEXT(YEAR(BD!D515),"Standard"),TabRFR[[#Headers],[2021]:[2025]],0)),"Modeste",IF(V515&lt;=INDEX(TabRFR[[2021]:[2025]],MATCH(BD!U515&amp;"-Intermédiaire",TabRFR[Recherche RFR],0),MATCH(TEXT(YEAR(BD!D515),"Standard"),TabRFR[[#Headers],[2021]:[2025]],0)),"Intermédiaire","Supérieur")))))),IF(D515="","",IF(U515+V515&lt;15,"Données Nb pers ou RFR manquantes",IF(COUNTA(INDIRECT("TabRFR["&amp;YEAR(H515)&amp;"]"))&lt;&gt;COUNTA(TabRFR[Recherche RFR]),"Data RFR manquantes", IF(V515&lt;=INDEX(TabRFR[[2021]:[2025]],MATCH(BD!U515&amp;"-Très modestes",TabRFR[Recherche RFR],0),MATCH(TEXT(YEAR(BD!H515),"Standard"),TabRFR[[#Headers],[2021]:[2025]],0)),"Très Modeste",IF(V515&lt;=INDEX(TabRFR[[2021]:[2025]],MATCH(BD!U515&amp;"-modestes",TabRFR[Recherche RFR],0),MATCH(TEXT(YEAR(BD!H515),"Standard"),TabRFR[[#Headers],[2021]:[2025]],0)),"Modeste",IF(V515&lt;=INDEX(TabRFR[[2021]:[2025]],MATCH(BD!U515&amp;"-Intermédiaire",TabRFR[Recherche RFR],0),MATCH(TEXT(YEAR(BD!H515),"Standard"),TabRFR[[#Headers],[2021]:[2025]],0)),"Intermédiaire","Supérieur")))))))</f>
        <v>Intermédiaire</v>
      </c>
      <c r="X515" s="144"/>
      <c r="Y515" s="135" t="s">
        <v>2326</v>
      </c>
      <c r="Z515" s="144">
        <v>38140</v>
      </c>
      <c r="AA515" s="143" t="s">
        <v>504</v>
      </c>
      <c r="AB515" s="148"/>
      <c r="AC515" s="149"/>
      <c r="AD515" s="135" t="s">
        <v>91</v>
      </c>
      <c r="AE515" s="135"/>
      <c r="AF515" s="135"/>
      <c r="AG515" s="135"/>
      <c r="AH515" s="135"/>
      <c r="AI515" s="143" t="s">
        <v>109</v>
      </c>
      <c r="AJ515" s="135" t="s">
        <v>108</v>
      </c>
      <c r="AK515" s="135" t="s">
        <v>110</v>
      </c>
      <c r="AL515" s="170" t="s">
        <v>1701</v>
      </c>
      <c r="AM515" s="148" t="s">
        <v>112</v>
      </c>
      <c r="AN515" s="135"/>
      <c r="AO515" s="135" t="s">
        <v>102</v>
      </c>
      <c r="AP515" s="135">
        <v>44868</v>
      </c>
      <c r="AQ515" s="135" t="s">
        <v>3496</v>
      </c>
      <c r="AR515" s="143" t="s">
        <v>2327</v>
      </c>
      <c r="AS515" s="143" t="s">
        <v>3413</v>
      </c>
      <c r="AT515" s="143" t="s">
        <v>98</v>
      </c>
      <c r="AU515" s="135" t="s">
        <v>113</v>
      </c>
      <c r="AV515" s="135" t="s">
        <v>2328</v>
      </c>
      <c r="AW515" s="143">
        <v>17</v>
      </c>
      <c r="AX515" s="143">
        <v>8</v>
      </c>
      <c r="AY515" s="143">
        <v>90.4</v>
      </c>
      <c r="AZ515" s="143">
        <v>38</v>
      </c>
      <c r="BA515" s="135" t="s">
        <v>101</v>
      </c>
      <c r="BB515" s="135"/>
      <c r="BC515" s="143">
        <f>3492+318.02+109.9+164.32+149.57+99.6+116.63+79.4+139.56+204+85+20</f>
        <v>4978.0000000000009</v>
      </c>
      <c r="BD515" s="143"/>
      <c r="BE515" s="143">
        <f>30+490</f>
        <v>520</v>
      </c>
      <c r="BF515" s="151">
        <f>BC515+BE515</f>
        <v>5498.0000000000009</v>
      </c>
      <c r="BG515" s="151">
        <f t="shared" si="38"/>
        <v>302.39000000000004</v>
      </c>
      <c r="BH515" s="143">
        <f t="shared" si="39"/>
        <v>5800.3900000000012</v>
      </c>
      <c r="BI515" s="135"/>
      <c r="BJ515" s="135" t="s">
        <v>102</v>
      </c>
      <c r="BK515" s="135"/>
      <c r="BL515" s="135"/>
      <c r="BM515" s="144">
        <v>0</v>
      </c>
      <c r="BN515" s="153" t="s">
        <v>1496</v>
      </c>
      <c r="BO515" s="144" t="s">
        <v>143</v>
      </c>
      <c r="BP515" s="203" t="s">
        <v>3582</v>
      </c>
      <c r="BQ515" s="203" t="s">
        <v>3273</v>
      </c>
    </row>
    <row r="516" spans="1:69" ht="41.1" customHeight="1">
      <c r="A516" s="218" t="s">
        <v>1705</v>
      </c>
      <c r="B516" s="218" t="s">
        <v>2329</v>
      </c>
      <c r="C516" s="143">
        <v>1000</v>
      </c>
      <c r="D516" s="135">
        <v>44826</v>
      </c>
      <c r="E516" s="135">
        <v>44831</v>
      </c>
      <c r="F516" s="135">
        <v>44861</v>
      </c>
      <c r="G516" s="135" t="s">
        <v>2330</v>
      </c>
      <c r="H516" s="135">
        <v>44867</v>
      </c>
      <c r="I516" s="135">
        <v>44867</v>
      </c>
      <c r="J516" s="135">
        <v>44879</v>
      </c>
      <c r="K516" s="135">
        <v>44963</v>
      </c>
      <c r="L516" s="135">
        <v>44957</v>
      </c>
      <c r="M516" s="135" t="s">
        <v>76</v>
      </c>
      <c r="N516" s="135">
        <v>44974</v>
      </c>
      <c r="O516" s="135">
        <v>44974</v>
      </c>
      <c r="P516" s="135">
        <v>44977</v>
      </c>
      <c r="Q516" s="135"/>
      <c r="R516" s="135"/>
      <c r="S516" s="135"/>
      <c r="T516" s="135"/>
      <c r="U516" s="144">
        <v>3</v>
      </c>
      <c r="V516" s="143">
        <v>32398</v>
      </c>
      <c r="W516" s="143" t="str">
        <f ca="1">IF(H516="",IF(D516="","",IF(U516+V516&lt;15,"Données Nb pers ou RFR manquantes",IF(COUNTA(INDIRECT("TabRFR["&amp;YEAR(D516)&amp;"]"))&lt;&gt;COUNTA(TabRFR[Recherche RFR]),"Data RFR manquantes", IF(V516&lt;=INDEX(TabRFR[[2021]:[2025]],MATCH(BD!U516&amp;"-Très modestes",TabRFR[Recherche RFR],0),MATCH(TEXT(YEAR(BD!D516),"Standard"),TabRFR[[#Headers],[2021]:[2025]],0)),"Très Modeste",IF(V516&lt;=INDEX(TabRFR[[2021]:[2025]],MATCH(BD!U516&amp;"-modestes",TabRFR[Recherche RFR],0),MATCH(TEXT(YEAR(BD!D516),"Standard"),TabRFR[[#Headers],[2021]:[2025]],0)),"Modeste",IF(V516&lt;=INDEX(TabRFR[[2021]:[2025]],MATCH(BD!U516&amp;"-Intermédiaire",TabRFR[Recherche RFR],0),MATCH(TEXT(YEAR(BD!D516),"Standard"),TabRFR[[#Headers],[2021]:[2025]],0)),"Intermédiaire","Supérieur")))))),IF(D516="","",IF(U516+V516&lt;15,"Données Nb pers ou RFR manquantes",IF(COUNTA(INDIRECT("TabRFR["&amp;YEAR(H516)&amp;"]"))&lt;&gt;COUNTA(TabRFR[Recherche RFR]),"Data RFR manquantes", IF(V516&lt;=INDEX(TabRFR[[2021]:[2025]],MATCH(BD!U516&amp;"-Très modestes",TabRFR[Recherche RFR],0),MATCH(TEXT(YEAR(BD!H516),"Standard"),TabRFR[[#Headers],[2021]:[2025]],0)),"Très Modeste",IF(V516&lt;=INDEX(TabRFR[[2021]:[2025]],MATCH(BD!U516&amp;"-modestes",TabRFR[Recherche RFR],0),MATCH(TEXT(YEAR(BD!H516),"Standard"),TabRFR[[#Headers],[2021]:[2025]],0)),"Modeste",IF(V516&lt;=INDEX(TabRFR[[2021]:[2025]],MATCH(BD!U516&amp;"-Intermédiaire",TabRFR[Recherche RFR],0),MATCH(TEXT(YEAR(BD!H516),"Standard"),TabRFR[[#Headers],[2021]:[2025]],0)),"Intermédiaire","Supérieur")))))))</f>
        <v>Modeste</v>
      </c>
      <c r="X516" s="144"/>
      <c r="Y516" s="135" t="s">
        <v>2331</v>
      </c>
      <c r="Z516" s="144">
        <v>38500</v>
      </c>
      <c r="AA516" s="135" t="s">
        <v>134</v>
      </c>
      <c r="AB516" s="148"/>
      <c r="AC516" s="149"/>
      <c r="AD516" s="135" t="s">
        <v>91</v>
      </c>
      <c r="AE516" s="135"/>
      <c r="AF516" s="135"/>
      <c r="AG516" s="135"/>
      <c r="AH516" s="135"/>
      <c r="AI516" s="135" t="s">
        <v>2703</v>
      </c>
      <c r="AJ516" s="143" t="s">
        <v>266</v>
      </c>
      <c r="AK516" s="143" t="s">
        <v>317</v>
      </c>
      <c r="AL516" s="150" t="s">
        <v>318</v>
      </c>
      <c r="AM516" s="148">
        <v>476500550</v>
      </c>
      <c r="AN516" s="143" t="s">
        <v>76</v>
      </c>
      <c r="AO516" s="150" t="s">
        <v>102</v>
      </c>
      <c r="AP516" s="135">
        <v>45137</v>
      </c>
      <c r="AQ516" s="135" t="s">
        <v>3449</v>
      </c>
      <c r="AR516" s="143">
        <v>1870</v>
      </c>
      <c r="AS516" s="143" t="s">
        <v>3413</v>
      </c>
      <c r="AT516" s="135" t="s">
        <v>3446</v>
      </c>
      <c r="AU516" s="135" t="s">
        <v>319</v>
      </c>
      <c r="AV516" s="135" t="s">
        <v>2332</v>
      </c>
      <c r="AW516" s="143">
        <v>26</v>
      </c>
      <c r="AX516" s="143">
        <v>4</v>
      </c>
      <c r="AY516" s="143" t="s">
        <v>2333</v>
      </c>
      <c r="AZ516" s="143" t="s">
        <v>2334</v>
      </c>
      <c r="BA516" s="135" t="s">
        <v>101</v>
      </c>
      <c r="BB516" s="135"/>
      <c r="BC516" s="143">
        <f>517.06+71.1+32.71+107.82+72.59+71.45+71.45+182.53+2287.5+42.5+82.72+88.74</f>
        <v>3628.1699999999996</v>
      </c>
      <c r="BD516" s="143"/>
      <c r="BE516" s="143">
        <v>850</v>
      </c>
      <c r="BF516" s="151">
        <f>BC516+BE516</f>
        <v>4478.17</v>
      </c>
      <c r="BG516" s="151">
        <f t="shared" si="38"/>
        <v>246.29935</v>
      </c>
      <c r="BH516" s="151">
        <f t="shared" si="39"/>
        <v>4724.4693500000003</v>
      </c>
      <c r="BI516" s="151">
        <v>4636.12</v>
      </c>
      <c r="BJ516" s="135" t="s">
        <v>102</v>
      </c>
      <c r="BK516" s="135"/>
      <c r="BL516" s="135"/>
      <c r="BM516" s="144" t="s">
        <v>3592</v>
      </c>
      <c r="BN516" s="143">
        <v>2022</v>
      </c>
      <c r="BO516" s="135" t="s">
        <v>155</v>
      </c>
      <c r="BP516" s="144">
        <v>2022</v>
      </c>
      <c r="BQ516" s="203" t="s">
        <v>144</v>
      </c>
    </row>
    <row r="517" spans="1:69" ht="41.1" customHeight="1">
      <c r="A517" s="219" t="s">
        <v>2335</v>
      </c>
      <c r="B517" s="219" t="s">
        <v>2336</v>
      </c>
      <c r="C517" s="143">
        <v>600</v>
      </c>
      <c r="D517" s="135">
        <v>44827</v>
      </c>
      <c r="E517" s="135">
        <v>44831</v>
      </c>
      <c r="F517" s="135">
        <v>44858</v>
      </c>
      <c r="G517" s="135" t="s">
        <v>2337</v>
      </c>
      <c r="H517" s="135">
        <v>44867</v>
      </c>
      <c r="I517" s="135">
        <v>44867</v>
      </c>
      <c r="J517" s="135">
        <v>44879</v>
      </c>
      <c r="K517" s="135"/>
      <c r="L517" s="135"/>
      <c r="M517" s="135" t="s">
        <v>3398</v>
      </c>
      <c r="N517" s="135"/>
      <c r="O517" s="135"/>
      <c r="P517" s="135"/>
      <c r="Q517" s="135"/>
      <c r="R517" s="135"/>
      <c r="S517" s="135"/>
      <c r="T517" s="135"/>
      <c r="U517" s="144">
        <v>2</v>
      </c>
      <c r="V517" s="143">
        <v>80489</v>
      </c>
      <c r="W517" s="143" t="str">
        <f ca="1">IF(H517="",IF(D517="","",IF(U517+V517&lt;15,"Données Nb pers ou RFR manquantes",IF(COUNTA(INDIRECT("TabRFR["&amp;YEAR(D517)&amp;"]"))&lt;&gt;COUNTA(TabRFR[Recherche RFR]),"Data RFR manquantes", IF(V517&lt;=INDEX(TabRFR[[2021]:[2025]],MATCH(BD!U517&amp;"-Très modestes",TabRFR[Recherche RFR],0),MATCH(TEXT(YEAR(BD!D517),"Standard"),TabRFR[[#Headers],[2021]:[2025]],0)),"Très Modeste",IF(V517&lt;=INDEX(TabRFR[[2021]:[2025]],MATCH(BD!U517&amp;"-modestes",TabRFR[Recherche RFR],0),MATCH(TEXT(YEAR(BD!D517),"Standard"),TabRFR[[#Headers],[2021]:[2025]],0)),"Modeste",IF(V517&lt;=INDEX(TabRFR[[2021]:[2025]],MATCH(BD!U517&amp;"-Intermédiaire",TabRFR[Recherche RFR],0),MATCH(TEXT(YEAR(BD!D517),"Standard"),TabRFR[[#Headers],[2021]:[2025]],0)),"Intermédiaire","Supérieur")))))),IF(D517="","",IF(U517+V517&lt;15,"Données Nb pers ou RFR manquantes",IF(COUNTA(INDIRECT("TabRFR["&amp;YEAR(H517)&amp;"]"))&lt;&gt;COUNTA(TabRFR[Recherche RFR]),"Data RFR manquantes", IF(V517&lt;=INDEX(TabRFR[[2021]:[2025]],MATCH(BD!U517&amp;"-Très modestes",TabRFR[Recherche RFR],0),MATCH(TEXT(YEAR(BD!H517),"Standard"),TabRFR[[#Headers],[2021]:[2025]],0)),"Très Modeste",IF(V517&lt;=INDEX(TabRFR[[2021]:[2025]],MATCH(BD!U517&amp;"-modestes",TabRFR[Recherche RFR],0),MATCH(TEXT(YEAR(BD!H517),"Standard"),TabRFR[[#Headers],[2021]:[2025]],0)),"Modeste",IF(V517&lt;=INDEX(TabRFR[[2021]:[2025]],MATCH(BD!U517&amp;"-Intermédiaire",TabRFR[Recherche RFR],0),MATCH(TEXT(YEAR(BD!H517),"Standard"),TabRFR[[#Headers],[2021]:[2025]],0)),"Intermédiaire","Supérieur")))))))</f>
        <v>Supérieur</v>
      </c>
      <c r="X517" s="144"/>
      <c r="Y517" s="135" t="s">
        <v>2338</v>
      </c>
      <c r="Z517" s="144">
        <v>38340</v>
      </c>
      <c r="AA517" s="135" t="s">
        <v>266</v>
      </c>
      <c r="AB517" s="148"/>
      <c r="AC517" s="149"/>
      <c r="AD517" s="135" t="s">
        <v>91</v>
      </c>
      <c r="AE517" s="135"/>
      <c r="AF517" s="135"/>
      <c r="AG517" s="135"/>
      <c r="AH517" s="135"/>
      <c r="AI517" s="135" t="s">
        <v>2703</v>
      </c>
      <c r="AJ517" s="143" t="s">
        <v>266</v>
      </c>
      <c r="AK517" s="143" t="s">
        <v>317</v>
      </c>
      <c r="AL517" s="150" t="s">
        <v>318</v>
      </c>
      <c r="AM517" s="148">
        <v>476500550</v>
      </c>
      <c r="AN517" s="143" t="s">
        <v>76</v>
      </c>
      <c r="AO517" s="150" t="s">
        <v>102</v>
      </c>
      <c r="AP517" s="135">
        <v>45137</v>
      </c>
      <c r="AQ517" s="135" t="s">
        <v>3449</v>
      </c>
      <c r="AR517" s="143" t="s">
        <v>2339</v>
      </c>
      <c r="AS517" s="143" t="s">
        <v>3413</v>
      </c>
      <c r="AT517" s="135" t="s">
        <v>3446</v>
      </c>
      <c r="AU517" s="135" t="s">
        <v>852</v>
      </c>
      <c r="AV517" s="135" t="s">
        <v>2340</v>
      </c>
      <c r="AW517" s="143">
        <v>28</v>
      </c>
      <c r="AX517" s="143">
        <v>8</v>
      </c>
      <c r="AY517" s="143">
        <v>80</v>
      </c>
      <c r="AZ517" s="143">
        <v>1125</v>
      </c>
      <c r="BA517" s="135" t="s">
        <v>101</v>
      </c>
      <c r="BB517" s="135"/>
      <c r="BC517" s="143">
        <f>577.92+71.09+225.42+1725+145.1</f>
        <v>2744.5299999999997</v>
      </c>
      <c r="BD517" s="143"/>
      <c r="BE517" s="143">
        <v>700</v>
      </c>
      <c r="BF517" s="143">
        <f>BC517+BE517-345</f>
        <v>3099.5299999999997</v>
      </c>
      <c r="BG517" s="151">
        <f t="shared" si="38"/>
        <v>170.47414999999998</v>
      </c>
      <c r="BH517" s="151">
        <f t="shared" si="39"/>
        <v>3270.0041499999998</v>
      </c>
      <c r="BI517" s="143"/>
      <c r="BJ517" s="135" t="s">
        <v>102</v>
      </c>
      <c r="BK517" s="135"/>
      <c r="BL517" s="135"/>
      <c r="BM517" s="144" t="s">
        <v>3592</v>
      </c>
      <c r="BN517" s="143">
        <v>2022</v>
      </c>
      <c r="BO517" s="144" t="s">
        <v>143</v>
      </c>
      <c r="BP517" s="144">
        <v>2022</v>
      </c>
      <c r="BQ517" s="203"/>
    </row>
    <row r="518" spans="1:69" ht="41.1" customHeight="1">
      <c r="A518" s="218" t="s">
        <v>2341</v>
      </c>
      <c r="B518" s="218" t="s">
        <v>2342</v>
      </c>
      <c r="C518" s="143">
        <v>1000</v>
      </c>
      <c r="D518" s="135">
        <v>44829</v>
      </c>
      <c r="E518" s="135">
        <v>44831</v>
      </c>
      <c r="F518" s="135">
        <v>44858</v>
      </c>
      <c r="G518" s="135" t="s">
        <v>2343</v>
      </c>
      <c r="H518" s="135">
        <v>44874</v>
      </c>
      <c r="I518" s="135">
        <v>44874</v>
      </c>
      <c r="J518" s="135">
        <v>44886</v>
      </c>
      <c r="K518" s="135">
        <v>45140</v>
      </c>
      <c r="L518" s="135">
        <v>45128</v>
      </c>
      <c r="M518" s="135" t="s">
        <v>76</v>
      </c>
      <c r="N518" s="135">
        <v>45145</v>
      </c>
      <c r="O518" s="135">
        <v>45145</v>
      </c>
      <c r="P518" s="135">
        <v>45146</v>
      </c>
      <c r="Q518" s="135"/>
      <c r="R518" s="135"/>
      <c r="S518" s="135"/>
      <c r="T518" s="135"/>
      <c r="U518" s="144">
        <v>1</v>
      </c>
      <c r="V518" s="143">
        <v>17802</v>
      </c>
      <c r="W518" s="143" t="str">
        <f ca="1">IF(H518="",IF(D518="","",IF(U518+V518&lt;15,"Données Nb pers ou RFR manquantes",IF(COUNTA(INDIRECT("TabRFR["&amp;YEAR(D518)&amp;"]"))&lt;&gt;COUNTA(TabRFR[Recherche RFR]),"Data RFR manquantes", IF(V518&lt;=INDEX(TabRFR[[2021]:[2025]],MATCH(BD!U518&amp;"-Très modestes",TabRFR[Recherche RFR],0),MATCH(TEXT(YEAR(BD!D518),"Standard"),TabRFR[[#Headers],[2021]:[2025]],0)),"Très Modeste",IF(V518&lt;=INDEX(TabRFR[[2021]:[2025]],MATCH(BD!U518&amp;"-modestes",TabRFR[Recherche RFR],0),MATCH(TEXT(YEAR(BD!D518),"Standard"),TabRFR[[#Headers],[2021]:[2025]],0)),"Modeste",IF(V518&lt;=INDEX(TabRFR[[2021]:[2025]],MATCH(BD!U518&amp;"-Intermédiaire",TabRFR[Recherche RFR],0),MATCH(TEXT(YEAR(BD!D518),"Standard"),TabRFR[[#Headers],[2021]:[2025]],0)),"Intermédiaire","Supérieur")))))),IF(D518="","",IF(U518+V518&lt;15,"Données Nb pers ou RFR manquantes",IF(COUNTA(INDIRECT("TabRFR["&amp;YEAR(H518)&amp;"]"))&lt;&gt;COUNTA(TabRFR[Recherche RFR]),"Data RFR manquantes", IF(V518&lt;=INDEX(TabRFR[[2021]:[2025]],MATCH(BD!U518&amp;"-Très modestes",TabRFR[Recherche RFR],0),MATCH(TEXT(YEAR(BD!H518),"Standard"),TabRFR[[#Headers],[2021]:[2025]],0)),"Très Modeste",IF(V518&lt;=INDEX(TabRFR[[2021]:[2025]],MATCH(BD!U518&amp;"-modestes",TabRFR[Recherche RFR],0),MATCH(TEXT(YEAR(BD!H518),"Standard"),TabRFR[[#Headers],[2021]:[2025]],0)),"Modeste",IF(V518&lt;=INDEX(TabRFR[[2021]:[2025]],MATCH(BD!U518&amp;"-Intermédiaire",TabRFR[Recherche RFR],0),MATCH(TEXT(YEAR(BD!H518),"Standard"),TabRFR[[#Headers],[2021]:[2025]],0)),"Intermédiaire","Supérieur")))))))</f>
        <v>Modeste</v>
      </c>
      <c r="X518" s="144"/>
      <c r="Y518" s="135" t="s">
        <v>1733</v>
      </c>
      <c r="Z518" s="144">
        <v>38500</v>
      </c>
      <c r="AA518" s="135" t="s">
        <v>284</v>
      </c>
      <c r="AB518" s="148"/>
      <c r="AC518" s="149"/>
      <c r="AD518" s="135" t="s">
        <v>91</v>
      </c>
      <c r="AE518" s="135"/>
      <c r="AF518" s="135"/>
      <c r="AG518" s="135"/>
      <c r="AH518" s="135"/>
      <c r="AI518" s="135" t="s">
        <v>220</v>
      </c>
      <c r="AJ518" s="135" t="s">
        <v>108</v>
      </c>
      <c r="AK518" s="135" t="s">
        <v>2243</v>
      </c>
      <c r="AL518" s="150" t="s">
        <v>1947</v>
      </c>
      <c r="AM518" s="135" t="s">
        <v>2244</v>
      </c>
      <c r="AN518" s="135"/>
      <c r="AO518" s="135" t="s">
        <v>102</v>
      </c>
      <c r="AP518" s="135">
        <v>45159</v>
      </c>
      <c r="AQ518" s="143" t="s">
        <v>3413</v>
      </c>
      <c r="AR518" s="188" t="s">
        <v>699</v>
      </c>
      <c r="AS518" s="143" t="s">
        <v>3413</v>
      </c>
      <c r="AT518" s="135" t="s">
        <v>3446</v>
      </c>
      <c r="AU518" s="135" t="s">
        <v>369</v>
      </c>
      <c r="AV518" s="135" t="s">
        <v>2344</v>
      </c>
      <c r="AW518" s="143">
        <v>7</v>
      </c>
      <c r="AX518" s="143">
        <v>7.5</v>
      </c>
      <c r="AY518" s="143">
        <v>79</v>
      </c>
      <c r="AZ518" s="143">
        <v>786</v>
      </c>
      <c r="BA518" s="135" t="s">
        <v>101</v>
      </c>
      <c r="BB518" s="135"/>
      <c r="BC518" s="143">
        <f>2840+140+90+195+78+49+32+60+30</f>
        <v>3514</v>
      </c>
      <c r="BD518" s="143"/>
      <c r="BE518" s="143">
        <f>40+320</f>
        <v>360</v>
      </c>
      <c r="BF518" s="151">
        <f>BC518+BE518</f>
        <v>3874</v>
      </c>
      <c r="BG518" s="151">
        <f t="shared" si="38"/>
        <v>213.07</v>
      </c>
      <c r="BH518" s="143">
        <f t="shared" si="39"/>
        <v>4087.07</v>
      </c>
      <c r="BI518" s="143">
        <v>3822.27</v>
      </c>
      <c r="BJ518" s="135" t="s">
        <v>102</v>
      </c>
      <c r="BK518" s="135"/>
      <c r="BL518" s="135"/>
      <c r="BM518" s="144" t="s">
        <v>3592</v>
      </c>
      <c r="BN518" s="143">
        <v>2022</v>
      </c>
      <c r="BO518" s="135" t="s">
        <v>155</v>
      </c>
      <c r="BP518" s="143">
        <v>2022</v>
      </c>
      <c r="BQ518" s="203" t="s">
        <v>144</v>
      </c>
    </row>
    <row r="519" spans="1:69" ht="41.1" customHeight="1">
      <c r="A519" s="218" t="s">
        <v>1705</v>
      </c>
      <c r="B519" s="218" t="s">
        <v>2345</v>
      </c>
      <c r="C519" s="143">
        <v>600</v>
      </c>
      <c r="D519" s="135">
        <v>44832</v>
      </c>
      <c r="E519" s="135">
        <v>44832</v>
      </c>
      <c r="F519" s="135">
        <v>44861</v>
      </c>
      <c r="G519" s="135" t="s">
        <v>2346</v>
      </c>
      <c r="H519" s="135">
        <v>44893</v>
      </c>
      <c r="I519" s="135">
        <v>44893</v>
      </c>
      <c r="J519" s="135">
        <v>44900</v>
      </c>
      <c r="K519" s="135">
        <v>44965</v>
      </c>
      <c r="L519" s="135">
        <v>44905</v>
      </c>
      <c r="M519" s="135" t="s">
        <v>76</v>
      </c>
      <c r="N519" s="135">
        <v>44974</v>
      </c>
      <c r="O519" s="135">
        <v>44974</v>
      </c>
      <c r="P519" s="135">
        <v>44977</v>
      </c>
      <c r="Q519" s="135"/>
      <c r="R519" s="135"/>
      <c r="S519" s="135"/>
      <c r="T519" s="135"/>
      <c r="U519" s="144">
        <v>1</v>
      </c>
      <c r="V519" s="143">
        <v>40100</v>
      </c>
      <c r="W519" s="143" t="str">
        <f ca="1">IF(H519="",IF(D519="","",IF(U519+V519&lt;15,"Données Nb pers ou RFR manquantes",IF(COUNTA(INDIRECT("TabRFR["&amp;YEAR(D519)&amp;"]"))&lt;&gt;COUNTA(TabRFR[Recherche RFR]),"Data RFR manquantes", IF(V519&lt;=INDEX(TabRFR[[2021]:[2025]],MATCH(BD!U519&amp;"-Très modestes",TabRFR[Recherche RFR],0),MATCH(TEXT(YEAR(BD!D519),"Standard"),TabRFR[[#Headers],[2021]:[2025]],0)),"Très Modeste",IF(V519&lt;=INDEX(TabRFR[[2021]:[2025]],MATCH(BD!U519&amp;"-modestes",TabRFR[Recherche RFR],0),MATCH(TEXT(YEAR(BD!D519),"Standard"),TabRFR[[#Headers],[2021]:[2025]],0)),"Modeste",IF(V519&lt;=INDEX(TabRFR[[2021]:[2025]],MATCH(BD!U519&amp;"-Intermédiaire",TabRFR[Recherche RFR],0),MATCH(TEXT(YEAR(BD!D519),"Standard"),TabRFR[[#Headers],[2021]:[2025]],0)),"Intermédiaire","Supérieur")))))),IF(D519="","",IF(U519+V519&lt;15,"Données Nb pers ou RFR manquantes",IF(COUNTA(INDIRECT("TabRFR["&amp;YEAR(H519)&amp;"]"))&lt;&gt;COUNTA(TabRFR[Recherche RFR]),"Data RFR manquantes", IF(V519&lt;=INDEX(TabRFR[[2021]:[2025]],MATCH(BD!U519&amp;"-Très modestes",TabRFR[Recherche RFR],0),MATCH(TEXT(YEAR(BD!H519),"Standard"),TabRFR[[#Headers],[2021]:[2025]],0)),"Très Modeste",IF(V519&lt;=INDEX(TabRFR[[2021]:[2025]],MATCH(BD!U519&amp;"-modestes",TabRFR[Recherche RFR],0),MATCH(TEXT(YEAR(BD!H519),"Standard"),TabRFR[[#Headers],[2021]:[2025]],0)),"Modeste",IF(V519&lt;=INDEX(TabRFR[[2021]:[2025]],MATCH(BD!U519&amp;"-Intermédiaire",TabRFR[Recherche RFR],0),MATCH(TEXT(YEAR(BD!H519),"Standard"),TabRFR[[#Headers],[2021]:[2025]],0)),"Intermédiaire","Supérieur")))))))</f>
        <v>Supérieur</v>
      </c>
      <c r="X519" s="144"/>
      <c r="Y519" s="135" t="s">
        <v>2347</v>
      </c>
      <c r="Z519" s="144">
        <v>38140</v>
      </c>
      <c r="AA519" s="143" t="s">
        <v>159</v>
      </c>
      <c r="AB519" s="148"/>
      <c r="AC519" s="149"/>
      <c r="AD519" s="135" t="s">
        <v>91</v>
      </c>
      <c r="AE519" s="143" t="s">
        <v>76</v>
      </c>
      <c r="AF519" s="143" t="s">
        <v>76</v>
      </c>
      <c r="AG519" s="143" t="s">
        <v>76</v>
      </c>
      <c r="AH519" s="143" t="s">
        <v>76</v>
      </c>
      <c r="AI519" s="135" t="s">
        <v>169</v>
      </c>
      <c r="AJ519" s="135" t="s">
        <v>119</v>
      </c>
      <c r="AK519" s="135" t="s">
        <v>2192</v>
      </c>
      <c r="AL519" s="170" t="s">
        <v>171</v>
      </c>
      <c r="AM519" s="148" t="s">
        <v>1406</v>
      </c>
      <c r="AN519" s="135"/>
      <c r="AO519" s="150" t="s">
        <v>102</v>
      </c>
      <c r="AP519" s="135">
        <v>44883</v>
      </c>
      <c r="AQ519" s="135" t="s">
        <v>3449</v>
      </c>
      <c r="AR519" s="143">
        <v>1874</v>
      </c>
      <c r="AS519" s="143" t="s">
        <v>3413</v>
      </c>
      <c r="AT519" s="135" t="s">
        <v>3446</v>
      </c>
      <c r="AU519" s="135" t="s">
        <v>2348</v>
      </c>
      <c r="AV519" s="135" t="s">
        <v>2349</v>
      </c>
      <c r="AW519" s="143">
        <v>18</v>
      </c>
      <c r="AX519" s="143" t="s">
        <v>2313</v>
      </c>
      <c r="AY519" s="143">
        <v>88</v>
      </c>
      <c r="AZ519" s="143" t="s">
        <v>2350</v>
      </c>
      <c r="BA519" s="135" t="s">
        <v>101</v>
      </c>
      <c r="BB519" s="135"/>
      <c r="BC519" s="143">
        <f>420+48.5+43.25+88.52+67.36+145.35+450+3600+218+89.6+45.35</f>
        <v>5215.93</v>
      </c>
      <c r="BD519" s="143"/>
      <c r="BE519" s="143">
        <f>195.6+525</f>
        <v>720.6</v>
      </c>
      <c r="BF519" s="151">
        <f>BC519+BE519</f>
        <v>5936.5300000000007</v>
      </c>
      <c r="BG519" s="151">
        <f t="shared" si="38"/>
        <v>326.50915000000003</v>
      </c>
      <c r="BH519" s="151">
        <f t="shared" si="39"/>
        <v>6263.0391500000005</v>
      </c>
      <c r="BI519" s="143">
        <v>6263.04</v>
      </c>
      <c r="BJ519" s="135" t="s">
        <v>102</v>
      </c>
      <c r="BK519" s="135"/>
      <c r="BL519" s="135"/>
      <c r="BM519" s="144" t="s">
        <v>3592</v>
      </c>
      <c r="BN519" s="143">
        <v>2022</v>
      </c>
      <c r="BO519" s="144" t="s">
        <v>143</v>
      </c>
      <c r="BP519" s="143">
        <v>2022</v>
      </c>
      <c r="BQ519" s="203" t="s">
        <v>144</v>
      </c>
    </row>
    <row r="520" spans="1:69" ht="41.1" customHeight="1">
      <c r="A520" s="218" t="s">
        <v>1705</v>
      </c>
      <c r="B520" s="218" t="s">
        <v>2351</v>
      </c>
      <c r="C520" s="143">
        <v>600</v>
      </c>
      <c r="D520" s="135">
        <v>44833</v>
      </c>
      <c r="E520" s="135">
        <v>44838</v>
      </c>
      <c r="F520" s="135">
        <v>44861</v>
      </c>
      <c r="G520" s="135" t="s">
        <v>2352</v>
      </c>
      <c r="H520" s="135">
        <v>44867</v>
      </c>
      <c r="I520" s="135">
        <v>44867</v>
      </c>
      <c r="J520" s="135">
        <v>44879</v>
      </c>
      <c r="K520" s="135">
        <v>45320</v>
      </c>
      <c r="L520" s="135">
        <v>45314</v>
      </c>
      <c r="M520" s="135" t="s">
        <v>3394</v>
      </c>
      <c r="N520" s="135">
        <v>45323</v>
      </c>
      <c r="O520" s="135">
        <v>45323</v>
      </c>
      <c r="P520" s="135">
        <v>45328</v>
      </c>
      <c r="Q520" s="135"/>
      <c r="R520" s="135"/>
      <c r="S520" s="135"/>
      <c r="T520" s="135"/>
      <c r="U520" s="144">
        <v>3</v>
      </c>
      <c r="V520" s="143">
        <v>74526</v>
      </c>
      <c r="W520" s="143" t="str">
        <f ca="1">IF(H520="",IF(D520="","",IF(U520+V520&lt;15,"Données Nb pers ou RFR manquantes",IF(COUNTA(INDIRECT("TabRFR["&amp;YEAR(D520)&amp;"]"))&lt;&gt;COUNTA(TabRFR[Recherche RFR]),"Data RFR manquantes", IF(V520&lt;=INDEX(TabRFR[[2021]:[2025]],MATCH(BD!U520&amp;"-Très modestes",TabRFR[Recherche RFR],0),MATCH(TEXT(YEAR(BD!D520),"Standard"),TabRFR[[#Headers],[2021]:[2025]],0)),"Très Modeste",IF(V520&lt;=INDEX(TabRFR[[2021]:[2025]],MATCH(BD!U520&amp;"-modestes",TabRFR[Recherche RFR],0),MATCH(TEXT(YEAR(BD!D520),"Standard"),TabRFR[[#Headers],[2021]:[2025]],0)),"Modeste",IF(V520&lt;=INDEX(TabRFR[[2021]:[2025]],MATCH(BD!U520&amp;"-Intermédiaire",TabRFR[Recherche RFR],0),MATCH(TEXT(YEAR(BD!D520),"Standard"),TabRFR[[#Headers],[2021]:[2025]],0)),"Intermédiaire","Supérieur")))))),IF(D520="","",IF(U520+V520&lt;15,"Données Nb pers ou RFR manquantes",IF(COUNTA(INDIRECT("TabRFR["&amp;YEAR(H520)&amp;"]"))&lt;&gt;COUNTA(TabRFR[Recherche RFR]),"Data RFR manquantes", IF(V520&lt;=INDEX(TabRFR[[2021]:[2025]],MATCH(BD!U520&amp;"-Très modestes",TabRFR[Recherche RFR],0),MATCH(TEXT(YEAR(BD!H520),"Standard"),TabRFR[[#Headers],[2021]:[2025]],0)),"Très Modeste",IF(V520&lt;=INDEX(TabRFR[[2021]:[2025]],MATCH(BD!U520&amp;"-modestes",TabRFR[Recherche RFR],0),MATCH(TEXT(YEAR(BD!H520),"Standard"),TabRFR[[#Headers],[2021]:[2025]],0)),"Modeste",IF(V520&lt;=INDEX(TabRFR[[2021]:[2025]],MATCH(BD!U520&amp;"-Intermédiaire",TabRFR[Recherche RFR],0),MATCH(TEXT(YEAR(BD!H520),"Standard"),TabRFR[[#Headers],[2021]:[2025]],0)),"Intermédiaire","Supérieur")))))))</f>
        <v>Supérieur</v>
      </c>
      <c r="X520" s="144"/>
      <c r="Y520" s="135" t="s">
        <v>1929</v>
      </c>
      <c r="Z520" s="144">
        <v>38140</v>
      </c>
      <c r="AA520" s="135" t="s">
        <v>219</v>
      </c>
      <c r="AB520" s="148"/>
      <c r="AC520" s="149"/>
      <c r="AD520" s="135" t="s">
        <v>91</v>
      </c>
      <c r="AE520" s="135"/>
      <c r="AF520" s="135"/>
      <c r="AG520" s="135"/>
      <c r="AH520" s="135"/>
      <c r="AI520" s="135" t="s">
        <v>285</v>
      </c>
      <c r="AJ520" s="135" t="s">
        <v>108</v>
      </c>
      <c r="AK520" s="135" t="s">
        <v>2227</v>
      </c>
      <c r="AL520" s="170" t="s">
        <v>287</v>
      </c>
      <c r="AM520" s="135" t="s">
        <v>2184</v>
      </c>
      <c r="AN520" s="135"/>
      <c r="AO520" s="135" t="s">
        <v>102</v>
      </c>
      <c r="AP520" s="135" t="s">
        <v>2281</v>
      </c>
      <c r="AQ520" s="143" t="s">
        <v>3413</v>
      </c>
      <c r="AR520" s="143">
        <v>2000</v>
      </c>
      <c r="AS520" s="143" t="s">
        <v>3413</v>
      </c>
      <c r="AT520" s="135" t="s">
        <v>3446</v>
      </c>
      <c r="AU520" s="135" t="s">
        <v>2353</v>
      </c>
      <c r="AV520" s="135" t="s">
        <v>1926</v>
      </c>
      <c r="AW520" s="143">
        <v>40</v>
      </c>
      <c r="AX520" s="143">
        <v>6</v>
      </c>
      <c r="AY520" s="143" t="s">
        <v>2354</v>
      </c>
      <c r="AZ520" s="143" t="s">
        <v>2355</v>
      </c>
      <c r="BA520" s="135" t="s">
        <v>101</v>
      </c>
      <c r="BB520" s="135"/>
      <c r="BC520" s="143">
        <f>605+430+275+3410+89</f>
        <v>4809</v>
      </c>
      <c r="BD520" s="143"/>
      <c r="BE520" s="143">
        <v>200</v>
      </c>
      <c r="BF520" s="151">
        <f>BC520+BE520</f>
        <v>5009</v>
      </c>
      <c r="BG520" s="151">
        <f t="shared" si="38"/>
        <v>275.495</v>
      </c>
      <c r="BH520" s="151">
        <f t="shared" si="39"/>
        <v>5284.4949999999999</v>
      </c>
      <c r="BI520" s="143">
        <v>5284.51</v>
      </c>
      <c r="BJ520" s="135" t="s">
        <v>102</v>
      </c>
      <c r="BK520" s="135"/>
      <c r="BL520" s="135"/>
      <c r="BM520" s="144" t="s">
        <v>3592</v>
      </c>
      <c r="BN520" s="143">
        <v>2022</v>
      </c>
      <c r="BO520" s="144" t="s">
        <v>143</v>
      </c>
      <c r="BP520" s="144">
        <v>2022</v>
      </c>
      <c r="BQ520" s="203"/>
    </row>
    <row r="521" spans="1:69" ht="41.1" customHeight="1">
      <c r="A521" s="218" t="s">
        <v>1705</v>
      </c>
      <c r="B521" s="218" t="s">
        <v>2356</v>
      </c>
      <c r="C521" s="143">
        <v>600</v>
      </c>
      <c r="D521" s="135">
        <v>44834</v>
      </c>
      <c r="E521" s="135">
        <v>44838</v>
      </c>
      <c r="F521" s="135">
        <v>44861</v>
      </c>
      <c r="G521" s="135" t="s">
        <v>2357</v>
      </c>
      <c r="H521" s="135">
        <v>44867</v>
      </c>
      <c r="I521" s="135">
        <v>44867</v>
      </c>
      <c r="J521" s="135">
        <v>44879</v>
      </c>
      <c r="K521" s="135">
        <v>44949</v>
      </c>
      <c r="L521" s="135">
        <v>44900</v>
      </c>
      <c r="M521" s="135" t="s">
        <v>76</v>
      </c>
      <c r="N521" s="135">
        <v>44974</v>
      </c>
      <c r="O521" s="135">
        <v>44974</v>
      </c>
      <c r="P521" s="135">
        <v>44977</v>
      </c>
      <c r="Q521" s="135"/>
      <c r="R521" s="135"/>
      <c r="S521" s="135"/>
      <c r="T521" s="135"/>
      <c r="U521" s="144">
        <v>2</v>
      </c>
      <c r="V521" s="143">
        <v>31256</v>
      </c>
      <c r="W521" s="143" t="str">
        <f ca="1">IF(H521="",IF(D521="","",IF(U521+V521&lt;15,"Données Nb pers ou RFR manquantes",IF(COUNTA(INDIRECT("TabRFR["&amp;YEAR(D521)&amp;"]"))&lt;&gt;COUNTA(TabRFR[Recherche RFR]),"Data RFR manquantes", IF(V521&lt;=INDEX(TabRFR[[2021]:[2025]],MATCH(BD!U521&amp;"-Très modestes",TabRFR[Recherche RFR],0),MATCH(TEXT(YEAR(BD!D521),"Standard"),TabRFR[[#Headers],[2021]:[2025]],0)),"Très Modeste",IF(V521&lt;=INDEX(TabRFR[[2021]:[2025]],MATCH(BD!U521&amp;"-modestes",TabRFR[Recherche RFR],0),MATCH(TEXT(YEAR(BD!D521),"Standard"),TabRFR[[#Headers],[2021]:[2025]],0)),"Modeste",IF(V521&lt;=INDEX(TabRFR[[2021]:[2025]],MATCH(BD!U521&amp;"-Intermédiaire",TabRFR[Recherche RFR],0),MATCH(TEXT(YEAR(BD!D521),"Standard"),TabRFR[[#Headers],[2021]:[2025]],0)),"Intermédiaire","Supérieur")))))),IF(D521="","",IF(U521+V521&lt;15,"Données Nb pers ou RFR manquantes",IF(COUNTA(INDIRECT("TabRFR["&amp;YEAR(H521)&amp;"]"))&lt;&gt;COUNTA(TabRFR[Recherche RFR]),"Data RFR manquantes", IF(V521&lt;=INDEX(TabRFR[[2021]:[2025]],MATCH(BD!U521&amp;"-Très modestes",TabRFR[Recherche RFR],0),MATCH(TEXT(YEAR(BD!H521),"Standard"),TabRFR[[#Headers],[2021]:[2025]],0)),"Très Modeste",IF(V521&lt;=INDEX(TabRFR[[2021]:[2025]],MATCH(BD!U521&amp;"-modestes",TabRFR[Recherche RFR],0),MATCH(TEXT(YEAR(BD!H521),"Standard"),TabRFR[[#Headers],[2021]:[2025]],0)),"Modeste",IF(V521&lt;=INDEX(TabRFR[[2021]:[2025]],MATCH(BD!U521&amp;"-Intermédiaire",TabRFR[Recherche RFR],0),MATCH(TEXT(YEAR(BD!H521),"Standard"),TabRFR[[#Headers],[2021]:[2025]],0)),"Intermédiaire","Supérieur")))))))</f>
        <v>Intermédiaire</v>
      </c>
      <c r="X521" s="144"/>
      <c r="Y521" s="135" t="s">
        <v>2358</v>
      </c>
      <c r="Z521" s="144">
        <v>38960</v>
      </c>
      <c r="AA521" s="143" t="s">
        <v>209</v>
      </c>
      <c r="AB521" s="148"/>
      <c r="AC521" s="149"/>
      <c r="AD521" s="135" t="s">
        <v>91</v>
      </c>
      <c r="AE521" s="135"/>
      <c r="AF521" s="135"/>
      <c r="AG521" s="135"/>
      <c r="AH521" s="135"/>
      <c r="AI521" s="135" t="s">
        <v>2359</v>
      </c>
      <c r="AJ521" s="135" t="s">
        <v>2360</v>
      </c>
      <c r="AK521" s="135" t="s">
        <v>2361</v>
      </c>
      <c r="AL521" s="169" t="s">
        <v>2362</v>
      </c>
      <c r="AM521" s="148">
        <v>476132200</v>
      </c>
      <c r="AN521" s="135"/>
      <c r="AO521" s="135" t="s">
        <v>102</v>
      </c>
      <c r="AP521" s="135">
        <v>45077</v>
      </c>
      <c r="AQ521" s="135" t="s">
        <v>3449</v>
      </c>
      <c r="AR521" s="143">
        <v>1975</v>
      </c>
      <c r="AS521" s="135" t="s">
        <v>3496</v>
      </c>
      <c r="AT521" s="135" t="s">
        <v>3446</v>
      </c>
      <c r="AU521" s="135" t="s">
        <v>2363</v>
      </c>
      <c r="AV521" s="135" t="s">
        <v>2364</v>
      </c>
      <c r="AW521" s="143">
        <v>36</v>
      </c>
      <c r="AX521" s="143" t="s">
        <v>2365</v>
      </c>
      <c r="AY521" s="143" t="s">
        <v>2049</v>
      </c>
      <c r="AZ521" s="143" t="s">
        <v>2366</v>
      </c>
      <c r="BA521" s="135" t="s">
        <v>101</v>
      </c>
      <c r="BB521" s="135"/>
      <c r="BC521" s="143">
        <f>2115+93.56+1387.21+50.94+200+157.3+65+462+112+120.12+68.04+396+198.58+120.12+201</f>
        <v>5746.87</v>
      </c>
      <c r="BD521" s="143"/>
      <c r="BE521" s="143">
        <v>1200</v>
      </c>
      <c r="BF521" s="151">
        <f>BC521+BE521-250</f>
        <v>6696.87</v>
      </c>
      <c r="BG521" s="151">
        <f t="shared" si="38"/>
        <v>368.32785000000001</v>
      </c>
      <c r="BH521" s="151">
        <f t="shared" si="39"/>
        <v>7065.1978499999996</v>
      </c>
      <c r="BI521" s="143">
        <v>1633.45</v>
      </c>
      <c r="BJ521" s="135" t="s">
        <v>102</v>
      </c>
      <c r="BK521" s="135"/>
      <c r="BL521" s="135"/>
      <c r="BM521" s="144" t="s">
        <v>3592</v>
      </c>
      <c r="BN521" s="143">
        <v>2022</v>
      </c>
      <c r="BO521" s="144" t="s">
        <v>143</v>
      </c>
      <c r="BP521" s="144">
        <v>2022</v>
      </c>
      <c r="BQ521" s="203" t="s">
        <v>144</v>
      </c>
    </row>
    <row r="522" spans="1:69" ht="41.1" customHeight="1">
      <c r="A522" s="218" t="s">
        <v>1705</v>
      </c>
      <c r="B522" s="218" t="s">
        <v>2367</v>
      </c>
      <c r="C522" s="143">
        <v>1000</v>
      </c>
      <c r="D522" s="135">
        <v>44834</v>
      </c>
      <c r="E522" s="135">
        <v>44838</v>
      </c>
      <c r="F522" s="135">
        <v>44861</v>
      </c>
      <c r="G522" s="135" t="s">
        <v>2368</v>
      </c>
      <c r="H522" s="135">
        <v>44867</v>
      </c>
      <c r="I522" s="135">
        <v>44867</v>
      </c>
      <c r="J522" s="135">
        <v>44879</v>
      </c>
      <c r="K522" s="135">
        <v>45139</v>
      </c>
      <c r="L522" s="135">
        <v>45131</v>
      </c>
      <c r="M522" s="135" t="s">
        <v>2369</v>
      </c>
      <c r="N522" s="135">
        <v>45181</v>
      </c>
      <c r="O522" s="135">
        <v>45181</v>
      </c>
      <c r="P522" s="135">
        <v>45197</v>
      </c>
      <c r="Q522" s="135"/>
      <c r="R522" s="135"/>
      <c r="S522" s="135"/>
      <c r="T522" s="135"/>
      <c r="U522" s="144">
        <v>2</v>
      </c>
      <c r="V522" s="143">
        <v>3928</v>
      </c>
      <c r="W522" s="143" t="str">
        <f ca="1">IF(H522="",IF(D522="","",IF(U522+V522&lt;15,"Données Nb pers ou RFR manquantes",IF(COUNTA(INDIRECT("TabRFR["&amp;YEAR(D522)&amp;"]"))&lt;&gt;COUNTA(TabRFR[Recherche RFR]),"Data RFR manquantes", IF(V522&lt;=INDEX(TabRFR[[2021]:[2025]],MATCH(BD!U522&amp;"-Très modestes",TabRFR[Recherche RFR],0),MATCH(TEXT(YEAR(BD!D522),"Standard"),TabRFR[[#Headers],[2021]:[2025]],0)),"Très Modeste",IF(V522&lt;=INDEX(TabRFR[[2021]:[2025]],MATCH(BD!U522&amp;"-modestes",TabRFR[Recherche RFR],0),MATCH(TEXT(YEAR(BD!D522),"Standard"),TabRFR[[#Headers],[2021]:[2025]],0)),"Modeste",IF(V522&lt;=INDEX(TabRFR[[2021]:[2025]],MATCH(BD!U522&amp;"-Intermédiaire",TabRFR[Recherche RFR],0),MATCH(TEXT(YEAR(BD!D522),"Standard"),TabRFR[[#Headers],[2021]:[2025]],0)),"Intermédiaire","Supérieur")))))),IF(D522="","",IF(U522+V522&lt;15,"Données Nb pers ou RFR manquantes",IF(COUNTA(INDIRECT("TabRFR["&amp;YEAR(H522)&amp;"]"))&lt;&gt;COUNTA(TabRFR[Recherche RFR]),"Data RFR manquantes", IF(V522&lt;=INDEX(TabRFR[[2021]:[2025]],MATCH(BD!U522&amp;"-Très modestes",TabRFR[Recherche RFR],0),MATCH(TEXT(YEAR(BD!H522),"Standard"),TabRFR[[#Headers],[2021]:[2025]],0)),"Très Modeste",IF(V522&lt;=INDEX(TabRFR[[2021]:[2025]],MATCH(BD!U522&amp;"-modestes",TabRFR[Recherche RFR],0),MATCH(TEXT(YEAR(BD!H522),"Standard"),TabRFR[[#Headers],[2021]:[2025]],0)),"Modeste",IF(V522&lt;=INDEX(TabRFR[[2021]:[2025]],MATCH(BD!U522&amp;"-Intermédiaire",TabRFR[Recherche RFR],0),MATCH(TEXT(YEAR(BD!H522),"Standard"),TabRFR[[#Headers],[2021]:[2025]],0)),"Intermédiaire","Supérieur")))))))</f>
        <v>Très Modeste</v>
      </c>
      <c r="X522" s="144"/>
      <c r="Y522" s="135" t="s">
        <v>2370</v>
      </c>
      <c r="Z522" s="144">
        <v>38620</v>
      </c>
      <c r="AA522" s="143" t="s">
        <v>680</v>
      </c>
      <c r="AB522" s="148"/>
      <c r="AC522" s="149"/>
      <c r="AD522" s="135" t="s">
        <v>414</v>
      </c>
      <c r="AE522" s="135"/>
      <c r="AF522" s="135"/>
      <c r="AG522" s="135"/>
      <c r="AH522" s="135"/>
      <c r="AI522" s="143" t="s">
        <v>1436</v>
      </c>
      <c r="AJ522" s="143" t="s">
        <v>136</v>
      </c>
      <c r="AK522" s="143" t="s">
        <v>211</v>
      </c>
      <c r="AL522" s="150" t="s">
        <v>1418</v>
      </c>
      <c r="AM522" s="148">
        <v>474432868</v>
      </c>
      <c r="AN522" s="143" t="s">
        <v>76</v>
      </c>
      <c r="AO522" s="150" t="s">
        <v>102</v>
      </c>
      <c r="AP522" s="147">
        <v>45052</v>
      </c>
      <c r="AQ522" s="135" t="s">
        <v>3496</v>
      </c>
      <c r="AR522" s="143">
        <v>1998</v>
      </c>
      <c r="AS522" s="143" t="s">
        <v>3413</v>
      </c>
      <c r="AT522" s="135" t="s">
        <v>3446</v>
      </c>
      <c r="AU522" s="135" t="s">
        <v>2371</v>
      </c>
      <c r="AV522" s="135" t="s">
        <v>2372</v>
      </c>
      <c r="AW522" s="143">
        <v>28</v>
      </c>
      <c r="AX522" s="143" t="s">
        <v>2323</v>
      </c>
      <c r="AY522" s="143">
        <v>80</v>
      </c>
      <c r="AZ522" s="143" t="s">
        <v>1901</v>
      </c>
      <c r="BA522" s="135" t="s">
        <v>101</v>
      </c>
      <c r="BB522" s="135"/>
      <c r="BC522" s="135">
        <f>2940+274+664</f>
        <v>3878</v>
      </c>
      <c r="BD522" s="135"/>
      <c r="BE522" s="135">
        <f>730+162+98</f>
        <v>990</v>
      </c>
      <c r="BF522" s="151">
        <f t="shared" ref="BF522:BF539" si="40">BC522+BE522</f>
        <v>4868</v>
      </c>
      <c r="BG522" s="151">
        <f t="shared" si="38"/>
        <v>267.74</v>
      </c>
      <c r="BH522" s="151">
        <f t="shared" si="39"/>
        <v>5135.74</v>
      </c>
      <c r="BI522" s="143">
        <v>2894.57</v>
      </c>
      <c r="BJ522" s="135" t="s">
        <v>102</v>
      </c>
      <c r="BK522" s="135"/>
      <c r="BL522" s="135"/>
      <c r="BM522" s="144" t="s">
        <v>3592</v>
      </c>
      <c r="BN522" s="143">
        <v>2022</v>
      </c>
      <c r="BO522" s="135" t="s">
        <v>155</v>
      </c>
      <c r="BP522" s="144">
        <v>2022</v>
      </c>
      <c r="BQ522" s="203" t="s">
        <v>144</v>
      </c>
    </row>
    <row r="523" spans="1:69" ht="41.1" customHeight="1">
      <c r="A523" s="218" t="s">
        <v>2373</v>
      </c>
      <c r="B523" s="218" t="s">
        <v>2374</v>
      </c>
      <c r="C523" s="143">
        <v>1000</v>
      </c>
      <c r="D523" s="135">
        <v>44838</v>
      </c>
      <c r="E523" s="135">
        <v>44838</v>
      </c>
      <c r="F523" s="135" t="s">
        <v>76</v>
      </c>
      <c r="G523" s="135" t="s">
        <v>76</v>
      </c>
      <c r="H523" s="135">
        <v>44880</v>
      </c>
      <c r="I523" s="135">
        <v>44880</v>
      </c>
      <c r="J523" s="135">
        <v>44893</v>
      </c>
      <c r="K523" s="135">
        <v>44930</v>
      </c>
      <c r="L523" s="135">
        <v>44900</v>
      </c>
      <c r="M523" s="135" t="s">
        <v>76</v>
      </c>
      <c r="N523" s="135">
        <v>44956</v>
      </c>
      <c r="O523" s="135">
        <v>44956</v>
      </c>
      <c r="P523" s="135">
        <v>44959</v>
      </c>
      <c r="Q523" s="135"/>
      <c r="R523" s="135"/>
      <c r="S523" s="135"/>
      <c r="T523" s="135"/>
      <c r="U523" s="144">
        <v>4</v>
      </c>
      <c r="V523" s="143">
        <v>37099</v>
      </c>
      <c r="W523" s="143" t="str">
        <f ca="1">IF(H523="",IF(D523="","",IF(U523+V523&lt;15,"Données Nb pers ou RFR manquantes",IF(COUNTA(INDIRECT("TabRFR["&amp;YEAR(D523)&amp;"]"))&lt;&gt;COUNTA(TabRFR[Recherche RFR]),"Data RFR manquantes", IF(V523&lt;=INDEX(TabRFR[[2021]:[2025]],MATCH(BD!U523&amp;"-Très modestes",TabRFR[Recherche RFR],0),MATCH(TEXT(YEAR(BD!D523),"Standard"),TabRFR[[#Headers],[2021]:[2025]],0)),"Très Modeste",IF(V523&lt;=INDEX(TabRFR[[2021]:[2025]],MATCH(BD!U523&amp;"-modestes",TabRFR[Recherche RFR],0),MATCH(TEXT(YEAR(BD!D523),"Standard"),TabRFR[[#Headers],[2021]:[2025]],0)),"Modeste",IF(V523&lt;=INDEX(TabRFR[[2021]:[2025]],MATCH(BD!U523&amp;"-Intermédiaire",TabRFR[Recherche RFR],0),MATCH(TEXT(YEAR(BD!D523),"Standard"),TabRFR[[#Headers],[2021]:[2025]],0)),"Intermédiaire","Supérieur")))))),IF(D523="","",IF(U523+V523&lt;15,"Données Nb pers ou RFR manquantes",IF(COUNTA(INDIRECT("TabRFR["&amp;YEAR(H523)&amp;"]"))&lt;&gt;COUNTA(TabRFR[Recherche RFR]),"Data RFR manquantes", IF(V523&lt;=INDEX(TabRFR[[2021]:[2025]],MATCH(BD!U523&amp;"-Très modestes",TabRFR[Recherche RFR],0),MATCH(TEXT(YEAR(BD!H523),"Standard"),TabRFR[[#Headers],[2021]:[2025]],0)),"Très Modeste",IF(V523&lt;=INDEX(TabRFR[[2021]:[2025]],MATCH(BD!U523&amp;"-modestes",TabRFR[Recherche RFR],0),MATCH(TEXT(YEAR(BD!H523),"Standard"),TabRFR[[#Headers],[2021]:[2025]],0)),"Modeste",IF(V523&lt;=INDEX(TabRFR[[2021]:[2025]],MATCH(BD!U523&amp;"-Intermédiaire",TabRFR[Recherche RFR],0),MATCH(TEXT(YEAR(BD!H523),"Standard"),TabRFR[[#Headers],[2021]:[2025]],0)),"Intermédiaire","Supérieur")))))))</f>
        <v>Modeste</v>
      </c>
      <c r="X523" s="144"/>
      <c r="Y523" s="135" t="s">
        <v>2375</v>
      </c>
      <c r="Z523" s="144">
        <v>38620</v>
      </c>
      <c r="AA523" s="135" t="s">
        <v>262</v>
      </c>
      <c r="AB523" s="148"/>
      <c r="AC523" s="149"/>
      <c r="AD523" s="135" t="s">
        <v>91</v>
      </c>
      <c r="AE523" s="135"/>
      <c r="AF523" s="135"/>
      <c r="AG523" s="135"/>
      <c r="AH523" s="135"/>
      <c r="AI523" s="143" t="s">
        <v>1106</v>
      </c>
      <c r="AJ523" s="143" t="s">
        <v>1075</v>
      </c>
      <c r="AK523" s="143" t="s">
        <v>1107</v>
      </c>
      <c r="AL523" s="169" t="s">
        <v>1891</v>
      </c>
      <c r="AM523" s="148">
        <v>476663386</v>
      </c>
      <c r="AN523" s="143" t="s">
        <v>76</v>
      </c>
      <c r="AO523" s="150" t="s">
        <v>102</v>
      </c>
      <c r="AP523" s="147">
        <v>45096</v>
      </c>
      <c r="AQ523" s="135" t="s">
        <v>3496</v>
      </c>
      <c r="AR523" s="143">
        <v>2000</v>
      </c>
      <c r="AS523" s="135" t="s">
        <v>3496</v>
      </c>
      <c r="AT523" s="135" t="s">
        <v>3446</v>
      </c>
      <c r="AU523" s="143" t="s">
        <v>1878</v>
      </c>
      <c r="AV523" s="143" t="s">
        <v>2376</v>
      </c>
      <c r="AW523" s="143">
        <v>32</v>
      </c>
      <c r="AX523" s="143">
        <v>10</v>
      </c>
      <c r="AY523" s="143">
        <v>81.099999999999994</v>
      </c>
      <c r="AZ523" s="143">
        <v>1125</v>
      </c>
      <c r="BA523" s="143" t="s">
        <v>101</v>
      </c>
      <c r="BB523" s="135"/>
      <c r="BC523" s="143">
        <f>1964.46+345+169+110+356+340+161+395+567</f>
        <v>4407.46</v>
      </c>
      <c r="BD523" s="143"/>
      <c r="BE523" s="143">
        <v>0</v>
      </c>
      <c r="BF523" s="151">
        <f t="shared" si="40"/>
        <v>4407.46</v>
      </c>
      <c r="BG523" s="151">
        <f t="shared" si="38"/>
        <v>242.41030000000001</v>
      </c>
      <c r="BH523" s="151">
        <f t="shared" si="39"/>
        <v>4649.8703000000005</v>
      </c>
      <c r="BI523" s="143">
        <v>4649.87</v>
      </c>
      <c r="BJ523" s="135" t="s">
        <v>102</v>
      </c>
      <c r="BK523" s="135"/>
      <c r="BL523" s="135"/>
      <c r="BM523" s="144" t="s">
        <v>3592</v>
      </c>
      <c r="BN523" s="143">
        <v>2022</v>
      </c>
      <c r="BO523" s="135" t="s">
        <v>155</v>
      </c>
      <c r="BP523" s="143">
        <v>2022</v>
      </c>
      <c r="BQ523" s="203" t="s">
        <v>144</v>
      </c>
    </row>
    <row r="524" spans="1:69" ht="41.1" customHeight="1">
      <c r="A524" s="219" t="s">
        <v>2377</v>
      </c>
      <c r="B524" s="219" t="s">
        <v>2378</v>
      </c>
      <c r="C524" s="143">
        <v>1000</v>
      </c>
      <c r="D524" s="135">
        <v>44832</v>
      </c>
      <c r="E524" s="135">
        <v>44838</v>
      </c>
      <c r="F524" s="135">
        <v>44868</v>
      </c>
      <c r="G524" s="135" t="s">
        <v>2379</v>
      </c>
      <c r="H524" s="135">
        <v>44910</v>
      </c>
      <c r="I524" s="135">
        <v>44910</v>
      </c>
      <c r="J524" s="135">
        <v>44931</v>
      </c>
      <c r="K524" s="135"/>
      <c r="L524" s="135"/>
      <c r="M524" s="135" t="s">
        <v>3305</v>
      </c>
      <c r="N524" s="135"/>
      <c r="O524" s="135"/>
      <c r="P524" s="135"/>
      <c r="Q524" s="135"/>
      <c r="R524" s="135"/>
      <c r="S524" s="135"/>
      <c r="T524" s="135"/>
      <c r="U524" s="144">
        <v>5</v>
      </c>
      <c r="V524" s="143">
        <v>44779</v>
      </c>
      <c r="W524" s="143" t="str">
        <f ca="1">IF(H524="",IF(D524="","",IF(U524+V524&lt;15,"Données Nb pers ou RFR manquantes",IF(COUNTA(INDIRECT("TabRFR["&amp;YEAR(D524)&amp;"]"))&lt;&gt;COUNTA(TabRFR[Recherche RFR]),"Data RFR manquantes", IF(V524&lt;=INDEX(TabRFR[[2021]:[2025]],MATCH(BD!U524&amp;"-Très modestes",TabRFR[Recherche RFR],0),MATCH(TEXT(YEAR(BD!D524),"Standard"),TabRFR[[#Headers],[2021]:[2025]],0)),"Très Modeste",IF(V524&lt;=INDEX(TabRFR[[2021]:[2025]],MATCH(BD!U524&amp;"-modestes",TabRFR[Recherche RFR],0),MATCH(TEXT(YEAR(BD!D524),"Standard"),TabRFR[[#Headers],[2021]:[2025]],0)),"Modeste",IF(V524&lt;=INDEX(TabRFR[[2021]:[2025]],MATCH(BD!U524&amp;"-Intermédiaire",TabRFR[Recherche RFR],0),MATCH(TEXT(YEAR(BD!D524),"Standard"),TabRFR[[#Headers],[2021]:[2025]],0)),"Intermédiaire","Supérieur")))))),IF(D524="","",IF(U524+V524&lt;15,"Données Nb pers ou RFR manquantes",IF(COUNTA(INDIRECT("TabRFR["&amp;YEAR(H524)&amp;"]"))&lt;&gt;COUNTA(TabRFR[Recherche RFR]),"Data RFR manquantes", IF(V524&lt;=INDEX(TabRFR[[2021]:[2025]],MATCH(BD!U524&amp;"-Très modestes",TabRFR[Recherche RFR],0),MATCH(TEXT(YEAR(BD!H524),"Standard"),TabRFR[[#Headers],[2021]:[2025]],0)),"Très Modeste",IF(V524&lt;=INDEX(TabRFR[[2021]:[2025]],MATCH(BD!U524&amp;"-modestes",TabRFR[Recherche RFR],0),MATCH(TEXT(YEAR(BD!H524),"Standard"),TabRFR[[#Headers],[2021]:[2025]],0)),"Modeste",IF(V524&lt;=INDEX(TabRFR[[2021]:[2025]],MATCH(BD!U524&amp;"-Intermédiaire",TabRFR[Recherche RFR],0),MATCH(TEXT(YEAR(BD!H524),"Standard"),TabRFR[[#Headers],[2021]:[2025]],0)),"Intermédiaire","Supérieur")))))))</f>
        <v>Modeste</v>
      </c>
      <c r="X524" s="144"/>
      <c r="Y524" s="135" t="s">
        <v>2380</v>
      </c>
      <c r="Z524" s="144">
        <v>38430</v>
      </c>
      <c r="AA524" s="135" t="s">
        <v>119</v>
      </c>
      <c r="AB524" s="148"/>
      <c r="AC524" s="149"/>
      <c r="AD524" s="135" t="s">
        <v>91</v>
      </c>
      <c r="AE524" s="135"/>
      <c r="AF524" s="135"/>
      <c r="AG524" s="135"/>
      <c r="AH524" s="135"/>
      <c r="AI524" s="135"/>
      <c r="AJ524" s="135"/>
      <c r="AK524" s="135"/>
      <c r="AL524" s="135"/>
      <c r="AM524" s="148"/>
      <c r="AN524" s="135"/>
      <c r="AO524" s="135"/>
      <c r="AP524" s="135"/>
      <c r="AQ524" s="135" t="s">
        <v>3496</v>
      </c>
      <c r="AR524" s="143">
        <v>2001</v>
      </c>
      <c r="AS524" s="143" t="s">
        <v>3413</v>
      </c>
      <c r="AT524" s="143" t="s">
        <v>98</v>
      </c>
      <c r="AU524" s="135" t="s">
        <v>113</v>
      </c>
      <c r="AV524" s="135" t="s">
        <v>2381</v>
      </c>
      <c r="AW524" s="143">
        <v>20</v>
      </c>
      <c r="AX524" s="143">
        <v>8.8000000000000007</v>
      </c>
      <c r="AY524" s="143">
        <v>90.9</v>
      </c>
      <c r="AZ524" s="143">
        <v>75</v>
      </c>
      <c r="BA524" s="143" t="s">
        <v>101</v>
      </c>
      <c r="BB524" s="143"/>
      <c r="BC524" s="143"/>
      <c r="BD524" s="143"/>
      <c r="BE524" s="143"/>
      <c r="BF524" s="151">
        <f t="shared" si="40"/>
        <v>0</v>
      </c>
      <c r="BG524" s="151">
        <f t="shared" si="38"/>
        <v>0</v>
      </c>
      <c r="BH524" s="151">
        <f t="shared" si="39"/>
        <v>0</v>
      </c>
      <c r="BI524" s="135"/>
      <c r="BJ524" s="135" t="s">
        <v>102</v>
      </c>
      <c r="BK524" s="135"/>
      <c r="BL524" s="135"/>
      <c r="BM524" s="144" t="s">
        <v>3592</v>
      </c>
      <c r="BN524" s="143">
        <v>2022</v>
      </c>
      <c r="BO524" s="135" t="s">
        <v>155</v>
      </c>
      <c r="BP524" s="143" t="s">
        <v>3583</v>
      </c>
      <c r="BQ524" s="203"/>
    </row>
    <row r="525" spans="1:69" ht="41.1" customHeight="1">
      <c r="A525" s="218" t="s">
        <v>2373</v>
      </c>
      <c r="B525" s="218" t="s">
        <v>2382</v>
      </c>
      <c r="C525" s="143">
        <v>600</v>
      </c>
      <c r="D525" s="135">
        <v>44839</v>
      </c>
      <c r="E525" s="135">
        <v>44844</v>
      </c>
      <c r="F525" s="135" t="s">
        <v>76</v>
      </c>
      <c r="G525" s="135" t="s">
        <v>76</v>
      </c>
      <c r="H525" s="135">
        <v>44859</v>
      </c>
      <c r="I525" s="135">
        <v>44859</v>
      </c>
      <c r="J525" s="135">
        <v>44879</v>
      </c>
      <c r="K525" s="135">
        <v>44938</v>
      </c>
      <c r="L525" s="135">
        <v>44929</v>
      </c>
      <c r="M525" s="135" t="s">
        <v>76</v>
      </c>
      <c r="N525" s="135">
        <v>45001</v>
      </c>
      <c r="O525" s="135">
        <v>45002</v>
      </c>
      <c r="P525" s="135">
        <v>45005</v>
      </c>
      <c r="Q525" s="135"/>
      <c r="R525" s="135"/>
      <c r="S525" s="135"/>
      <c r="T525" s="135"/>
      <c r="U525" s="144">
        <v>5</v>
      </c>
      <c r="V525" s="143">
        <v>58636</v>
      </c>
      <c r="W525" s="143" t="str">
        <f ca="1">IF(H525="",IF(D525="","",IF(U525+V525&lt;15,"Données Nb pers ou RFR manquantes",IF(COUNTA(INDIRECT("TabRFR["&amp;YEAR(D525)&amp;"]"))&lt;&gt;COUNTA(TabRFR[Recherche RFR]),"Data RFR manquantes", IF(V525&lt;=INDEX(TabRFR[[2021]:[2025]],MATCH(BD!U525&amp;"-Très modestes",TabRFR[Recherche RFR],0),MATCH(TEXT(YEAR(BD!D525),"Standard"),TabRFR[[#Headers],[2021]:[2025]],0)),"Très Modeste",IF(V525&lt;=INDEX(TabRFR[[2021]:[2025]],MATCH(BD!U525&amp;"-modestes",TabRFR[Recherche RFR],0),MATCH(TEXT(YEAR(BD!D525),"Standard"),TabRFR[[#Headers],[2021]:[2025]],0)),"Modeste",IF(V525&lt;=INDEX(TabRFR[[2021]:[2025]],MATCH(BD!U525&amp;"-Intermédiaire",TabRFR[Recherche RFR],0),MATCH(TEXT(YEAR(BD!D525),"Standard"),TabRFR[[#Headers],[2021]:[2025]],0)),"Intermédiaire","Supérieur")))))),IF(D525="","",IF(U525+V525&lt;15,"Données Nb pers ou RFR manquantes",IF(COUNTA(INDIRECT("TabRFR["&amp;YEAR(H525)&amp;"]"))&lt;&gt;COUNTA(TabRFR[Recherche RFR]),"Data RFR manquantes", IF(V525&lt;=INDEX(TabRFR[[2021]:[2025]],MATCH(BD!U525&amp;"-Très modestes",TabRFR[Recherche RFR],0),MATCH(TEXT(YEAR(BD!H525),"Standard"),TabRFR[[#Headers],[2021]:[2025]],0)),"Très Modeste",IF(V525&lt;=INDEX(TabRFR[[2021]:[2025]],MATCH(BD!U525&amp;"-modestes",TabRFR[Recherche RFR],0),MATCH(TEXT(YEAR(BD!H525),"Standard"),TabRFR[[#Headers],[2021]:[2025]],0)),"Modeste",IF(V525&lt;=INDEX(TabRFR[[2021]:[2025]],MATCH(BD!U525&amp;"-Intermédiaire",TabRFR[Recherche RFR],0),MATCH(TEXT(YEAR(BD!H525),"Standard"),TabRFR[[#Headers],[2021]:[2025]],0)),"Intermédiaire","Supérieur")))))))</f>
        <v>Intermédiaire</v>
      </c>
      <c r="X525" s="144"/>
      <c r="Y525" s="135" t="s">
        <v>2105</v>
      </c>
      <c r="Z525" s="144">
        <v>38500</v>
      </c>
      <c r="AA525" s="135" t="s">
        <v>108</v>
      </c>
      <c r="AB525" s="148"/>
      <c r="AC525" s="149"/>
      <c r="AD525" s="135" t="s">
        <v>91</v>
      </c>
      <c r="AE525" s="135"/>
      <c r="AF525" s="135"/>
      <c r="AG525" s="135"/>
      <c r="AH525" s="135"/>
      <c r="AI525" s="143" t="s">
        <v>185</v>
      </c>
      <c r="AJ525" s="143" t="s">
        <v>108</v>
      </c>
      <c r="AK525" s="143" t="s">
        <v>186</v>
      </c>
      <c r="AL525" s="150" t="s">
        <v>187</v>
      </c>
      <c r="AM525" s="148" t="s">
        <v>2383</v>
      </c>
      <c r="AN525" s="143" t="s">
        <v>76</v>
      </c>
      <c r="AO525" s="150" t="s">
        <v>102</v>
      </c>
      <c r="AP525" s="147">
        <v>44798</v>
      </c>
      <c r="AQ525" s="135" t="s">
        <v>3449</v>
      </c>
      <c r="AR525" s="143">
        <v>1989</v>
      </c>
      <c r="AS525" s="143" t="s">
        <v>3413</v>
      </c>
      <c r="AT525" s="135" t="s">
        <v>3446</v>
      </c>
      <c r="AU525" s="143" t="s">
        <v>459</v>
      </c>
      <c r="AV525" s="143" t="s">
        <v>2384</v>
      </c>
      <c r="AW525" s="143">
        <v>18</v>
      </c>
      <c r="AX525" s="143">
        <v>4.9000000000000004</v>
      </c>
      <c r="AY525" s="143">
        <v>78</v>
      </c>
      <c r="AZ525" s="143">
        <v>1125</v>
      </c>
      <c r="BA525" s="143" t="s">
        <v>101</v>
      </c>
      <c r="BB525" s="143"/>
      <c r="BC525" s="143">
        <f>4519.17+340.5+1016.24+269.9+185</f>
        <v>6330.8099999999995</v>
      </c>
      <c r="BD525" s="135"/>
      <c r="BE525" s="143">
        <f>1610-500</f>
        <v>1110</v>
      </c>
      <c r="BF525" s="151">
        <f t="shared" si="40"/>
        <v>7440.8099999999995</v>
      </c>
      <c r="BG525" s="151">
        <f t="shared" si="38"/>
        <v>409.24454999999995</v>
      </c>
      <c r="BH525" s="151">
        <f t="shared" si="39"/>
        <v>7850.0545499999998</v>
      </c>
      <c r="BI525" s="151">
        <v>7850.05</v>
      </c>
      <c r="BJ525" s="135" t="s">
        <v>1391</v>
      </c>
      <c r="BK525" s="135"/>
      <c r="BL525" s="135"/>
      <c r="BM525" s="144" t="s">
        <v>3592</v>
      </c>
      <c r="BN525" s="143">
        <v>2022</v>
      </c>
      <c r="BO525" s="144" t="s">
        <v>143</v>
      </c>
      <c r="BP525" s="144">
        <v>2022</v>
      </c>
      <c r="BQ525" s="203" t="s">
        <v>3274</v>
      </c>
    </row>
    <row r="526" spans="1:69" ht="41.1" customHeight="1">
      <c r="A526" s="218" t="s">
        <v>2373</v>
      </c>
      <c r="B526" s="218" t="s">
        <v>2385</v>
      </c>
      <c r="C526" s="143">
        <v>1000</v>
      </c>
      <c r="D526" s="135">
        <v>44840</v>
      </c>
      <c r="E526" s="135">
        <v>44844</v>
      </c>
      <c r="F526" s="135" t="s">
        <v>76</v>
      </c>
      <c r="G526" s="135" t="s">
        <v>76</v>
      </c>
      <c r="H526" s="135">
        <v>44859</v>
      </c>
      <c r="I526" s="135">
        <v>44859</v>
      </c>
      <c r="J526" s="135">
        <v>44879</v>
      </c>
      <c r="K526" s="135">
        <v>45308</v>
      </c>
      <c r="L526" s="135">
        <v>44872</v>
      </c>
      <c r="M526" s="135" t="s">
        <v>3390</v>
      </c>
      <c r="N526" s="135">
        <v>45314</v>
      </c>
      <c r="O526" s="135">
        <v>45314</v>
      </c>
      <c r="P526" s="135">
        <v>45315</v>
      </c>
      <c r="Q526" s="135"/>
      <c r="R526" s="135"/>
      <c r="S526" s="135"/>
      <c r="T526" s="135"/>
      <c r="U526" s="144">
        <v>3</v>
      </c>
      <c r="V526" s="143">
        <v>11444</v>
      </c>
      <c r="W526" s="143" t="str">
        <f ca="1">IF(H526="",IF(D526="","",IF(U526+V526&lt;15,"Données Nb pers ou RFR manquantes",IF(COUNTA(INDIRECT("TabRFR["&amp;YEAR(D526)&amp;"]"))&lt;&gt;COUNTA(TabRFR[Recherche RFR]),"Data RFR manquantes", IF(V526&lt;=INDEX(TabRFR[[2021]:[2025]],MATCH(BD!U526&amp;"-Très modestes",TabRFR[Recherche RFR],0),MATCH(TEXT(YEAR(BD!D526),"Standard"),TabRFR[[#Headers],[2021]:[2025]],0)),"Très Modeste",IF(V526&lt;=INDEX(TabRFR[[2021]:[2025]],MATCH(BD!U526&amp;"-modestes",TabRFR[Recherche RFR],0),MATCH(TEXT(YEAR(BD!D526),"Standard"),TabRFR[[#Headers],[2021]:[2025]],0)),"Modeste",IF(V526&lt;=INDEX(TabRFR[[2021]:[2025]],MATCH(BD!U526&amp;"-Intermédiaire",TabRFR[Recherche RFR],0),MATCH(TEXT(YEAR(BD!D526),"Standard"),TabRFR[[#Headers],[2021]:[2025]],0)),"Intermédiaire","Supérieur")))))),IF(D526="","",IF(U526+V526&lt;15,"Données Nb pers ou RFR manquantes",IF(COUNTA(INDIRECT("TabRFR["&amp;YEAR(H526)&amp;"]"))&lt;&gt;COUNTA(TabRFR[Recherche RFR]),"Data RFR manquantes", IF(V526&lt;=INDEX(TabRFR[[2021]:[2025]],MATCH(BD!U526&amp;"-Très modestes",TabRFR[Recherche RFR],0),MATCH(TEXT(YEAR(BD!H526),"Standard"),TabRFR[[#Headers],[2021]:[2025]],0)),"Très Modeste",IF(V526&lt;=INDEX(TabRFR[[2021]:[2025]],MATCH(BD!U526&amp;"-modestes",TabRFR[Recherche RFR],0),MATCH(TEXT(YEAR(BD!H526),"Standard"),TabRFR[[#Headers],[2021]:[2025]],0)),"Modeste",IF(V526&lt;=INDEX(TabRFR[[2021]:[2025]],MATCH(BD!U526&amp;"-Intermédiaire",TabRFR[Recherche RFR],0),MATCH(TEXT(YEAR(BD!H526),"Standard"),TabRFR[[#Headers],[2021]:[2025]],0)),"Intermédiaire","Supérieur")))))))</f>
        <v>Très Modeste</v>
      </c>
      <c r="X526" s="144"/>
      <c r="Y526" s="135" t="s">
        <v>2386</v>
      </c>
      <c r="Z526" s="144">
        <v>38620</v>
      </c>
      <c r="AA526" s="135" t="s">
        <v>863</v>
      </c>
      <c r="AB526" s="148"/>
      <c r="AC526" s="149"/>
      <c r="AD526" s="135" t="s">
        <v>91</v>
      </c>
      <c r="AE526" s="135"/>
      <c r="AF526" s="135"/>
      <c r="AG526" s="135"/>
      <c r="AH526" s="135"/>
      <c r="AI526" s="135" t="s">
        <v>120</v>
      </c>
      <c r="AJ526" s="135" t="s">
        <v>121</v>
      </c>
      <c r="AK526" s="135" t="s">
        <v>2232</v>
      </c>
      <c r="AL526" s="150" t="s">
        <v>123</v>
      </c>
      <c r="AM526" s="135" t="s">
        <v>1469</v>
      </c>
      <c r="AN526" s="135" t="s">
        <v>2233</v>
      </c>
      <c r="AO526" s="135" t="s">
        <v>102</v>
      </c>
      <c r="AP526" s="135">
        <v>45147</v>
      </c>
      <c r="AQ526" s="135" t="s">
        <v>3496</v>
      </c>
      <c r="AR526" s="143">
        <v>1983</v>
      </c>
      <c r="AS526" s="143" t="s">
        <v>3413</v>
      </c>
      <c r="AT526" s="143" t="s">
        <v>98</v>
      </c>
      <c r="AU526" s="143" t="s">
        <v>124</v>
      </c>
      <c r="AV526" s="143" t="s">
        <v>2387</v>
      </c>
      <c r="AW526" s="143">
        <v>9</v>
      </c>
      <c r="AX526" s="143">
        <v>8</v>
      </c>
      <c r="AY526" s="143">
        <v>89.7</v>
      </c>
      <c r="AZ526" s="143">
        <v>30</v>
      </c>
      <c r="BA526" s="143" t="s">
        <v>1401</v>
      </c>
      <c r="BB526" s="143"/>
      <c r="BC526" s="151">
        <f>(((3890/1.055)+(879/1.055)+(389/1.055)+(378/1.055)))</f>
        <v>5247.3933649289093</v>
      </c>
      <c r="BD526" s="135"/>
      <c r="BE526" s="189">
        <f>((780/1.055)+(120/1.055))</f>
        <v>853.08056872037912</v>
      </c>
      <c r="BF526" s="189">
        <f t="shared" si="40"/>
        <v>6100.4739336492885</v>
      </c>
      <c r="BG526" s="151">
        <f t="shared" si="38"/>
        <v>335.52606635071089</v>
      </c>
      <c r="BH526" s="143">
        <f t="shared" si="39"/>
        <v>6435.9999999999991</v>
      </c>
      <c r="BI526" s="143">
        <v>6436</v>
      </c>
      <c r="BJ526" s="135" t="s">
        <v>1391</v>
      </c>
      <c r="BK526" s="135"/>
      <c r="BL526" s="135"/>
      <c r="BM526" s="144" t="s">
        <v>3592</v>
      </c>
      <c r="BN526" s="143">
        <v>2022</v>
      </c>
      <c r="BO526" s="135" t="s">
        <v>155</v>
      </c>
      <c r="BP526" s="143" t="s">
        <v>3583</v>
      </c>
      <c r="BQ526" s="203" t="s">
        <v>3274</v>
      </c>
    </row>
    <row r="527" spans="1:69" ht="41.1" customHeight="1">
      <c r="A527" s="218" t="s">
        <v>2373</v>
      </c>
      <c r="B527" s="218" t="s">
        <v>2388</v>
      </c>
      <c r="C527" s="143">
        <v>600</v>
      </c>
      <c r="D527" s="135">
        <v>44841</v>
      </c>
      <c r="E527" s="135">
        <v>44844</v>
      </c>
      <c r="F527" s="135">
        <v>44860</v>
      </c>
      <c r="G527" s="135" t="s">
        <v>1498</v>
      </c>
      <c r="H527" s="135">
        <v>44859</v>
      </c>
      <c r="I527" s="135">
        <v>44859</v>
      </c>
      <c r="J527" s="135">
        <v>44879</v>
      </c>
      <c r="K527" s="135">
        <v>44896</v>
      </c>
      <c r="L527" s="135">
        <v>44891</v>
      </c>
      <c r="M527" s="135" t="s">
        <v>76</v>
      </c>
      <c r="N527" s="135">
        <v>44915</v>
      </c>
      <c r="O527" s="135">
        <v>44915</v>
      </c>
      <c r="P527" s="135">
        <v>44932</v>
      </c>
      <c r="Q527" s="135"/>
      <c r="R527" s="135"/>
      <c r="S527" s="135"/>
      <c r="T527" s="135"/>
      <c r="U527" s="144">
        <v>2</v>
      </c>
      <c r="V527" s="143">
        <v>37277</v>
      </c>
      <c r="W527" s="143" t="str">
        <f ca="1">IF(H527="",IF(D527="","",IF(U527+V527&lt;15,"Données Nb pers ou RFR manquantes",IF(COUNTA(INDIRECT("TabRFR["&amp;YEAR(D527)&amp;"]"))&lt;&gt;COUNTA(TabRFR[Recherche RFR]),"Data RFR manquantes", IF(V527&lt;=INDEX(TabRFR[[2021]:[2025]],MATCH(BD!U527&amp;"-Très modestes",TabRFR[Recherche RFR],0),MATCH(TEXT(YEAR(BD!D527),"Standard"),TabRFR[[#Headers],[2021]:[2025]],0)),"Très Modeste",IF(V527&lt;=INDEX(TabRFR[[2021]:[2025]],MATCH(BD!U527&amp;"-modestes",TabRFR[Recherche RFR],0),MATCH(TEXT(YEAR(BD!D527),"Standard"),TabRFR[[#Headers],[2021]:[2025]],0)),"Modeste",IF(V527&lt;=INDEX(TabRFR[[2021]:[2025]],MATCH(BD!U527&amp;"-Intermédiaire",TabRFR[Recherche RFR],0),MATCH(TEXT(YEAR(BD!D527),"Standard"),TabRFR[[#Headers],[2021]:[2025]],0)),"Intermédiaire","Supérieur")))))),IF(D527="","",IF(U527+V527&lt;15,"Données Nb pers ou RFR manquantes",IF(COUNTA(INDIRECT("TabRFR["&amp;YEAR(H527)&amp;"]"))&lt;&gt;COUNTA(TabRFR[Recherche RFR]),"Data RFR manquantes", IF(V527&lt;=INDEX(TabRFR[[2021]:[2025]],MATCH(BD!U527&amp;"-Très modestes",TabRFR[Recherche RFR],0),MATCH(TEXT(YEAR(BD!H527),"Standard"),TabRFR[[#Headers],[2021]:[2025]],0)),"Très Modeste",IF(V527&lt;=INDEX(TabRFR[[2021]:[2025]],MATCH(BD!U527&amp;"-modestes",TabRFR[Recherche RFR],0),MATCH(TEXT(YEAR(BD!H527),"Standard"),TabRFR[[#Headers],[2021]:[2025]],0)),"Modeste",IF(V527&lt;=INDEX(TabRFR[[2021]:[2025]],MATCH(BD!U527&amp;"-Intermédiaire",TabRFR[Recherche RFR],0),MATCH(TEXT(YEAR(BD!H527),"Standard"),TabRFR[[#Headers],[2021]:[2025]],0)),"Intermédiaire","Supérieur")))))))</f>
        <v>Intermédiaire</v>
      </c>
      <c r="X527" s="144"/>
      <c r="Y527" s="135" t="s">
        <v>2389</v>
      </c>
      <c r="Z527" s="144">
        <v>38960</v>
      </c>
      <c r="AA527" s="143" t="s">
        <v>209</v>
      </c>
      <c r="AB527" s="148"/>
      <c r="AC527" s="149"/>
      <c r="AD527" s="135" t="s">
        <v>91</v>
      </c>
      <c r="AE527" s="135"/>
      <c r="AF527" s="135"/>
      <c r="AG527" s="135"/>
      <c r="AH527" s="135"/>
      <c r="AI527" s="143" t="s">
        <v>185</v>
      </c>
      <c r="AJ527" s="143" t="s">
        <v>108</v>
      </c>
      <c r="AK527" s="143" t="s">
        <v>186</v>
      </c>
      <c r="AL527" s="150" t="s">
        <v>187</v>
      </c>
      <c r="AM527" s="148" t="s">
        <v>2383</v>
      </c>
      <c r="AN527" s="143" t="s">
        <v>76</v>
      </c>
      <c r="AO527" s="150" t="s">
        <v>102</v>
      </c>
      <c r="AP527" s="147">
        <v>44798</v>
      </c>
      <c r="AQ527" s="135" t="s">
        <v>3449</v>
      </c>
      <c r="AR527" s="143">
        <v>1986</v>
      </c>
      <c r="AS527" s="143" t="s">
        <v>3413</v>
      </c>
      <c r="AT527" s="135" t="s">
        <v>3446</v>
      </c>
      <c r="AU527" s="143" t="s">
        <v>356</v>
      </c>
      <c r="AV527" s="143" t="s">
        <v>2390</v>
      </c>
      <c r="AW527" s="143">
        <v>20</v>
      </c>
      <c r="AX527" s="143">
        <v>8</v>
      </c>
      <c r="AY527" s="143">
        <v>87</v>
      </c>
      <c r="AZ527" s="143">
        <v>40</v>
      </c>
      <c r="BA527" s="143" t="s">
        <v>101</v>
      </c>
      <c r="BB527" s="143"/>
      <c r="BC527" s="143">
        <f>9235.16+404+804.89</f>
        <v>10444.049999999999</v>
      </c>
      <c r="BD527" s="135"/>
      <c r="BE527" s="143">
        <f>630-2168.29</f>
        <v>-1538.29</v>
      </c>
      <c r="BF527" s="151">
        <f t="shared" si="40"/>
        <v>8905.7599999999984</v>
      </c>
      <c r="BG527" s="151">
        <f t="shared" si="38"/>
        <v>489.81679999999989</v>
      </c>
      <c r="BH527" s="151">
        <f t="shared" si="39"/>
        <v>9395.5767999999989</v>
      </c>
      <c r="BI527" s="151">
        <v>9395.58</v>
      </c>
      <c r="BJ527" s="135" t="s">
        <v>144</v>
      </c>
      <c r="BK527" s="135"/>
      <c r="BL527" s="135"/>
      <c r="BM527" s="144" t="s">
        <v>3592</v>
      </c>
      <c r="BN527" s="143">
        <v>2022</v>
      </c>
      <c r="BO527" s="144" t="s">
        <v>143</v>
      </c>
      <c r="BP527" s="143">
        <v>2022</v>
      </c>
      <c r="BQ527" s="203" t="s">
        <v>144</v>
      </c>
    </row>
    <row r="528" spans="1:69" ht="41.1" customHeight="1">
      <c r="A528" s="218" t="s">
        <v>2391</v>
      </c>
      <c r="B528" s="218" t="s">
        <v>2392</v>
      </c>
      <c r="C528" s="143">
        <v>1000</v>
      </c>
      <c r="D528" s="135">
        <v>44841</v>
      </c>
      <c r="E528" s="135">
        <v>44844</v>
      </c>
      <c r="F528" s="135">
        <v>44859</v>
      </c>
      <c r="G528" s="135" t="s">
        <v>2393</v>
      </c>
      <c r="H528" s="135">
        <v>44874</v>
      </c>
      <c r="I528" s="135">
        <v>44874</v>
      </c>
      <c r="J528" s="135">
        <v>44886</v>
      </c>
      <c r="K528" s="135">
        <v>44890</v>
      </c>
      <c r="L528" s="135">
        <v>44889</v>
      </c>
      <c r="M528" s="135" t="s">
        <v>76</v>
      </c>
      <c r="N528" s="135">
        <v>44895</v>
      </c>
      <c r="O528" s="135">
        <v>44895</v>
      </c>
      <c r="P528" s="135">
        <v>44897</v>
      </c>
      <c r="Q528" s="135"/>
      <c r="R528" s="135"/>
      <c r="S528" s="135"/>
      <c r="T528" s="135"/>
      <c r="U528" s="144">
        <v>5</v>
      </c>
      <c r="V528" s="143">
        <v>40616</v>
      </c>
      <c r="W528" s="143" t="str">
        <f ca="1">IF(H528="",IF(D528="","",IF(U528+V528&lt;15,"Données Nb pers ou RFR manquantes",IF(COUNTA(INDIRECT("TabRFR["&amp;YEAR(D528)&amp;"]"))&lt;&gt;COUNTA(TabRFR[Recherche RFR]),"Data RFR manquantes", IF(V528&lt;=INDEX(TabRFR[[2021]:[2025]],MATCH(BD!U528&amp;"-Très modestes",TabRFR[Recherche RFR],0),MATCH(TEXT(YEAR(BD!D528),"Standard"),TabRFR[[#Headers],[2021]:[2025]],0)),"Très Modeste",IF(V528&lt;=INDEX(TabRFR[[2021]:[2025]],MATCH(BD!U528&amp;"-modestes",TabRFR[Recherche RFR],0),MATCH(TEXT(YEAR(BD!D528),"Standard"),TabRFR[[#Headers],[2021]:[2025]],0)),"Modeste",IF(V528&lt;=INDEX(TabRFR[[2021]:[2025]],MATCH(BD!U528&amp;"-Intermédiaire",TabRFR[Recherche RFR],0),MATCH(TEXT(YEAR(BD!D528),"Standard"),TabRFR[[#Headers],[2021]:[2025]],0)),"Intermédiaire","Supérieur")))))),IF(D528="","",IF(U528+V528&lt;15,"Données Nb pers ou RFR manquantes",IF(COUNTA(INDIRECT("TabRFR["&amp;YEAR(H528)&amp;"]"))&lt;&gt;COUNTA(TabRFR[Recherche RFR]),"Data RFR manquantes", IF(V528&lt;=INDEX(TabRFR[[2021]:[2025]],MATCH(BD!U528&amp;"-Très modestes",TabRFR[Recherche RFR],0),MATCH(TEXT(YEAR(BD!H528),"Standard"),TabRFR[[#Headers],[2021]:[2025]],0)),"Très Modeste",IF(V528&lt;=INDEX(TabRFR[[2021]:[2025]],MATCH(BD!U528&amp;"-modestes",TabRFR[Recherche RFR],0),MATCH(TEXT(YEAR(BD!H528),"Standard"),TabRFR[[#Headers],[2021]:[2025]],0)),"Modeste",IF(V528&lt;=INDEX(TabRFR[[2021]:[2025]],MATCH(BD!U528&amp;"-Intermédiaire",TabRFR[Recherche RFR],0),MATCH(TEXT(YEAR(BD!H528),"Standard"),TabRFR[[#Headers],[2021]:[2025]],0)),"Intermédiaire","Supérieur")))))))</f>
        <v>Modeste</v>
      </c>
      <c r="X528" s="144"/>
      <c r="Y528" s="135" t="s">
        <v>2394</v>
      </c>
      <c r="Z528" s="144">
        <v>38430</v>
      </c>
      <c r="AA528" s="135" t="s">
        <v>119</v>
      </c>
      <c r="AB528" s="148"/>
      <c r="AC528" s="149"/>
      <c r="AD528" s="135" t="s">
        <v>91</v>
      </c>
      <c r="AE528" s="135"/>
      <c r="AF528" s="135"/>
      <c r="AG528" s="135"/>
      <c r="AH528" s="135"/>
      <c r="AI528" s="135" t="s">
        <v>169</v>
      </c>
      <c r="AJ528" s="135" t="s">
        <v>119</v>
      </c>
      <c r="AK528" s="135" t="s">
        <v>2192</v>
      </c>
      <c r="AL528" s="170" t="s">
        <v>171</v>
      </c>
      <c r="AM528" s="148" t="s">
        <v>1406</v>
      </c>
      <c r="AN528" s="135"/>
      <c r="AO528" s="150" t="s">
        <v>102</v>
      </c>
      <c r="AP528" s="135">
        <v>44883</v>
      </c>
      <c r="AQ528" s="135" t="s">
        <v>3449</v>
      </c>
      <c r="AR528" s="143">
        <v>2000</v>
      </c>
      <c r="AS528" s="135" t="s">
        <v>3496</v>
      </c>
      <c r="AT528" s="135" t="s">
        <v>3446</v>
      </c>
      <c r="AU528" s="143" t="s">
        <v>173</v>
      </c>
      <c r="AV528" s="143" t="s">
        <v>526</v>
      </c>
      <c r="AW528" s="143">
        <v>16</v>
      </c>
      <c r="AX528" s="143">
        <v>9</v>
      </c>
      <c r="AY528" s="143">
        <v>81</v>
      </c>
      <c r="AZ528" s="143">
        <v>813</v>
      </c>
      <c r="BA528" s="143" t="s">
        <v>101</v>
      </c>
      <c r="BB528" s="143"/>
      <c r="BC528" s="143">
        <f>365+48.5+35.5+99.09+94+465.75+1825+266.4+585+128.8+479</f>
        <v>4392.0400000000009</v>
      </c>
      <c r="BD528" s="135"/>
      <c r="BE528" s="143">
        <f>475+950</f>
        <v>1425</v>
      </c>
      <c r="BF528" s="151">
        <f t="shared" si="40"/>
        <v>5817.0400000000009</v>
      </c>
      <c r="BG528" s="151">
        <f t="shared" si="38"/>
        <v>319.93720000000008</v>
      </c>
      <c r="BH528" s="151">
        <f t="shared" si="39"/>
        <v>6136.9772000000012</v>
      </c>
      <c r="BI528" s="143">
        <v>6136.98</v>
      </c>
      <c r="BJ528" s="135" t="s">
        <v>1391</v>
      </c>
      <c r="BK528" s="135"/>
      <c r="BL528" s="135"/>
      <c r="BM528" s="144" t="s">
        <v>3592</v>
      </c>
      <c r="BN528" s="143">
        <v>2022</v>
      </c>
      <c r="BO528" s="135" t="s">
        <v>155</v>
      </c>
      <c r="BP528" s="143">
        <v>2022</v>
      </c>
      <c r="BQ528" s="203" t="s">
        <v>3274</v>
      </c>
    </row>
    <row r="529" spans="1:69" ht="41.1" customHeight="1">
      <c r="A529" s="218" t="s">
        <v>2377</v>
      </c>
      <c r="B529" s="218" t="s">
        <v>2395</v>
      </c>
      <c r="C529" s="143">
        <v>600</v>
      </c>
      <c r="D529" s="135">
        <v>44842</v>
      </c>
      <c r="E529" s="135">
        <v>44844</v>
      </c>
      <c r="F529" s="135">
        <v>44859</v>
      </c>
      <c r="G529" s="135" t="s">
        <v>2396</v>
      </c>
      <c r="H529" s="135">
        <v>44910</v>
      </c>
      <c r="I529" s="135">
        <v>44910</v>
      </c>
      <c r="J529" s="135">
        <v>44931</v>
      </c>
      <c r="K529" s="135">
        <v>45143</v>
      </c>
      <c r="L529" s="135">
        <v>45030</v>
      </c>
      <c r="M529" s="135" t="s">
        <v>76</v>
      </c>
      <c r="N529" s="135">
        <v>45145</v>
      </c>
      <c r="O529" s="135">
        <v>45145</v>
      </c>
      <c r="P529" s="135">
        <v>45146</v>
      </c>
      <c r="Q529" s="135"/>
      <c r="R529" s="135"/>
      <c r="S529" s="135"/>
      <c r="T529" s="135"/>
      <c r="U529" s="144">
        <v>2</v>
      </c>
      <c r="V529" s="143">
        <v>46283</v>
      </c>
      <c r="W529" s="143" t="str">
        <f ca="1">IF(H529="",IF(D529="","",IF(U529+V529&lt;15,"Données Nb pers ou RFR manquantes",IF(COUNTA(INDIRECT("TabRFR["&amp;YEAR(D529)&amp;"]"))&lt;&gt;COUNTA(TabRFR[Recherche RFR]),"Data RFR manquantes", IF(V529&lt;=INDEX(TabRFR[[2021]:[2025]],MATCH(BD!U529&amp;"-Très modestes",TabRFR[Recherche RFR],0),MATCH(TEXT(YEAR(BD!D529),"Standard"),TabRFR[[#Headers],[2021]:[2025]],0)),"Très Modeste",IF(V529&lt;=INDEX(TabRFR[[2021]:[2025]],MATCH(BD!U529&amp;"-modestes",TabRFR[Recherche RFR],0),MATCH(TEXT(YEAR(BD!D529),"Standard"),TabRFR[[#Headers],[2021]:[2025]],0)),"Modeste",IF(V529&lt;=INDEX(TabRFR[[2021]:[2025]],MATCH(BD!U529&amp;"-Intermédiaire",TabRFR[Recherche RFR],0),MATCH(TEXT(YEAR(BD!D529),"Standard"),TabRFR[[#Headers],[2021]:[2025]],0)),"Intermédiaire","Supérieur")))))),IF(D529="","",IF(U529+V529&lt;15,"Données Nb pers ou RFR manquantes",IF(COUNTA(INDIRECT("TabRFR["&amp;YEAR(H529)&amp;"]"))&lt;&gt;COUNTA(TabRFR[Recherche RFR]),"Data RFR manquantes", IF(V529&lt;=INDEX(TabRFR[[2021]:[2025]],MATCH(BD!U529&amp;"-Très modestes",TabRFR[Recherche RFR],0),MATCH(TEXT(YEAR(BD!H529),"Standard"),TabRFR[[#Headers],[2021]:[2025]],0)),"Très Modeste",IF(V529&lt;=INDEX(TabRFR[[2021]:[2025]],MATCH(BD!U529&amp;"-modestes",TabRFR[Recherche RFR],0),MATCH(TEXT(YEAR(BD!H529),"Standard"),TabRFR[[#Headers],[2021]:[2025]],0)),"Modeste",IF(V529&lt;=INDEX(TabRFR[[2021]:[2025]],MATCH(BD!U529&amp;"-Intermédiaire",TabRFR[Recherche RFR],0),MATCH(TEXT(YEAR(BD!H529),"Standard"),TabRFR[[#Headers],[2021]:[2025]],0)),"Intermédiaire","Supérieur")))))))</f>
        <v>Supérieur</v>
      </c>
      <c r="X529" s="144"/>
      <c r="Y529" s="135" t="s">
        <v>2280</v>
      </c>
      <c r="Z529" s="144">
        <v>38430</v>
      </c>
      <c r="AA529" s="143" t="s">
        <v>351</v>
      </c>
      <c r="AB529" s="148"/>
      <c r="AC529" s="149"/>
      <c r="AD529" s="135"/>
      <c r="AE529" s="135"/>
      <c r="AF529" s="135"/>
      <c r="AG529" s="135"/>
      <c r="AH529" s="135"/>
      <c r="AI529" s="135" t="s">
        <v>160</v>
      </c>
      <c r="AJ529" s="135" t="s">
        <v>161</v>
      </c>
      <c r="AK529" s="135" t="s">
        <v>2238</v>
      </c>
      <c r="AL529" s="150" t="s">
        <v>228</v>
      </c>
      <c r="AM529" s="135" t="s">
        <v>2239</v>
      </c>
      <c r="AN529" s="135"/>
      <c r="AO529" s="150" t="s">
        <v>102</v>
      </c>
      <c r="AP529" s="135">
        <v>45006</v>
      </c>
      <c r="AQ529" s="135" t="s">
        <v>3496</v>
      </c>
      <c r="AR529" s="143" t="s">
        <v>172</v>
      </c>
      <c r="AS529" s="143" t="s">
        <v>3413</v>
      </c>
      <c r="AT529" s="135" t="s">
        <v>3446</v>
      </c>
      <c r="AU529" s="143" t="s">
        <v>164</v>
      </c>
      <c r="AV529" s="143" t="s">
        <v>2397</v>
      </c>
      <c r="AW529" s="143">
        <v>13</v>
      </c>
      <c r="AX529" s="143">
        <v>11</v>
      </c>
      <c r="AY529" s="143">
        <v>75.8</v>
      </c>
      <c r="AZ529" s="143">
        <v>750</v>
      </c>
      <c r="BA529" s="143" t="s">
        <v>101</v>
      </c>
      <c r="BB529" s="143"/>
      <c r="BC529" s="143">
        <f>3470+433+2481+303+125+856+167+135</f>
        <v>7970</v>
      </c>
      <c r="BD529" s="143"/>
      <c r="BE529" s="143">
        <v>1990</v>
      </c>
      <c r="BF529" s="151">
        <f t="shared" si="40"/>
        <v>9960</v>
      </c>
      <c r="BG529" s="151">
        <f t="shared" si="38"/>
        <v>547.79999999999995</v>
      </c>
      <c r="BH529" s="143">
        <f t="shared" si="39"/>
        <v>10507.8</v>
      </c>
      <c r="BI529" s="151">
        <v>10600</v>
      </c>
      <c r="BJ529" s="135" t="s">
        <v>103</v>
      </c>
      <c r="BK529" s="135"/>
      <c r="BL529" s="135"/>
      <c r="BM529" s="144" t="s">
        <v>3592</v>
      </c>
      <c r="BN529" s="143">
        <v>2022</v>
      </c>
      <c r="BO529" s="144" t="s">
        <v>143</v>
      </c>
      <c r="BP529" s="144">
        <v>2023</v>
      </c>
      <c r="BQ529" s="203" t="s">
        <v>3274</v>
      </c>
    </row>
    <row r="530" spans="1:69" ht="41.1" customHeight="1">
      <c r="A530" s="218" t="s">
        <v>2377</v>
      </c>
      <c r="B530" s="218" t="s">
        <v>2398</v>
      </c>
      <c r="C530" s="143">
        <f ca="1">IF(W530="Très modeste",1000,IF(W530="Modeste",1000,IF(W530="Intermédiaire",600,IF(W530="Supérieur",600,"Non calculé"))))</f>
        <v>1000</v>
      </c>
      <c r="D530" s="135">
        <v>44844</v>
      </c>
      <c r="E530" s="135">
        <v>44844</v>
      </c>
      <c r="F530" s="135">
        <v>44859</v>
      </c>
      <c r="G530" s="135" t="s">
        <v>1498</v>
      </c>
      <c r="H530" s="135">
        <v>44931</v>
      </c>
      <c r="I530" s="135">
        <v>44931</v>
      </c>
      <c r="J530" s="135">
        <v>44952</v>
      </c>
      <c r="K530" s="135">
        <v>45307</v>
      </c>
      <c r="L530" s="135">
        <v>45303</v>
      </c>
      <c r="M530" s="135" t="s">
        <v>3305</v>
      </c>
      <c r="N530" s="135">
        <v>45316</v>
      </c>
      <c r="O530" s="135">
        <v>45316</v>
      </c>
      <c r="P530" s="135">
        <v>45317</v>
      </c>
      <c r="Q530" s="135"/>
      <c r="R530" s="135"/>
      <c r="S530" s="135"/>
      <c r="T530" s="135"/>
      <c r="U530" s="144">
        <v>1</v>
      </c>
      <c r="V530" s="143">
        <v>17925</v>
      </c>
      <c r="W530" s="143" t="str">
        <f ca="1">IF(H530="",IF(D530="","",IF(U530+V530&lt;15,"Données Nb pers ou RFR manquantes",IF(COUNTA(INDIRECT("TabRFR["&amp;YEAR(D530)&amp;"]"))&lt;&gt;COUNTA(TabRFR[Recherche RFR]),"Data RFR manquantes", IF(V530&lt;=INDEX(TabRFR[[2021]:[2025]],MATCH(BD!U530&amp;"-Très modestes",TabRFR[Recherche RFR],0),MATCH(TEXT(YEAR(BD!D530),"Standard"),TabRFR[[#Headers],[2021]:[2025]],0)),"Très Modeste",IF(V530&lt;=INDEX(TabRFR[[2021]:[2025]],MATCH(BD!U530&amp;"-modestes",TabRFR[Recherche RFR],0),MATCH(TEXT(YEAR(BD!D530),"Standard"),TabRFR[[#Headers],[2021]:[2025]],0)),"Modeste",IF(V530&lt;=INDEX(TabRFR[[2021]:[2025]],MATCH(BD!U530&amp;"-Intermédiaire",TabRFR[Recherche RFR],0),MATCH(TEXT(YEAR(BD!D530),"Standard"),TabRFR[[#Headers],[2021]:[2025]],0)),"Intermédiaire","Supérieur")))))),IF(D530="","",IF(U530+V530&lt;15,"Données Nb pers ou RFR manquantes",IF(COUNTA(INDIRECT("TabRFR["&amp;YEAR(H530)&amp;"]"))&lt;&gt;COUNTA(TabRFR[Recherche RFR]),"Data RFR manquantes", IF(V530&lt;=INDEX(TabRFR[[2021]:[2025]],MATCH(BD!U530&amp;"-Très modestes",TabRFR[Recherche RFR],0),MATCH(TEXT(YEAR(BD!H530),"Standard"),TabRFR[[#Headers],[2021]:[2025]],0)),"Très Modeste",IF(V530&lt;=INDEX(TabRFR[[2021]:[2025]],MATCH(BD!U530&amp;"-modestes",TabRFR[Recherche RFR],0),MATCH(TEXT(YEAR(BD!H530),"Standard"),TabRFR[[#Headers],[2021]:[2025]],0)),"Modeste",IF(V530&lt;=INDEX(TabRFR[[2021]:[2025]],MATCH(BD!U530&amp;"-Intermédiaire",TabRFR[Recherche RFR],0),MATCH(TEXT(YEAR(BD!H530),"Standard"),TabRFR[[#Headers],[2021]:[2025]],0)),"Intermédiaire","Supérieur")))))))</f>
        <v>Modeste</v>
      </c>
      <c r="X530" s="144"/>
      <c r="Y530" s="135" t="s">
        <v>2399</v>
      </c>
      <c r="Z530" s="144">
        <v>38500</v>
      </c>
      <c r="AA530" s="135" t="s">
        <v>284</v>
      </c>
      <c r="AB530" s="148"/>
      <c r="AC530" s="208"/>
      <c r="AD530" s="135" t="s">
        <v>91</v>
      </c>
      <c r="AE530" s="135"/>
      <c r="AF530" s="135"/>
      <c r="AG530" s="135"/>
      <c r="AH530" s="135"/>
      <c r="AI530" s="135" t="s">
        <v>2703</v>
      </c>
      <c r="AJ530" s="135" t="s">
        <v>266</v>
      </c>
      <c r="AK530" s="135" t="s">
        <v>2400</v>
      </c>
      <c r="AL530" s="150" t="s">
        <v>318</v>
      </c>
      <c r="AM530" s="135" t="s">
        <v>2401</v>
      </c>
      <c r="AN530" s="143" t="s">
        <v>76</v>
      </c>
      <c r="AO530" s="150" t="s">
        <v>102</v>
      </c>
      <c r="AP530" s="135">
        <v>45137</v>
      </c>
      <c r="AQ530" s="135" t="s">
        <v>3323</v>
      </c>
      <c r="AR530" s="143">
        <v>1975</v>
      </c>
      <c r="AS530" s="143" t="s">
        <v>3413</v>
      </c>
      <c r="AT530" s="135" t="s">
        <v>3446</v>
      </c>
      <c r="AU530" s="135" t="s">
        <v>319</v>
      </c>
      <c r="AV530" s="135" t="s">
        <v>2402</v>
      </c>
      <c r="AW530" s="143">
        <v>30</v>
      </c>
      <c r="AX530" s="143">
        <v>5</v>
      </c>
      <c r="AY530" s="143">
        <v>79</v>
      </c>
      <c r="AZ530" s="143">
        <v>875</v>
      </c>
      <c r="BA530" s="143" t="s">
        <v>101</v>
      </c>
      <c r="BB530" s="143"/>
      <c r="BC530" s="143">
        <f>50+529.92+71.09+96.4+3850+245.1</f>
        <v>4842.51</v>
      </c>
      <c r="BD530" s="143"/>
      <c r="BE530" s="143">
        <f>1020-300</f>
        <v>720</v>
      </c>
      <c r="BF530" s="151">
        <f t="shared" si="40"/>
        <v>5562.51</v>
      </c>
      <c r="BG530" s="151">
        <f t="shared" si="38"/>
        <v>305.93805000000003</v>
      </c>
      <c r="BH530" s="151">
        <f t="shared" si="39"/>
        <v>5868.44805</v>
      </c>
      <c r="BI530" s="151">
        <v>4953.33</v>
      </c>
      <c r="BJ530" s="135" t="s">
        <v>1391</v>
      </c>
      <c r="BK530" s="135"/>
      <c r="BL530" s="135"/>
      <c r="BM530" s="144" t="s">
        <v>3592</v>
      </c>
      <c r="BN530" s="143">
        <v>2023</v>
      </c>
      <c r="BO530" s="135" t="s">
        <v>155</v>
      </c>
      <c r="BP530" s="144">
        <v>2023</v>
      </c>
      <c r="BQ530" s="203" t="s">
        <v>3274</v>
      </c>
    </row>
    <row r="531" spans="1:69" ht="41.1" customHeight="1">
      <c r="A531" s="219" t="s">
        <v>2373</v>
      </c>
      <c r="B531" s="219" t="s">
        <v>2403</v>
      </c>
      <c r="C531" s="143">
        <v>1000</v>
      </c>
      <c r="D531" s="135">
        <v>44846</v>
      </c>
      <c r="E531" s="135">
        <v>44852</v>
      </c>
      <c r="F531" s="135" t="s">
        <v>76</v>
      </c>
      <c r="G531" s="135" t="s">
        <v>76</v>
      </c>
      <c r="H531" s="135">
        <v>44880</v>
      </c>
      <c r="I531" s="135">
        <v>44880</v>
      </c>
      <c r="J531" s="135">
        <v>44893</v>
      </c>
      <c r="K531" s="135"/>
      <c r="L531" s="135"/>
      <c r="M531" s="135"/>
      <c r="N531" s="135"/>
      <c r="O531" s="135"/>
      <c r="P531" s="135"/>
      <c r="Q531" s="135"/>
      <c r="R531" s="135"/>
      <c r="S531" s="135"/>
      <c r="T531" s="135"/>
      <c r="U531" s="144">
        <v>1</v>
      </c>
      <c r="V531" s="143">
        <v>14974</v>
      </c>
      <c r="W531" s="143" t="str">
        <f ca="1">IF(H531="",IF(D531="","",IF(U531+V531&lt;15,"Données Nb pers ou RFR manquantes",IF(COUNTA(INDIRECT("TabRFR["&amp;YEAR(D531)&amp;"]"))&lt;&gt;COUNTA(TabRFR[Recherche RFR]),"Data RFR manquantes", IF(V531&lt;=INDEX(TabRFR[[2021]:[2025]],MATCH(BD!U531&amp;"-Très modestes",TabRFR[Recherche RFR],0),MATCH(TEXT(YEAR(BD!D531),"Standard"),TabRFR[[#Headers],[2021]:[2025]],0)),"Très Modeste",IF(V531&lt;=INDEX(TabRFR[[2021]:[2025]],MATCH(BD!U531&amp;"-modestes",TabRFR[Recherche RFR],0),MATCH(TEXT(YEAR(BD!D531),"Standard"),TabRFR[[#Headers],[2021]:[2025]],0)),"Modeste",IF(V531&lt;=INDEX(TabRFR[[2021]:[2025]],MATCH(BD!U531&amp;"-Intermédiaire",TabRFR[Recherche RFR],0),MATCH(TEXT(YEAR(BD!D531),"Standard"),TabRFR[[#Headers],[2021]:[2025]],0)),"Intermédiaire","Supérieur")))))),IF(D531="","",IF(U531+V531&lt;15,"Données Nb pers ou RFR manquantes",IF(COUNTA(INDIRECT("TabRFR["&amp;YEAR(H531)&amp;"]"))&lt;&gt;COUNTA(TabRFR[Recherche RFR]),"Data RFR manquantes", IF(V531&lt;=INDEX(TabRFR[[2021]:[2025]],MATCH(BD!U531&amp;"-Très modestes",TabRFR[Recherche RFR],0),MATCH(TEXT(YEAR(BD!H531),"Standard"),TabRFR[[#Headers],[2021]:[2025]],0)),"Très Modeste",IF(V531&lt;=INDEX(TabRFR[[2021]:[2025]],MATCH(BD!U531&amp;"-modestes",TabRFR[Recherche RFR],0),MATCH(TEXT(YEAR(BD!H531),"Standard"),TabRFR[[#Headers],[2021]:[2025]],0)),"Modeste",IF(V531&lt;=INDEX(TabRFR[[2021]:[2025]],MATCH(BD!U531&amp;"-Intermédiaire",TabRFR[Recherche RFR],0),MATCH(TEXT(YEAR(BD!H531),"Standard"),TabRFR[[#Headers],[2021]:[2025]],0)),"Intermédiaire","Supérieur")))))))</f>
        <v>Très Modeste</v>
      </c>
      <c r="X531" s="144"/>
      <c r="Y531" s="135" t="s">
        <v>2404</v>
      </c>
      <c r="Z531" s="144">
        <v>38620</v>
      </c>
      <c r="AA531" s="135" t="s">
        <v>518</v>
      </c>
      <c r="AB531" s="148"/>
      <c r="AC531" s="149"/>
      <c r="AD531" s="135" t="s">
        <v>91</v>
      </c>
      <c r="AE531" s="135"/>
      <c r="AF531" s="135"/>
      <c r="AG531" s="135"/>
      <c r="AH531" s="135"/>
      <c r="AI531" s="143" t="s">
        <v>2037</v>
      </c>
      <c r="AJ531" s="143" t="s">
        <v>93</v>
      </c>
      <c r="AK531" s="143" t="s">
        <v>94</v>
      </c>
      <c r="AL531" s="149" t="s">
        <v>95</v>
      </c>
      <c r="AM531" s="148" t="s">
        <v>96</v>
      </c>
      <c r="AN531" s="143" t="s">
        <v>76</v>
      </c>
      <c r="AO531" s="150" t="s">
        <v>97</v>
      </c>
      <c r="AP531" s="147">
        <v>45247</v>
      </c>
      <c r="AQ531" s="135" t="s">
        <v>3323</v>
      </c>
      <c r="AR531" s="143">
        <v>1970</v>
      </c>
      <c r="AS531" s="143" t="s">
        <v>3413</v>
      </c>
      <c r="AT531" s="143" t="s">
        <v>98</v>
      </c>
      <c r="AU531" s="135" t="s">
        <v>2405</v>
      </c>
      <c r="AV531" s="135" t="s">
        <v>2406</v>
      </c>
      <c r="AW531" s="143">
        <v>15</v>
      </c>
      <c r="AX531" s="143">
        <v>9</v>
      </c>
      <c r="AY531" s="143">
        <v>91</v>
      </c>
      <c r="AZ531" s="143">
        <v>30</v>
      </c>
      <c r="BA531" s="143" t="s">
        <v>101</v>
      </c>
      <c r="BB531" s="135"/>
      <c r="BC531" s="143">
        <f>3650+1695+333.8+193+198</f>
        <v>6069.8</v>
      </c>
      <c r="BD531" s="143"/>
      <c r="BE531" s="143">
        <f>890</f>
        <v>890</v>
      </c>
      <c r="BF531" s="151">
        <f t="shared" si="40"/>
        <v>6959.8</v>
      </c>
      <c r="BG531" s="151">
        <f t="shared" si="38"/>
        <v>382.78899999999999</v>
      </c>
      <c r="BH531" s="151">
        <f t="shared" si="39"/>
        <v>7342.5889999999999</v>
      </c>
      <c r="BI531" s="135"/>
      <c r="BJ531" s="135" t="s">
        <v>102</v>
      </c>
      <c r="BK531" s="135"/>
      <c r="BL531" s="135"/>
      <c r="BM531" s="144" t="s">
        <v>3592</v>
      </c>
      <c r="BN531" s="143">
        <v>2022</v>
      </c>
      <c r="BO531" s="135" t="s">
        <v>155</v>
      </c>
      <c r="BP531" s="143" t="s">
        <v>3583</v>
      </c>
      <c r="BQ531" s="203"/>
    </row>
    <row r="532" spans="1:69" ht="41.1" customHeight="1">
      <c r="A532" s="218" t="s">
        <v>2373</v>
      </c>
      <c r="B532" s="218" t="s">
        <v>2407</v>
      </c>
      <c r="C532" s="143">
        <v>600</v>
      </c>
      <c r="D532" s="135">
        <v>44854</v>
      </c>
      <c r="E532" s="135">
        <v>44859</v>
      </c>
      <c r="F532" s="135" t="s">
        <v>76</v>
      </c>
      <c r="G532" s="135" t="s">
        <v>76</v>
      </c>
      <c r="H532" s="135">
        <v>44880</v>
      </c>
      <c r="I532" s="135">
        <v>44880</v>
      </c>
      <c r="J532" s="135">
        <v>44893</v>
      </c>
      <c r="K532" s="135">
        <v>45145</v>
      </c>
      <c r="L532" s="135">
        <v>45097</v>
      </c>
      <c r="M532" s="135" t="s">
        <v>2369</v>
      </c>
      <c r="N532" s="135">
        <v>45268</v>
      </c>
      <c r="O532" s="135">
        <v>45268</v>
      </c>
      <c r="P532" s="135">
        <v>45272</v>
      </c>
      <c r="Q532" s="135"/>
      <c r="R532" s="135"/>
      <c r="S532" s="135"/>
      <c r="T532" s="135"/>
      <c r="U532" s="144">
        <v>2</v>
      </c>
      <c r="V532" s="143">
        <v>29736</v>
      </c>
      <c r="W532" s="143" t="str">
        <f ca="1">IF(H532="",IF(D532="","",IF(U532+V532&lt;15,"Données Nb pers ou RFR manquantes",IF(COUNTA(INDIRECT("TabRFR["&amp;YEAR(D532)&amp;"]"))&lt;&gt;COUNTA(TabRFR[Recherche RFR]),"Data RFR manquantes", IF(V532&lt;=INDEX(TabRFR[[2021]:[2025]],MATCH(BD!U532&amp;"-Très modestes",TabRFR[Recherche RFR],0),MATCH(TEXT(YEAR(BD!D532),"Standard"),TabRFR[[#Headers],[2021]:[2025]],0)),"Très Modeste",IF(V532&lt;=INDEX(TabRFR[[2021]:[2025]],MATCH(BD!U532&amp;"-modestes",TabRFR[Recherche RFR],0),MATCH(TEXT(YEAR(BD!D532),"Standard"),TabRFR[[#Headers],[2021]:[2025]],0)),"Modeste",IF(V532&lt;=INDEX(TabRFR[[2021]:[2025]],MATCH(BD!U532&amp;"-Intermédiaire",TabRFR[Recherche RFR],0),MATCH(TEXT(YEAR(BD!D532),"Standard"),TabRFR[[#Headers],[2021]:[2025]],0)),"Intermédiaire","Supérieur")))))),IF(D532="","",IF(U532+V532&lt;15,"Données Nb pers ou RFR manquantes",IF(COUNTA(INDIRECT("TabRFR["&amp;YEAR(H532)&amp;"]"))&lt;&gt;COUNTA(TabRFR[Recherche RFR]),"Data RFR manquantes", IF(V532&lt;=INDEX(TabRFR[[2021]:[2025]],MATCH(BD!U532&amp;"-Très modestes",TabRFR[Recherche RFR],0),MATCH(TEXT(YEAR(BD!H532),"Standard"),TabRFR[[#Headers],[2021]:[2025]],0)),"Très Modeste",IF(V532&lt;=INDEX(TabRFR[[2021]:[2025]],MATCH(BD!U532&amp;"-modestes",TabRFR[Recherche RFR],0),MATCH(TEXT(YEAR(BD!H532),"Standard"),TabRFR[[#Headers],[2021]:[2025]],0)),"Modeste",IF(V532&lt;=INDEX(TabRFR[[2021]:[2025]],MATCH(BD!U532&amp;"-Intermédiaire",TabRFR[Recherche RFR],0),MATCH(TEXT(YEAR(BD!H532),"Standard"),TabRFR[[#Headers],[2021]:[2025]],0)),"Intermédiaire","Supérieur")))))))</f>
        <v>Intermédiaire</v>
      </c>
      <c r="X532" s="144"/>
      <c r="Y532" s="135" t="s">
        <v>2408</v>
      </c>
      <c r="Z532" s="144">
        <v>38500</v>
      </c>
      <c r="AA532" s="135" t="s">
        <v>134</v>
      </c>
      <c r="AB532" s="148"/>
      <c r="AC532" s="208"/>
      <c r="AD532" s="135" t="s">
        <v>91</v>
      </c>
      <c r="AE532" s="135"/>
      <c r="AF532" s="135"/>
      <c r="AG532" s="135"/>
      <c r="AH532" s="135"/>
      <c r="AI532" s="135" t="s">
        <v>285</v>
      </c>
      <c r="AJ532" s="135" t="s">
        <v>108</v>
      </c>
      <c r="AK532" s="135" t="s">
        <v>2227</v>
      </c>
      <c r="AL532" s="170" t="s">
        <v>287</v>
      </c>
      <c r="AM532" s="135" t="s">
        <v>2184</v>
      </c>
      <c r="AN532" s="135"/>
      <c r="AO532" s="135" t="s">
        <v>102</v>
      </c>
      <c r="AP532" s="135" t="s">
        <v>2281</v>
      </c>
      <c r="AQ532" s="135" t="s">
        <v>3449</v>
      </c>
      <c r="AR532" s="143">
        <v>1987</v>
      </c>
      <c r="AS532" s="143" t="s">
        <v>3413</v>
      </c>
      <c r="AT532" s="135" t="s">
        <v>3446</v>
      </c>
      <c r="AU532" s="135" t="s">
        <v>2409</v>
      </c>
      <c r="AV532" s="135" t="s">
        <v>1930</v>
      </c>
      <c r="AW532" s="143">
        <v>15</v>
      </c>
      <c r="AX532" s="143">
        <v>4</v>
      </c>
      <c r="AY532" s="143">
        <v>80.5</v>
      </c>
      <c r="AZ532" s="143">
        <v>1192</v>
      </c>
      <c r="BA532" s="143" t="s">
        <v>101</v>
      </c>
      <c r="BB532" s="135"/>
      <c r="BC532" s="143">
        <f>1130+275+89+2610</f>
        <v>4104</v>
      </c>
      <c r="BD532" s="143"/>
      <c r="BE532" s="143">
        <f>690+390+490+220+330</f>
        <v>2120</v>
      </c>
      <c r="BF532" s="151">
        <f t="shared" si="40"/>
        <v>6224</v>
      </c>
      <c r="BG532" s="151">
        <f t="shared" si="38"/>
        <v>342.32</v>
      </c>
      <c r="BH532" s="143">
        <f t="shared" si="39"/>
        <v>6566.32</v>
      </c>
      <c r="BI532" s="143">
        <v>5838.38</v>
      </c>
      <c r="BJ532" s="135" t="s">
        <v>115</v>
      </c>
      <c r="BK532" s="135"/>
      <c r="BL532" s="135"/>
      <c r="BM532" s="144" t="s">
        <v>3592</v>
      </c>
      <c r="BN532" s="143">
        <v>2022</v>
      </c>
      <c r="BO532" s="144" t="s">
        <v>143</v>
      </c>
      <c r="BP532" s="143">
        <v>2022</v>
      </c>
      <c r="BQ532" s="203" t="s">
        <v>3274</v>
      </c>
    </row>
    <row r="533" spans="1:69" ht="41.1" customHeight="1">
      <c r="A533" s="219" t="s">
        <v>2373</v>
      </c>
      <c r="B533" s="219" t="s">
        <v>2410</v>
      </c>
      <c r="C533" s="143">
        <v>600</v>
      </c>
      <c r="D533" s="135">
        <v>44856</v>
      </c>
      <c r="E533" s="135">
        <v>44859</v>
      </c>
      <c r="F533" s="135">
        <v>44868</v>
      </c>
      <c r="G533" s="135" t="s">
        <v>1498</v>
      </c>
      <c r="H533" s="135">
        <v>44880</v>
      </c>
      <c r="I533" s="135">
        <v>44880</v>
      </c>
      <c r="J533" s="135">
        <v>44893</v>
      </c>
      <c r="K533" s="135"/>
      <c r="L533" s="135"/>
      <c r="M533" s="135"/>
      <c r="N533" s="135"/>
      <c r="O533" s="135"/>
      <c r="P533" s="135"/>
      <c r="Q533" s="135"/>
      <c r="R533" s="135"/>
      <c r="S533" s="135"/>
      <c r="T533" s="135"/>
      <c r="U533" s="144">
        <v>4</v>
      </c>
      <c r="V533" s="143">
        <v>43486</v>
      </c>
      <c r="W533" s="143" t="str">
        <f ca="1">IF(H533="",IF(D533="","",IF(U533+V533&lt;15,"Données Nb pers ou RFR manquantes",IF(COUNTA(INDIRECT("TabRFR["&amp;YEAR(D533)&amp;"]"))&lt;&gt;COUNTA(TabRFR[Recherche RFR]),"Data RFR manquantes", IF(V533&lt;=INDEX(TabRFR[[2021]:[2025]],MATCH(BD!U533&amp;"-Très modestes",TabRFR[Recherche RFR],0),MATCH(TEXT(YEAR(BD!D533),"Standard"),TabRFR[[#Headers],[2021]:[2025]],0)),"Très Modeste",IF(V533&lt;=INDEX(TabRFR[[2021]:[2025]],MATCH(BD!U533&amp;"-modestes",TabRFR[Recherche RFR],0),MATCH(TEXT(YEAR(BD!D533),"Standard"),TabRFR[[#Headers],[2021]:[2025]],0)),"Modeste",IF(V533&lt;=INDEX(TabRFR[[2021]:[2025]],MATCH(BD!U533&amp;"-Intermédiaire",TabRFR[Recherche RFR],0),MATCH(TEXT(YEAR(BD!D533),"Standard"),TabRFR[[#Headers],[2021]:[2025]],0)),"Intermédiaire","Supérieur")))))),IF(D533="","",IF(U533+V533&lt;15,"Données Nb pers ou RFR manquantes",IF(COUNTA(INDIRECT("TabRFR["&amp;YEAR(H533)&amp;"]"))&lt;&gt;COUNTA(TabRFR[Recherche RFR]),"Data RFR manquantes", IF(V533&lt;=INDEX(TabRFR[[2021]:[2025]],MATCH(BD!U533&amp;"-Très modestes",TabRFR[Recherche RFR],0),MATCH(TEXT(YEAR(BD!H533),"Standard"),TabRFR[[#Headers],[2021]:[2025]],0)),"Très Modeste",IF(V533&lt;=INDEX(TabRFR[[2021]:[2025]],MATCH(BD!U533&amp;"-modestes",TabRFR[Recherche RFR],0),MATCH(TEXT(YEAR(BD!H533),"Standard"),TabRFR[[#Headers],[2021]:[2025]],0)),"Modeste",IF(V533&lt;=INDEX(TabRFR[[2021]:[2025]],MATCH(BD!U533&amp;"-Intermédiaire",TabRFR[Recherche RFR],0),MATCH(TEXT(YEAR(BD!H533),"Standard"),TabRFR[[#Headers],[2021]:[2025]],0)),"Intermédiaire","Supérieur")))))))</f>
        <v>Intermédiaire</v>
      </c>
      <c r="X533" s="144"/>
      <c r="Y533" s="135" t="s">
        <v>2411</v>
      </c>
      <c r="Z533" s="144">
        <v>38210</v>
      </c>
      <c r="AA533" s="135" t="s">
        <v>202</v>
      </c>
      <c r="AB533" s="148"/>
      <c r="AC533" s="149"/>
      <c r="AD533" s="135" t="s">
        <v>91</v>
      </c>
      <c r="AE533" s="135"/>
      <c r="AF533" s="135"/>
      <c r="AG533" s="135"/>
      <c r="AH533" s="135"/>
      <c r="AI533" s="135" t="s">
        <v>2249</v>
      </c>
      <c r="AJ533" s="135" t="s">
        <v>266</v>
      </c>
      <c r="AK533" s="135" t="s">
        <v>2250</v>
      </c>
      <c r="AL533" s="170" t="s">
        <v>2251</v>
      </c>
      <c r="AM533" s="135" t="s">
        <v>2252</v>
      </c>
      <c r="AN533" s="135"/>
      <c r="AO533" s="135" t="s">
        <v>102</v>
      </c>
      <c r="AP533" s="135">
        <v>45102</v>
      </c>
      <c r="AQ533" s="135" t="s">
        <v>3449</v>
      </c>
      <c r="AR533" s="143">
        <v>1980</v>
      </c>
      <c r="AS533" s="143" t="s">
        <v>3413</v>
      </c>
      <c r="AT533" s="135" t="s">
        <v>3446</v>
      </c>
      <c r="AU533" s="143" t="s">
        <v>2412</v>
      </c>
      <c r="AV533" s="143" t="s">
        <v>2413</v>
      </c>
      <c r="AW533" s="143">
        <v>19</v>
      </c>
      <c r="AX533" s="143">
        <v>8.1</v>
      </c>
      <c r="AY533" s="143">
        <v>80</v>
      </c>
      <c r="AZ533" s="143">
        <v>750</v>
      </c>
      <c r="BA533" s="135" t="s">
        <v>101</v>
      </c>
      <c r="BB533" s="135"/>
      <c r="BC533" s="143">
        <f>3014.43+2082.28</f>
        <v>5096.71</v>
      </c>
      <c r="BD533" s="143"/>
      <c r="BE533" s="143">
        <v>1120</v>
      </c>
      <c r="BF533" s="151">
        <f t="shared" si="40"/>
        <v>6216.71</v>
      </c>
      <c r="BG533" s="151">
        <f t="shared" si="38"/>
        <v>341.91905000000003</v>
      </c>
      <c r="BH533" s="151">
        <f t="shared" si="39"/>
        <v>6558.6290500000005</v>
      </c>
      <c r="BI533" s="135"/>
      <c r="BJ533" s="135" t="s">
        <v>102</v>
      </c>
      <c r="BK533" s="135"/>
      <c r="BL533" s="135"/>
      <c r="BM533" s="144" t="s">
        <v>3592</v>
      </c>
      <c r="BN533" s="143">
        <v>2022</v>
      </c>
      <c r="BO533" s="144" t="s">
        <v>143</v>
      </c>
      <c r="BP533" s="143">
        <v>2022</v>
      </c>
      <c r="BQ533" s="203"/>
    </row>
    <row r="534" spans="1:69" ht="41.1" customHeight="1">
      <c r="A534" s="218" t="s">
        <v>2373</v>
      </c>
      <c r="B534" s="218" t="s">
        <v>2414</v>
      </c>
      <c r="C534" s="143">
        <v>600</v>
      </c>
      <c r="D534" s="135">
        <v>44857</v>
      </c>
      <c r="E534" s="135">
        <v>44859</v>
      </c>
      <c r="F534" s="135" t="s">
        <v>76</v>
      </c>
      <c r="G534" s="135" t="s">
        <v>76</v>
      </c>
      <c r="H534" s="135">
        <v>44880</v>
      </c>
      <c r="I534" s="135">
        <v>44880</v>
      </c>
      <c r="J534" s="135">
        <v>44893</v>
      </c>
      <c r="K534" s="135">
        <v>45316</v>
      </c>
      <c r="L534" s="135">
        <v>45226</v>
      </c>
      <c r="M534" s="135" t="s">
        <v>76</v>
      </c>
      <c r="N534" s="135">
        <v>45323</v>
      </c>
      <c r="O534" s="135">
        <v>45323</v>
      </c>
      <c r="P534" s="135">
        <v>45328</v>
      </c>
      <c r="Q534" s="135"/>
      <c r="R534" s="135"/>
      <c r="S534" s="135"/>
      <c r="T534" s="135"/>
      <c r="U534" s="144">
        <v>3</v>
      </c>
      <c r="V534" s="143">
        <v>59701</v>
      </c>
      <c r="W534" s="143" t="str">
        <f ca="1">IF(H534="",IF(D534="","",IF(U534+V534&lt;15,"Données Nb pers ou RFR manquantes",IF(COUNTA(INDIRECT("TabRFR["&amp;YEAR(D534)&amp;"]"))&lt;&gt;COUNTA(TabRFR[Recherche RFR]),"Data RFR manquantes", IF(V534&lt;=INDEX(TabRFR[[2021]:[2025]],MATCH(BD!U534&amp;"-Très modestes",TabRFR[Recherche RFR],0),MATCH(TEXT(YEAR(BD!D534),"Standard"),TabRFR[[#Headers],[2021]:[2025]],0)),"Très Modeste",IF(V534&lt;=INDEX(TabRFR[[2021]:[2025]],MATCH(BD!U534&amp;"-modestes",TabRFR[Recherche RFR],0),MATCH(TEXT(YEAR(BD!D534),"Standard"),TabRFR[[#Headers],[2021]:[2025]],0)),"Modeste",IF(V534&lt;=INDEX(TabRFR[[2021]:[2025]],MATCH(BD!U534&amp;"-Intermédiaire",TabRFR[Recherche RFR],0),MATCH(TEXT(YEAR(BD!D534),"Standard"),TabRFR[[#Headers],[2021]:[2025]],0)),"Intermédiaire","Supérieur")))))),IF(D534="","",IF(U534+V534&lt;15,"Données Nb pers ou RFR manquantes",IF(COUNTA(INDIRECT("TabRFR["&amp;YEAR(H534)&amp;"]"))&lt;&gt;COUNTA(TabRFR[Recherche RFR]),"Data RFR manquantes", IF(V534&lt;=INDEX(TabRFR[[2021]:[2025]],MATCH(BD!U534&amp;"-Très modestes",TabRFR[Recherche RFR],0),MATCH(TEXT(YEAR(BD!H534),"Standard"),TabRFR[[#Headers],[2021]:[2025]],0)),"Très Modeste",IF(V534&lt;=INDEX(TabRFR[[2021]:[2025]],MATCH(BD!U534&amp;"-modestes",TabRFR[Recherche RFR],0),MATCH(TEXT(YEAR(BD!H534),"Standard"),TabRFR[[#Headers],[2021]:[2025]],0)),"Modeste",IF(V534&lt;=INDEX(TabRFR[[2021]:[2025]],MATCH(BD!U534&amp;"-Intermédiaire",TabRFR[Recherche RFR],0),MATCH(TEXT(YEAR(BD!H534),"Standard"),TabRFR[[#Headers],[2021]:[2025]],0)),"Intermédiaire","Supérieur")))))))</f>
        <v>Supérieur</v>
      </c>
      <c r="X534" s="144"/>
      <c r="Y534" s="135" t="s">
        <v>2415</v>
      </c>
      <c r="Z534" s="144">
        <v>38960</v>
      </c>
      <c r="AA534" s="143" t="s">
        <v>360</v>
      </c>
      <c r="AB534" s="148"/>
      <c r="AC534" s="149"/>
      <c r="AD534" s="135" t="s">
        <v>91</v>
      </c>
      <c r="AE534" s="135"/>
      <c r="AF534" s="135"/>
      <c r="AG534" s="135"/>
      <c r="AH534" s="135"/>
      <c r="AI534" s="135" t="s">
        <v>160</v>
      </c>
      <c r="AJ534" s="135" t="s">
        <v>161</v>
      </c>
      <c r="AK534" s="135" t="s">
        <v>2238</v>
      </c>
      <c r="AL534" s="150" t="s">
        <v>228</v>
      </c>
      <c r="AM534" s="135" t="s">
        <v>2239</v>
      </c>
      <c r="AN534" s="135"/>
      <c r="AO534" s="150" t="s">
        <v>102</v>
      </c>
      <c r="AP534" s="135">
        <v>45006</v>
      </c>
      <c r="AQ534" s="135" t="s">
        <v>3449</v>
      </c>
      <c r="AR534" s="143" t="s">
        <v>172</v>
      </c>
      <c r="AS534" s="143" t="s">
        <v>3413</v>
      </c>
      <c r="AT534" s="135" t="s">
        <v>3446</v>
      </c>
      <c r="AU534" s="143" t="s">
        <v>164</v>
      </c>
      <c r="AV534" s="143" t="s">
        <v>2416</v>
      </c>
      <c r="AW534" s="143"/>
      <c r="AX534" s="143">
        <v>7.5</v>
      </c>
      <c r="AY534" s="143">
        <v>75</v>
      </c>
      <c r="AZ534" s="143"/>
      <c r="BA534" s="135" t="s">
        <v>101</v>
      </c>
      <c r="BB534" s="135"/>
      <c r="BC534" s="143">
        <f>5463+3391+576</f>
        <v>9430</v>
      </c>
      <c r="BD534" s="143"/>
      <c r="BE534" s="143">
        <v>995</v>
      </c>
      <c r="BF534" s="151">
        <f t="shared" si="40"/>
        <v>10425</v>
      </c>
      <c r="BG534" s="151">
        <f t="shared" si="38"/>
        <v>573.375</v>
      </c>
      <c r="BH534" s="151">
        <f t="shared" si="39"/>
        <v>10998.375</v>
      </c>
      <c r="BI534" s="151">
        <v>10120</v>
      </c>
      <c r="BJ534" s="135" t="s">
        <v>103</v>
      </c>
      <c r="BK534" s="135"/>
      <c r="BL534" s="135"/>
      <c r="BM534" s="144" t="s">
        <v>3592</v>
      </c>
      <c r="BN534" s="143">
        <v>2022</v>
      </c>
      <c r="BO534" s="144" t="s">
        <v>143</v>
      </c>
      <c r="BP534" s="143">
        <v>2022</v>
      </c>
      <c r="BQ534" s="203" t="s">
        <v>3274</v>
      </c>
    </row>
    <row r="535" spans="1:69" ht="41.1" customHeight="1">
      <c r="A535" s="218" t="s">
        <v>2373</v>
      </c>
      <c r="B535" s="218" t="s">
        <v>2417</v>
      </c>
      <c r="C535" s="143">
        <v>600</v>
      </c>
      <c r="D535" s="135">
        <v>44858</v>
      </c>
      <c r="E535" s="135">
        <v>44859</v>
      </c>
      <c r="F535" s="135">
        <v>44868</v>
      </c>
      <c r="G535" s="135" t="s">
        <v>1498</v>
      </c>
      <c r="H535" s="135">
        <v>44880</v>
      </c>
      <c r="I535" s="135">
        <v>44880</v>
      </c>
      <c r="J535" s="135">
        <v>44893</v>
      </c>
      <c r="K535" s="135">
        <v>44956</v>
      </c>
      <c r="L535" s="135">
        <v>44915</v>
      </c>
      <c r="M535" s="135" t="s">
        <v>2418</v>
      </c>
      <c r="N535" s="135">
        <v>44974</v>
      </c>
      <c r="O535" s="135">
        <v>44974</v>
      </c>
      <c r="P535" s="135">
        <v>44977</v>
      </c>
      <c r="Q535" s="135"/>
      <c r="R535" s="135"/>
      <c r="S535" s="135"/>
      <c r="T535" s="135"/>
      <c r="U535" s="144">
        <v>3</v>
      </c>
      <c r="V535" s="143">
        <v>56369</v>
      </c>
      <c r="W535" s="143" t="str">
        <f ca="1">IF(H535="",IF(D535="","",IF(U535+V535&lt;15,"Données Nb pers ou RFR manquantes",IF(COUNTA(INDIRECT("TabRFR["&amp;YEAR(D535)&amp;"]"))&lt;&gt;COUNTA(TabRFR[Recherche RFR]),"Data RFR manquantes", IF(V535&lt;=INDEX(TabRFR[[2021]:[2025]],MATCH(BD!U535&amp;"-Très modestes",TabRFR[Recherche RFR],0),MATCH(TEXT(YEAR(BD!D535),"Standard"),TabRFR[[#Headers],[2021]:[2025]],0)),"Très Modeste",IF(V535&lt;=INDEX(TabRFR[[2021]:[2025]],MATCH(BD!U535&amp;"-modestes",TabRFR[Recherche RFR],0),MATCH(TEXT(YEAR(BD!D535),"Standard"),TabRFR[[#Headers],[2021]:[2025]],0)),"Modeste",IF(V535&lt;=INDEX(TabRFR[[2021]:[2025]],MATCH(BD!U535&amp;"-Intermédiaire",TabRFR[Recherche RFR],0),MATCH(TEXT(YEAR(BD!D535),"Standard"),TabRFR[[#Headers],[2021]:[2025]],0)),"Intermédiaire","Supérieur")))))),IF(D535="","",IF(U535+V535&lt;15,"Données Nb pers ou RFR manquantes",IF(COUNTA(INDIRECT("TabRFR["&amp;YEAR(H535)&amp;"]"))&lt;&gt;COUNTA(TabRFR[Recherche RFR]),"Data RFR manquantes", IF(V535&lt;=INDEX(TabRFR[[2021]:[2025]],MATCH(BD!U535&amp;"-Très modestes",TabRFR[Recherche RFR],0),MATCH(TEXT(YEAR(BD!H535),"Standard"),TabRFR[[#Headers],[2021]:[2025]],0)),"Très Modeste",IF(V535&lt;=INDEX(TabRFR[[2021]:[2025]],MATCH(BD!U535&amp;"-modestes",TabRFR[Recherche RFR],0),MATCH(TEXT(YEAR(BD!H535),"Standard"),TabRFR[[#Headers],[2021]:[2025]],0)),"Modeste",IF(V535&lt;=INDEX(TabRFR[[2021]:[2025]],MATCH(BD!U535&amp;"-Intermédiaire",TabRFR[Recherche RFR],0),MATCH(TEXT(YEAR(BD!H535),"Standard"),TabRFR[[#Headers],[2021]:[2025]],0)),"Intermédiaire","Supérieur")))))))</f>
        <v>Supérieur</v>
      </c>
      <c r="X535" s="144"/>
      <c r="Y535" s="135" t="s">
        <v>2419</v>
      </c>
      <c r="Z535" s="144">
        <v>38340</v>
      </c>
      <c r="AA535" s="135" t="s">
        <v>266</v>
      </c>
      <c r="AB535" s="148"/>
      <c r="AC535" s="149"/>
      <c r="AD535" s="135" t="s">
        <v>91</v>
      </c>
      <c r="AE535" s="135"/>
      <c r="AF535" s="135"/>
      <c r="AG535" s="135"/>
      <c r="AH535" s="135"/>
      <c r="AI535" s="143" t="s">
        <v>719</v>
      </c>
      <c r="AJ535" s="143" t="s">
        <v>720</v>
      </c>
      <c r="AK535" s="143" t="s">
        <v>1361</v>
      </c>
      <c r="AL535" s="150" t="s">
        <v>2420</v>
      </c>
      <c r="AM535" s="148" t="s">
        <v>2421</v>
      </c>
      <c r="AN535" s="143"/>
      <c r="AO535" s="150" t="s">
        <v>102</v>
      </c>
      <c r="AP535" s="135">
        <v>45107</v>
      </c>
      <c r="AQ535" s="135" t="s">
        <v>3449</v>
      </c>
      <c r="AR535" s="143">
        <v>1980</v>
      </c>
      <c r="AS535" s="143" t="s">
        <v>3413</v>
      </c>
      <c r="AT535" s="143" t="s">
        <v>98</v>
      </c>
      <c r="AU535" s="143" t="s">
        <v>723</v>
      </c>
      <c r="AV535" s="143" t="s">
        <v>2422</v>
      </c>
      <c r="AW535" s="143">
        <v>14</v>
      </c>
      <c r="AX535" s="143">
        <v>9.3000000000000007</v>
      </c>
      <c r="AY535" s="143">
        <v>92.5</v>
      </c>
      <c r="AZ535" s="143">
        <v>15</v>
      </c>
      <c r="BA535" s="143" t="s">
        <v>101</v>
      </c>
      <c r="BB535" s="135"/>
      <c r="BC535" s="143">
        <f>4400+360+1568+273</f>
        <v>6601</v>
      </c>
      <c r="BD535" s="143"/>
      <c r="BE535" s="143">
        <f>27+540+120</f>
        <v>687</v>
      </c>
      <c r="BF535" s="151">
        <f t="shared" si="40"/>
        <v>7288</v>
      </c>
      <c r="BG535" s="151">
        <f t="shared" si="38"/>
        <v>400.84</v>
      </c>
      <c r="BH535" s="143">
        <f t="shared" si="39"/>
        <v>7688.84</v>
      </c>
      <c r="BI535" s="151">
        <v>5000</v>
      </c>
      <c r="BJ535" s="135" t="s">
        <v>115</v>
      </c>
      <c r="BK535" s="135"/>
      <c r="BL535" s="135"/>
      <c r="BM535" s="144" t="s">
        <v>3592</v>
      </c>
      <c r="BN535" s="143">
        <v>2022</v>
      </c>
      <c r="BO535" s="144" t="s">
        <v>143</v>
      </c>
      <c r="BP535" s="143" t="s">
        <v>3583</v>
      </c>
      <c r="BQ535" s="203" t="s">
        <v>3274</v>
      </c>
    </row>
    <row r="536" spans="1:69" ht="41.1" customHeight="1">
      <c r="A536" s="218" t="s">
        <v>2373</v>
      </c>
      <c r="B536" s="218" t="s">
        <v>2423</v>
      </c>
      <c r="C536" s="143">
        <v>600</v>
      </c>
      <c r="D536" s="135">
        <v>44859</v>
      </c>
      <c r="E536" s="135">
        <v>44867</v>
      </c>
      <c r="F536" s="135" t="s">
        <v>76</v>
      </c>
      <c r="G536" s="135" t="s">
        <v>76</v>
      </c>
      <c r="H536" s="135">
        <v>44880</v>
      </c>
      <c r="I536" s="135">
        <v>44880</v>
      </c>
      <c r="J536" s="135">
        <v>44893</v>
      </c>
      <c r="K536" s="135">
        <v>44924</v>
      </c>
      <c r="L536" s="135">
        <v>44903</v>
      </c>
      <c r="M536" s="135" t="s">
        <v>76</v>
      </c>
      <c r="N536" s="135">
        <v>44932</v>
      </c>
      <c r="O536" s="135">
        <v>44932</v>
      </c>
      <c r="P536" s="135">
        <v>44932</v>
      </c>
      <c r="Q536" s="135"/>
      <c r="R536" s="135"/>
      <c r="S536" s="135"/>
      <c r="T536" s="135"/>
      <c r="U536" s="144">
        <v>6</v>
      </c>
      <c r="V536" s="143">
        <v>133235</v>
      </c>
      <c r="W536" s="143" t="str">
        <f ca="1">IF(H536="",IF(D536="","",IF(U536+V536&lt;15,"Données Nb pers ou RFR manquantes",IF(COUNTA(INDIRECT("TabRFR["&amp;YEAR(D536)&amp;"]"))&lt;&gt;COUNTA(TabRFR[Recherche RFR]),"Data RFR manquantes", IF(V536&lt;=INDEX(TabRFR[[2021]:[2025]],MATCH(BD!U536&amp;"-Très modestes",TabRFR[Recherche RFR],0),MATCH(TEXT(YEAR(BD!D536),"Standard"),TabRFR[[#Headers],[2021]:[2025]],0)),"Très Modeste",IF(V536&lt;=INDEX(TabRFR[[2021]:[2025]],MATCH(BD!U536&amp;"-modestes",TabRFR[Recherche RFR],0),MATCH(TEXT(YEAR(BD!D536),"Standard"),TabRFR[[#Headers],[2021]:[2025]],0)),"Modeste",IF(V536&lt;=INDEX(TabRFR[[2021]:[2025]],MATCH(BD!U536&amp;"-Intermédiaire",TabRFR[Recherche RFR],0),MATCH(TEXT(YEAR(BD!D536),"Standard"),TabRFR[[#Headers],[2021]:[2025]],0)),"Intermédiaire","Supérieur")))))),IF(D536="","",IF(U536+V536&lt;15,"Données Nb pers ou RFR manquantes",IF(COUNTA(INDIRECT("TabRFR["&amp;YEAR(H536)&amp;"]"))&lt;&gt;COUNTA(TabRFR[Recherche RFR]),"Data RFR manquantes", IF(V536&lt;=INDEX(TabRFR[[2021]:[2025]],MATCH(BD!U536&amp;"-Très modestes",TabRFR[Recherche RFR],0),MATCH(TEXT(YEAR(BD!H536),"Standard"),TabRFR[[#Headers],[2021]:[2025]],0)),"Très Modeste",IF(V536&lt;=INDEX(TabRFR[[2021]:[2025]],MATCH(BD!U536&amp;"-modestes",TabRFR[Recherche RFR],0),MATCH(TEXT(YEAR(BD!H536),"Standard"),TabRFR[[#Headers],[2021]:[2025]],0)),"Modeste",IF(V536&lt;=INDEX(TabRFR[[2021]:[2025]],MATCH(BD!U536&amp;"-Intermédiaire",TabRFR[Recherche RFR],0),MATCH(TEXT(YEAR(BD!H536),"Standard"),TabRFR[[#Headers],[2021]:[2025]],0)),"Intermédiaire","Supérieur")))))))</f>
        <v>Supérieur</v>
      </c>
      <c r="X536" s="144"/>
      <c r="Y536" s="135" t="s">
        <v>2424</v>
      </c>
      <c r="Z536" s="144">
        <v>38960</v>
      </c>
      <c r="AA536" s="143" t="s">
        <v>209</v>
      </c>
      <c r="AB536" s="148"/>
      <c r="AC536" s="149"/>
      <c r="AD536" s="135" t="s">
        <v>91</v>
      </c>
      <c r="AE536" s="135"/>
      <c r="AF536" s="135"/>
      <c r="AG536" s="135"/>
      <c r="AH536" s="135"/>
      <c r="AI536" s="135" t="s">
        <v>285</v>
      </c>
      <c r="AJ536" s="135" t="s">
        <v>108</v>
      </c>
      <c r="AK536" s="135" t="s">
        <v>2227</v>
      </c>
      <c r="AL536" s="170" t="s">
        <v>287</v>
      </c>
      <c r="AM536" s="135" t="s">
        <v>2184</v>
      </c>
      <c r="AN536" s="135"/>
      <c r="AO536" s="135" t="s">
        <v>102</v>
      </c>
      <c r="AP536" s="135">
        <v>45187</v>
      </c>
      <c r="AQ536" s="135" t="s">
        <v>3449</v>
      </c>
      <c r="AR536" s="143">
        <v>1996</v>
      </c>
      <c r="AS536" s="135" t="s">
        <v>3496</v>
      </c>
      <c r="AT536" s="135" t="s">
        <v>3446</v>
      </c>
      <c r="AU536" s="143" t="s">
        <v>2425</v>
      </c>
      <c r="AV536" s="143" t="s">
        <v>2426</v>
      </c>
      <c r="AW536" s="143">
        <v>13</v>
      </c>
      <c r="AX536" s="143">
        <v>13.4</v>
      </c>
      <c r="AY536" s="143">
        <v>81.099999999999994</v>
      </c>
      <c r="AZ536" s="143">
        <v>911</v>
      </c>
      <c r="BA536" s="143" t="s">
        <v>1401</v>
      </c>
      <c r="BB536" s="135"/>
      <c r="BC536" s="143">
        <f>430+450+822+5880</f>
        <v>7582</v>
      </c>
      <c r="BD536" s="143"/>
      <c r="BE536" s="143">
        <v>0</v>
      </c>
      <c r="BF536" s="151">
        <f t="shared" si="40"/>
        <v>7582</v>
      </c>
      <c r="BG536" s="151">
        <f t="shared" si="38"/>
        <v>417.01</v>
      </c>
      <c r="BH536" s="143">
        <f t="shared" si="39"/>
        <v>7999.01</v>
      </c>
      <c r="BI536" s="143">
        <v>7999.01</v>
      </c>
      <c r="BJ536" s="135" t="s">
        <v>115</v>
      </c>
      <c r="BK536" s="135"/>
      <c r="BL536" s="135"/>
      <c r="BM536" s="144" t="s">
        <v>3592</v>
      </c>
      <c r="BN536" s="143">
        <v>2022</v>
      </c>
      <c r="BO536" s="144" t="s">
        <v>143</v>
      </c>
      <c r="BP536" s="143">
        <v>2022</v>
      </c>
      <c r="BQ536" s="203" t="s">
        <v>3274</v>
      </c>
    </row>
    <row r="537" spans="1:69" ht="41.1" customHeight="1">
      <c r="A537" s="218" t="s">
        <v>2373</v>
      </c>
      <c r="B537" s="218" t="s">
        <v>2427</v>
      </c>
      <c r="C537" s="143">
        <v>600</v>
      </c>
      <c r="D537" s="135">
        <v>44859</v>
      </c>
      <c r="E537" s="135">
        <v>44867</v>
      </c>
      <c r="F537" s="135" t="s">
        <v>76</v>
      </c>
      <c r="G537" s="135" t="s">
        <v>76</v>
      </c>
      <c r="H537" s="135">
        <v>44880</v>
      </c>
      <c r="I537" s="135">
        <v>44880</v>
      </c>
      <c r="J537" s="135">
        <v>44893</v>
      </c>
      <c r="K537" s="135">
        <v>45110</v>
      </c>
      <c r="L537" s="135">
        <v>45107</v>
      </c>
      <c r="M537" s="135" t="s">
        <v>2428</v>
      </c>
      <c r="N537" s="135">
        <v>45120</v>
      </c>
      <c r="O537" s="135">
        <v>45120</v>
      </c>
      <c r="P537" s="135">
        <v>45126</v>
      </c>
      <c r="Q537" s="135"/>
      <c r="R537" s="135"/>
      <c r="S537" s="135"/>
      <c r="T537" s="135"/>
      <c r="U537" s="144">
        <v>2</v>
      </c>
      <c r="V537" s="143">
        <v>76410</v>
      </c>
      <c r="W537" s="143" t="str">
        <f ca="1">IF(H537="",IF(D537="","",IF(U537+V537&lt;15,"Données Nb pers ou RFR manquantes",IF(COUNTA(INDIRECT("TabRFR["&amp;YEAR(D537)&amp;"]"))&lt;&gt;COUNTA(TabRFR[Recherche RFR]),"Data RFR manquantes", IF(V537&lt;=INDEX(TabRFR[[2021]:[2025]],MATCH(BD!U537&amp;"-Très modestes",TabRFR[Recherche RFR],0),MATCH(TEXT(YEAR(BD!D537),"Standard"),TabRFR[[#Headers],[2021]:[2025]],0)),"Très Modeste",IF(V537&lt;=INDEX(TabRFR[[2021]:[2025]],MATCH(BD!U537&amp;"-modestes",TabRFR[Recherche RFR],0),MATCH(TEXT(YEAR(BD!D537),"Standard"),TabRFR[[#Headers],[2021]:[2025]],0)),"Modeste",IF(V537&lt;=INDEX(TabRFR[[2021]:[2025]],MATCH(BD!U537&amp;"-Intermédiaire",TabRFR[Recherche RFR],0),MATCH(TEXT(YEAR(BD!D537),"Standard"),TabRFR[[#Headers],[2021]:[2025]],0)),"Intermédiaire","Supérieur")))))),IF(D537="","",IF(U537+V537&lt;15,"Données Nb pers ou RFR manquantes",IF(COUNTA(INDIRECT("TabRFR["&amp;YEAR(H537)&amp;"]"))&lt;&gt;COUNTA(TabRFR[Recherche RFR]),"Data RFR manquantes", IF(V537&lt;=INDEX(TabRFR[[2021]:[2025]],MATCH(BD!U537&amp;"-Très modestes",TabRFR[Recherche RFR],0),MATCH(TEXT(YEAR(BD!H537),"Standard"),TabRFR[[#Headers],[2021]:[2025]],0)),"Très Modeste",IF(V537&lt;=INDEX(TabRFR[[2021]:[2025]],MATCH(BD!U537&amp;"-modestes",TabRFR[Recherche RFR],0),MATCH(TEXT(YEAR(BD!H537),"Standard"),TabRFR[[#Headers],[2021]:[2025]],0)),"Modeste",IF(V537&lt;=INDEX(TabRFR[[2021]:[2025]],MATCH(BD!U537&amp;"-Intermédiaire",TabRFR[Recherche RFR],0),MATCH(TEXT(YEAR(BD!H537),"Standard"),TabRFR[[#Headers],[2021]:[2025]],0)),"Intermédiaire","Supérieur")))))))</f>
        <v>Supérieur</v>
      </c>
      <c r="X537" s="144"/>
      <c r="Y537" s="135" t="s">
        <v>2429</v>
      </c>
      <c r="Z537" s="144">
        <v>38340</v>
      </c>
      <c r="AA537" s="135" t="s">
        <v>266</v>
      </c>
      <c r="AB537" s="148"/>
      <c r="AC537" s="149"/>
      <c r="AD537" s="135" t="s">
        <v>91</v>
      </c>
      <c r="AE537" s="135"/>
      <c r="AF537" s="135"/>
      <c r="AG537" s="135"/>
      <c r="AH537" s="135"/>
      <c r="AI537" s="135" t="s">
        <v>2703</v>
      </c>
      <c r="AJ537" s="135" t="s">
        <v>266</v>
      </c>
      <c r="AK537" s="135" t="s">
        <v>2400</v>
      </c>
      <c r="AL537" s="150" t="s">
        <v>318</v>
      </c>
      <c r="AM537" s="135" t="s">
        <v>2401</v>
      </c>
      <c r="AN537" s="143" t="s">
        <v>76</v>
      </c>
      <c r="AO537" s="150" t="s">
        <v>102</v>
      </c>
      <c r="AP537" s="135">
        <v>45137</v>
      </c>
      <c r="AQ537" s="135" t="s">
        <v>3449</v>
      </c>
      <c r="AR537" s="143">
        <v>1980</v>
      </c>
      <c r="AS537" s="143" t="s">
        <v>3413</v>
      </c>
      <c r="AT537" s="135" t="s">
        <v>3446</v>
      </c>
      <c r="AU537" s="143" t="s">
        <v>319</v>
      </c>
      <c r="AV537" s="143" t="s">
        <v>2143</v>
      </c>
      <c r="AW537" s="143">
        <v>29</v>
      </c>
      <c r="AX537" s="143">
        <v>9.1999999999999993</v>
      </c>
      <c r="AY537" s="143">
        <v>77.400000000000006</v>
      </c>
      <c r="AZ537" s="143">
        <v>762</v>
      </c>
      <c r="BA537" s="143" t="s">
        <v>101</v>
      </c>
      <c r="BB537" s="135"/>
      <c r="BC537" s="143">
        <f>555.84+71.09+182.54+3700+182.72</f>
        <v>4692.1900000000005</v>
      </c>
      <c r="BD537" s="143"/>
      <c r="BE537" s="143">
        <f>405.7+900-284.36</f>
        <v>1021.34</v>
      </c>
      <c r="BF537" s="151">
        <f t="shared" si="40"/>
        <v>5713.5300000000007</v>
      </c>
      <c r="BG537" s="151">
        <f t="shared" si="38"/>
        <v>314.24415000000005</v>
      </c>
      <c r="BH537" s="151">
        <f t="shared" si="39"/>
        <v>6027.7741500000011</v>
      </c>
      <c r="BI537" s="151">
        <v>6027</v>
      </c>
      <c r="BJ537" s="135" t="s">
        <v>102</v>
      </c>
      <c r="BK537" s="135"/>
      <c r="BL537" s="135"/>
      <c r="BM537" s="144" t="s">
        <v>3592</v>
      </c>
      <c r="BN537" s="143">
        <v>2022</v>
      </c>
      <c r="BO537" s="144" t="s">
        <v>143</v>
      </c>
      <c r="BP537" s="143">
        <v>2022</v>
      </c>
      <c r="BQ537" s="203" t="s">
        <v>144</v>
      </c>
    </row>
    <row r="538" spans="1:69" ht="41.1" customHeight="1">
      <c r="A538" s="218" t="s">
        <v>1705</v>
      </c>
      <c r="B538" s="218" t="s">
        <v>2430</v>
      </c>
      <c r="C538" s="143">
        <v>600</v>
      </c>
      <c r="D538" s="135">
        <v>44863</v>
      </c>
      <c r="E538" s="135">
        <v>44867</v>
      </c>
      <c r="F538" s="135" t="s">
        <v>76</v>
      </c>
      <c r="G538" s="135" t="s">
        <v>76</v>
      </c>
      <c r="H538" s="135">
        <v>44887</v>
      </c>
      <c r="I538" s="135">
        <v>44887</v>
      </c>
      <c r="J538" s="135">
        <v>44900</v>
      </c>
      <c r="K538" s="135">
        <v>44930</v>
      </c>
      <c r="L538" s="135">
        <v>44919</v>
      </c>
      <c r="M538" s="135" t="s">
        <v>76</v>
      </c>
      <c r="N538" s="135">
        <v>44956</v>
      </c>
      <c r="O538" s="135">
        <v>44956</v>
      </c>
      <c r="P538" s="135">
        <v>44959</v>
      </c>
      <c r="Q538" s="135"/>
      <c r="R538" s="135"/>
      <c r="S538" s="135"/>
      <c r="T538" s="135"/>
      <c r="U538" s="144">
        <v>2</v>
      </c>
      <c r="V538" s="143">
        <v>81738</v>
      </c>
      <c r="W538" s="143" t="str">
        <f ca="1">IF(H538="",IF(D538="","",IF(U538+V538&lt;15,"Données Nb pers ou RFR manquantes",IF(COUNTA(INDIRECT("TabRFR["&amp;YEAR(D538)&amp;"]"))&lt;&gt;COUNTA(TabRFR[Recherche RFR]),"Data RFR manquantes", IF(V538&lt;=INDEX(TabRFR[[2021]:[2025]],MATCH(BD!U538&amp;"-Très modestes",TabRFR[Recherche RFR],0),MATCH(TEXT(YEAR(BD!D538),"Standard"),TabRFR[[#Headers],[2021]:[2025]],0)),"Très Modeste",IF(V538&lt;=INDEX(TabRFR[[2021]:[2025]],MATCH(BD!U538&amp;"-modestes",TabRFR[Recherche RFR],0),MATCH(TEXT(YEAR(BD!D538),"Standard"),TabRFR[[#Headers],[2021]:[2025]],0)),"Modeste",IF(V538&lt;=INDEX(TabRFR[[2021]:[2025]],MATCH(BD!U538&amp;"-Intermédiaire",TabRFR[Recherche RFR],0),MATCH(TEXT(YEAR(BD!D538),"Standard"),TabRFR[[#Headers],[2021]:[2025]],0)),"Intermédiaire","Supérieur")))))),IF(D538="","",IF(U538+V538&lt;15,"Données Nb pers ou RFR manquantes",IF(COUNTA(INDIRECT("TabRFR["&amp;YEAR(H538)&amp;"]"))&lt;&gt;COUNTA(TabRFR[Recherche RFR]),"Data RFR manquantes", IF(V538&lt;=INDEX(TabRFR[[2021]:[2025]],MATCH(BD!U538&amp;"-Très modestes",TabRFR[Recherche RFR],0),MATCH(TEXT(YEAR(BD!H538),"Standard"),TabRFR[[#Headers],[2021]:[2025]],0)),"Très Modeste",IF(V538&lt;=INDEX(TabRFR[[2021]:[2025]],MATCH(BD!U538&amp;"-modestes",TabRFR[Recherche RFR],0),MATCH(TEXT(YEAR(BD!H538),"Standard"),TabRFR[[#Headers],[2021]:[2025]],0)),"Modeste",IF(V538&lt;=INDEX(TabRFR[[2021]:[2025]],MATCH(BD!U538&amp;"-Intermédiaire",TabRFR[Recherche RFR],0),MATCH(TEXT(YEAR(BD!H538),"Standard"),TabRFR[[#Headers],[2021]:[2025]],0)),"Intermédiaire","Supérieur")))))))</f>
        <v>Supérieur</v>
      </c>
      <c r="X538" s="144"/>
      <c r="Y538" s="135" t="s">
        <v>2431</v>
      </c>
      <c r="Z538" s="144">
        <v>38620</v>
      </c>
      <c r="AA538" s="135" t="s">
        <v>518</v>
      </c>
      <c r="AB538" s="148"/>
      <c r="AC538" s="149"/>
      <c r="AD538" s="135" t="s">
        <v>91</v>
      </c>
      <c r="AE538" s="135"/>
      <c r="AF538" s="135"/>
      <c r="AG538" s="135"/>
      <c r="AH538" s="135"/>
      <c r="AI538" s="135" t="s">
        <v>1988</v>
      </c>
      <c r="AJ538" s="135" t="s">
        <v>93</v>
      </c>
      <c r="AK538" s="135" t="s">
        <v>2197</v>
      </c>
      <c r="AL538" s="170" t="s">
        <v>2198</v>
      </c>
      <c r="AM538" s="148" t="s">
        <v>96</v>
      </c>
      <c r="AN538" s="135"/>
      <c r="AO538" s="135" t="s">
        <v>102</v>
      </c>
      <c r="AP538" s="135">
        <v>45186</v>
      </c>
      <c r="AQ538" s="135" t="s">
        <v>3449</v>
      </c>
      <c r="AR538" s="143">
        <v>1980</v>
      </c>
      <c r="AS538" s="135" t="s">
        <v>3496</v>
      </c>
      <c r="AT538" s="135" t="s">
        <v>3446</v>
      </c>
      <c r="AU538" s="143" t="s">
        <v>385</v>
      </c>
      <c r="AV538" s="143" t="s">
        <v>2432</v>
      </c>
      <c r="AW538" s="143"/>
      <c r="AX538" s="143"/>
      <c r="AY538" s="143"/>
      <c r="AZ538" s="143"/>
      <c r="BA538" s="143" t="s">
        <v>101</v>
      </c>
      <c r="BB538" s="135"/>
      <c r="BC538" s="143">
        <f>1638+1395+175+45.6</f>
        <v>3253.6</v>
      </c>
      <c r="BD538" s="143"/>
      <c r="BE538" s="143">
        <v>790</v>
      </c>
      <c r="BF538" s="151">
        <f t="shared" si="40"/>
        <v>4043.6</v>
      </c>
      <c r="BG538" s="151">
        <f t="shared" si="38"/>
        <v>222.398</v>
      </c>
      <c r="BH538" s="151">
        <f t="shared" si="39"/>
        <v>4265.9979999999996</v>
      </c>
      <c r="BI538" s="151">
        <v>4266</v>
      </c>
      <c r="BJ538" s="135" t="s">
        <v>102</v>
      </c>
      <c r="BK538" s="135"/>
      <c r="BL538" s="135"/>
      <c r="BM538" s="144" t="s">
        <v>3592</v>
      </c>
      <c r="BN538" s="143">
        <v>2022</v>
      </c>
      <c r="BO538" s="144" t="s">
        <v>143</v>
      </c>
      <c r="BP538" s="143">
        <v>2022</v>
      </c>
      <c r="BQ538" s="203" t="s">
        <v>144</v>
      </c>
    </row>
    <row r="539" spans="1:69" ht="41.1" customHeight="1">
      <c r="A539" s="218" t="s">
        <v>1705</v>
      </c>
      <c r="B539" s="218" t="s">
        <v>2433</v>
      </c>
      <c r="C539" s="143">
        <f ca="1">IF(W539="Très modeste",1000,IF(W539="Modeste",1000,IF(W539="Intermédiaire",600,IF(W539="Supérieur",600,"Non calculé"))))</f>
        <v>1000</v>
      </c>
      <c r="D539" s="135">
        <v>44879</v>
      </c>
      <c r="E539" s="135">
        <v>44879</v>
      </c>
      <c r="F539" s="135">
        <v>44887</v>
      </c>
      <c r="G539" s="135" t="s">
        <v>1707</v>
      </c>
      <c r="H539" s="135">
        <v>44936</v>
      </c>
      <c r="I539" s="135">
        <v>44936</v>
      </c>
      <c r="J539" s="135">
        <v>44960</v>
      </c>
      <c r="K539" s="135">
        <v>45257</v>
      </c>
      <c r="L539" s="135">
        <v>45113</v>
      </c>
      <c r="M539" s="135" t="s">
        <v>3293</v>
      </c>
      <c r="N539" s="135">
        <v>45265</v>
      </c>
      <c r="O539" s="135">
        <v>45265</v>
      </c>
      <c r="P539" s="135">
        <v>45271</v>
      </c>
      <c r="Q539" s="135"/>
      <c r="R539" s="135"/>
      <c r="S539" s="135"/>
      <c r="T539" s="135"/>
      <c r="U539" s="144">
        <v>1</v>
      </c>
      <c r="V539" s="143">
        <v>15411</v>
      </c>
      <c r="W539" s="143" t="str">
        <f ca="1">IF(H539="",IF(D539="","",IF(U539+V539&lt;15,"Données Nb pers ou RFR manquantes",IF(COUNTA(INDIRECT("TabRFR["&amp;YEAR(D539)&amp;"]"))&lt;&gt;COUNTA(TabRFR[Recherche RFR]),"Data RFR manquantes", IF(V539&lt;=INDEX(TabRFR[[2021]:[2025]],MATCH(BD!U539&amp;"-Très modestes",TabRFR[Recherche RFR],0),MATCH(TEXT(YEAR(BD!D539),"Standard"),TabRFR[[#Headers],[2021]:[2025]],0)),"Très Modeste",IF(V539&lt;=INDEX(TabRFR[[2021]:[2025]],MATCH(BD!U539&amp;"-modestes",TabRFR[Recherche RFR],0),MATCH(TEXT(YEAR(BD!D539),"Standard"),TabRFR[[#Headers],[2021]:[2025]],0)),"Modeste",IF(V539&lt;=INDEX(TabRFR[[2021]:[2025]],MATCH(BD!U539&amp;"-Intermédiaire",TabRFR[Recherche RFR],0),MATCH(TEXT(YEAR(BD!D539),"Standard"),TabRFR[[#Headers],[2021]:[2025]],0)),"Intermédiaire","Supérieur")))))),IF(D539="","",IF(U539+V539&lt;15,"Données Nb pers ou RFR manquantes",IF(COUNTA(INDIRECT("TabRFR["&amp;YEAR(H539)&amp;"]"))&lt;&gt;COUNTA(TabRFR[Recherche RFR]),"Data RFR manquantes", IF(V539&lt;=INDEX(TabRFR[[2021]:[2025]],MATCH(BD!U539&amp;"-Très modestes",TabRFR[Recherche RFR],0),MATCH(TEXT(YEAR(BD!H539),"Standard"),TabRFR[[#Headers],[2021]:[2025]],0)),"Très Modeste",IF(V539&lt;=INDEX(TabRFR[[2021]:[2025]],MATCH(BD!U539&amp;"-modestes",TabRFR[Recherche RFR],0),MATCH(TEXT(YEAR(BD!H539),"Standard"),TabRFR[[#Headers],[2021]:[2025]],0)),"Modeste",IF(V539&lt;=INDEX(TabRFR[[2021]:[2025]],MATCH(BD!U539&amp;"-Intermédiaire",TabRFR[Recherche RFR],0),MATCH(TEXT(YEAR(BD!H539),"Standard"),TabRFR[[#Headers],[2021]:[2025]],0)),"Intermédiaire","Supérieur")))))))</f>
        <v>Très Modeste</v>
      </c>
      <c r="X539" s="144"/>
      <c r="Y539" s="135" t="s">
        <v>2434</v>
      </c>
      <c r="Z539" s="144">
        <v>38140</v>
      </c>
      <c r="AA539" s="143" t="s">
        <v>504</v>
      </c>
      <c r="AB539" s="148"/>
      <c r="AC539" s="149"/>
      <c r="AD539" s="135" t="s">
        <v>91</v>
      </c>
      <c r="AE539" s="135"/>
      <c r="AF539" s="135"/>
      <c r="AG539" s="135"/>
      <c r="AH539" s="135"/>
      <c r="AI539" s="135" t="s">
        <v>1152</v>
      </c>
      <c r="AJ539" s="135" t="s">
        <v>1153</v>
      </c>
      <c r="AK539" s="135" t="s">
        <v>2435</v>
      </c>
      <c r="AL539" s="169" t="s">
        <v>1155</v>
      </c>
      <c r="AM539" s="148">
        <v>474204758</v>
      </c>
      <c r="AN539" s="143"/>
      <c r="AO539" s="150" t="s">
        <v>102</v>
      </c>
      <c r="AP539" s="135">
        <v>45068</v>
      </c>
      <c r="AQ539" s="143" t="s">
        <v>3413</v>
      </c>
      <c r="AR539" s="143">
        <v>1990</v>
      </c>
      <c r="AS539" s="143" t="s">
        <v>3413</v>
      </c>
      <c r="AT539" s="135" t="s">
        <v>3446</v>
      </c>
      <c r="AU539" s="143" t="s">
        <v>1177</v>
      </c>
      <c r="AV539" s="143" t="s">
        <v>2436</v>
      </c>
      <c r="AW539" s="143"/>
      <c r="AX539" s="143"/>
      <c r="AY539" s="143"/>
      <c r="AZ539" s="143"/>
      <c r="BA539" s="143" t="s">
        <v>101</v>
      </c>
      <c r="BB539" s="135"/>
      <c r="BC539" s="143">
        <f>300+35.25+28.44+30+799.75+89.98+79.86+250+2526.17</f>
        <v>4139.45</v>
      </c>
      <c r="BD539" s="143"/>
      <c r="BE539" s="143">
        <v>780</v>
      </c>
      <c r="BF539" s="151">
        <f t="shared" si="40"/>
        <v>4919.45</v>
      </c>
      <c r="BG539" s="151">
        <f t="shared" ref="BG539:BG570" si="41">BF539*0.055</f>
        <v>270.56975</v>
      </c>
      <c r="BH539" s="151">
        <f t="shared" ref="BH539:BH570" si="42">BF539+BG539</f>
        <v>5190.0197499999995</v>
      </c>
      <c r="BI539" s="143">
        <v>3590.02</v>
      </c>
      <c r="BJ539" s="135" t="s">
        <v>102</v>
      </c>
      <c r="BK539" s="135"/>
      <c r="BL539" s="135"/>
      <c r="BM539" s="144" t="s">
        <v>3592</v>
      </c>
      <c r="BN539" s="143">
        <v>2023</v>
      </c>
      <c r="BO539" s="135" t="s">
        <v>155</v>
      </c>
      <c r="BP539" s="144">
        <v>2023</v>
      </c>
      <c r="BQ539" s="203" t="s">
        <v>144</v>
      </c>
    </row>
    <row r="540" spans="1:69" ht="41.1" customHeight="1">
      <c r="A540" s="218" t="s">
        <v>1705</v>
      </c>
      <c r="B540" s="218" t="s">
        <v>2437</v>
      </c>
      <c r="C540" s="143">
        <v>600</v>
      </c>
      <c r="D540" s="135">
        <v>44879</v>
      </c>
      <c r="E540" s="135">
        <v>44879</v>
      </c>
      <c r="F540" s="135">
        <v>44883</v>
      </c>
      <c r="G540" s="135" t="s">
        <v>1722</v>
      </c>
      <c r="H540" s="135">
        <v>44887</v>
      </c>
      <c r="I540" s="135">
        <v>44887</v>
      </c>
      <c r="J540" s="135">
        <v>44900</v>
      </c>
      <c r="K540" s="135">
        <v>44977</v>
      </c>
      <c r="L540" s="135">
        <v>44973</v>
      </c>
      <c r="M540" s="135" t="s">
        <v>76</v>
      </c>
      <c r="N540" s="135">
        <v>45001</v>
      </c>
      <c r="O540" s="135">
        <v>45002</v>
      </c>
      <c r="P540" s="135">
        <v>45005</v>
      </c>
      <c r="Q540" s="135"/>
      <c r="R540" s="135"/>
      <c r="S540" s="135"/>
      <c r="T540" s="135"/>
      <c r="U540" s="144">
        <v>2</v>
      </c>
      <c r="V540" s="143">
        <v>36956</v>
      </c>
      <c r="W540" s="143" t="str">
        <f ca="1">IF(H540="",IF(D540="","",IF(U540+V540&lt;15,"Données Nb pers ou RFR manquantes",IF(COUNTA(INDIRECT("TabRFR["&amp;YEAR(D540)&amp;"]"))&lt;&gt;COUNTA(TabRFR[Recherche RFR]),"Data RFR manquantes", IF(V540&lt;=INDEX(TabRFR[[2021]:[2025]],MATCH(BD!U540&amp;"-Très modestes",TabRFR[Recherche RFR],0),MATCH(TEXT(YEAR(BD!D540),"Standard"),TabRFR[[#Headers],[2021]:[2025]],0)),"Très Modeste",IF(V540&lt;=INDEX(TabRFR[[2021]:[2025]],MATCH(BD!U540&amp;"-modestes",TabRFR[Recherche RFR],0),MATCH(TEXT(YEAR(BD!D540),"Standard"),TabRFR[[#Headers],[2021]:[2025]],0)),"Modeste",IF(V540&lt;=INDEX(TabRFR[[2021]:[2025]],MATCH(BD!U540&amp;"-Intermédiaire",TabRFR[Recherche RFR],0),MATCH(TEXT(YEAR(BD!D540),"Standard"),TabRFR[[#Headers],[2021]:[2025]],0)),"Intermédiaire","Supérieur")))))),IF(D540="","",IF(U540+V540&lt;15,"Données Nb pers ou RFR manquantes",IF(COUNTA(INDIRECT("TabRFR["&amp;YEAR(H540)&amp;"]"))&lt;&gt;COUNTA(TabRFR[Recherche RFR]),"Data RFR manquantes", IF(V540&lt;=INDEX(TabRFR[[2021]:[2025]],MATCH(BD!U540&amp;"-Très modestes",TabRFR[Recherche RFR],0),MATCH(TEXT(YEAR(BD!H540),"Standard"),TabRFR[[#Headers],[2021]:[2025]],0)),"Très Modeste",IF(V540&lt;=INDEX(TabRFR[[2021]:[2025]],MATCH(BD!U540&amp;"-modestes",TabRFR[Recherche RFR],0),MATCH(TEXT(YEAR(BD!H540),"Standard"),TabRFR[[#Headers],[2021]:[2025]],0)),"Modeste",IF(V540&lt;=INDEX(TabRFR[[2021]:[2025]],MATCH(BD!U540&amp;"-Intermédiaire",TabRFR[Recherche RFR],0),MATCH(TEXT(YEAR(BD!H540),"Standard"),TabRFR[[#Headers],[2021]:[2025]],0)),"Intermédiaire","Supérieur")))))))</f>
        <v>Intermédiaire</v>
      </c>
      <c r="X540" s="144"/>
      <c r="Y540" s="135" t="s">
        <v>2429</v>
      </c>
      <c r="Z540" s="144">
        <v>38340</v>
      </c>
      <c r="AA540" s="135" t="s">
        <v>266</v>
      </c>
      <c r="AB540" s="148"/>
      <c r="AC540" s="149"/>
      <c r="AD540" s="135" t="s">
        <v>91</v>
      </c>
      <c r="AE540" s="135"/>
      <c r="AF540" s="135"/>
      <c r="AG540" s="135"/>
      <c r="AH540" s="135"/>
      <c r="AI540" s="135" t="s">
        <v>2703</v>
      </c>
      <c r="AJ540" s="135" t="s">
        <v>266</v>
      </c>
      <c r="AK540" s="135" t="s">
        <v>2400</v>
      </c>
      <c r="AL540" s="150" t="s">
        <v>318</v>
      </c>
      <c r="AM540" s="135" t="s">
        <v>2401</v>
      </c>
      <c r="AN540" s="143" t="s">
        <v>76</v>
      </c>
      <c r="AO540" s="150" t="s">
        <v>102</v>
      </c>
      <c r="AP540" s="135">
        <v>45137</v>
      </c>
      <c r="AQ540" s="135" t="s">
        <v>3496</v>
      </c>
      <c r="AR540" s="143">
        <v>1997</v>
      </c>
      <c r="AS540" s="143" t="s">
        <v>3413</v>
      </c>
      <c r="AT540" s="135" t="s">
        <v>3446</v>
      </c>
      <c r="AU540" s="143" t="s">
        <v>319</v>
      </c>
      <c r="AV540" s="143" t="s">
        <v>2438</v>
      </c>
      <c r="AW540" s="143"/>
      <c r="AX540" s="143"/>
      <c r="AY540" s="143"/>
      <c r="AZ540" s="143"/>
      <c r="BA540" s="143" t="s">
        <v>101</v>
      </c>
      <c r="BB540" s="135"/>
      <c r="BC540" s="143">
        <f>455.7+145.8+444+61.09+152.59+3850+205.2</f>
        <v>5314.38</v>
      </c>
      <c r="BD540" s="143"/>
      <c r="BE540" s="143">
        <v>900</v>
      </c>
      <c r="BF540" s="151">
        <f>BC540+BE540-385</f>
        <v>5829.38</v>
      </c>
      <c r="BG540" s="151">
        <f t="shared" si="41"/>
        <v>320.61590000000001</v>
      </c>
      <c r="BH540" s="151">
        <f t="shared" si="42"/>
        <v>6149.9958999999999</v>
      </c>
      <c r="BI540" s="151">
        <v>6212</v>
      </c>
      <c r="BJ540" s="135" t="s">
        <v>102</v>
      </c>
      <c r="BK540" s="135"/>
      <c r="BL540" s="135"/>
      <c r="BM540" s="144" t="s">
        <v>3592</v>
      </c>
      <c r="BN540" s="143">
        <v>2022</v>
      </c>
      <c r="BO540" s="144" t="s">
        <v>143</v>
      </c>
      <c r="BP540" s="143">
        <v>2022</v>
      </c>
      <c r="BQ540" s="203" t="s">
        <v>144</v>
      </c>
    </row>
    <row r="541" spans="1:69" ht="41.1" customHeight="1">
      <c r="A541" s="218" t="s">
        <v>1705</v>
      </c>
      <c r="B541" s="218" t="s">
        <v>2439</v>
      </c>
      <c r="C541" s="143">
        <v>1000</v>
      </c>
      <c r="D541" s="135">
        <v>44880</v>
      </c>
      <c r="E541" s="135">
        <v>44882</v>
      </c>
      <c r="F541" s="135" t="s">
        <v>76</v>
      </c>
      <c r="G541" s="135" t="s">
        <v>76</v>
      </c>
      <c r="H541" s="135">
        <v>44887</v>
      </c>
      <c r="I541" s="135">
        <v>44887</v>
      </c>
      <c r="J541" s="135">
        <v>44900</v>
      </c>
      <c r="K541" s="135">
        <v>45035</v>
      </c>
      <c r="L541" s="135">
        <v>45016</v>
      </c>
      <c r="M541" s="135" t="s">
        <v>76</v>
      </c>
      <c r="N541" s="135">
        <v>45036</v>
      </c>
      <c r="O541" s="135">
        <v>45036</v>
      </c>
      <c r="P541" s="135">
        <v>45037</v>
      </c>
      <c r="Q541" s="135"/>
      <c r="R541" s="135"/>
      <c r="S541" s="135"/>
      <c r="T541" s="135"/>
      <c r="U541" s="144">
        <v>2</v>
      </c>
      <c r="V541" s="143">
        <v>28450</v>
      </c>
      <c r="W541" s="143" t="str">
        <f ca="1">IF(H541="",IF(D541="","",IF(U541+V541&lt;15,"Données Nb pers ou RFR manquantes",IF(COUNTA(INDIRECT("TabRFR["&amp;YEAR(D541)&amp;"]"))&lt;&gt;COUNTA(TabRFR[Recherche RFR]),"Data RFR manquantes", IF(V541&lt;=INDEX(TabRFR[[2021]:[2025]],MATCH(BD!U541&amp;"-Très modestes",TabRFR[Recherche RFR],0),MATCH(TEXT(YEAR(BD!D541),"Standard"),TabRFR[[#Headers],[2021]:[2025]],0)),"Très Modeste",IF(V541&lt;=INDEX(TabRFR[[2021]:[2025]],MATCH(BD!U541&amp;"-modestes",TabRFR[Recherche RFR],0),MATCH(TEXT(YEAR(BD!D541),"Standard"),TabRFR[[#Headers],[2021]:[2025]],0)),"Modeste",IF(V541&lt;=INDEX(TabRFR[[2021]:[2025]],MATCH(BD!U541&amp;"-Intermédiaire",TabRFR[Recherche RFR],0),MATCH(TEXT(YEAR(BD!D541),"Standard"),TabRFR[[#Headers],[2021]:[2025]],0)),"Intermédiaire","Supérieur")))))),IF(D541="","",IF(U541+V541&lt;15,"Données Nb pers ou RFR manquantes",IF(COUNTA(INDIRECT("TabRFR["&amp;YEAR(H541)&amp;"]"))&lt;&gt;COUNTA(TabRFR[Recherche RFR]),"Data RFR manquantes", IF(V541&lt;=INDEX(TabRFR[[2021]:[2025]],MATCH(BD!U541&amp;"-Très modestes",TabRFR[Recherche RFR],0),MATCH(TEXT(YEAR(BD!H541),"Standard"),TabRFR[[#Headers],[2021]:[2025]],0)),"Très Modeste",IF(V541&lt;=INDEX(TabRFR[[2021]:[2025]],MATCH(BD!U541&amp;"-modestes",TabRFR[Recherche RFR],0),MATCH(TEXT(YEAR(BD!H541),"Standard"),TabRFR[[#Headers],[2021]:[2025]],0)),"Modeste",IF(V541&lt;=INDEX(TabRFR[[2021]:[2025]],MATCH(BD!U541&amp;"-Intermédiaire",TabRFR[Recherche RFR],0),MATCH(TEXT(YEAR(BD!H541),"Standard"),TabRFR[[#Headers],[2021]:[2025]],0)),"Intermédiaire","Supérieur")))))))</f>
        <v>Modeste</v>
      </c>
      <c r="X541" s="144"/>
      <c r="Y541" s="135" t="s">
        <v>2440</v>
      </c>
      <c r="Z541" s="144">
        <v>38850</v>
      </c>
      <c r="AA541" s="135" t="s">
        <v>148</v>
      </c>
      <c r="AB541" s="148"/>
      <c r="AC541" s="149"/>
      <c r="AD541" s="135" t="s">
        <v>91</v>
      </c>
      <c r="AE541" s="135"/>
      <c r="AF541" s="135"/>
      <c r="AG541" s="135"/>
      <c r="AH541" s="135"/>
      <c r="AI541" s="135" t="s">
        <v>1988</v>
      </c>
      <c r="AJ541" s="135" t="s">
        <v>93</v>
      </c>
      <c r="AK541" s="135" t="s">
        <v>2197</v>
      </c>
      <c r="AL541" s="169" t="s">
        <v>2198</v>
      </c>
      <c r="AM541" s="148" t="s">
        <v>96</v>
      </c>
      <c r="AN541" s="135"/>
      <c r="AO541" s="135" t="s">
        <v>102</v>
      </c>
      <c r="AP541" s="135">
        <v>45186</v>
      </c>
      <c r="AQ541" s="143" t="s">
        <v>3413</v>
      </c>
      <c r="AR541" s="143">
        <v>1985</v>
      </c>
      <c r="AS541" s="143" t="s">
        <v>3413</v>
      </c>
      <c r="AT541" s="143" t="s">
        <v>98</v>
      </c>
      <c r="AU541" s="135" t="s">
        <v>99</v>
      </c>
      <c r="AV541" s="135" t="s">
        <v>2441</v>
      </c>
      <c r="AW541" s="135"/>
      <c r="AX541" s="135"/>
      <c r="AY541" s="135"/>
      <c r="AZ541" s="135"/>
      <c r="BA541" s="135" t="s">
        <v>101</v>
      </c>
      <c r="BB541" s="135"/>
      <c r="BC541" s="143">
        <f>4740+995+225+223</f>
        <v>6183</v>
      </c>
      <c r="BD541" s="135"/>
      <c r="BE541" s="143">
        <v>890</v>
      </c>
      <c r="BF541" s="143">
        <f>BC541+BE541</f>
        <v>7073</v>
      </c>
      <c r="BG541" s="143">
        <f t="shared" si="41"/>
        <v>389.01499999999999</v>
      </c>
      <c r="BH541" s="151">
        <f t="shared" si="42"/>
        <v>7462.0150000000003</v>
      </c>
      <c r="BI541" s="143">
        <v>7462.02</v>
      </c>
      <c r="BJ541" s="135" t="s">
        <v>102</v>
      </c>
      <c r="BK541" s="135"/>
      <c r="BL541" s="135"/>
      <c r="BM541" s="144" t="s">
        <v>3592</v>
      </c>
      <c r="BN541" s="143">
        <v>2022</v>
      </c>
      <c r="BO541" s="135" t="s">
        <v>155</v>
      </c>
      <c r="BP541" s="143" t="s">
        <v>3583</v>
      </c>
      <c r="BQ541" s="203" t="s">
        <v>144</v>
      </c>
    </row>
    <row r="542" spans="1:69" ht="41.1" customHeight="1">
      <c r="A542" s="218" t="s">
        <v>1705</v>
      </c>
      <c r="B542" s="218" t="s">
        <v>2442</v>
      </c>
      <c r="C542" s="143">
        <v>1000</v>
      </c>
      <c r="D542" s="135">
        <v>44881</v>
      </c>
      <c r="E542" s="135">
        <v>44882</v>
      </c>
      <c r="F542" s="135">
        <v>44887</v>
      </c>
      <c r="G542" s="135" t="s">
        <v>2443</v>
      </c>
      <c r="H542" s="135">
        <v>44900</v>
      </c>
      <c r="I542" s="135">
        <v>44900</v>
      </c>
      <c r="J542" s="135">
        <v>44909</v>
      </c>
      <c r="K542" s="135">
        <v>45049</v>
      </c>
      <c r="L542" s="135">
        <v>45012</v>
      </c>
      <c r="M542" s="135" t="s">
        <v>76</v>
      </c>
      <c r="N542" s="135">
        <v>45083</v>
      </c>
      <c r="O542" s="135">
        <v>45083</v>
      </c>
      <c r="P542" s="135">
        <v>45084</v>
      </c>
      <c r="Q542" s="135"/>
      <c r="R542" s="135"/>
      <c r="S542" s="135"/>
      <c r="T542" s="135"/>
      <c r="U542" s="144">
        <v>2</v>
      </c>
      <c r="V542" s="143">
        <v>21850</v>
      </c>
      <c r="W542" s="143" t="str">
        <f ca="1">IF(H542="",IF(D542="","",IF(U542+V542&lt;15,"Données Nb pers ou RFR manquantes",IF(COUNTA(INDIRECT("TabRFR["&amp;YEAR(D542)&amp;"]"))&lt;&gt;COUNTA(TabRFR[Recherche RFR]),"Data RFR manquantes", IF(V542&lt;=INDEX(TabRFR[[2021]:[2025]],MATCH(BD!U542&amp;"-Très modestes",TabRFR[Recherche RFR],0),MATCH(TEXT(YEAR(BD!D542),"Standard"),TabRFR[[#Headers],[2021]:[2025]],0)),"Très Modeste",IF(V542&lt;=INDEX(TabRFR[[2021]:[2025]],MATCH(BD!U542&amp;"-modestes",TabRFR[Recherche RFR],0),MATCH(TEXT(YEAR(BD!D542),"Standard"),TabRFR[[#Headers],[2021]:[2025]],0)),"Modeste",IF(V542&lt;=INDEX(TabRFR[[2021]:[2025]],MATCH(BD!U542&amp;"-Intermédiaire",TabRFR[Recherche RFR],0),MATCH(TEXT(YEAR(BD!D542),"Standard"),TabRFR[[#Headers],[2021]:[2025]],0)),"Intermédiaire","Supérieur")))))),IF(D542="","",IF(U542+V542&lt;15,"Données Nb pers ou RFR manquantes",IF(COUNTA(INDIRECT("TabRFR["&amp;YEAR(H542)&amp;"]"))&lt;&gt;COUNTA(TabRFR[Recherche RFR]),"Data RFR manquantes", IF(V542&lt;=INDEX(TabRFR[[2021]:[2025]],MATCH(BD!U542&amp;"-Très modestes",TabRFR[Recherche RFR],0),MATCH(TEXT(YEAR(BD!H542),"Standard"),TabRFR[[#Headers],[2021]:[2025]],0)),"Très Modeste",IF(V542&lt;=INDEX(TabRFR[[2021]:[2025]],MATCH(BD!U542&amp;"-modestes",TabRFR[Recherche RFR],0),MATCH(TEXT(YEAR(BD!H542),"Standard"),TabRFR[[#Headers],[2021]:[2025]],0)),"Modeste",IF(V542&lt;=INDEX(TabRFR[[2021]:[2025]],MATCH(BD!U542&amp;"-Intermédiaire",TabRFR[Recherche RFR],0),MATCH(TEXT(YEAR(BD!H542),"Standard"),TabRFR[[#Headers],[2021]:[2025]],0)),"Intermédiaire","Supérieur")))))))</f>
        <v>Très Modeste</v>
      </c>
      <c r="X542" s="144"/>
      <c r="Y542" s="135" t="s">
        <v>2444</v>
      </c>
      <c r="Z542" s="144">
        <v>38730</v>
      </c>
      <c r="AA542" s="135" t="s">
        <v>148</v>
      </c>
      <c r="AB542" s="148"/>
      <c r="AC542" s="149"/>
      <c r="AD542" s="135" t="s">
        <v>91</v>
      </c>
      <c r="AE542" s="135"/>
      <c r="AF542" s="135"/>
      <c r="AG542" s="135"/>
      <c r="AH542" s="135"/>
      <c r="AI542" s="143" t="s">
        <v>1106</v>
      </c>
      <c r="AJ542" s="143" t="s">
        <v>1075</v>
      </c>
      <c r="AK542" s="143" t="s">
        <v>1107</v>
      </c>
      <c r="AL542" s="169" t="s">
        <v>1891</v>
      </c>
      <c r="AM542" s="148">
        <v>476663386</v>
      </c>
      <c r="AN542" s="143" t="s">
        <v>76</v>
      </c>
      <c r="AO542" s="150" t="s">
        <v>102</v>
      </c>
      <c r="AP542" s="147">
        <v>45096</v>
      </c>
      <c r="AQ542" s="135" t="s">
        <v>3496</v>
      </c>
      <c r="AR542" s="143">
        <v>1987</v>
      </c>
      <c r="AS542" s="135" t="s">
        <v>3496</v>
      </c>
      <c r="AT542" s="135" t="s">
        <v>3446</v>
      </c>
      <c r="AU542" s="135" t="s">
        <v>1878</v>
      </c>
      <c r="AV542" s="135" t="s">
        <v>2445</v>
      </c>
      <c r="AW542" s="135"/>
      <c r="AX542" s="135"/>
      <c r="AY542" s="135"/>
      <c r="AZ542" s="135"/>
      <c r="BA542" s="135" t="s">
        <v>101</v>
      </c>
      <c r="BB542" s="135"/>
      <c r="BC542" s="143">
        <f>2045+245+1460+110+169+263.6+364+467+295+133+85</f>
        <v>5636.6</v>
      </c>
      <c r="BD542" s="135"/>
      <c r="BE542" s="143">
        <v>550</v>
      </c>
      <c r="BF542" s="151">
        <f>BC542+BE542</f>
        <v>6186.6</v>
      </c>
      <c r="BG542" s="143">
        <f t="shared" si="41"/>
        <v>340.26300000000003</v>
      </c>
      <c r="BH542" s="151">
        <f t="shared" si="42"/>
        <v>6526.8630000000003</v>
      </c>
      <c r="BI542" s="151">
        <v>6530</v>
      </c>
      <c r="BJ542" s="135" t="s">
        <v>102</v>
      </c>
      <c r="BK542" s="135"/>
      <c r="BL542" s="135"/>
      <c r="BM542" s="144" t="s">
        <v>3592</v>
      </c>
      <c r="BN542" s="143">
        <v>2022</v>
      </c>
      <c r="BO542" s="135" t="s">
        <v>155</v>
      </c>
      <c r="BP542" s="144">
        <v>2023</v>
      </c>
      <c r="BQ542" s="203" t="s">
        <v>144</v>
      </c>
    </row>
    <row r="543" spans="1:69" ht="41.1" customHeight="1">
      <c r="A543" s="145" t="s">
        <v>1705</v>
      </c>
      <c r="B543" s="145" t="s">
        <v>2446</v>
      </c>
      <c r="C543" s="143"/>
      <c r="D543" s="135"/>
      <c r="E543" s="135"/>
      <c r="F543" s="135"/>
      <c r="G543" s="135"/>
      <c r="H543" s="135"/>
      <c r="I543" s="135"/>
      <c r="J543" s="135"/>
      <c r="K543" s="135"/>
      <c r="L543" s="135"/>
      <c r="M543" s="135"/>
      <c r="N543" s="135"/>
      <c r="O543" s="135"/>
      <c r="P543" s="135"/>
      <c r="Q543" s="135"/>
      <c r="R543" s="135" t="s">
        <v>3581</v>
      </c>
      <c r="S543" s="135"/>
      <c r="T543" s="135"/>
      <c r="U543" s="144"/>
      <c r="V543" s="143"/>
      <c r="W543" s="143"/>
      <c r="X543" s="144"/>
      <c r="Y543" s="135"/>
      <c r="Z543" s="144"/>
      <c r="AA543" s="135"/>
      <c r="AB543" s="148"/>
      <c r="AC543" s="202"/>
      <c r="AD543" s="135"/>
      <c r="AE543" s="135"/>
      <c r="AF543" s="135"/>
      <c r="AG543" s="135"/>
      <c r="AH543" s="135"/>
      <c r="AI543" s="135"/>
      <c r="AJ543" s="135"/>
      <c r="AK543" s="135"/>
      <c r="AL543" s="208"/>
      <c r="AM543" s="148"/>
      <c r="AN543" s="135"/>
      <c r="AO543" s="193"/>
      <c r="AP543" s="135"/>
      <c r="AQ543" s="135"/>
      <c r="AR543" s="135"/>
      <c r="AS543" s="135"/>
      <c r="AT543" s="135"/>
      <c r="AU543" s="135"/>
      <c r="AV543" s="135"/>
      <c r="AW543" s="143"/>
      <c r="AX543" s="143"/>
      <c r="AY543" s="143"/>
      <c r="AZ543" s="143"/>
      <c r="BA543" s="135"/>
      <c r="BB543" s="151"/>
      <c r="BC543" s="151"/>
      <c r="BD543" s="151"/>
      <c r="BE543" s="151"/>
      <c r="BF543" s="151"/>
      <c r="BG543" s="151"/>
      <c r="BH543" s="151"/>
      <c r="BI543" s="135"/>
      <c r="BJ543" s="135"/>
      <c r="BK543" s="135"/>
      <c r="BL543" s="135"/>
      <c r="BM543" s="144">
        <v>0</v>
      </c>
      <c r="BN543" s="153" t="s">
        <v>103</v>
      </c>
      <c r="BO543" s="135" t="s">
        <v>103</v>
      </c>
      <c r="BP543" s="135" t="s">
        <v>3584</v>
      </c>
      <c r="BQ543" s="203" t="s">
        <v>3585</v>
      </c>
    </row>
    <row r="544" spans="1:69" ht="41.1" customHeight="1">
      <c r="A544" s="145" t="s">
        <v>1705</v>
      </c>
      <c r="B544" s="145" t="s">
        <v>2447</v>
      </c>
      <c r="C544" s="143">
        <v>600</v>
      </c>
      <c r="D544" s="135">
        <v>44883</v>
      </c>
      <c r="E544" s="135" t="s">
        <v>76</v>
      </c>
      <c r="F544" s="135">
        <v>44889</v>
      </c>
      <c r="G544" s="135" t="s">
        <v>1707</v>
      </c>
      <c r="H544" s="135" t="s">
        <v>76</v>
      </c>
      <c r="I544" s="135" t="s">
        <v>76</v>
      </c>
      <c r="J544" s="135" t="s">
        <v>76</v>
      </c>
      <c r="K544" s="135" t="s">
        <v>76</v>
      </c>
      <c r="L544" s="135" t="s">
        <v>76</v>
      </c>
      <c r="M544" s="135" t="s">
        <v>76</v>
      </c>
      <c r="N544" s="135" t="s">
        <v>76</v>
      </c>
      <c r="O544" s="135" t="s">
        <v>76</v>
      </c>
      <c r="P544" s="135" t="s">
        <v>76</v>
      </c>
      <c r="Q544" s="135">
        <v>44900</v>
      </c>
      <c r="R544" s="135" t="s">
        <v>2448</v>
      </c>
      <c r="S544" s="135"/>
      <c r="T544" s="135"/>
      <c r="U544" s="144">
        <v>5</v>
      </c>
      <c r="V544" s="143">
        <v>72229</v>
      </c>
      <c r="W544" s="143" t="str">
        <f ca="1">IF(H544="",IF(D544="","",IF(U544+V544&lt;15,"Données Nb pers ou RFR manquantes",IF(COUNTA(INDIRECT("TabRFR["&amp;YEAR(D544)&amp;"]"))&lt;&gt;COUNTA(TabRFR[Recherche RFR]),"Data RFR manquantes", IF(V544&lt;=INDEX(TabRFR[[2021]:[2025]],MATCH(BD!U544&amp;"-Très modestes",TabRFR[Recherche RFR],0),MATCH(TEXT(YEAR(BD!D544),"Standard"),TabRFR[[#Headers],[2021]:[2025]],0)),"Très Modeste",IF(V544&lt;=INDEX(TabRFR[[2021]:[2025]],MATCH(BD!U544&amp;"-modestes",TabRFR[Recherche RFR],0),MATCH(TEXT(YEAR(BD!D544),"Standard"),TabRFR[[#Headers],[2021]:[2025]],0)),"Modeste",IF(V544&lt;=INDEX(TabRFR[[2021]:[2025]],MATCH(BD!U544&amp;"-Intermédiaire",TabRFR[Recherche RFR],0),MATCH(TEXT(YEAR(BD!D544),"Standard"),TabRFR[[#Headers],[2021]:[2025]],0)),"Intermédiaire","Supérieur")))))),IF(D544="","",IF(U544+V544&lt;15,"Données Nb pers ou RFR manquantes",IF(COUNTA(INDIRECT("TabRFR["&amp;YEAR(H544)&amp;"]"))&lt;&gt;COUNTA(TabRFR[Recherche RFR]),"Data RFR manquantes", IF(V544&lt;=INDEX(TabRFR[[2021]:[2025]],MATCH(BD!U544&amp;"-Très modestes",TabRFR[Recherche RFR],0),MATCH(TEXT(YEAR(BD!H544),"Standard"),TabRFR[[#Headers],[2021]:[2025]],0)),"Très Modeste",IF(V544&lt;=INDEX(TabRFR[[2021]:[2025]],MATCH(BD!U544&amp;"-modestes",TabRFR[Recherche RFR],0),MATCH(TEXT(YEAR(BD!H544),"Standard"),TabRFR[[#Headers],[2021]:[2025]],0)),"Modeste",IF(V544&lt;=INDEX(TabRFR[[2021]:[2025]],MATCH(BD!U544&amp;"-Intermédiaire",TabRFR[Recherche RFR],0),MATCH(TEXT(YEAR(BD!H544),"Standard"),TabRFR[[#Headers],[2021]:[2025]],0)),"Intermédiaire","Supérieur")))))))</f>
        <v>Data RFR manquantes</v>
      </c>
      <c r="X544" s="144"/>
      <c r="Y544" s="135" t="s">
        <v>2449</v>
      </c>
      <c r="Z544" s="144">
        <v>38500</v>
      </c>
      <c r="AA544" s="135" t="s">
        <v>134</v>
      </c>
      <c r="AB544" s="148"/>
      <c r="AC544" s="149"/>
      <c r="AD544" s="135" t="s">
        <v>91</v>
      </c>
      <c r="AE544" s="135"/>
      <c r="AF544" s="135"/>
      <c r="AG544" s="135"/>
      <c r="AH544" s="135"/>
      <c r="AI544" s="135" t="s">
        <v>1665</v>
      </c>
      <c r="AJ544" s="135" t="s">
        <v>121</v>
      </c>
      <c r="AK544" s="135" t="s">
        <v>2450</v>
      </c>
      <c r="AL544" s="169" t="s">
        <v>252</v>
      </c>
      <c r="AM544" s="148">
        <v>476452433</v>
      </c>
      <c r="AN544" s="135" t="s">
        <v>76</v>
      </c>
      <c r="AO544" s="135" t="s">
        <v>102</v>
      </c>
      <c r="AP544" s="135">
        <v>44954</v>
      </c>
      <c r="AQ544" s="135" t="s">
        <v>3449</v>
      </c>
      <c r="AR544" s="143" t="s">
        <v>2451</v>
      </c>
      <c r="AS544" s="143" t="s">
        <v>3413</v>
      </c>
      <c r="AT544" s="138" t="s">
        <v>98</v>
      </c>
      <c r="AU544" s="135" t="s">
        <v>361</v>
      </c>
      <c r="AV544" s="135" t="s">
        <v>2452</v>
      </c>
      <c r="AW544" s="135"/>
      <c r="AX544" s="135"/>
      <c r="AY544" s="135"/>
      <c r="AZ544" s="135"/>
      <c r="BA544" s="135" t="s">
        <v>1401</v>
      </c>
      <c r="BB544" s="135"/>
      <c r="BC544" s="151">
        <f>4900+210+1532.4+388+158+244.3+400</f>
        <v>7832.7</v>
      </c>
      <c r="BD544" s="135"/>
      <c r="BE544" s="143">
        <v>130</v>
      </c>
      <c r="BF544" s="151">
        <f t="shared" ref="BF544:BF549" si="43">BC544+BE544</f>
        <v>7962.7</v>
      </c>
      <c r="BG544" s="143">
        <f t="shared" si="41"/>
        <v>437.94849999999997</v>
      </c>
      <c r="BH544" s="151">
        <f t="shared" si="42"/>
        <v>8400.6484999999993</v>
      </c>
      <c r="BI544" s="143"/>
      <c r="BJ544" s="135" t="s">
        <v>1391</v>
      </c>
      <c r="BK544" s="135"/>
      <c r="BL544" s="135"/>
      <c r="BM544" s="144">
        <v>0</v>
      </c>
      <c r="BN544" s="153" t="s">
        <v>1496</v>
      </c>
      <c r="BO544" s="144" t="s">
        <v>103</v>
      </c>
      <c r="BP544" s="203" t="s">
        <v>3582</v>
      </c>
      <c r="BQ544" s="203" t="s">
        <v>3273</v>
      </c>
    </row>
    <row r="545" spans="1:69" ht="41.1" customHeight="1">
      <c r="A545" s="218" t="s">
        <v>1705</v>
      </c>
      <c r="B545" s="218" t="s">
        <v>2453</v>
      </c>
      <c r="C545" s="143">
        <v>1000</v>
      </c>
      <c r="D545" s="135">
        <v>44883</v>
      </c>
      <c r="E545" s="135" t="s">
        <v>76</v>
      </c>
      <c r="F545" s="135" t="s">
        <v>76</v>
      </c>
      <c r="G545" s="135" t="s">
        <v>76</v>
      </c>
      <c r="H545" s="135">
        <v>44889</v>
      </c>
      <c r="I545" s="135">
        <v>44889</v>
      </c>
      <c r="J545" s="135">
        <v>44900</v>
      </c>
      <c r="K545" s="135">
        <v>45274</v>
      </c>
      <c r="L545" s="135">
        <v>45236</v>
      </c>
      <c r="M545" s="135" t="s">
        <v>76</v>
      </c>
      <c r="N545" s="135">
        <v>45281</v>
      </c>
      <c r="O545" s="135">
        <v>45281</v>
      </c>
      <c r="P545" s="135">
        <v>45288</v>
      </c>
      <c r="Q545" s="135"/>
      <c r="R545" s="135"/>
      <c r="S545" s="135"/>
      <c r="T545" s="135"/>
      <c r="U545" s="144">
        <v>4</v>
      </c>
      <c r="V545" s="143">
        <v>7330</v>
      </c>
      <c r="W545" s="143" t="str">
        <f ca="1">IF(H545="",IF(D545="","",IF(U545+V545&lt;15,"Données Nb pers ou RFR manquantes",IF(COUNTA(INDIRECT("TabRFR["&amp;YEAR(D545)&amp;"]"))&lt;&gt;COUNTA(TabRFR[Recherche RFR]),"Data RFR manquantes", IF(V545&lt;=INDEX(TabRFR[[2021]:[2025]],MATCH(BD!U545&amp;"-Très modestes",TabRFR[Recherche RFR],0),MATCH(TEXT(YEAR(BD!D545),"Standard"),TabRFR[[#Headers],[2021]:[2025]],0)),"Très Modeste",IF(V545&lt;=INDEX(TabRFR[[2021]:[2025]],MATCH(BD!U545&amp;"-modestes",TabRFR[Recherche RFR],0),MATCH(TEXT(YEAR(BD!D545),"Standard"),TabRFR[[#Headers],[2021]:[2025]],0)),"Modeste",IF(V545&lt;=INDEX(TabRFR[[2021]:[2025]],MATCH(BD!U545&amp;"-Intermédiaire",TabRFR[Recherche RFR],0),MATCH(TEXT(YEAR(BD!D545),"Standard"),TabRFR[[#Headers],[2021]:[2025]],0)),"Intermédiaire","Supérieur")))))),IF(D545="","",IF(U545+V545&lt;15,"Données Nb pers ou RFR manquantes",IF(COUNTA(INDIRECT("TabRFR["&amp;YEAR(H545)&amp;"]"))&lt;&gt;COUNTA(TabRFR[Recherche RFR]),"Data RFR manquantes", IF(V545&lt;=INDEX(TabRFR[[2021]:[2025]],MATCH(BD!U545&amp;"-Très modestes",TabRFR[Recherche RFR],0),MATCH(TEXT(YEAR(BD!H545),"Standard"),TabRFR[[#Headers],[2021]:[2025]],0)),"Très Modeste",IF(V545&lt;=INDEX(TabRFR[[2021]:[2025]],MATCH(BD!U545&amp;"-modestes",TabRFR[Recherche RFR],0),MATCH(TEXT(YEAR(BD!H545),"Standard"),TabRFR[[#Headers],[2021]:[2025]],0)),"Modeste",IF(V545&lt;=INDEX(TabRFR[[2021]:[2025]],MATCH(BD!U545&amp;"-Intermédiaire",TabRFR[Recherche RFR],0),MATCH(TEXT(YEAR(BD!H545),"Standard"),TabRFR[[#Headers],[2021]:[2025]],0)),"Intermédiaire","Supérieur")))))))</f>
        <v>Très Modeste</v>
      </c>
      <c r="X545" s="144"/>
      <c r="Y545" s="135" t="s">
        <v>2454</v>
      </c>
      <c r="Z545" s="144">
        <v>38850</v>
      </c>
      <c r="AA545" s="135" t="s">
        <v>148</v>
      </c>
      <c r="AB545" s="148"/>
      <c r="AC545" s="149"/>
      <c r="AD545" s="135" t="s">
        <v>91</v>
      </c>
      <c r="AE545" s="135"/>
      <c r="AF545" s="135"/>
      <c r="AG545" s="135"/>
      <c r="AH545" s="135"/>
      <c r="AI545" s="143" t="s">
        <v>135</v>
      </c>
      <c r="AJ545" s="143" t="s">
        <v>136</v>
      </c>
      <c r="AK545" s="143" t="s">
        <v>137</v>
      </c>
      <c r="AL545" s="169" t="s">
        <v>2455</v>
      </c>
      <c r="AM545" s="148" t="s">
        <v>1577</v>
      </c>
      <c r="AN545" s="143" t="s">
        <v>76</v>
      </c>
      <c r="AO545" s="150" t="s">
        <v>102</v>
      </c>
      <c r="AP545" s="147">
        <v>45044</v>
      </c>
      <c r="AQ545" s="143" t="s">
        <v>3413</v>
      </c>
      <c r="AR545" s="143">
        <v>2000</v>
      </c>
      <c r="AS545" s="143" t="s">
        <v>3413</v>
      </c>
      <c r="AT545" s="135" t="s">
        <v>3446</v>
      </c>
      <c r="AU545" s="135" t="s">
        <v>532</v>
      </c>
      <c r="AV545" s="135" t="s">
        <v>2456</v>
      </c>
      <c r="AW545" s="135"/>
      <c r="AX545" s="135"/>
      <c r="AY545" s="135"/>
      <c r="AZ545" s="135"/>
      <c r="BA545" s="135" t="s">
        <v>101</v>
      </c>
      <c r="BB545" s="135"/>
      <c r="BC545" s="151">
        <f>3220+190+345</f>
        <v>3755</v>
      </c>
      <c r="BD545" s="135"/>
      <c r="BE545" s="143">
        <v>1150</v>
      </c>
      <c r="BF545" s="151">
        <f t="shared" si="43"/>
        <v>4905</v>
      </c>
      <c r="BG545" s="143">
        <f t="shared" si="41"/>
        <v>269.77499999999998</v>
      </c>
      <c r="BH545" s="151">
        <f t="shared" si="42"/>
        <v>5174.7749999999996</v>
      </c>
      <c r="BI545" s="143"/>
      <c r="BJ545" s="135" t="s">
        <v>102</v>
      </c>
      <c r="BK545" s="135"/>
      <c r="BL545" s="135"/>
      <c r="BM545" s="144" t="s">
        <v>3592</v>
      </c>
      <c r="BN545" s="143">
        <v>2022</v>
      </c>
      <c r="BO545" s="135" t="s">
        <v>155</v>
      </c>
      <c r="BP545" s="143">
        <v>2022</v>
      </c>
      <c r="BQ545" s="203" t="s">
        <v>144</v>
      </c>
    </row>
    <row r="546" spans="1:69" ht="41.1" customHeight="1">
      <c r="A546" s="219" t="s">
        <v>1705</v>
      </c>
      <c r="B546" s="219" t="s">
        <v>2457</v>
      </c>
      <c r="C546" s="143">
        <v>600</v>
      </c>
      <c r="D546" s="135">
        <v>44885</v>
      </c>
      <c r="E546" s="135" t="s">
        <v>76</v>
      </c>
      <c r="F546" s="135" t="s">
        <v>76</v>
      </c>
      <c r="G546" s="135" t="s">
        <v>76</v>
      </c>
      <c r="H546" s="135">
        <v>44889</v>
      </c>
      <c r="I546" s="135">
        <v>44889</v>
      </c>
      <c r="J546" s="135">
        <v>44900</v>
      </c>
      <c r="K546" s="135"/>
      <c r="L546" s="135"/>
      <c r="M546" s="135"/>
      <c r="N546" s="135"/>
      <c r="O546" s="135"/>
      <c r="P546" s="135"/>
      <c r="Q546" s="135"/>
      <c r="R546" s="135"/>
      <c r="S546" s="135"/>
      <c r="T546" s="135"/>
      <c r="U546" s="144">
        <v>4</v>
      </c>
      <c r="V546" s="143">
        <v>50092</v>
      </c>
      <c r="W546" s="143" t="str">
        <f ca="1">IF(H546="",IF(D546="","",IF(U546+V546&lt;15,"Données Nb pers ou RFR manquantes",IF(COUNTA(INDIRECT("TabRFR["&amp;YEAR(D546)&amp;"]"))&lt;&gt;COUNTA(TabRFR[Recherche RFR]),"Data RFR manquantes", IF(V546&lt;=INDEX(TabRFR[[2021]:[2025]],MATCH(BD!U546&amp;"-Très modestes",TabRFR[Recherche RFR],0),MATCH(TEXT(YEAR(BD!D546),"Standard"),TabRFR[[#Headers],[2021]:[2025]],0)),"Très Modeste",IF(V546&lt;=INDEX(TabRFR[[2021]:[2025]],MATCH(BD!U546&amp;"-modestes",TabRFR[Recherche RFR],0),MATCH(TEXT(YEAR(BD!D546),"Standard"),TabRFR[[#Headers],[2021]:[2025]],0)),"Modeste",IF(V546&lt;=INDEX(TabRFR[[2021]:[2025]],MATCH(BD!U546&amp;"-Intermédiaire",TabRFR[Recherche RFR],0),MATCH(TEXT(YEAR(BD!D546),"Standard"),TabRFR[[#Headers],[2021]:[2025]],0)),"Intermédiaire","Supérieur")))))),IF(D546="","",IF(U546+V546&lt;15,"Données Nb pers ou RFR manquantes",IF(COUNTA(INDIRECT("TabRFR["&amp;YEAR(H546)&amp;"]"))&lt;&gt;COUNTA(TabRFR[Recherche RFR]),"Data RFR manquantes", IF(V546&lt;=INDEX(TabRFR[[2021]:[2025]],MATCH(BD!U546&amp;"-Très modestes",TabRFR[Recherche RFR],0),MATCH(TEXT(YEAR(BD!H546),"Standard"),TabRFR[[#Headers],[2021]:[2025]],0)),"Très Modeste",IF(V546&lt;=INDEX(TabRFR[[2021]:[2025]],MATCH(BD!U546&amp;"-modestes",TabRFR[Recherche RFR],0),MATCH(TEXT(YEAR(BD!H546),"Standard"),TabRFR[[#Headers],[2021]:[2025]],0)),"Modeste",IF(V546&lt;=INDEX(TabRFR[[2021]:[2025]],MATCH(BD!U546&amp;"-Intermédiaire",TabRFR[Recherche RFR],0),MATCH(TEXT(YEAR(BD!H546),"Standard"),TabRFR[[#Headers],[2021]:[2025]],0)),"Intermédiaire","Supérieur")))))))</f>
        <v>Intermédiaire</v>
      </c>
      <c r="X546" s="144"/>
      <c r="Y546" s="135" t="s">
        <v>2458</v>
      </c>
      <c r="Z546" s="144">
        <v>38140</v>
      </c>
      <c r="AA546" s="143" t="s">
        <v>159</v>
      </c>
      <c r="AB546" s="148"/>
      <c r="AC546" s="149"/>
      <c r="AD546" s="135" t="s">
        <v>91</v>
      </c>
      <c r="AE546" s="143" t="s">
        <v>76</v>
      </c>
      <c r="AF546" s="143" t="s">
        <v>76</v>
      </c>
      <c r="AG546" s="143" t="s">
        <v>76</v>
      </c>
      <c r="AH546" s="143" t="s">
        <v>76</v>
      </c>
      <c r="AI546" s="135" t="s">
        <v>2249</v>
      </c>
      <c r="AJ546" s="135" t="s">
        <v>266</v>
      </c>
      <c r="AK546" s="135" t="s">
        <v>2459</v>
      </c>
      <c r="AL546" s="169" t="s">
        <v>2251</v>
      </c>
      <c r="AM546" s="148">
        <v>768823714</v>
      </c>
      <c r="AN546" s="135" t="s">
        <v>76</v>
      </c>
      <c r="AO546" s="135" t="s">
        <v>102</v>
      </c>
      <c r="AP546" s="135">
        <v>45102</v>
      </c>
      <c r="AQ546" s="135" t="s">
        <v>3449</v>
      </c>
      <c r="AR546" s="143">
        <v>1990</v>
      </c>
      <c r="AS546" s="143" t="s">
        <v>3413</v>
      </c>
      <c r="AT546" s="143" t="s">
        <v>98</v>
      </c>
      <c r="AU546" s="135" t="s">
        <v>2460</v>
      </c>
      <c r="AV546" s="135" t="s">
        <v>2461</v>
      </c>
      <c r="AW546" s="135"/>
      <c r="AX546" s="135"/>
      <c r="AY546" s="135"/>
      <c r="AZ546" s="135"/>
      <c r="BA546" s="135" t="s">
        <v>101</v>
      </c>
      <c r="BB546" s="135"/>
      <c r="BC546" s="151">
        <f>3328.91+150+150+1146</f>
        <v>4774.91</v>
      </c>
      <c r="BD546" s="135"/>
      <c r="BE546" s="143">
        <f>1080+480</f>
        <v>1560</v>
      </c>
      <c r="BF546" s="151">
        <f t="shared" si="43"/>
        <v>6334.91</v>
      </c>
      <c r="BG546" s="151">
        <f t="shared" si="41"/>
        <v>348.42005</v>
      </c>
      <c r="BH546" s="151">
        <f t="shared" si="42"/>
        <v>6683.3300499999996</v>
      </c>
      <c r="BI546" s="143"/>
      <c r="BJ546" s="135" t="s">
        <v>102</v>
      </c>
      <c r="BK546" s="135"/>
      <c r="BL546" s="135"/>
      <c r="BM546" s="144" t="s">
        <v>3592</v>
      </c>
      <c r="BN546" s="143">
        <v>2022</v>
      </c>
      <c r="BO546" s="144" t="s">
        <v>143</v>
      </c>
      <c r="BP546" s="143" t="s">
        <v>3583</v>
      </c>
      <c r="BQ546" s="203"/>
    </row>
    <row r="547" spans="1:69" ht="41.1" customHeight="1">
      <c r="A547" s="219" t="s">
        <v>1705</v>
      </c>
      <c r="B547" s="219" t="s">
        <v>2462</v>
      </c>
      <c r="C547" s="143">
        <v>1000</v>
      </c>
      <c r="D547" s="135">
        <v>44889</v>
      </c>
      <c r="E547" s="135">
        <v>44894</v>
      </c>
      <c r="F547" s="135" t="s">
        <v>76</v>
      </c>
      <c r="G547" s="135" t="s">
        <v>76</v>
      </c>
      <c r="H547" s="135">
        <v>44897</v>
      </c>
      <c r="I547" s="135">
        <v>44897</v>
      </c>
      <c r="J547" s="135">
        <v>44909</v>
      </c>
      <c r="K547" s="135"/>
      <c r="L547" s="135"/>
      <c r="M547" s="135"/>
      <c r="N547" s="135"/>
      <c r="O547" s="135"/>
      <c r="P547" s="135"/>
      <c r="Q547" s="135"/>
      <c r="R547" s="135"/>
      <c r="S547" s="135"/>
      <c r="T547" s="135"/>
      <c r="U547" s="144">
        <v>2</v>
      </c>
      <c r="V547" s="143">
        <v>10018</v>
      </c>
      <c r="W547" s="143" t="str">
        <f ca="1">IF(H547="",IF(D547="","",IF(U547+V547&lt;15,"Données Nb pers ou RFR manquantes",IF(COUNTA(INDIRECT("TabRFR["&amp;YEAR(D547)&amp;"]"))&lt;&gt;COUNTA(TabRFR[Recherche RFR]),"Data RFR manquantes", IF(V547&lt;=INDEX(TabRFR[[2021]:[2025]],MATCH(BD!U547&amp;"-Très modestes",TabRFR[Recherche RFR],0),MATCH(TEXT(YEAR(BD!D547),"Standard"),TabRFR[[#Headers],[2021]:[2025]],0)),"Très Modeste",IF(V547&lt;=INDEX(TabRFR[[2021]:[2025]],MATCH(BD!U547&amp;"-modestes",TabRFR[Recherche RFR],0),MATCH(TEXT(YEAR(BD!D547),"Standard"),TabRFR[[#Headers],[2021]:[2025]],0)),"Modeste",IF(V547&lt;=INDEX(TabRFR[[2021]:[2025]],MATCH(BD!U547&amp;"-Intermédiaire",TabRFR[Recherche RFR],0),MATCH(TEXT(YEAR(BD!D547),"Standard"),TabRFR[[#Headers],[2021]:[2025]],0)),"Intermédiaire","Supérieur")))))),IF(D547="","",IF(U547+V547&lt;15,"Données Nb pers ou RFR manquantes",IF(COUNTA(INDIRECT("TabRFR["&amp;YEAR(H547)&amp;"]"))&lt;&gt;COUNTA(TabRFR[Recherche RFR]),"Data RFR manquantes", IF(V547&lt;=INDEX(TabRFR[[2021]:[2025]],MATCH(BD!U547&amp;"-Très modestes",TabRFR[Recherche RFR],0),MATCH(TEXT(YEAR(BD!H547),"Standard"),TabRFR[[#Headers],[2021]:[2025]],0)),"Très Modeste",IF(V547&lt;=INDEX(TabRFR[[2021]:[2025]],MATCH(BD!U547&amp;"-modestes",TabRFR[Recherche RFR],0),MATCH(TEXT(YEAR(BD!H547),"Standard"),TabRFR[[#Headers],[2021]:[2025]],0)),"Modeste",IF(V547&lt;=INDEX(TabRFR[[2021]:[2025]],MATCH(BD!U547&amp;"-Intermédiaire",TabRFR[Recherche RFR],0),MATCH(TEXT(YEAR(BD!H547),"Standard"),TabRFR[[#Headers],[2021]:[2025]],0)),"Intermédiaire","Supérieur")))))))</f>
        <v>Très Modeste</v>
      </c>
      <c r="X547" s="144"/>
      <c r="Y547" s="135" t="s">
        <v>2463</v>
      </c>
      <c r="Z547" s="144">
        <v>38620</v>
      </c>
      <c r="AA547" s="135" t="s">
        <v>90</v>
      </c>
      <c r="AB547" s="148"/>
      <c r="AC547" s="149"/>
      <c r="AD547" s="135" t="s">
        <v>91</v>
      </c>
      <c r="AE547" s="135"/>
      <c r="AF547" s="135"/>
      <c r="AG547" s="135"/>
      <c r="AH547" s="135"/>
      <c r="AI547" s="135" t="s">
        <v>1988</v>
      </c>
      <c r="AJ547" s="135" t="s">
        <v>93</v>
      </c>
      <c r="AK547" s="135" t="s">
        <v>2197</v>
      </c>
      <c r="AL547" s="169" t="s">
        <v>2198</v>
      </c>
      <c r="AM547" s="148" t="s">
        <v>96</v>
      </c>
      <c r="AN547" s="135"/>
      <c r="AO547" s="135" t="s">
        <v>102</v>
      </c>
      <c r="AP547" s="135">
        <v>45186</v>
      </c>
      <c r="AQ547" s="135" t="s">
        <v>3323</v>
      </c>
      <c r="AR547" s="143">
        <v>1980</v>
      </c>
      <c r="AS547" s="143" t="s">
        <v>2862</v>
      </c>
      <c r="AT547" s="135" t="s">
        <v>3446</v>
      </c>
      <c r="AU547" s="135" t="s">
        <v>164</v>
      </c>
      <c r="AV547" s="135" t="s">
        <v>2464</v>
      </c>
      <c r="AW547" s="135"/>
      <c r="AX547" s="135"/>
      <c r="AY547" s="135"/>
      <c r="AZ547" s="135"/>
      <c r="BA547" s="135" t="s">
        <v>101</v>
      </c>
      <c r="BB547" s="135"/>
      <c r="BC547" s="151">
        <f>4529+3730+185+65+128+45+188</f>
        <v>8870</v>
      </c>
      <c r="BD547" s="135"/>
      <c r="BE547" s="143">
        <v>590</v>
      </c>
      <c r="BF547" s="151">
        <f t="shared" si="43"/>
        <v>9460</v>
      </c>
      <c r="BG547" s="143">
        <f t="shared" si="41"/>
        <v>520.29999999999995</v>
      </c>
      <c r="BH547" s="151">
        <f t="shared" si="42"/>
        <v>9980.2999999999993</v>
      </c>
      <c r="BI547" s="143"/>
      <c r="BJ547" s="135" t="s">
        <v>102</v>
      </c>
      <c r="BK547" s="135"/>
      <c r="BL547" s="135"/>
      <c r="BM547" s="144" t="s">
        <v>3592</v>
      </c>
      <c r="BN547" s="143">
        <v>2022</v>
      </c>
      <c r="BO547" s="135" t="s">
        <v>155</v>
      </c>
      <c r="BP547" s="144">
        <v>2023</v>
      </c>
      <c r="BQ547" s="203"/>
    </row>
    <row r="548" spans="1:69" ht="41.1" customHeight="1">
      <c r="A548" s="218" t="s">
        <v>1705</v>
      </c>
      <c r="B548" s="218" t="s">
        <v>2465</v>
      </c>
      <c r="C548" s="143">
        <v>600</v>
      </c>
      <c r="D548" s="135">
        <v>44889</v>
      </c>
      <c r="E548" s="135">
        <v>44894</v>
      </c>
      <c r="F548" s="135" t="s">
        <v>76</v>
      </c>
      <c r="G548" s="135" t="s">
        <v>76</v>
      </c>
      <c r="H548" s="135">
        <v>44897</v>
      </c>
      <c r="I548" s="135">
        <v>44897</v>
      </c>
      <c r="J548" s="135">
        <v>44909</v>
      </c>
      <c r="K548" s="135">
        <v>45208</v>
      </c>
      <c r="L548" s="135">
        <v>45051</v>
      </c>
      <c r="M548" s="135" t="s">
        <v>3272</v>
      </c>
      <c r="N548" s="135">
        <v>45232</v>
      </c>
      <c r="O548" s="135">
        <v>45232</v>
      </c>
      <c r="P548" s="135">
        <v>45258</v>
      </c>
      <c r="Q548" s="135"/>
      <c r="R548" s="135"/>
      <c r="S548" s="135"/>
      <c r="T548" s="135"/>
      <c r="U548" s="144">
        <v>5</v>
      </c>
      <c r="V548" s="143">
        <v>156112</v>
      </c>
      <c r="W548" s="143" t="str">
        <f ca="1">IF(H548="",IF(D548="","",IF(U548+V548&lt;15,"Données Nb pers ou RFR manquantes",IF(COUNTA(INDIRECT("TabRFR["&amp;YEAR(D548)&amp;"]"))&lt;&gt;COUNTA(TabRFR[Recherche RFR]),"Data RFR manquantes", IF(V548&lt;=INDEX(TabRFR[[2021]:[2025]],MATCH(BD!U548&amp;"-Très modestes",TabRFR[Recherche RFR],0),MATCH(TEXT(YEAR(BD!D548),"Standard"),TabRFR[[#Headers],[2021]:[2025]],0)),"Très Modeste",IF(V548&lt;=INDEX(TabRFR[[2021]:[2025]],MATCH(BD!U548&amp;"-modestes",TabRFR[Recherche RFR],0),MATCH(TEXT(YEAR(BD!D548),"Standard"),TabRFR[[#Headers],[2021]:[2025]],0)),"Modeste",IF(V548&lt;=INDEX(TabRFR[[2021]:[2025]],MATCH(BD!U548&amp;"-Intermédiaire",TabRFR[Recherche RFR],0),MATCH(TEXT(YEAR(BD!D548),"Standard"),TabRFR[[#Headers],[2021]:[2025]],0)),"Intermédiaire","Supérieur")))))),IF(D548="","",IF(U548+V548&lt;15,"Données Nb pers ou RFR manquantes",IF(COUNTA(INDIRECT("TabRFR["&amp;YEAR(H548)&amp;"]"))&lt;&gt;COUNTA(TabRFR[Recherche RFR]),"Data RFR manquantes", IF(V548&lt;=INDEX(TabRFR[[2021]:[2025]],MATCH(BD!U548&amp;"-Très modestes",TabRFR[Recherche RFR],0),MATCH(TEXT(YEAR(BD!H548),"Standard"),TabRFR[[#Headers],[2021]:[2025]],0)),"Très Modeste",IF(V548&lt;=INDEX(TabRFR[[2021]:[2025]],MATCH(BD!U548&amp;"-modestes",TabRFR[Recherche RFR],0),MATCH(TEXT(YEAR(BD!H548),"Standard"),TabRFR[[#Headers],[2021]:[2025]],0)),"Modeste",IF(V548&lt;=INDEX(TabRFR[[2021]:[2025]],MATCH(BD!U548&amp;"-Intermédiaire",TabRFR[Recherche RFR],0),MATCH(TEXT(YEAR(BD!H548),"Standard"),TabRFR[[#Headers],[2021]:[2025]],0)),"Intermédiaire","Supérieur")))))))</f>
        <v>Supérieur</v>
      </c>
      <c r="X548" s="144"/>
      <c r="Y548" s="135" t="s">
        <v>1904</v>
      </c>
      <c r="Z548" s="144">
        <v>38210</v>
      </c>
      <c r="AA548" s="135" t="s">
        <v>202</v>
      </c>
      <c r="AB548" s="148"/>
      <c r="AC548" s="149"/>
      <c r="AD548" s="135" t="s">
        <v>91</v>
      </c>
      <c r="AE548" s="135"/>
      <c r="AF548" s="135"/>
      <c r="AG548" s="135"/>
      <c r="AH548" s="135"/>
      <c r="AI548" s="135" t="s">
        <v>160</v>
      </c>
      <c r="AJ548" s="135" t="s">
        <v>161</v>
      </c>
      <c r="AK548" s="135" t="s">
        <v>2074</v>
      </c>
      <c r="AL548" s="170" t="s">
        <v>228</v>
      </c>
      <c r="AM548" s="148">
        <v>627542614</v>
      </c>
      <c r="AN548" s="135" t="s">
        <v>76</v>
      </c>
      <c r="AO548" s="135" t="s">
        <v>102</v>
      </c>
      <c r="AP548" s="147" t="s">
        <v>2466</v>
      </c>
      <c r="AQ548" s="135" t="s">
        <v>3449</v>
      </c>
      <c r="AR548" s="143" t="s">
        <v>172</v>
      </c>
      <c r="AS548" s="143" t="s">
        <v>3413</v>
      </c>
      <c r="AT548" s="135" t="s">
        <v>3446</v>
      </c>
      <c r="AU548" s="135" t="s">
        <v>2467</v>
      </c>
      <c r="AV548" s="135" t="s">
        <v>2468</v>
      </c>
      <c r="AW548" s="135"/>
      <c r="AX548" s="135"/>
      <c r="AY548" s="135"/>
      <c r="AZ548" s="135"/>
      <c r="BA548" s="135" t="s">
        <v>101</v>
      </c>
      <c r="BB548" s="135"/>
      <c r="BC548" s="151">
        <f>4538+433+828</f>
        <v>5799</v>
      </c>
      <c r="BD548" s="135"/>
      <c r="BE548" s="143">
        <v>750</v>
      </c>
      <c r="BF548" s="143">
        <f t="shared" si="43"/>
        <v>6549</v>
      </c>
      <c r="BG548" s="151">
        <f t="shared" si="41"/>
        <v>360.19499999999999</v>
      </c>
      <c r="BH548" s="151">
        <f t="shared" si="42"/>
        <v>6909.1949999999997</v>
      </c>
      <c r="BI548" s="142">
        <v>9194</v>
      </c>
      <c r="BJ548" s="135" t="s">
        <v>102</v>
      </c>
      <c r="BK548" s="135"/>
      <c r="BL548" s="135"/>
      <c r="BM548" s="144" t="s">
        <v>3592</v>
      </c>
      <c r="BN548" s="143">
        <v>2022</v>
      </c>
      <c r="BO548" s="144" t="s">
        <v>143</v>
      </c>
      <c r="BP548" s="144">
        <v>2023</v>
      </c>
      <c r="BQ548" s="203" t="s">
        <v>144</v>
      </c>
    </row>
    <row r="549" spans="1:69" ht="41.1" customHeight="1">
      <c r="A549" s="218" t="s">
        <v>1705</v>
      </c>
      <c r="B549" s="218" t="s">
        <v>2469</v>
      </c>
      <c r="C549" s="143">
        <v>600</v>
      </c>
      <c r="D549" s="135">
        <v>44894</v>
      </c>
      <c r="E549" s="135">
        <v>44894</v>
      </c>
      <c r="F549" s="135">
        <v>44897</v>
      </c>
      <c r="G549" s="135" t="s">
        <v>2470</v>
      </c>
      <c r="H549" s="135">
        <v>44900</v>
      </c>
      <c r="I549" s="135">
        <v>44900</v>
      </c>
      <c r="J549" s="135">
        <v>44909</v>
      </c>
      <c r="K549" s="135">
        <v>45000</v>
      </c>
      <c r="L549" s="135">
        <v>44964</v>
      </c>
      <c r="M549" s="135" t="s">
        <v>1088</v>
      </c>
      <c r="N549" s="135">
        <v>45012</v>
      </c>
      <c r="O549" s="135">
        <v>45012</v>
      </c>
      <c r="P549" s="135">
        <v>45020</v>
      </c>
      <c r="Q549" s="135"/>
      <c r="R549" s="135"/>
      <c r="S549" s="135"/>
      <c r="T549" s="135"/>
      <c r="U549" s="144">
        <v>4</v>
      </c>
      <c r="V549" s="143">
        <v>45006</v>
      </c>
      <c r="W549" s="143" t="str">
        <f ca="1">IF(H549="",IF(D549="","",IF(U549+V549&lt;15,"Données Nb pers ou RFR manquantes",IF(COUNTA(INDIRECT("TabRFR["&amp;YEAR(D549)&amp;"]"))&lt;&gt;COUNTA(TabRFR[Recherche RFR]),"Data RFR manquantes", IF(V549&lt;=INDEX(TabRFR[[2021]:[2025]],MATCH(BD!U549&amp;"-Très modestes",TabRFR[Recherche RFR],0),MATCH(TEXT(YEAR(BD!D549),"Standard"),TabRFR[[#Headers],[2021]:[2025]],0)),"Très Modeste",IF(V549&lt;=INDEX(TabRFR[[2021]:[2025]],MATCH(BD!U549&amp;"-modestes",TabRFR[Recherche RFR],0),MATCH(TEXT(YEAR(BD!D549),"Standard"),TabRFR[[#Headers],[2021]:[2025]],0)),"Modeste",IF(V549&lt;=INDEX(TabRFR[[2021]:[2025]],MATCH(BD!U549&amp;"-Intermédiaire",TabRFR[Recherche RFR],0),MATCH(TEXT(YEAR(BD!D549),"Standard"),TabRFR[[#Headers],[2021]:[2025]],0)),"Intermédiaire","Supérieur")))))),IF(D549="","",IF(U549+V549&lt;15,"Données Nb pers ou RFR manquantes",IF(COUNTA(INDIRECT("TabRFR["&amp;YEAR(H549)&amp;"]"))&lt;&gt;COUNTA(TabRFR[Recherche RFR]),"Data RFR manquantes", IF(V549&lt;=INDEX(TabRFR[[2021]:[2025]],MATCH(BD!U549&amp;"-Très modestes",TabRFR[Recherche RFR],0),MATCH(TEXT(YEAR(BD!H549),"Standard"),TabRFR[[#Headers],[2021]:[2025]],0)),"Très Modeste",IF(V549&lt;=INDEX(TabRFR[[2021]:[2025]],MATCH(BD!U549&amp;"-modestes",TabRFR[Recherche RFR],0),MATCH(TEXT(YEAR(BD!H549),"Standard"),TabRFR[[#Headers],[2021]:[2025]],0)),"Modeste",IF(V549&lt;=INDEX(TabRFR[[2021]:[2025]],MATCH(BD!U549&amp;"-Intermédiaire",TabRFR[Recherche RFR],0),MATCH(TEXT(YEAR(BD!H549),"Standard"),TabRFR[[#Headers],[2021]:[2025]],0)),"Intermédiaire","Supérieur")))))))</f>
        <v>Intermédiaire</v>
      </c>
      <c r="X549" s="144"/>
      <c r="Y549" s="135" t="s">
        <v>2471</v>
      </c>
      <c r="Z549" s="144">
        <v>38730</v>
      </c>
      <c r="AA549" s="135" t="s">
        <v>148</v>
      </c>
      <c r="AB549" s="148"/>
      <c r="AC549" s="149"/>
      <c r="AD549" s="135" t="s">
        <v>91</v>
      </c>
      <c r="AE549" s="135"/>
      <c r="AF549" s="135"/>
      <c r="AG549" s="135"/>
      <c r="AH549" s="135"/>
      <c r="AI549" s="143" t="s">
        <v>1106</v>
      </c>
      <c r="AJ549" s="143" t="s">
        <v>1075</v>
      </c>
      <c r="AK549" s="143" t="s">
        <v>1107</v>
      </c>
      <c r="AL549" s="169" t="s">
        <v>1891</v>
      </c>
      <c r="AM549" s="148">
        <v>476663386</v>
      </c>
      <c r="AN549" s="143" t="s">
        <v>76</v>
      </c>
      <c r="AO549" s="150" t="s">
        <v>102</v>
      </c>
      <c r="AP549" s="147">
        <v>45096</v>
      </c>
      <c r="AQ549" s="135" t="s">
        <v>3496</v>
      </c>
      <c r="AR549" s="143">
        <v>1983</v>
      </c>
      <c r="AS549" s="135" t="s">
        <v>3496</v>
      </c>
      <c r="AT549" s="135" t="s">
        <v>3446</v>
      </c>
      <c r="AU549" s="135" t="s">
        <v>1878</v>
      </c>
      <c r="AV549" s="135" t="s">
        <v>2445</v>
      </c>
      <c r="AW549" s="135"/>
      <c r="AX549" s="135"/>
      <c r="AY549" s="135"/>
      <c r="AZ549" s="135"/>
      <c r="BA549" s="135" t="s">
        <v>101</v>
      </c>
      <c r="BB549" s="135"/>
      <c r="BC549" s="151">
        <f>2088.68+345+280+375+370+167+567+295+188.2+127</f>
        <v>4802.88</v>
      </c>
      <c r="BD549" s="135"/>
      <c r="BE549" s="143">
        <v>600</v>
      </c>
      <c r="BF549" s="151">
        <f t="shared" si="43"/>
        <v>5402.88</v>
      </c>
      <c r="BG549" s="151">
        <f t="shared" si="41"/>
        <v>297.15840000000003</v>
      </c>
      <c r="BH549" s="151">
        <f t="shared" si="42"/>
        <v>5700.0384000000004</v>
      </c>
      <c r="BI549" s="143">
        <v>5626.19</v>
      </c>
      <c r="BJ549" s="135" t="s">
        <v>1391</v>
      </c>
      <c r="BK549" s="135"/>
      <c r="BL549" s="135"/>
      <c r="BM549" s="144" t="s">
        <v>3592</v>
      </c>
      <c r="BN549" s="143">
        <v>2022</v>
      </c>
      <c r="BO549" s="144" t="s">
        <v>143</v>
      </c>
      <c r="BP549" s="144">
        <v>2023</v>
      </c>
      <c r="BQ549" s="203" t="s">
        <v>3274</v>
      </c>
    </row>
    <row r="550" spans="1:69" ht="41.1" customHeight="1">
      <c r="A550" s="218" t="s">
        <v>1705</v>
      </c>
      <c r="B550" s="218" t="s">
        <v>2472</v>
      </c>
      <c r="C550" s="143">
        <v>1000</v>
      </c>
      <c r="D550" s="135">
        <v>44895</v>
      </c>
      <c r="E550" s="135">
        <v>44900</v>
      </c>
      <c r="F550" s="135">
        <v>44904</v>
      </c>
      <c r="G550" s="135" t="s">
        <v>2473</v>
      </c>
      <c r="H550" s="135">
        <v>44910</v>
      </c>
      <c r="I550" s="135">
        <v>44910</v>
      </c>
      <c r="J550" s="135">
        <v>44931</v>
      </c>
      <c r="K550" s="135">
        <v>45165</v>
      </c>
      <c r="L550" s="135">
        <v>45129</v>
      </c>
      <c r="M550" s="135" t="s">
        <v>76</v>
      </c>
      <c r="N550" s="135">
        <v>45166</v>
      </c>
      <c r="O550" s="135">
        <v>45166</v>
      </c>
      <c r="P550" s="135">
        <v>45194</v>
      </c>
      <c r="Q550" s="135"/>
      <c r="R550" s="135"/>
      <c r="S550" s="135"/>
      <c r="T550" s="135"/>
      <c r="U550" s="144">
        <v>1</v>
      </c>
      <c r="V550" s="143">
        <v>14696</v>
      </c>
      <c r="W550" s="143" t="str">
        <f ca="1">IF(H550="",IF(D550="","",IF(U550+V550&lt;15,"Données Nb pers ou RFR manquantes",IF(COUNTA(INDIRECT("TabRFR["&amp;YEAR(D550)&amp;"]"))&lt;&gt;COUNTA(TabRFR[Recherche RFR]),"Data RFR manquantes", IF(V550&lt;=INDEX(TabRFR[[2021]:[2025]],MATCH(BD!U550&amp;"-Très modestes",TabRFR[Recherche RFR],0),MATCH(TEXT(YEAR(BD!D550),"Standard"),TabRFR[[#Headers],[2021]:[2025]],0)),"Très Modeste",IF(V550&lt;=INDEX(TabRFR[[2021]:[2025]],MATCH(BD!U550&amp;"-modestes",TabRFR[Recherche RFR],0),MATCH(TEXT(YEAR(BD!D550),"Standard"),TabRFR[[#Headers],[2021]:[2025]],0)),"Modeste",IF(V550&lt;=INDEX(TabRFR[[2021]:[2025]],MATCH(BD!U550&amp;"-Intermédiaire",TabRFR[Recherche RFR],0),MATCH(TEXT(YEAR(BD!D550),"Standard"),TabRFR[[#Headers],[2021]:[2025]],0)),"Intermédiaire","Supérieur")))))),IF(D550="","",IF(U550+V550&lt;15,"Données Nb pers ou RFR manquantes",IF(COUNTA(INDIRECT("TabRFR["&amp;YEAR(H550)&amp;"]"))&lt;&gt;COUNTA(TabRFR[Recherche RFR]),"Data RFR manquantes", IF(V550&lt;=INDEX(TabRFR[[2021]:[2025]],MATCH(BD!U550&amp;"-Très modestes",TabRFR[Recherche RFR],0),MATCH(TEXT(YEAR(BD!H550),"Standard"),TabRFR[[#Headers],[2021]:[2025]],0)),"Très Modeste",IF(V550&lt;=INDEX(TabRFR[[2021]:[2025]],MATCH(BD!U550&amp;"-modestes",TabRFR[Recherche RFR],0),MATCH(TEXT(YEAR(BD!H550),"Standard"),TabRFR[[#Headers],[2021]:[2025]],0)),"Modeste",IF(V550&lt;=INDEX(TabRFR[[2021]:[2025]],MATCH(BD!U550&amp;"-Intermédiaire",TabRFR[Recherche RFR],0),MATCH(TEXT(YEAR(BD!H550),"Standard"),TabRFR[[#Headers],[2021]:[2025]],0)),"Intermédiaire","Supérieur")))))))</f>
        <v>Très Modeste</v>
      </c>
      <c r="X550" s="144"/>
      <c r="Y550" s="135" t="s">
        <v>2474</v>
      </c>
      <c r="Z550" s="144">
        <v>38134</v>
      </c>
      <c r="AA550" s="135" t="s">
        <v>413</v>
      </c>
      <c r="AB550" s="148"/>
      <c r="AC550" s="149"/>
      <c r="AD550" s="135"/>
      <c r="AE550" s="135"/>
      <c r="AF550" s="135"/>
      <c r="AG550" s="135"/>
      <c r="AH550" s="135"/>
      <c r="AI550" s="135" t="s">
        <v>1665</v>
      </c>
      <c r="AJ550" s="135" t="s">
        <v>121</v>
      </c>
      <c r="AK550" s="135" t="s">
        <v>2450</v>
      </c>
      <c r="AL550" s="169" t="s">
        <v>252</v>
      </c>
      <c r="AM550" s="148">
        <v>476452433</v>
      </c>
      <c r="AN550" s="135" t="s">
        <v>76</v>
      </c>
      <c r="AO550" s="135" t="s">
        <v>102</v>
      </c>
      <c r="AP550" s="135">
        <v>44954</v>
      </c>
      <c r="AQ550" s="135" t="s">
        <v>3496</v>
      </c>
      <c r="AR550" s="135" t="s">
        <v>213</v>
      </c>
      <c r="AS550" s="143" t="s">
        <v>3413</v>
      </c>
      <c r="AT550" s="135" t="s">
        <v>3446</v>
      </c>
      <c r="AU550" s="135" t="s">
        <v>253</v>
      </c>
      <c r="AV550" s="135" t="s">
        <v>2475</v>
      </c>
      <c r="AW550" s="135"/>
      <c r="AX550" s="135"/>
      <c r="AY550" s="135"/>
      <c r="AZ550" s="135"/>
      <c r="BA550" s="135" t="s">
        <v>101</v>
      </c>
      <c r="BB550" s="135"/>
      <c r="BC550" s="151">
        <f>4729.86+942.8+450</f>
        <v>6122.66</v>
      </c>
      <c r="BD550" s="151"/>
      <c r="BE550" s="151">
        <f>255.68+175.33+400+130</f>
        <v>961.01</v>
      </c>
      <c r="BF550" s="151">
        <f>BC550+BE550-470</f>
        <v>6613.67</v>
      </c>
      <c r="BG550" s="151">
        <f t="shared" si="41"/>
        <v>363.75184999999999</v>
      </c>
      <c r="BH550" s="151">
        <f t="shared" si="42"/>
        <v>6977.4218499999997</v>
      </c>
      <c r="BI550" s="143">
        <v>6977.42</v>
      </c>
      <c r="BJ550" s="135" t="s">
        <v>1391</v>
      </c>
      <c r="BK550" s="135"/>
      <c r="BL550" s="135"/>
      <c r="BM550" s="144" t="s">
        <v>3592</v>
      </c>
      <c r="BN550" s="143">
        <v>2022</v>
      </c>
      <c r="BO550" s="135" t="s">
        <v>155</v>
      </c>
      <c r="BP550" s="144">
        <v>2023</v>
      </c>
      <c r="BQ550" s="203" t="s">
        <v>3274</v>
      </c>
    </row>
    <row r="551" spans="1:69" ht="41.1" customHeight="1">
      <c r="A551" s="145" t="s">
        <v>1705</v>
      </c>
      <c r="B551" s="145" t="s">
        <v>2476</v>
      </c>
      <c r="C551" s="143">
        <v>600</v>
      </c>
      <c r="D551" s="135">
        <v>44895</v>
      </c>
      <c r="E551" s="135">
        <v>44900</v>
      </c>
      <c r="F551" s="135">
        <v>44904</v>
      </c>
      <c r="G551" s="135" t="s">
        <v>2477</v>
      </c>
      <c r="H551" s="135" t="s">
        <v>76</v>
      </c>
      <c r="I551" s="135" t="s">
        <v>76</v>
      </c>
      <c r="J551" s="135" t="s">
        <v>76</v>
      </c>
      <c r="K551" s="135">
        <v>44971</v>
      </c>
      <c r="L551" s="135">
        <v>44939</v>
      </c>
      <c r="M551" s="135" t="s">
        <v>2478</v>
      </c>
      <c r="N551" s="135"/>
      <c r="O551" s="135"/>
      <c r="P551" s="135"/>
      <c r="Q551" s="135">
        <v>44927</v>
      </c>
      <c r="R551" s="135" t="s">
        <v>2478</v>
      </c>
      <c r="S551" s="135"/>
      <c r="T551" s="135"/>
      <c r="U551" s="144">
        <v>1</v>
      </c>
      <c r="V551" s="143">
        <v>39174</v>
      </c>
      <c r="W551" s="143" t="str">
        <f ca="1">IF(H551="",IF(D551="","",IF(U551+V551&lt;15,"Données Nb pers ou RFR manquantes",IF(COUNTA(INDIRECT("TabRFR["&amp;YEAR(D551)&amp;"]"))&lt;&gt;COUNTA(TabRFR[Recherche RFR]),"Data RFR manquantes", IF(V551&lt;=INDEX(TabRFR[[2021]:[2025]],MATCH(BD!U551&amp;"-Très modestes",TabRFR[Recherche RFR],0),MATCH(TEXT(YEAR(BD!D551),"Standard"),TabRFR[[#Headers],[2021]:[2025]],0)),"Très Modeste",IF(V551&lt;=INDEX(TabRFR[[2021]:[2025]],MATCH(BD!U551&amp;"-modestes",TabRFR[Recherche RFR],0),MATCH(TEXT(YEAR(BD!D551),"Standard"),TabRFR[[#Headers],[2021]:[2025]],0)),"Modeste",IF(V551&lt;=INDEX(TabRFR[[2021]:[2025]],MATCH(BD!U551&amp;"-Intermédiaire",TabRFR[Recherche RFR],0),MATCH(TEXT(YEAR(BD!D551),"Standard"),TabRFR[[#Headers],[2021]:[2025]],0)),"Intermédiaire","Supérieur")))))),IF(D551="","",IF(U551+V551&lt;15,"Données Nb pers ou RFR manquantes",IF(COUNTA(INDIRECT("TabRFR["&amp;YEAR(H551)&amp;"]"))&lt;&gt;COUNTA(TabRFR[Recherche RFR]),"Data RFR manquantes", IF(V551&lt;=INDEX(TabRFR[[2021]:[2025]],MATCH(BD!U551&amp;"-Très modestes",TabRFR[Recherche RFR],0),MATCH(TEXT(YEAR(BD!H551),"Standard"),TabRFR[[#Headers],[2021]:[2025]],0)),"Très Modeste",IF(V551&lt;=INDEX(TabRFR[[2021]:[2025]],MATCH(BD!U551&amp;"-modestes",TabRFR[Recherche RFR],0),MATCH(TEXT(YEAR(BD!H551),"Standard"),TabRFR[[#Headers],[2021]:[2025]],0)),"Modeste",IF(V551&lt;=INDEX(TabRFR[[2021]:[2025]],MATCH(BD!U551&amp;"-Intermédiaire",TabRFR[Recherche RFR],0),MATCH(TEXT(YEAR(BD!H551),"Standard"),TabRFR[[#Headers],[2021]:[2025]],0)),"Intermédiaire","Supérieur")))))))</f>
        <v>Data RFR manquantes</v>
      </c>
      <c r="X551" s="144"/>
      <c r="Y551" s="135" t="s">
        <v>2479</v>
      </c>
      <c r="Z551" s="144">
        <v>38140</v>
      </c>
      <c r="AA551" s="135" t="s">
        <v>219</v>
      </c>
      <c r="AB551" s="148"/>
      <c r="AC551" s="149"/>
      <c r="AD551" s="135" t="s">
        <v>91</v>
      </c>
      <c r="AE551" s="135"/>
      <c r="AF551" s="135"/>
      <c r="AG551" s="135"/>
      <c r="AH551" s="135"/>
      <c r="AI551" s="143" t="s">
        <v>109</v>
      </c>
      <c r="AJ551" s="135" t="s">
        <v>108</v>
      </c>
      <c r="AK551" s="135" t="s">
        <v>110</v>
      </c>
      <c r="AL551" s="170" t="s">
        <v>1701</v>
      </c>
      <c r="AM551" s="148" t="s">
        <v>112</v>
      </c>
      <c r="AN551" s="135"/>
      <c r="AO551" s="135" t="s">
        <v>102</v>
      </c>
      <c r="AP551" s="135">
        <v>44868</v>
      </c>
      <c r="AQ551" s="135" t="s">
        <v>3496</v>
      </c>
      <c r="AR551" s="143">
        <v>1998</v>
      </c>
      <c r="AS551" s="143" t="s">
        <v>3413</v>
      </c>
      <c r="AT551" s="135" t="s">
        <v>3446</v>
      </c>
      <c r="AU551" s="135" t="s">
        <v>173</v>
      </c>
      <c r="AV551" s="135" t="s">
        <v>2480</v>
      </c>
      <c r="AW551" s="135"/>
      <c r="AX551" s="135"/>
      <c r="AY551" s="135"/>
      <c r="AZ551" s="135"/>
      <c r="BA551" s="135" t="s">
        <v>101</v>
      </c>
      <c r="BB551" s="135"/>
      <c r="BC551" s="151">
        <f>3971.71+101+93+60+90+22+47+45+174</f>
        <v>4603.71</v>
      </c>
      <c r="BD551" s="135"/>
      <c r="BE551" s="151">
        <f>15+35+420+30</f>
        <v>500</v>
      </c>
      <c r="BF551" s="151">
        <f>BC551+BE551</f>
        <v>5103.71</v>
      </c>
      <c r="BG551" s="151">
        <f t="shared" si="41"/>
        <v>280.70405</v>
      </c>
      <c r="BH551" s="151">
        <f t="shared" si="42"/>
        <v>5384.4140500000003</v>
      </c>
      <c r="BI551" s="143">
        <v>5384.41</v>
      </c>
      <c r="BJ551" s="135" t="s">
        <v>144</v>
      </c>
      <c r="BK551" s="135"/>
      <c r="BL551" s="135"/>
      <c r="BM551" s="144">
        <v>0</v>
      </c>
      <c r="BN551" s="153" t="s">
        <v>1496</v>
      </c>
      <c r="BO551" s="144" t="s">
        <v>143</v>
      </c>
      <c r="BP551" s="203" t="s">
        <v>3582</v>
      </c>
      <c r="BQ551" s="203" t="s">
        <v>3273</v>
      </c>
    </row>
    <row r="552" spans="1:69" ht="41.1" customHeight="1">
      <c r="A552" s="218" t="s">
        <v>1705</v>
      </c>
      <c r="B552" s="218" t="s">
        <v>2481</v>
      </c>
      <c r="C552" s="143">
        <v>600</v>
      </c>
      <c r="D552" s="135">
        <v>44896</v>
      </c>
      <c r="E552" s="135">
        <v>44900</v>
      </c>
      <c r="F552" s="135">
        <v>44904</v>
      </c>
      <c r="G552" s="135" t="s">
        <v>1835</v>
      </c>
      <c r="H552" s="135">
        <v>44907</v>
      </c>
      <c r="I552" s="135">
        <v>44907</v>
      </c>
      <c r="J552" s="135">
        <v>44909</v>
      </c>
      <c r="K552" s="135">
        <v>45076</v>
      </c>
      <c r="L552" s="135">
        <v>45070</v>
      </c>
      <c r="M552" s="135" t="s">
        <v>76</v>
      </c>
      <c r="N552" s="135">
        <v>45083</v>
      </c>
      <c r="O552" s="135">
        <v>45083</v>
      </c>
      <c r="P552" s="135">
        <v>45084</v>
      </c>
      <c r="Q552" s="135"/>
      <c r="R552" s="135"/>
      <c r="S552" s="135"/>
      <c r="T552" s="135"/>
      <c r="U552" s="144">
        <v>2</v>
      </c>
      <c r="V552" s="143">
        <v>90531</v>
      </c>
      <c r="W552" s="143" t="str">
        <f ca="1">IF(H552="",IF(D552="","",IF(U552+V552&lt;15,"Données Nb pers ou RFR manquantes",IF(COUNTA(INDIRECT("TabRFR["&amp;YEAR(D552)&amp;"]"))&lt;&gt;COUNTA(TabRFR[Recherche RFR]),"Data RFR manquantes", IF(V552&lt;=INDEX(TabRFR[[2021]:[2025]],MATCH(BD!U552&amp;"-Très modestes",TabRFR[Recherche RFR],0),MATCH(TEXT(YEAR(BD!D552),"Standard"),TabRFR[[#Headers],[2021]:[2025]],0)),"Très Modeste",IF(V552&lt;=INDEX(TabRFR[[2021]:[2025]],MATCH(BD!U552&amp;"-modestes",TabRFR[Recherche RFR],0),MATCH(TEXT(YEAR(BD!D552),"Standard"),TabRFR[[#Headers],[2021]:[2025]],0)),"Modeste",IF(V552&lt;=INDEX(TabRFR[[2021]:[2025]],MATCH(BD!U552&amp;"-Intermédiaire",TabRFR[Recherche RFR],0),MATCH(TEXT(YEAR(BD!D552),"Standard"),TabRFR[[#Headers],[2021]:[2025]],0)),"Intermédiaire","Supérieur")))))),IF(D552="","",IF(U552+V552&lt;15,"Données Nb pers ou RFR manquantes",IF(COUNTA(INDIRECT("TabRFR["&amp;YEAR(H552)&amp;"]"))&lt;&gt;COUNTA(TabRFR[Recherche RFR]),"Data RFR manquantes", IF(V552&lt;=INDEX(TabRFR[[2021]:[2025]],MATCH(BD!U552&amp;"-Très modestes",TabRFR[Recherche RFR],0),MATCH(TEXT(YEAR(BD!H552),"Standard"),TabRFR[[#Headers],[2021]:[2025]],0)),"Très Modeste",IF(V552&lt;=INDEX(TabRFR[[2021]:[2025]],MATCH(BD!U552&amp;"-modestes",TabRFR[Recherche RFR],0),MATCH(TEXT(YEAR(BD!H552),"Standard"),TabRFR[[#Headers],[2021]:[2025]],0)),"Modeste",IF(V552&lt;=INDEX(TabRFR[[2021]:[2025]],MATCH(BD!U552&amp;"-Intermédiaire",TabRFR[Recherche RFR],0),MATCH(TEXT(YEAR(BD!H552),"Standard"),TabRFR[[#Headers],[2021]:[2025]],0)),"Intermédiaire","Supérieur")))))))</f>
        <v>Supérieur</v>
      </c>
      <c r="X552" s="144"/>
      <c r="Y552" s="135" t="s">
        <v>2482</v>
      </c>
      <c r="Z552" s="144">
        <v>38340</v>
      </c>
      <c r="AA552" s="135" t="s">
        <v>266</v>
      </c>
      <c r="AB552" s="148"/>
      <c r="AC552" s="149"/>
      <c r="AD552" s="135" t="s">
        <v>91</v>
      </c>
      <c r="AE552" s="135"/>
      <c r="AF552" s="135"/>
      <c r="AG552" s="135"/>
      <c r="AH552" s="135"/>
      <c r="AI552" s="135" t="s">
        <v>2703</v>
      </c>
      <c r="AJ552" s="135" t="s">
        <v>266</v>
      </c>
      <c r="AK552" s="135" t="s">
        <v>2400</v>
      </c>
      <c r="AL552" s="150" t="s">
        <v>318</v>
      </c>
      <c r="AM552" s="135" t="s">
        <v>2401</v>
      </c>
      <c r="AN552" s="143" t="s">
        <v>76</v>
      </c>
      <c r="AO552" s="150" t="s">
        <v>102</v>
      </c>
      <c r="AP552" s="135">
        <v>45137</v>
      </c>
      <c r="AQ552" s="135" t="s">
        <v>3449</v>
      </c>
      <c r="AR552" s="135" t="s">
        <v>139</v>
      </c>
      <c r="AS552" s="135" t="s">
        <v>3496</v>
      </c>
      <c r="AT552" s="135" t="s">
        <v>3446</v>
      </c>
      <c r="AU552" s="135" t="s">
        <v>319</v>
      </c>
      <c r="AV552" s="135" t="s">
        <v>1237</v>
      </c>
      <c r="AW552" s="135"/>
      <c r="AX552" s="135"/>
      <c r="AY552" s="135"/>
      <c r="AZ552" s="135"/>
      <c r="BA552" s="135" t="s">
        <v>101</v>
      </c>
      <c r="BB552" s="135"/>
      <c r="BC552" s="151">
        <f>355.81+529.44+71.09+2350+225+191.02+78.6+78.6+82.9+1560</f>
        <v>5522.46</v>
      </c>
      <c r="BD552" s="135"/>
      <c r="BE552" s="151">
        <v>282.27999999999997</v>
      </c>
      <c r="BF552" s="151">
        <f>BC552+BE552</f>
        <v>5804.74</v>
      </c>
      <c r="BG552" s="151">
        <f t="shared" si="41"/>
        <v>319.26069999999999</v>
      </c>
      <c r="BH552" s="151">
        <f t="shared" si="42"/>
        <v>6124.0006999999996</v>
      </c>
      <c r="BI552" s="151">
        <v>6124</v>
      </c>
      <c r="BJ552" s="135" t="s">
        <v>144</v>
      </c>
      <c r="BK552" s="135"/>
      <c r="BL552" s="135"/>
      <c r="BM552" s="144" t="s">
        <v>3592</v>
      </c>
      <c r="BN552" s="143">
        <v>2022</v>
      </c>
      <c r="BO552" s="144" t="s">
        <v>143</v>
      </c>
      <c r="BP552" s="144">
        <v>2023</v>
      </c>
      <c r="BQ552" s="203" t="s">
        <v>144</v>
      </c>
    </row>
    <row r="553" spans="1:69" ht="41.1" customHeight="1">
      <c r="A553" s="218" t="s">
        <v>1705</v>
      </c>
      <c r="B553" s="218" t="s">
        <v>2483</v>
      </c>
      <c r="C553" s="143">
        <v>600</v>
      </c>
      <c r="D553" s="135">
        <v>44901</v>
      </c>
      <c r="E553" s="135">
        <v>44902</v>
      </c>
      <c r="F553" s="135" t="s">
        <v>76</v>
      </c>
      <c r="G553" s="135" t="s">
        <v>76</v>
      </c>
      <c r="H553" s="135">
        <v>44904</v>
      </c>
      <c r="I553" s="135">
        <v>44904</v>
      </c>
      <c r="J553" s="135">
        <v>44909</v>
      </c>
      <c r="K553" s="135">
        <v>44979</v>
      </c>
      <c r="L553" s="135">
        <v>44985</v>
      </c>
      <c r="M553" s="135">
        <v>45001</v>
      </c>
      <c r="N553" s="135" t="s">
        <v>1088</v>
      </c>
      <c r="O553" s="135">
        <v>45002</v>
      </c>
      <c r="P553" s="135">
        <v>45005</v>
      </c>
      <c r="Q553" s="135"/>
      <c r="R553" s="135"/>
      <c r="S553" s="135"/>
      <c r="T553" s="135"/>
      <c r="U553" s="144">
        <v>2</v>
      </c>
      <c r="V553" s="143">
        <v>45275</v>
      </c>
      <c r="W553" s="143" t="str">
        <f ca="1">IF(H553="",IF(D553="","",IF(U553+V553&lt;15,"Données Nb pers ou RFR manquantes",IF(COUNTA(INDIRECT("TabRFR["&amp;YEAR(D553)&amp;"]"))&lt;&gt;COUNTA(TabRFR[Recherche RFR]),"Data RFR manquantes", IF(V553&lt;=INDEX(TabRFR[[2021]:[2025]],MATCH(BD!U553&amp;"-Très modestes",TabRFR[Recherche RFR],0),MATCH(TEXT(YEAR(BD!D553),"Standard"),TabRFR[[#Headers],[2021]:[2025]],0)),"Très Modeste",IF(V553&lt;=INDEX(TabRFR[[2021]:[2025]],MATCH(BD!U553&amp;"-modestes",TabRFR[Recherche RFR],0),MATCH(TEXT(YEAR(BD!D553),"Standard"),TabRFR[[#Headers],[2021]:[2025]],0)),"Modeste",IF(V553&lt;=INDEX(TabRFR[[2021]:[2025]],MATCH(BD!U553&amp;"-Intermédiaire",TabRFR[Recherche RFR],0),MATCH(TEXT(YEAR(BD!D553),"Standard"),TabRFR[[#Headers],[2021]:[2025]],0)),"Intermédiaire","Supérieur")))))),IF(D553="","",IF(U553+V553&lt;15,"Données Nb pers ou RFR manquantes",IF(COUNTA(INDIRECT("TabRFR["&amp;YEAR(H553)&amp;"]"))&lt;&gt;COUNTA(TabRFR[Recherche RFR]),"Data RFR manquantes", IF(V553&lt;=INDEX(TabRFR[[2021]:[2025]],MATCH(BD!U553&amp;"-Très modestes",TabRFR[Recherche RFR],0),MATCH(TEXT(YEAR(BD!H553),"Standard"),TabRFR[[#Headers],[2021]:[2025]],0)),"Très Modeste",IF(V553&lt;=INDEX(TabRFR[[2021]:[2025]],MATCH(BD!U553&amp;"-modestes",TabRFR[Recherche RFR],0),MATCH(TEXT(YEAR(BD!H553),"Standard"),TabRFR[[#Headers],[2021]:[2025]],0)),"Modeste",IF(V553&lt;=INDEX(TabRFR[[2021]:[2025]],MATCH(BD!U553&amp;"-Intermédiaire",TabRFR[Recherche RFR],0),MATCH(TEXT(YEAR(BD!H553),"Standard"),TabRFR[[#Headers],[2021]:[2025]],0)),"Intermédiaire","Supérieur")))))))</f>
        <v>Supérieur</v>
      </c>
      <c r="X553" s="144"/>
      <c r="Y553" s="135" t="s">
        <v>1540</v>
      </c>
      <c r="Z553" s="144">
        <v>38340</v>
      </c>
      <c r="AA553" s="135" t="s">
        <v>266</v>
      </c>
      <c r="AB553" s="148"/>
      <c r="AC553" s="149"/>
      <c r="AD553" s="135" t="s">
        <v>91</v>
      </c>
      <c r="AE553" s="135"/>
      <c r="AF553" s="135"/>
      <c r="AG553" s="135"/>
      <c r="AH553" s="135"/>
      <c r="AI553" s="143" t="s">
        <v>1106</v>
      </c>
      <c r="AJ553" s="143" t="s">
        <v>1075</v>
      </c>
      <c r="AK553" s="143" t="s">
        <v>1107</v>
      </c>
      <c r="AL553" s="169" t="s">
        <v>1454</v>
      </c>
      <c r="AM553" s="148">
        <v>476663386</v>
      </c>
      <c r="AN553" s="143" t="s">
        <v>76</v>
      </c>
      <c r="AO553" s="150" t="s">
        <v>102</v>
      </c>
      <c r="AP553" s="147">
        <v>45096</v>
      </c>
      <c r="AQ553" s="135" t="s">
        <v>3449</v>
      </c>
      <c r="AR553" s="143">
        <v>1981</v>
      </c>
      <c r="AS553" s="135" t="s">
        <v>3496</v>
      </c>
      <c r="AT553" s="135" t="s">
        <v>3446</v>
      </c>
      <c r="AU553" s="135" t="s">
        <v>1815</v>
      </c>
      <c r="AV553" s="135" t="s">
        <v>2445</v>
      </c>
      <c r="AW553" s="135"/>
      <c r="AX553" s="135"/>
      <c r="AY553" s="135"/>
      <c r="AZ553" s="135"/>
      <c r="BA553" s="135" t="s">
        <v>101</v>
      </c>
      <c r="BB553" s="135"/>
      <c r="BC553" s="151">
        <f>2150.72+245+169+896+295+295+487+211+101</f>
        <v>4849.7199999999993</v>
      </c>
      <c r="BD553" s="135"/>
      <c r="BE553" s="151">
        <f>800+450</f>
        <v>1250</v>
      </c>
      <c r="BF553" s="151">
        <f>BC553+BE553</f>
        <v>6099.7199999999993</v>
      </c>
      <c r="BG553" s="151">
        <f t="shared" si="41"/>
        <v>335.48459999999994</v>
      </c>
      <c r="BH553" s="151">
        <f t="shared" si="42"/>
        <v>6435.2045999999991</v>
      </c>
      <c r="BI553" s="151">
        <v>6435.2</v>
      </c>
      <c r="BJ553" s="135" t="s">
        <v>144</v>
      </c>
      <c r="BK553" s="135"/>
      <c r="BL553" s="135"/>
      <c r="BM553" s="144" t="s">
        <v>3592</v>
      </c>
      <c r="BN553" s="143">
        <v>2022</v>
      </c>
      <c r="BO553" s="144" t="s">
        <v>143</v>
      </c>
      <c r="BP553" s="144">
        <v>2023</v>
      </c>
      <c r="BQ553" s="203" t="s">
        <v>144</v>
      </c>
    </row>
    <row r="554" spans="1:69" ht="41.1" customHeight="1">
      <c r="A554" s="145" t="s">
        <v>1705</v>
      </c>
      <c r="B554" s="145" t="s">
        <v>2484</v>
      </c>
      <c r="C554" s="143">
        <v>1000</v>
      </c>
      <c r="D554" s="135">
        <v>44903</v>
      </c>
      <c r="E554" s="135">
        <v>44907</v>
      </c>
      <c r="F554" s="135">
        <v>44910</v>
      </c>
      <c r="G554" s="135" t="s">
        <v>2485</v>
      </c>
      <c r="H554" s="135">
        <v>44963</v>
      </c>
      <c r="I554" s="135">
        <v>44963</v>
      </c>
      <c r="J554" s="135">
        <v>44966</v>
      </c>
      <c r="K554" s="135">
        <v>45147</v>
      </c>
      <c r="L554" s="135">
        <v>44859</v>
      </c>
      <c r="M554" s="135"/>
      <c r="N554" s="135"/>
      <c r="O554" s="135"/>
      <c r="P554" s="135"/>
      <c r="Q554" s="135">
        <v>45166</v>
      </c>
      <c r="R554" s="135" t="s">
        <v>2486</v>
      </c>
      <c r="S554" s="135"/>
      <c r="T554" s="135"/>
      <c r="U554" s="144">
        <v>3</v>
      </c>
      <c r="V554" s="143">
        <v>6357</v>
      </c>
      <c r="W554" s="143" t="str">
        <f ca="1">IF(H554="",IF(D554="","",IF(U554+V554&lt;15,"Données Nb pers ou RFR manquantes",IF(COUNTA(INDIRECT("TabRFR["&amp;YEAR(D554)&amp;"]"))&lt;&gt;COUNTA(TabRFR[Recherche RFR]),"Data RFR manquantes", IF(V554&lt;=INDEX(TabRFR[[2021]:[2025]],MATCH(BD!U554&amp;"-Très modestes",TabRFR[Recherche RFR],0),MATCH(TEXT(YEAR(BD!D554),"Standard"),TabRFR[[#Headers],[2021]:[2025]],0)),"Très Modeste",IF(V554&lt;=INDEX(TabRFR[[2021]:[2025]],MATCH(BD!U554&amp;"-modestes",TabRFR[Recherche RFR],0),MATCH(TEXT(YEAR(BD!D554),"Standard"),TabRFR[[#Headers],[2021]:[2025]],0)),"Modeste",IF(V554&lt;=INDEX(TabRFR[[2021]:[2025]],MATCH(BD!U554&amp;"-Intermédiaire",TabRFR[Recherche RFR],0),MATCH(TEXT(YEAR(BD!D554),"Standard"),TabRFR[[#Headers],[2021]:[2025]],0)),"Intermédiaire","Supérieur")))))),IF(D554="","",IF(U554+V554&lt;15,"Données Nb pers ou RFR manquantes",IF(COUNTA(INDIRECT("TabRFR["&amp;YEAR(H554)&amp;"]"))&lt;&gt;COUNTA(TabRFR[Recherche RFR]),"Data RFR manquantes", IF(V554&lt;=INDEX(TabRFR[[2021]:[2025]],MATCH(BD!U554&amp;"-Très modestes",TabRFR[Recherche RFR],0),MATCH(TEXT(YEAR(BD!H554),"Standard"),TabRFR[[#Headers],[2021]:[2025]],0)),"Très Modeste",IF(V554&lt;=INDEX(TabRFR[[2021]:[2025]],MATCH(BD!U554&amp;"-modestes",TabRFR[Recherche RFR],0),MATCH(TEXT(YEAR(BD!H554),"Standard"),TabRFR[[#Headers],[2021]:[2025]],0)),"Modeste",IF(V554&lt;=INDEX(TabRFR[[2021]:[2025]],MATCH(BD!U554&amp;"-Intermédiaire",TabRFR[Recherche RFR],0),MATCH(TEXT(YEAR(BD!H554),"Standard"),TabRFR[[#Headers],[2021]:[2025]],0)),"Intermédiaire","Supérieur")))))))</f>
        <v>Très Modeste</v>
      </c>
      <c r="X554" s="144"/>
      <c r="Y554" s="135" t="s">
        <v>2487</v>
      </c>
      <c r="Z554" s="144">
        <v>38500</v>
      </c>
      <c r="AA554" s="135" t="s">
        <v>108</v>
      </c>
      <c r="AB554" s="148"/>
      <c r="AC554" s="149"/>
      <c r="AD554" s="135" t="s">
        <v>91</v>
      </c>
      <c r="AE554" s="135"/>
      <c r="AF554" s="135"/>
      <c r="AG554" s="135"/>
      <c r="AH554" s="135"/>
      <c r="AI554" s="143" t="s">
        <v>185</v>
      </c>
      <c r="AJ554" s="143" t="s">
        <v>108</v>
      </c>
      <c r="AK554" s="143" t="s">
        <v>186</v>
      </c>
      <c r="AL554" s="150" t="s">
        <v>187</v>
      </c>
      <c r="AM554" s="148" t="s">
        <v>2383</v>
      </c>
      <c r="AN554" s="143" t="s">
        <v>76</v>
      </c>
      <c r="AO554" s="150" t="s">
        <v>102</v>
      </c>
      <c r="AP554" s="147">
        <v>45163</v>
      </c>
      <c r="AQ554" s="135" t="s">
        <v>3496</v>
      </c>
      <c r="AR554" s="143">
        <v>1970</v>
      </c>
      <c r="AS554" s="143" t="s">
        <v>3413</v>
      </c>
      <c r="AT554" s="143" t="s">
        <v>98</v>
      </c>
      <c r="AU554" s="135" t="s">
        <v>1670</v>
      </c>
      <c r="AV554" s="135" t="s">
        <v>2154</v>
      </c>
      <c r="AW554" s="135"/>
      <c r="AX554" s="135"/>
      <c r="AY554" s="135"/>
      <c r="AZ554" s="135"/>
      <c r="BA554" s="135" t="s">
        <v>101</v>
      </c>
      <c r="BB554" s="135"/>
      <c r="BC554" s="151">
        <f>5290+380+404+271.35+324.5+35</f>
        <v>6704.85</v>
      </c>
      <c r="BD554" s="135"/>
      <c r="BE554" s="151">
        <v>630</v>
      </c>
      <c r="BF554" s="151">
        <f>BC554+BE554-300</f>
        <v>7034.85</v>
      </c>
      <c r="BG554" s="151">
        <f t="shared" si="41"/>
        <v>386.91675000000004</v>
      </c>
      <c r="BH554" s="151">
        <f t="shared" si="42"/>
        <v>7421.7667500000007</v>
      </c>
      <c r="BI554" s="143">
        <v>7421.77</v>
      </c>
      <c r="BJ554" s="135" t="s">
        <v>102</v>
      </c>
      <c r="BK554" s="135"/>
      <c r="BL554" s="135"/>
      <c r="BM554" s="144" t="s">
        <v>3592</v>
      </c>
      <c r="BN554" s="143">
        <v>2023</v>
      </c>
      <c r="BO554" s="135" t="s">
        <v>155</v>
      </c>
      <c r="BP554" s="203" t="s">
        <v>3582</v>
      </c>
      <c r="BQ554" s="203" t="s">
        <v>3273</v>
      </c>
    </row>
    <row r="555" spans="1:69" ht="41.1" customHeight="1">
      <c r="A555" s="218" t="s">
        <v>1705</v>
      </c>
      <c r="B555" s="218" t="s">
        <v>2488</v>
      </c>
      <c r="C555" s="143">
        <v>600</v>
      </c>
      <c r="D555" s="135">
        <v>44907</v>
      </c>
      <c r="E555" s="135">
        <v>44910</v>
      </c>
      <c r="F555" s="135" t="s">
        <v>76</v>
      </c>
      <c r="G555" s="135" t="s">
        <v>76</v>
      </c>
      <c r="H555" s="135">
        <v>44910</v>
      </c>
      <c r="I555" s="135">
        <v>44910</v>
      </c>
      <c r="J555" s="135">
        <v>44931</v>
      </c>
      <c r="K555" s="135">
        <v>45135</v>
      </c>
      <c r="L555" s="135">
        <v>45126</v>
      </c>
      <c r="M555" s="135" t="s">
        <v>76</v>
      </c>
      <c r="N555" s="135">
        <v>45145</v>
      </c>
      <c r="O555" s="135">
        <v>45145</v>
      </c>
      <c r="P555" s="135">
        <v>45146</v>
      </c>
      <c r="Q555" s="135"/>
      <c r="R555" s="135"/>
      <c r="S555" s="135"/>
      <c r="T555" s="135"/>
      <c r="U555" s="144">
        <v>1</v>
      </c>
      <c r="V555" s="143">
        <v>19645</v>
      </c>
      <c r="W555" s="143" t="str">
        <f ca="1">IF(H555="",IF(D555="","",IF(U555+V555&lt;15,"Données Nb pers ou RFR manquantes",IF(COUNTA(INDIRECT("TabRFR["&amp;YEAR(D555)&amp;"]"))&lt;&gt;COUNTA(TabRFR[Recherche RFR]),"Data RFR manquantes", IF(V555&lt;=INDEX(TabRFR[[2021]:[2025]],MATCH(BD!U555&amp;"-Très modestes",TabRFR[Recherche RFR],0),MATCH(TEXT(YEAR(BD!D555),"Standard"),TabRFR[[#Headers],[2021]:[2025]],0)),"Très Modeste",IF(V555&lt;=INDEX(TabRFR[[2021]:[2025]],MATCH(BD!U555&amp;"-modestes",TabRFR[Recherche RFR],0),MATCH(TEXT(YEAR(BD!D555),"Standard"),TabRFR[[#Headers],[2021]:[2025]],0)),"Modeste",IF(V555&lt;=INDEX(TabRFR[[2021]:[2025]],MATCH(BD!U555&amp;"-Intermédiaire",TabRFR[Recherche RFR],0),MATCH(TEXT(YEAR(BD!D555),"Standard"),TabRFR[[#Headers],[2021]:[2025]],0)),"Intermédiaire","Supérieur")))))),IF(D555="","",IF(U555+V555&lt;15,"Données Nb pers ou RFR manquantes",IF(COUNTA(INDIRECT("TabRFR["&amp;YEAR(H555)&amp;"]"))&lt;&gt;COUNTA(TabRFR[Recherche RFR]),"Data RFR manquantes", IF(V555&lt;=INDEX(TabRFR[[2021]:[2025]],MATCH(BD!U555&amp;"-Très modestes",TabRFR[Recherche RFR],0),MATCH(TEXT(YEAR(BD!H555),"Standard"),TabRFR[[#Headers],[2021]:[2025]],0)),"Très Modeste",IF(V555&lt;=INDEX(TabRFR[[2021]:[2025]],MATCH(BD!U555&amp;"-modestes",TabRFR[Recherche RFR],0),MATCH(TEXT(YEAR(BD!H555),"Standard"),TabRFR[[#Headers],[2021]:[2025]],0)),"Modeste",IF(V555&lt;=INDEX(TabRFR[[2021]:[2025]],MATCH(BD!U555&amp;"-Intermédiaire",TabRFR[Recherche RFR],0),MATCH(TEXT(YEAR(BD!H555),"Standard"),TabRFR[[#Headers],[2021]:[2025]],0)),"Intermédiaire","Supérieur")))))))</f>
        <v>Intermédiaire</v>
      </c>
      <c r="X555" s="144"/>
      <c r="Y555" s="135" t="s">
        <v>2489</v>
      </c>
      <c r="Z555" s="144">
        <v>38140</v>
      </c>
      <c r="AA555" s="135" t="s">
        <v>219</v>
      </c>
      <c r="AB555" s="148"/>
      <c r="AC555" s="149"/>
      <c r="AD555" s="135" t="s">
        <v>91</v>
      </c>
      <c r="AE555" s="135"/>
      <c r="AF555" s="135"/>
      <c r="AG555" s="135"/>
      <c r="AH555" s="135"/>
      <c r="AI555" s="135" t="s">
        <v>285</v>
      </c>
      <c r="AJ555" s="135" t="s">
        <v>108</v>
      </c>
      <c r="AK555" s="135" t="s">
        <v>2227</v>
      </c>
      <c r="AL555" s="170" t="s">
        <v>287</v>
      </c>
      <c r="AM555" s="135" t="s">
        <v>2184</v>
      </c>
      <c r="AN555" s="135"/>
      <c r="AO555" s="135" t="s">
        <v>102</v>
      </c>
      <c r="AP555" s="135">
        <v>45187</v>
      </c>
      <c r="AQ555" s="135" t="s">
        <v>3496</v>
      </c>
      <c r="AR555" s="143">
        <v>1990</v>
      </c>
      <c r="AS555" s="143" t="s">
        <v>3413</v>
      </c>
      <c r="AT555" s="135" t="s">
        <v>3446</v>
      </c>
      <c r="AU555" s="135" t="s">
        <v>532</v>
      </c>
      <c r="AV555" s="135" t="s">
        <v>2228</v>
      </c>
      <c r="AW555" s="135"/>
      <c r="AX555" s="135"/>
      <c r="AY555" s="135"/>
      <c r="AZ555" s="135"/>
      <c r="BA555" s="135" t="s">
        <v>101</v>
      </c>
      <c r="BB555" s="135"/>
      <c r="BC555" s="151">
        <f>255.84+295+215+2810+340</f>
        <v>3915.84</v>
      </c>
      <c r="BD555" s="135"/>
      <c r="BE555" s="151">
        <v>330</v>
      </c>
      <c r="BF555" s="151">
        <f>BC555+BE555</f>
        <v>4245.84</v>
      </c>
      <c r="BG555" s="151">
        <f t="shared" si="41"/>
        <v>233.52120000000002</v>
      </c>
      <c r="BH555" s="151">
        <f t="shared" si="42"/>
        <v>4479.3612000000003</v>
      </c>
      <c r="BI555" s="143">
        <v>4194.5200000000004</v>
      </c>
      <c r="BJ555" s="135" t="s">
        <v>103</v>
      </c>
      <c r="BK555" s="135"/>
      <c r="BL555" s="135"/>
      <c r="BM555" s="144" t="s">
        <v>3592</v>
      </c>
      <c r="BN555" s="143">
        <v>2022</v>
      </c>
      <c r="BO555" s="144" t="s">
        <v>143</v>
      </c>
      <c r="BP555" s="144">
        <v>2023</v>
      </c>
      <c r="BQ555" s="203" t="s">
        <v>3274</v>
      </c>
    </row>
    <row r="556" spans="1:69" ht="41.1" customHeight="1">
      <c r="A556" s="219" t="s">
        <v>1705</v>
      </c>
      <c r="B556" s="219" t="s">
        <v>2490</v>
      </c>
      <c r="C556" s="143">
        <f ca="1">IF(W556="Très modeste",1000,IF(W556="Modeste",1000,IF(W556="Intermédiaire",600,IF(W556="Supérieur",600,"Non calculé"))))</f>
        <v>600</v>
      </c>
      <c r="D556" s="135">
        <v>44910</v>
      </c>
      <c r="E556" s="135">
        <v>44911</v>
      </c>
      <c r="F556" s="135">
        <v>44911</v>
      </c>
      <c r="G556" s="135" t="s">
        <v>2491</v>
      </c>
      <c r="H556" s="135">
        <v>44978</v>
      </c>
      <c r="I556" s="135">
        <v>44978</v>
      </c>
      <c r="J556" s="135">
        <v>44992</v>
      </c>
      <c r="K556" s="135"/>
      <c r="L556" s="135"/>
      <c r="M556" s="135" t="s">
        <v>3302</v>
      </c>
      <c r="N556" s="135"/>
      <c r="O556" s="135"/>
      <c r="P556" s="135"/>
      <c r="Q556" s="135"/>
      <c r="R556" s="135"/>
      <c r="S556" s="135"/>
      <c r="T556" s="135"/>
      <c r="U556" s="144">
        <v>2</v>
      </c>
      <c r="V556" s="143">
        <v>66004</v>
      </c>
      <c r="W556" s="143" t="str">
        <f ca="1">IF(H556="",IF(D556="","",IF(U556+V556&lt;15,"Données Nb pers ou RFR manquantes",IF(COUNTA(INDIRECT("TabRFR["&amp;YEAR(D556)&amp;"]"))&lt;&gt;COUNTA(TabRFR[Recherche RFR]),"Data RFR manquantes", IF(V556&lt;=INDEX(TabRFR[[2021]:[2025]],MATCH(BD!U556&amp;"-Très modestes",TabRFR[Recherche RFR],0),MATCH(TEXT(YEAR(BD!D556),"Standard"),TabRFR[[#Headers],[2021]:[2025]],0)),"Très Modeste",IF(V556&lt;=INDEX(TabRFR[[2021]:[2025]],MATCH(BD!U556&amp;"-modestes",TabRFR[Recherche RFR],0),MATCH(TEXT(YEAR(BD!D556),"Standard"),TabRFR[[#Headers],[2021]:[2025]],0)),"Modeste",IF(V556&lt;=INDEX(TabRFR[[2021]:[2025]],MATCH(BD!U556&amp;"-Intermédiaire",TabRFR[Recherche RFR],0),MATCH(TEXT(YEAR(BD!D556),"Standard"),TabRFR[[#Headers],[2021]:[2025]],0)),"Intermédiaire","Supérieur")))))),IF(D556="","",IF(U556+V556&lt;15,"Données Nb pers ou RFR manquantes",IF(COUNTA(INDIRECT("TabRFR["&amp;YEAR(H556)&amp;"]"))&lt;&gt;COUNTA(TabRFR[Recherche RFR]),"Data RFR manquantes", IF(V556&lt;=INDEX(TabRFR[[2021]:[2025]],MATCH(BD!U556&amp;"-Très modestes",TabRFR[Recherche RFR],0),MATCH(TEXT(YEAR(BD!H556),"Standard"),TabRFR[[#Headers],[2021]:[2025]],0)),"Très Modeste",IF(V556&lt;=INDEX(TabRFR[[2021]:[2025]],MATCH(BD!U556&amp;"-modestes",TabRFR[Recherche RFR],0),MATCH(TEXT(YEAR(BD!H556),"Standard"),TabRFR[[#Headers],[2021]:[2025]],0)),"Modeste",IF(V556&lt;=INDEX(TabRFR[[2021]:[2025]],MATCH(BD!U556&amp;"-Intermédiaire",TabRFR[Recherche RFR],0),MATCH(TEXT(YEAR(BD!H556),"Standard"),TabRFR[[#Headers],[2021]:[2025]],0)),"Intermédiaire","Supérieur")))))))</f>
        <v>Supérieur</v>
      </c>
      <c r="X556" s="144"/>
      <c r="Y556" s="135" t="s">
        <v>601</v>
      </c>
      <c r="Z556" s="144">
        <v>38620</v>
      </c>
      <c r="AA556" s="135" t="s">
        <v>262</v>
      </c>
      <c r="AB556" s="190"/>
      <c r="AC556" s="149"/>
      <c r="AD556" s="135" t="s">
        <v>91</v>
      </c>
      <c r="AE556" s="135"/>
      <c r="AF556" s="135"/>
      <c r="AG556" s="135"/>
      <c r="AH556" s="135"/>
      <c r="AI556" s="143" t="s">
        <v>1436</v>
      </c>
      <c r="AJ556" s="143" t="s">
        <v>136</v>
      </c>
      <c r="AK556" s="143" t="s">
        <v>211</v>
      </c>
      <c r="AL556" s="150" t="s">
        <v>1418</v>
      </c>
      <c r="AM556" s="148">
        <v>474432868</v>
      </c>
      <c r="AN556" s="143" t="s">
        <v>76</v>
      </c>
      <c r="AO556" s="150" t="s">
        <v>102</v>
      </c>
      <c r="AP556" s="147">
        <v>45052</v>
      </c>
      <c r="AQ556" s="135" t="s">
        <v>3496</v>
      </c>
      <c r="AR556" s="143" t="s">
        <v>139</v>
      </c>
      <c r="AS556" s="143" t="s">
        <v>3413</v>
      </c>
      <c r="AT556" s="143" t="s">
        <v>98</v>
      </c>
      <c r="AU556" s="135" t="s">
        <v>214</v>
      </c>
      <c r="AV556" s="135" t="s">
        <v>2492</v>
      </c>
      <c r="AW556" s="143">
        <v>15</v>
      </c>
      <c r="AX556" s="143" t="s">
        <v>2493</v>
      </c>
      <c r="AY556" s="143">
        <v>90</v>
      </c>
      <c r="AZ556" s="143" t="s">
        <v>2494</v>
      </c>
      <c r="BA556" s="135" t="s">
        <v>101</v>
      </c>
      <c r="BB556" s="135"/>
      <c r="BC556" s="151">
        <f>5720+274+838+169+172+46</f>
        <v>7219</v>
      </c>
      <c r="BD556" s="135"/>
      <c r="BE556" s="151">
        <v>800</v>
      </c>
      <c r="BF556" s="151">
        <f>BC556+BE556</f>
        <v>8019</v>
      </c>
      <c r="BG556" s="151">
        <f t="shared" si="41"/>
        <v>441.04500000000002</v>
      </c>
      <c r="BH556" s="151">
        <f t="shared" si="42"/>
        <v>8460.0450000000001</v>
      </c>
      <c r="BI556" s="143"/>
      <c r="BJ556" s="135" t="s">
        <v>144</v>
      </c>
      <c r="BK556" s="135"/>
      <c r="BL556" s="135"/>
      <c r="BM556" s="144" t="s">
        <v>3592</v>
      </c>
      <c r="BN556" s="143">
        <v>2023</v>
      </c>
      <c r="BO556" s="144" t="s">
        <v>143</v>
      </c>
      <c r="BP556" s="143" t="s">
        <v>3583</v>
      </c>
      <c r="BQ556" s="203"/>
    </row>
    <row r="557" spans="1:69" ht="41.1" customHeight="1">
      <c r="A557" s="218" t="s">
        <v>1705</v>
      </c>
      <c r="B557" s="218" t="s">
        <v>2495</v>
      </c>
      <c r="C557" s="143">
        <f ca="1">IF(W557="Très modeste",1000,IF(W557="Modeste",1000,IF(W557="Intermédiaire",600,IF(W557="Supérieur",600,"Non calculé"))))</f>
        <v>600</v>
      </c>
      <c r="D557" s="135">
        <v>44915</v>
      </c>
      <c r="E557" s="135" t="s">
        <v>76</v>
      </c>
      <c r="F557" s="135">
        <v>44915</v>
      </c>
      <c r="G557" s="135" t="s">
        <v>2496</v>
      </c>
      <c r="H557" s="135">
        <v>44936</v>
      </c>
      <c r="I557" s="135">
        <v>44936</v>
      </c>
      <c r="J557" s="135">
        <v>44960</v>
      </c>
      <c r="K557" s="135">
        <v>45098</v>
      </c>
      <c r="L557" s="135">
        <v>45093</v>
      </c>
      <c r="M557" s="135" t="s">
        <v>76</v>
      </c>
      <c r="N557" s="135">
        <v>45100</v>
      </c>
      <c r="O557" s="135">
        <v>45100</v>
      </c>
      <c r="P557" s="135">
        <v>45103</v>
      </c>
      <c r="Q557" s="135"/>
      <c r="R557" s="135"/>
      <c r="S557" s="135"/>
      <c r="T557" s="135"/>
      <c r="U557" s="144">
        <v>5</v>
      </c>
      <c r="V557" s="143">
        <v>99492</v>
      </c>
      <c r="W557" s="143" t="str">
        <f ca="1">IF(H557="",IF(D557="","",IF(U557+V557&lt;15,"Données Nb pers ou RFR manquantes",IF(COUNTA(INDIRECT("TabRFR["&amp;YEAR(D557)&amp;"]"))&lt;&gt;COUNTA(TabRFR[Recherche RFR]),"Data RFR manquantes", IF(V557&lt;=INDEX(TabRFR[[2021]:[2025]],MATCH(BD!U557&amp;"-Très modestes",TabRFR[Recherche RFR],0),MATCH(TEXT(YEAR(BD!D557),"Standard"),TabRFR[[#Headers],[2021]:[2025]],0)),"Très Modeste",IF(V557&lt;=INDEX(TabRFR[[2021]:[2025]],MATCH(BD!U557&amp;"-modestes",TabRFR[Recherche RFR],0),MATCH(TEXT(YEAR(BD!D557),"Standard"),TabRFR[[#Headers],[2021]:[2025]],0)),"Modeste",IF(V557&lt;=INDEX(TabRFR[[2021]:[2025]],MATCH(BD!U557&amp;"-Intermédiaire",TabRFR[Recherche RFR],0),MATCH(TEXT(YEAR(BD!D557),"Standard"),TabRFR[[#Headers],[2021]:[2025]],0)),"Intermédiaire","Supérieur")))))),IF(D557="","",IF(U557+V557&lt;15,"Données Nb pers ou RFR manquantes",IF(COUNTA(INDIRECT("TabRFR["&amp;YEAR(H557)&amp;"]"))&lt;&gt;COUNTA(TabRFR[Recherche RFR]),"Data RFR manquantes", IF(V557&lt;=INDEX(TabRFR[[2021]:[2025]],MATCH(BD!U557&amp;"-Très modestes",TabRFR[Recherche RFR],0),MATCH(TEXT(YEAR(BD!H557),"Standard"),TabRFR[[#Headers],[2021]:[2025]],0)),"Très Modeste",IF(V557&lt;=INDEX(TabRFR[[2021]:[2025]],MATCH(BD!U557&amp;"-modestes",TabRFR[Recherche RFR],0),MATCH(TEXT(YEAR(BD!H557),"Standard"),TabRFR[[#Headers],[2021]:[2025]],0)),"Modeste",IF(V557&lt;=INDEX(TabRFR[[2021]:[2025]],MATCH(BD!U557&amp;"-Intermédiaire",TabRFR[Recherche RFR],0),MATCH(TEXT(YEAR(BD!H557),"Standard"),TabRFR[[#Headers],[2021]:[2025]],0)),"Intermédiaire","Supérieur")))))))</f>
        <v>Supérieur</v>
      </c>
      <c r="X557" s="144"/>
      <c r="Y557" s="135" t="s">
        <v>2497</v>
      </c>
      <c r="Z557" s="144">
        <v>38500</v>
      </c>
      <c r="AA557" s="135" t="s">
        <v>108</v>
      </c>
      <c r="AB557" s="148"/>
      <c r="AC557" s="149"/>
      <c r="AD557" s="135" t="s">
        <v>91</v>
      </c>
      <c r="AE557" s="135"/>
      <c r="AF557" s="135"/>
      <c r="AG557" s="135"/>
      <c r="AH557" s="135"/>
      <c r="AI557" s="135" t="s">
        <v>169</v>
      </c>
      <c r="AJ557" s="135" t="s">
        <v>119</v>
      </c>
      <c r="AK557" s="135" t="s">
        <v>2192</v>
      </c>
      <c r="AL557" s="170" t="s">
        <v>171</v>
      </c>
      <c r="AM557" s="148" t="s">
        <v>1406</v>
      </c>
      <c r="AN557" s="135"/>
      <c r="AO557" s="150" t="s">
        <v>102</v>
      </c>
      <c r="AP557" s="135">
        <v>45248</v>
      </c>
      <c r="AQ557" s="135" t="s">
        <v>3496</v>
      </c>
      <c r="AR557" s="143">
        <v>1994</v>
      </c>
      <c r="AS557" s="143" t="s">
        <v>3413</v>
      </c>
      <c r="AT557" s="135" t="s">
        <v>3446</v>
      </c>
      <c r="AU557" s="143" t="s">
        <v>2348</v>
      </c>
      <c r="AV557" s="135" t="s">
        <v>2498</v>
      </c>
      <c r="AW557" s="143"/>
      <c r="AX557" s="143"/>
      <c r="AY557" s="143"/>
      <c r="AZ557" s="143"/>
      <c r="BA557" s="135" t="s">
        <v>101</v>
      </c>
      <c r="BB557" s="135"/>
      <c r="BC557" s="151">
        <f>75.79+284.48+274.35+61.05+844.54+150.26+104.32+271.92+79.59+91.03+56+102.68+770+3200+228+110+45.35</f>
        <v>6749.3600000000006</v>
      </c>
      <c r="BD557" s="135"/>
      <c r="BE557" s="151">
        <v>425</v>
      </c>
      <c r="BF557" s="151">
        <f>BC557+BE557</f>
        <v>7174.3600000000006</v>
      </c>
      <c r="BG557" s="151">
        <f t="shared" si="41"/>
        <v>394.58980000000003</v>
      </c>
      <c r="BH557" s="151">
        <f t="shared" si="42"/>
        <v>7568.9498000000003</v>
      </c>
      <c r="BI557" s="143">
        <v>7568.95</v>
      </c>
      <c r="BJ557" s="135" t="s">
        <v>1391</v>
      </c>
      <c r="BK557" s="135"/>
      <c r="BL557" s="135"/>
      <c r="BM557" s="144" t="s">
        <v>3592</v>
      </c>
      <c r="BN557" s="143">
        <v>2023</v>
      </c>
      <c r="BO557" s="144" t="s">
        <v>143</v>
      </c>
      <c r="BP557" s="144">
        <v>2023</v>
      </c>
      <c r="BQ557" s="203" t="s">
        <v>3274</v>
      </c>
    </row>
    <row r="558" spans="1:69" ht="41.1" customHeight="1">
      <c r="A558" s="218" t="s">
        <v>1705</v>
      </c>
      <c r="B558" s="218" t="s">
        <v>2499</v>
      </c>
      <c r="C558" s="143">
        <v>600</v>
      </c>
      <c r="D558" s="135">
        <v>44915</v>
      </c>
      <c r="E558" s="135">
        <v>44916</v>
      </c>
      <c r="F558" s="135" t="s">
        <v>76</v>
      </c>
      <c r="G558" s="135" t="s">
        <v>76</v>
      </c>
      <c r="H558" s="135">
        <v>44916</v>
      </c>
      <c r="I558" s="135">
        <v>44916</v>
      </c>
      <c r="J558" s="135">
        <v>44931</v>
      </c>
      <c r="K558" s="135">
        <v>44956</v>
      </c>
      <c r="L558" s="135">
        <v>44937</v>
      </c>
      <c r="M558" s="135" t="s">
        <v>76</v>
      </c>
      <c r="N558" s="135">
        <v>44974</v>
      </c>
      <c r="O558" s="135">
        <v>44974</v>
      </c>
      <c r="P558" s="135">
        <v>44977</v>
      </c>
      <c r="Q558" s="135"/>
      <c r="R558" s="135"/>
      <c r="S558" s="135"/>
      <c r="T558" s="135"/>
      <c r="U558" s="144">
        <v>2</v>
      </c>
      <c r="V558" s="143">
        <v>46454</v>
      </c>
      <c r="W558" s="143" t="str">
        <f t="array" aca="1" ref="W558" ca="1">IF(H558="",IF(D558="","",IF(U558+V558&lt;15,"Données Nb pers ou RFR manquantes",IF(COUNTA(INDIRECT("TabRFR["&amp;YEAR(D558)&amp;"]"))&lt;&gt;COUNTA(TabRFR[Recherche RFR]),"Data RFR manquantes", IF(V558&lt;=INDEX(TabRFR[[2021]:[2025]],MATCH(BD!U558&amp;"-Très modestes",TabRFR[Recherche RFR],0),MATCH(TEXT(YEAR(BD!D558),"Standard"),TabRFR[[#Headers],[2021]:[2025]],0)),"Très Modeste",IF(V558&lt;=INDEX(TabRFR[[2021]:[2025]],MATCH(BD!U558&amp;"-modestes",TabRFR[Recherche RFR],0),MATCH(TEXT(YEAR(BD!D558),"Standard"),TabRFR[[#Headers],[2021]:[2025]],0)),"Modeste",IF(V558&lt;=INDEX(TabRFR[[2021]:[2025]],MATCH(BD!U558&amp;"-Intermédiaire",TabRFR[Recherche RFR],0),MATCH(TEXT(YEAR(BD!D558),"Standard"),TabRFR[[#Headers],[2021]:[2025]],0)),"Intermédiaire","Supérieur")))))),IF(D558="","",IF(U558+V558&lt;15,"Données Nb pers ou RFR manquantes",IF(COUNTA(INDIRECT("TabRFR["&amp;YEAR(H558)&amp;"]"))&lt;&gt;COUNTA(TabRFR[Recherche RFR]),"Data RFR manquantes", IF(V558&lt;=INDEX(TabRFR[[2021]:[2025]],MATCH(BD!U558&amp;"-Très modestes",TabRFR[Recherche RFR],0),MATCH(TEXT(YEAR(BD!H558),"Standard"),TabRFR[[#Headers],[2021]:[2025]],0)),"Très Modeste",IF(V558&lt;=INDEX(TabRFR[[2021]:[2025]],MATCH(BD!U558&amp;"-modestes",TabRFR[Recherche RFR],0),MATCH(TEXT(YEAR(BD!H558),"Standard"),TabRFR[[#Headers],[2021]:[2025]],0)),"Modeste",IF(V558&lt;=INDEX(TabRFR[[2021]:[2025]],MATCH(BD!U558&amp;"-Intermédiaire",TabRFR[Recherche RFR],0),MATCH(TEXT(YEAR(BD!H558),"Standard"),TabRFR[[#Headers],[2021]:[2025]],0)),"Intermédiaire","Supérieur")))))))</f>
        <v>Supérieur</v>
      </c>
      <c r="X558" s="144"/>
      <c r="Y558" s="135" t="s">
        <v>2458</v>
      </c>
      <c r="Z558" s="144">
        <v>38430</v>
      </c>
      <c r="AA558" s="143" t="s">
        <v>351</v>
      </c>
      <c r="AB558" s="148"/>
      <c r="AC558" s="149"/>
      <c r="AD558" s="135" t="s">
        <v>91</v>
      </c>
      <c r="AE558" s="135"/>
      <c r="AF558" s="135"/>
      <c r="AG558" s="135"/>
      <c r="AH558" s="135"/>
      <c r="AI558" s="135" t="s">
        <v>169</v>
      </c>
      <c r="AJ558" s="135" t="s">
        <v>119</v>
      </c>
      <c r="AK558" s="135" t="s">
        <v>2192</v>
      </c>
      <c r="AL558" s="170" t="s">
        <v>171</v>
      </c>
      <c r="AM558" s="148" t="s">
        <v>1406</v>
      </c>
      <c r="AN558" s="135"/>
      <c r="AO558" s="150" t="s">
        <v>102</v>
      </c>
      <c r="AP558" s="135">
        <v>45248</v>
      </c>
      <c r="AQ558" s="135" t="s">
        <v>3449</v>
      </c>
      <c r="AR558" s="143">
        <v>1985</v>
      </c>
      <c r="AS558" s="135" t="s">
        <v>3496</v>
      </c>
      <c r="AT558" s="135" t="s">
        <v>3446</v>
      </c>
      <c r="AU558" s="135" t="s">
        <v>2042</v>
      </c>
      <c r="AV558" s="135" t="s">
        <v>526</v>
      </c>
      <c r="AW558" s="143"/>
      <c r="AX558" s="143"/>
      <c r="AY558" s="143"/>
      <c r="AZ558" s="143"/>
      <c r="BA558" s="135" t="s">
        <v>101</v>
      </c>
      <c r="BB558" s="135"/>
      <c r="BC558" s="151">
        <f>482.94+480+46.35+58.35+99.09+465.75+1825+590.56+266.4+178.25</f>
        <v>4492.6899999999996</v>
      </c>
      <c r="BD558" s="135"/>
      <c r="BE558" s="151">
        <f>128.99+950</f>
        <v>1078.99</v>
      </c>
      <c r="BF558" s="151">
        <f>BC558+BE558</f>
        <v>5571.6799999999994</v>
      </c>
      <c r="BG558" s="151">
        <f t="shared" si="41"/>
        <v>306.44239999999996</v>
      </c>
      <c r="BH558" s="151">
        <f t="shared" si="42"/>
        <v>5878.1223999999993</v>
      </c>
      <c r="BI558" s="151">
        <f>BH558</f>
        <v>5878.1223999999993</v>
      </c>
      <c r="BJ558" s="135" t="s">
        <v>1391</v>
      </c>
      <c r="BK558" s="135"/>
      <c r="BL558" s="135"/>
      <c r="BM558" s="144" t="s">
        <v>3592</v>
      </c>
      <c r="BN558" s="143">
        <v>2022</v>
      </c>
      <c r="BO558" s="144" t="s">
        <v>143</v>
      </c>
      <c r="BP558" s="144">
        <v>2023</v>
      </c>
      <c r="BQ558" s="203" t="s">
        <v>3274</v>
      </c>
    </row>
    <row r="559" spans="1:69" ht="41.1" customHeight="1">
      <c r="A559" s="218" t="s">
        <v>1705</v>
      </c>
      <c r="B559" s="218" t="s">
        <v>2500</v>
      </c>
      <c r="C559" s="143">
        <f t="shared" ref="C559:C592" ca="1" si="44">IF(W559="Très modeste",1000,IF(W559="Modeste",1000,IF(W559="Intermédiaire",600,IF(W559="Supérieur",600,"Non calculé"))))</f>
        <v>600</v>
      </c>
      <c r="D559" s="135">
        <v>44918</v>
      </c>
      <c r="E559" s="135">
        <v>44929</v>
      </c>
      <c r="F559" s="135" t="s">
        <v>76</v>
      </c>
      <c r="G559" s="135" t="s">
        <v>76</v>
      </c>
      <c r="H559" s="135">
        <v>44963</v>
      </c>
      <c r="I559" s="135">
        <v>44963</v>
      </c>
      <c r="J559" s="135">
        <v>44966</v>
      </c>
      <c r="K559" s="135">
        <v>45043</v>
      </c>
      <c r="L559" s="135">
        <v>45040</v>
      </c>
      <c r="M559" s="135" t="s">
        <v>76</v>
      </c>
      <c r="N559" s="135">
        <v>45048</v>
      </c>
      <c r="O559" s="135">
        <v>45048</v>
      </c>
      <c r="P559" s="135">
        <v>45050</v>
      </c>
      <c r="Q559" s="135"/>
      <c r="R559" s="135"/>
      <c r="S559" s="135"/>
      <c r="T559" s="135"/>
      <c r="U559" s="144">
        <v>1</v>
      </c>
      <c r="V559" s="143">
        <v>78683</v>
      </c>
      <c r="W559" s="143" t="str">
        <f ca="1">IF(H559="",IF(D559="","",IF(U559+V559&lt;15,"Données Nb pers ou RFR manquantes",IF(COUNTA(INDIRECT("TabRFR["&amp;YEAR(D559)&amp;"]"))&lt;&gt;COUNTA(TabRFR[Recherche RFR]),"Data RFR manquantes", IF(V559&lt;=INDEX(TabRFR[[2023]:[2025]],MATCH(BD!U559&amp;"-Très modestes",TabRFR[Recherche RFR],0),MATCH(TEXT(YEAR(BD!D559),"Standard"),TabRFR[[#Headers],[2023]:[2025]],0)),"Très Modeste",IF(V559&lt;=INDEX(TabRFR[[2023]:[2025]],MATCH(BD!U559&amp;"-modestes",TabRFR[Recherche RFR],0),MATCH(TEXT(YEAR(BD!D559),"Standard"),TabRFR[[#Headers],[2023]:[2025]],0)),"Modeste",IF(V559&lt;=INDEX(TabRFR[[2023]:[2025]],MATCH(BD!U559&amp;"-Intermédiaire",TabRFR[Recherche RFR],0),MATCH(TEXT(YEAR(BD!D559),"Standard"),TabRFR[[#Headers],[2023]:[2025]],0)),"Intermédiaire","Supérieur")))))),IF(D559="","",IF(U559+V559&lt;15,"Données Nb pers ou RFR manquantes",IF(COUNTA(INDIRECT("TabRFR["&amp;YEAR(H559)&amp;"]"))&lt;&gt;COUNTA(TabRFR[Recherche RFR]),"Data RFR manquantes", IF(V559&lt;=INDEX(TabRFR[[2023]:[2025]],MATCH(BD!U559&amp;"-Très modestes",TabRFR[Recherche RFR],0),MATCH(TEXT(YEAR(BD!H559),"Standard"),TabRFR[[#Headers],[2023]:[2025]],0)),"Très Modeste",IF(V559&lt;=INDEX(TabRFR[[2023]:[2025]],MATCH(BD!U559&amp;"-modestes",TabRFR[Recherche RFR],0),MATCH(TEXT(YEAR(BD!H559),"Standard"),TabRFR[[#Headers],[2023]:[2025]],0)),"Modeste",IF(V559&lt;=INDEX(TabRFR[[2023]:[2025]],MATCH(BD!U559&amp;"-Intermédiaire",TabRFR[Recherche RFR],0),MATCH(TEXT(YEAR(BD!H559),"Standard"),TabRFR[[#Headers],[2023]:[2025]],0)),"Intermédiaire","Supérieur")))))))</f>
        <v>Supérieur</v>
      </c>
      <c r="X559" s="144"/>
      <c r="Y559" s="135" t="s">
        <v>2501</v>
      </c>
      <c r="Z559" s="144">
        <v>38960</v>
      </c>
      <c r="AA559" s="143" t="s">
        <v>360</v>
      </c>
      <c r="AB559" s="148"/>
      <c r="AC559" s="149"/>
      <c r="AD559" s="135" t="s">
        <v>91</v>
      </c>
      <c r="AE559" s="135"/>
      <c r="AF559" s="135"/>
      <c r="AG559" s="135"/>
      <c r="AH559" s="135"/>
      <c r="AI559" s="135" t="s">
        <v>169</v>
      </c>
      <c r="AJ559" s="135" t="s">
        <v>119</v>
      </c>
      <c r="AK559" s="135" t="s">
        <v>2192</v>
      </c>
      <c r="AL559" s="170" t="s">
        <v>171</v>
      </c>
      <c r="AM559" s="148" t="s">
        <v>1406</v>
      </c>
      <c r="AN559" s="135"/>
      <c r="AO559" s="150" t="s">
        <v>102</v>
      </c>
      <c r="AP559" s="135">
        <v>45248</v>
      </c>
      <c r="AQ559" s="135" t="s">
        <v>3496</v>
      </c>
      <c r="AR559" s="143">
        <v>1980</v>
      </c>
      <c r="AS559" s="143" t="s">
        <v>3413</v>
      </c>
      <c r="AT559" s="135" t="s">
        <v>3446</v>
      </c>
      <c r="AU559" s="135" t="s">
        <v>2348</v>
      </c>
      <c r="AV559" s="135" t="s">
        <v>2502</v>
      </c>
      <c r="AW559" s="143"/>
      <c r="AX559" s="143"/>
      <c r="AY559" s="143"/>
      <c r="AZ559" s="143"/>
      <c r="BA559" s="135" t="s">
        <v>101</v>
      </c>
      <c r="BB559" s="135"/>
      <c r="BC559" s="151">
        <f>480+35.5+74.8+99.09+79.25+89.9+2900+238+110+45.23+45.35+38.36+650</f>
        <v>4885.4799999999996</v>
      </c>
      <c r="BD559" s="135"/>
      <c r="BE559" s="151">
        <f>450+425</f>
        <v>875</v>
      </c>
      <c r="BF559" s="151">
        <f>BC559+BE559</f>
        <v>5760.48</v>
      </c>
      <c r="BG559" s="151">
        <f t="shared" si="41"/>
        <v>316.82639999999998</v>
      </c>
      <c r="BH559" s="151">
        <f t="shared" si="42"/>
        <v>6077.3063999999995</v>
      </c>
      <c r="BI559" s="143">
        <v>6077.31</v>
      </c>
      <c r="BJ559" s="135" t="s">
        <v>1391</v>
      </c>
      <c r="BK559" s="135"/>
      <c r="BL559" s="135"/>
      <c r="BM559" s="144" t="s">
        <v>3592</v>
      </c>
      <c r="BN559" s="143">
        <v>2023</v>
      </c>
      <c r="BO559" s="144" t="s">
        <v>143</v>
      </c>
      <c r="BP559" s="144">
        <v>2023</v>
      </c>
      <c r="BQ559" s="203" t="s">
        <v>3274</v>
      </c>
    </row>
    <row r="560" spans="1:69" ht="41.1" customHeight="1">
      <c r="A560" s="218" t="s">
        <v>1705</v>
      </c>
      <c r="B560" s="218" t="s">
        <v>2503</v>
      </c>
      <c r="C560" s="143">
        <f t="shared" ca="1" si="44"/>
        <v>600</v>
      </c>
      <c r="D560" s="135">
        <v>44924</v>
      </c>
      <c r="E560" s="135">
        <v>44929</v>
      </c>
      <c r="F560" s="135">
        <v>44931</v>
      </c>
      <c r="G560" s="135" t="s">
        <v>2504</v>
      </c>
      <c r="H560" s="135">
        <v>45019</v>
      </c>
      <c r="I560" s="135">
        <v>45023</v>
      </c>
      <c r="J560" s="135">
        <v>45040</v>
      </c>
      <c r="K560" s="135">
        <v>45049</v>
      </c>
      <c r="L560" s="135">
        <v>45042</v>
      </c>
      <c r="M560" s="135" t="s">
        <v>76</v>
      </c>
      <c r="N560" s="135">
        <v>45057</v>
      </c>
      <c r="O560" s="135">
        <v>45057</v>
      </c>
      <c r="P560" s="135">
        <v>45061</v>
      </c>
      <c r="Q560" s="135"/>
      <c r="R560" s="135"/>
      <c r="S560" s="135"/>
      <c r="T560" s="135"/>
      <c r="U560" s="144">
        <v>2</v>
      </c>
      <c r="V560" s="143">
        <v>32561</v>
      </c>
      <c r="W560" s="143" t="str">
        <f ca="1">IF(H560="",IF(D560="","",IF(U560+V560&lt;15,"Données Nb pers ou RFR manquantes",IF(COUNTA(INDIRECT("TabRFR["&amp;YEAR(D560)&amp;"]"))&lt;&gt;COUNTA(TabRFR[Recherche RFR]),"Data RFR manquantes", IF(V560&lt;=INDEX(TabRFR[[2023]:[2025]],MATCH(BD!U560&amp;"-Très modestes",TabRFR[Recherche RFR],0),MATCH(TEXT(YEAR(BD!D560),"Standard"),TabRFR[[#Headers],[2023]:[2025]],0)),"Très Modeste",IF(V560&lt;=INDEX(TabRFR[[2023]:[2025]],MATCH(BD!U560&amp;"-modestes",TabRFR[Recherche RFR],0),MATCH(TEXT(YEAR(BD!D560),"Standard"),TabRFR[[#Headers],[2023]:[2025]],0)),"Modeste",IF(V560&lt;=INDEX(TabRFR[[2023]:[2025]],MATCH(BD!U560&amp;"-Intermédiaire",TabRFR[Recherche RFR],0),MATCH(TEXT(YEAR(BD!D560),"Standard"),TabRFR[[#Headers],[2023]:[2025]],0)),"Intermédiaire","Supérieur")))))),IF(D560="","",IF(U560+V560&lt;15,"Données Nb pers ou RFR manquantes",IF(COUNTA(INDIRECT("TabRFR["&amp;YEAR(H560)&amp;"]"))&lt;&gt;COUNTA(TabRFR[Recherche RFR]),"Data RFR manquantes", IF(V560&lt;=INDEX(TabRFR[[2023]:[2025]],MATCH(BD!U560&amp;"-Très modestes",TabRFR[Recherche RFR],0),MATCH(TEXT(YEAR(BD!H560),"Standard"),TabRFR[[#Headers],[2023]:[2025]],0)),"Très Modeste",IF(V560&lt;=INDEX(TabRFR[[2023]:[2025]],MATCH(BD!U560&amp;"-modestes",TabRFR[Recherche RFR],0),MATCH(TEXT(YEAR(BD!H560),"Standard"),TabRFR[[#Headers],[2023]:[2025]],0)),"Modeste",IF(V560&lt;=INDEX(TabRFR[[2023]:[2025]],MATCH(BD!U560&amp;"-Intermédiaire",TabRFR[Recherche RFR],0),MATCH(TEXT(YEAR(BD!H560),"Standard"),TabRFR[[#Headers],[2023]:[2025]],0)),"Intermédiaire","Supérieur")))))))</f>
        <v>Intermédiaire</v>
      </c>
      <c r="X560" s="144"/>
      <c r="Y560" s="135" t="s">
        <v>2505</v>
      </c>
      <c r="Z560" s="144">
        <v>38140</v>
      </c>
      <c r="AA560" s="143" t="s">
        <v>159</v>
      </c>
      <c r="AB560" s="148"/>
      <c r="AC560" s="149"/>
      <c r="AD560" s="135" t="s">
        <v>91</v>
      </c>
      <c r="AE560" s="143" t="s">
        <v>76</v>
      </c>
      <c r="AF560" s="143" t="s">
        <v>76</v>
      </c>
      <c r="AG560" s="143" t="s">
        <v>76</v>
      </c>
      <c r="AH560" s="143" t="s">
        <v>76</v>
      </c>
      <c r="AI560" s="135" t="s">
        <v>2703</v>
      </c>
      <c r="AJ560" s="135" t="s">
        <v>266</v>
      </c>
      <c r="AK560" s="135" t="s">
        <v>2400</v>
      </c>
      <c r="AL560" s="150" t="s">
        <v>318</v>
      </c>
      <c r="AM560" s="135" t="s">
        <v>2401</v>
      </c>
      <c r="AN560" s="143" t="s">
        <v>76</v>
      </c>
      <c r="AO560" s="150" t="s">
        <v>102</v>
      </c>
      <c r="AP560" s="135">
        <v>45137</v>
      </c>
      <c r="AQ560" s="135" t="s">
        <v>3449</v>
      </c>
      <c r="AR560" s="143">
        <v>1978</v>
      </c>
      <c r="AS560" s="135" t="s">
        <v>3496</v>
      </c>
      <c r="AT560" s="135" t="s">
        <v>3446</v>
      </c>
      <c r="AU560" s="135" t="s">
        <v>319</v>
      </c>
      <c r="AV560" s="135" t="s">
        <v>1237</v>
      </c>
      <c r="AW560" s="143"/>
      <c r="AX560" s="143"/>
      <c r="AY560" s="143"/>
      <c r="AZ560" s="143"/>
      <c r="BA560" s="135" t="s">
        <v>101</v>
      </c>
      <c r="BB560" s="135"/>
      <c r="BC560" s="151">
        <f>455.2+529.44+71.09+2350+191.02+137.2+82.9+42.12+175.1+282.28</f>
        <v>4316.3499999999995</v>
      </c>
      <c r="BD560" s="135"/>
      <c r="BE560" s="151">
        <v>1820</v>
      </c>
      <c r="BF560" s="151">
        <f>BC560+BE560-460</f>
        <v>5676.3499999999995</v>
      </c>
      <c r="BG560" s="151">
        <f t="shared" si="41"/>
        <v>312.19924999999995</v>
      </c>
      <c r="BH560" s="151">
        <f t="shared" si="42"/>
        <v>5988.5492499999991</v>
      </c>
      <c r="BI560" s="143">
        <v>5988.55</v>
      </c>
      <c r="BJ560" s="135" t="s">
        <v>1391</v>
      </c>
      <c r="BK560" s="135"/>
      <c r="BL560" s="135"/>
      <c r="BM560" s="144" t="s">
        <v>3592</v>
      </c>
      <c r="BN560" s="143">
        <v>2023</v>
      </c>
      <c r="BO560" s="144" t="s">
        <v>143</v>
      </c>
      <c r="BP560" s="144">
        <v>2023</v>
      </c>
      <c r="BQ560" s="203" t="s">
        <v>3274</v>
      </c>
    </row>
    <row r="561" spans="1:69" ht="41.1" customHeight="1">
      <c r="A561" s="218" t="s">
        <v>1705</v>
      </c>
      <c r="B561" s="218" t="s">
        <v>2506</v>
      </c>
      <c r="C561" s="143">
        <f t="shared" ca="1" si="44"/>
        <v>600</v>
      </c>
      <c r="D561" s="135">
        <v>44924</v>
      </c>
      <c r="E561" s="135">
        <v>44929</v>
      </c>
      <c r="F561" s="135">
        <v>44931</v>
      </c>
      <c r="G561" s="135" t="s">
        <v>2507</v>
      </c>
      <c r="H561" s="135">
        <v>44936</v>
      </c>
      <c r="I561" s="135">
        <v>44936</v>
      </c>
      <c r="J561" s="135">
        <v>44960</v>
      </c>
      <c r="K561" s="135">
        <v>45085</v>
      </c>
      <c r="L561" s="135">
        <v>45057</v>
      </c>
      <c r="M561" s="135" t="s">
        <v>76</v>
      </c>
      <c r="N561" s="135">
        <v>45099</v>
      </c>
      <c r="O561" s="135">
        <v>45099</v>
      </c>
      <c r="P561" s="135">
        <v>45103</v>
      </c>
      <c r="Q561" s="135"/>
      <c r="R561" s="135"/>
      <c r="S561" s="135"/>
      <c r="T561" s="135"/>
      <c r="U561" s="144">
        <v>3</v>
      </c>
      <c r="V561" s="143">
        <v>61596</v>
      </c>
      <c r="W561" s="143" t="str">
        <f ca="1">IF(H561="",IF(D561="","",IF(U561+V561&lt;15,"Données Nb pers ou RFR manquantes",IF(COUNTA(INDIRECT("TabRFR["&amp;YEAR(D561)&amp;"]"))&lt;&gt;COUNTA(TabRFR[Recherche RFR]),"Data RFR manquantes", IF(V561&lt;=INDEX(TabRFR[[2023]:[2025]],MATCH(BD!U561&amp;"-Très modestes",TabRFR[Recherche RFR],0),MATCH(TEXT(YEAR(BD!D561),"Standard"),TabRFR[[#Headers],[2023]:[2025]],0)),"Très Modeste",IF(V561&lt;=INDEX(TabRFR[[2023]:[2025]],MATCH(BD!U561&amp;"-modestes",TabRFR[Recherche RFR],0),MATCH(TEXT(YEAR(BD!D561),"Standard"),TabRFR[[#Headers],[2023]:[2025]],0)),"Modeste",IF(V561&lt;=INDEX(TabRFR[[2023]:[2025]],MATCH(BD!U561&amp;"-Intermédiaire",TabRFR[Recherche RFR],0),MATCH(TEXT(YEAR(BD!D561),"Standard"),TabRFR[[#Headers],[2023]:[2025]],0)),"Intermédiaire","Supérieur")))))),IF(D561="","",IF(U561+V561&lt;15,"Données Nb pers ou RFR manquantes",IF(COUNTA(INDIRECT("TabRFR["&amp;YEAR(H561)&amp;"]"))&lt;&gt;COUNTA(TabRFR[Recherche RFR]),"Data RFR manquantes", IF(V561&lt;=INDEX(TabRFR[[2023]:[2025]],MATCH(BD!U561&amp;"-Très modestes",TabRFR[Recherche RFR],0),MATCH(TEXT(YEAR(BD!H561),"Standard"),TabRFR[[#Headers],[2023]:[2025]],0)),"Très Modeste",IF(V561&lt;=INDEX(TabRFR[[2023]:[2025]],MATCH(BD!U561&amp;"-modestes",TabRFR[Recherche RFR],0),MATCH(TEXT(YEAR(BD!H561),"Standard"),TabRFR[[#Headers],[2023]:[2025]],0)),"Modeste",IF(V561&lt;=INDEX(TabRFR[[2023]:[2025]],MATCH(BD!U561&amp;"-Intermédiaire",TabRFR[Recherche RFR],0),MATCH(TEXT(YEAR(BD!H561),"Standard"),TabRFR[[#Headers],[2023]:[2025]],0)),"Intermédiaire","Supérieur")))))))</f>
        <v>Supérieur</v>
      </c>
      <c r="X561" s="144"/>
      <c r="Y561" s="135" t="s">
        <v>2508</v>
      </c>
      <c r="Z561" s="144">
        <v>38500</v>
      </c>
      <c r="AA561" s="135" t="s">
        <v>134</v>
      </c>
      <c r="AB561" s="148"/>
      <c r="AC561" s="169"/>
      <c r="AD561" s="135" t="s">
        <v>91</v>
      </c>
      <c r="AE561" s="135"/>
      <c r="AF561" s="135"/>
      <c r="AG561" s="135"/>
      <c r="AH561" s="135"/>
      <c r="AI561" s="135" t="s">
        <v>160</v>
      </c>
      <c r="AJ561" s="135" t="s">
        <v>161</v>
      </c>
      <c r="AK561" s="135" t="s">
        <v>2238</v>
      </c>
      <c r="AL561" s="150" t="s">
        <v>228</v>
      </c>
      <c r="AM561" s="135" t="s">
        <v>2239</v>
      </c>
      <c r="AN561" s="135"/>
      <c r="AO561" s="150" t="s">
        <v>102</v>
      </c>
      <c r="AP561" s="135">
        <v>45006</v>
      </c>
      <c r="AQ561" s="135" t="s">
        <v>3449</v>
      </c>
      <c r="AR561" s="143">
        <v>1995</v>
      </c>
      <c r="AS561" s="135" t="s">
        <v>3496</v>
      </c>
      <c r="AT561" s="135" t="s">
        <v>3446</v>
      </c>
      <c r="AU561" s="135" t="s">
        <v>2509</v>
      </c>
      <c r="AV561" s="135" t="s">
        <v>2510</v>
      </c>
      <c r="AW561" s="143"/>
      <c r="AX561" s="143"/>
      <c r="AY561" s="143"/>
      <c r="AZ561" s="143"/>
      <c r="BA561" s="135" t="s">
        <v>101</v>
      </c>
      <c r="BB561" s="135"/>
      <c r="BC561" s="151">
        <f>1797+4924+1582+1518</f>
        <v>9821</v>
      </c>
      <c r="BD561" s="135"/>
      <c r="BE561" s="151">
        <v>1291</v>
      </c>
      <c r="BF561" s="151">
        <f>BC561+BE561</f>
        <v>11112</v>
      </c>
      <c r="BG561" s="151">
        <f t="shared" si="41"/>
        <v>611.16</v>
      </c>
      <c r="BH561" s="151">
        <f t="shared" si="42"/>
        <v>11723.16</v>
      </c>
      <c r="BI561" s="151">
        <v>11294</v>
      </c>
      <c r="BJ561" s="135" t="s">
        <v>144</v>
      </c>
      <c r="BK561" s="135"/>
      <c r="BL561" s="135"/>
      <c r="BM561" s="144" t="s">
        <v>3592</v>
      </c>
      <c r="BN561" s="143">
        <v>2023</v>
      </c>
      <c r="BO561" s="144" t="s">
        <v>143</v>
      </c>
      <c r="BP561" s="144">
        <v>2023</v>
      </c>
      <c r="BQ561" s="203" t="s">
        <v>144</v>
      </c>
    </row>
    <row r="562" spans="1:69" ht="41.1" customHeight="1">
      <c r="A562" s="218" t="s">
        <v>1705</v>
      </c>
      <c r="B562" s="218" t="s">
        <v>2511</v>
      </c>
      <c r="C562" s="143">
        <f t="shared" ca="1" si="44"/>
        <v>1000</v>
      </c>
      <c r="D562" s="135">
        <v>44925</v>
      </c>
      <c r="E562" s="135">
        <v>44929</v>
      </c>
      <c r="F562" s="135" t="s">
        <v>76</v>
      </c>
      <c r="G562" s="135" t="s">
        <v>76</v>
      </c>
      <c r="H562" s="135">
        <v>44931</v>
      </c>
      <c r="I562" s="135">
        <v>44931</v>
      </c>
      <c r="J562" s="135">
        <v>44952</v>
      </c>
      <c r="K562" s="135">
        <v>45033</v>
      </c>
      <c r="L562" s="135">
        <v>45021</v>
      </c>
      <c r="M562" s="135" t="s">
        <v>2512</v>
      </c>
      <c r="N562" s="135">
        <v>45090</v>
      </c>
      <c r="O562" s="135">
        <v>45090</v>
      </c>
      <c r="P562" s="135">
        <v>45090</v>
      </c>
      <c r="Q562" s="135"/>
      <c r="R562" s="135"/>
      <c r="S562" s="135"/>
      <c r="T562" s="135"/>
      <c r="U562" s="144">
        <v>1</v>
      </c>
      <c r="V562" s="143">
        <v>17592</v>
      </c>
      <c r="W562" s="143" t="str">
        <f ca="1">IF(H562="",IF(D562="","",IF(U562+V562&lt;15,"Données Nb pers ou RFR manquantes",IF(COUNTA(INDIRECT("TabRFR["&amp;YEAR(D562)&amp;"]"))&lt;&gt;COUNTA(TabRFR[Recherche RFR]),"Data RFR manquantes", IF(V562&lt;=INDEX(TabRFR[[2023]:[2025]],MATCH(BD!U562&amp;"-Très modestes",TabRFR[Recherche RFR],0),MATCH(TEXT(YEAR(BD!D562),"Standard"),TabRFR[[#Headers],[2023]:[2025]],0)),"Très Modeste",IF(V562&lt;=INDEX(TabRFR[[2023]:[2025]],MATCH(BD!U562&amp;"-modestes",TabRFR[Recherche RFR],0),MATCH(TEXT(YEAR(BD!D562),"Standard"),TabRFR[[#Headers],[2023]:[2025]],0)),"Modeste",IF(V562&lt;=INDEX(TabRFR[[2023]:[2025]],MATCH(BD!U562&amp;"-Intermédiaire",TabRFR[Recherche RFR],0),MATCH(TEXT(YEAR(BD!D562),"Standard"),TabRFR[[#Headers],[2023]:[2025]],0)),"Intermédiaire","Supérieur")))))),IF(D562="","",IF(U562+V562&lt;15,"Données Nb pers ou RFR manquantes",IF(COUNTA(INDIRECT("TabRFR["&amp;YEAR(H562)&amp;"]"))&lt;&gt;COUNTA(TabRFR[Recherche RFR]),"Data RFR manquantes", IF(V562&lt;=INDEX(TabRFR[[2023]:[2025]],MATCH(BD!U562&amp;"-Très modestes",TabRFR[Recherche RFR],0),MATCH(TEXT(YEAR(BD!H562),"Standard"),TabRFR[[#Headers],[2023]:[2025]],0)),"Très Modeste",IF(V562&lt;=INDEX(TabRFR[[2023]:[2025]],MATCH(BD!U562&amp;"-modestes",TabRFR[Recherche RFR],0),MATCH(TEXT(YEAR(BD!H562),"Standard"),TabRFR[[#Headers],[2023]:[2025]],0)),"Modeste",IF(V562&lt;=INDEX(TabRFR[[2023]:[2025]],MATCH(BD!U562&amp;"-Intermédiaire",TabRFR[Recherche RFR],0),MATCH(TEXT(YEAR(BD!H562),"Standard"),TabRFR[[#Headers],[2023]:[2025]],0)),"Intermédiaire","Supérieur")))))))</f>
        <v>Modeste</v>
      </c>
      <c r="X562" s="144"/>
      <c r="Y562" s="135" t="s">
        <v>178</v>
      </c>
      <c r="Z562" s="144">
        <v>38210</v>
      </c>
      <c r="AA562" s="135" t="s">
        <v>130</v>
      </c>
      <c r="AB562" s="148"/>
      <c r="AC562" s="191"/>
      <c r="AD562" s="135" t="s">
        <v>91</v>
      </c>
      <c r="AE562" s="135"/>
      <c r="AF562" s="135"/>
      <c r="AG562" s="135"/>
      <c r="AH562" s="135"/>
      <c r="AI562" s="135" t="s">
        <v>267</v>
      </c>
      <c r="AJ562" s="135" t="s">
        <v>268</v>
      </c>
      <c r="AK562" s="135" t="s">
        <v>2099</v>
      </c>
      <c r="AL562" s="169" t="s">
        <v>2100</v>
      </c>
      <c r="AM562" s="148">
        <v>476050533</v>
      </c>
      <c r="AN562" s="135" t="s">
        <v>76</v>
      </c>
      <c r="AO562" s="150" t="s">
        <v>102</v>
      </c>
      <c r="AP562" s="135">
        <v>44998</v>
      </c>
      <c r="AQ562" s="135" t="s">
        <v>3449</v>
      </c>
      <c r="AR562" s="143">
        <v>1978</v>
      </c>
      <c r="AS562" s="143" t="s">
        <v>3413</v>
      </c>
      <c r="AT562" s="135" t="s">
        <v>3446</v>
      </c>
      <c r="AU562" s="135" t="s">
        <v>164</v>
      </c>
      <c r="AV562" s="135" t="s">
        <v>2513</v>
      </c>
      <c r="AW562" s="143"/>
      <c r="AX562" s="143"/>
      <c r="AY562" s="143"/>
      <c r="AZ562" s="143"/>
      <c r="BA562" s="135" t="s">
        <v>101</v>
      </c>
      <c r="BB562" s="135"/>
      <c r="BC562" s="151">
        <f>169.9+196.7+159.9+155.9+364+129.9+9.75+35+30.7+70+21.5+16.7+39+195+1490</f>
        <v>3083.9500000000003</v>
      </c>
      <c r="BD562" s="135"/>
      <c r="BE562" s="151">
        <f>1180+35+75</f>
        <v>1290</v>
      </c>
      <c r="BF562" s="151">
        <f>BC562+BE562</f>
        <v>4373.9500000000007</v>
      </c>
      <c r="BG562" s="151">
        <f t="shared" si="41"/>
        <v>240.56725000000003</v>
      </c>
      <c r="BH562" s="151">
        <f t="shared" si="42"/>
        <v>4614.5172500000008</v>
      </c>
      <c r="BI562" s="143">
        <v>4569.5200000000004</v>
      </c>
      <c r="BJ562" s="135" t="s">
        <v>1391</v>
      </c>
      <c r="BK562" s="135"/>
      <c r="BL562" s="135"/>
      <c r="BM562" s="144" t="s">
        <v>3592</v>
      </c>
      <c r="BN562" s="143">
        <v>2023</v>
      </c>
      <c r="BO562" s="135" t="s">
        <v>155</v>
      </c>
      <c r="BP562" s="144">
        <v>2023</v>
      </c>
      <c r="BQ562" s="203" t="s">
        <v>3274</v>
      </c>
    </row>
    <row r="563" spans="1:69" ht="41.1" customHeight="1">
      <c r="A563" s="218" t="s">
        <v>1705</v>
      </c>
      <c r="B563" s="218" t="s">
        <v>2514</v>
      </c>
      <c r="C563" s="143">
        <f t="shared" ca="1" si="44"/>
        <v>1000</v>
      </c>
      <c r="D563" s="135">
        <v>44928</v>
      </c>
      <c r="E563" s="135">
        <v>44929</v>
      </c>
      <c r="F563" s="135" t="s">
        <v>76</v>
      </c>
      <c r="G563" s="135" t="s">
        <v>76</v>
      </c>
      <c r="H563" s="135">
        <v>44931</v>
      </c>
      <c r="I563" s="135">
        <v>44931</v>
      </c>
      <c r="J563" s="135">
        <v>44952</v>
      </c>
      <c r="K563" s="135">
        <v>45295</v>
      </c>
      <c r="L563" s="135">
        <v>45266</v>
      </c>
      <c r="M563" s="135" t="s">
        <v>3303</v>
      </c>
      <c r="N563" s="135">
        <v>45296</v>
      </c>
      <c r="O563" s="135">
        <v>45296</v>
      </c>
      <c r="P563" s="135">
        <v>45302</v>
      </c>
      <c r="Q563" s="135"/>
      <c r="R563" s="135"/>
      <c r="S563" s="135"/>
      <c r="T563" s="135"/>
      <c r="U563" s="144">
        <v>1</v>
      </c>
      <c r="V563" s="143">
        <v>14433</v>
      </c>
      <c r="W563" s="143" t="str">
        <f ca="1">IF(H563="",IF(D563="","",IF(U563+V563&lt;15,"Données Nb pers ou RFR manquantes",IF(COUNTA(INDIRECT("TabRFR["&amp;YEAR(D563)&amp;"]"))&lt;&gt;COUNTA(TabRFR[Recherche RFR]),"Data RFR manquantes", IF(V563&lt;=INDEX(TabRFR[[2023]:[2025]],MATCH(BD!U563&amp;"-Très modestes",TabRFR[Recherche RFR],0),MATCH(TEXT(YEAR(BD!D563),"Standard"),TabRFR[[#Headers],[2023]:[2025]],0)),"Très Modeste",IF(V563&lt;=INDEX(TabRFR[[2023]:[2025]],MATCH(BD!U563&amp;"-modestes",TabRFR[Recherche RFR],0),MATCH(TEXT(YEAR(BD!D563),"Standard"),TabRFR[[#Headers],[2023]:[2025]],0)),"Modeste",IF(V563&lt;=INDEX(TabRFR[[2023]:[2025]],MATCH(BD!U563&amp;"-Intermédiaire",TabRFR[Recherche RFR],0),MATCH(TEXT(YEAR(BD!D563),"Standard"),TabRFR[[#Headers],[2023]:[2025]],0)),"Intermédiaire","Supérieur")))))),IF(D563="","",IF(U563+V563&lt;15,"Données Nb pers ou RFR manquantes",IF(COUNTA(INDIRECT("TabRFR["&amp;YEAR(H563)&amp;"]"))&lt;&gt;COUNTA(TabRFR[Recherche RFR]),"Data RFR manquantes", IF(V563&lt;=INDEX(TabRFR[[2023]:[2025]],MATCH(BD!U563&amp;"-Très modestes",TabRFR[Recherche RFR],0),MATCH(TEXT(YEAR(BD!H563),"Standard"),TabRFR[[#Headers],[2023]:[2025]],0)),"Très Modeste",IF(V563&lt;=INDEX(TabRFR[[2023]:[2025]],MATCH(BD!U563&amp;"-modestes",TabRFR[Recherche RFR],0),MATCH(TEXT(YEAR(BD!H563),"Standard"),TabRFR[[#Headers],[2023]:[2025]],0)),"Modeste",IF(V563&lt;=INDEX(TabRFR[[2023]:[2025]],MATCH(BD!U563&amp;"-Intermédiaire",TabRFR[Recherche RFR],0),MATCH(TEXT(YEAR(BD!H563),"Standard"),TabRFR[[#Headers],[2023]:[2025]],0)),"Intermédiaire","Supérieur")))))))</f>
        <v>Très Modeste</v>
      </c>
      <c r="X563" s="144"/>
      <c r="Y563" s="135" t="s">
        <v>208</v>
      </c>
      <c r="Z563" s="144">
        <v>38960</v>
      </c>
      <c r="AA563" s="143" t="s">
        <v>209</v>
      </c>
      <c r="AB563" s="148"/>
      <c r="AC563" s="169"/>
      <c r="AD563" s="135" t="s">
        <v>91</v>
      </c>
      <c r="AE563" s="135"/>
      <c r="AF563" s="135"/>
      <c r="AG563" s="135"/>
      <c r="AH563" s="135"/>
      <c r="AI563" s="143" t="s">
        <v>185</v>
      </c>
      <c r="AJ563" s="143" t="s">
        <v>108</v>
      </c>
      <c r="AK563" s="143" t="s">
        <v>186</v>
      </c>
      <c r="AL563" s="150" t="s">
        <v>187</v>
      </c>
      <c r="AM563" s="148" t="s">
        <v>2383</v>
      </c>
      <c r="AN563" s="135" t="s">
        <v>76</v>
      </c>
      <c r="AO563" s="150" t="s">
        <v>102</v>
      </c>
      <c r="AP563" s="147">
        <v>45163</v>
      </c>
      <c r="AQ563" s="143" t="s">
        <v>3413</v>
      </c>
      <c r="AR563" s="143">
        <v>1992</v>
      </c>
      <c r="AS563" s="143" t="s">
        <v>3413</v>
      </c>
      <c r="AT563" s="135" t="s">
        <v>3446</v>
      </c>
      <c r="AU563" s="135" t="s">
        <v>459</v>
      </c>
      <c r="AV563" s="135" t="s">
        <v>2515</v>
      </c>
      <c r="AW563" s="143"/>
      <c r="AX563" s="143"/>
      <c r="AY563" s="143"/>
      <c r="AZ563" s="143"/>
      <c r="BA563" s="135" t="s">
        <v>101</v>
      </c>
      <c r="BB563" s="135"/>
      <c r="BC563" s="151">
        <f>3076.67+390+89.17+415+409+754.98+309</f>
        <v>5443.82</v>
      </c>
      <c r="BD563" s="135"/>
      <c r="BE563" s="151">
        <v>690</v>
      </c>
      <c r="BF563" s="151">
        <f>BC563+BE563-461.5</f>
        <v>5672.32</v>
      </c>
      <c r="BG563" s="151">
        <f t="shared" si="41"/>
        <v>311.9776</v>
      </c>
      <c r="BH563" s="151">
        <f t="shared" si="42"/>
        <v>5984.2975999999999</v>
      </c>
      <c r="BI563" s="143">
        <v>5098.33</v>
      </c>
      <c r="BJ563" s="135" t="s">
        <v>144</v>
      </c>
      <c r="BK563" s="135"/>
      <c r="BL563" s="135"/>
      <c r="BM563" s="144" t="s">
        <v>3592</v>
      </c>
      <c r="BN563" s="143">
        <v>2023</v>
      </c>
      <c r="BO563" s="135" t="s">
        <v>155</v>
      </c>
      <c r="BP563" s="144">
        <v>2023</v>
      </c>
      <c r="BQ563" s="203"/>
    </row>
    <row r="564" spans="1:69" ht="41.1" customHeight="1">
      <c r="A564" s="218" t="s">
        <v>1705</v>
      </c>
      <c r="B564" s="218" t="s">
        <v>2516</v>
      </c>
      <c r="C564" s="143">
        <f t="shared" ca="1" si="44"/>
        <v>600</v>
      </c>
      <c r="D564" s="135">
        <v>44928</v>
      </c>
      <c r="E564" s="135">
        <v>44929</v>
      </c>
      <c r="F564" s="135" t="s">
        <v>76</v>
      </c>
      <c r="G564" s="135" t="s">
        <v>76</v>
      </c>
      <c r="H564" s="135">
        <v>44931</v>
      </c>
      <c r="I564" s="135">
        <v>44931</v>
      </c>
      <c r="J564" s="135">
        <v>44952</v>
      </c>
      <c r="K564" s="135">
        <v>44998</v>
      </c>
      <c r="L564" s="135">
        <v>44956</v>
      </c>
      <c r="M564" s="135" t="s">
        <v>76</v>
      </c>
      <c r="N564" s="135">
        <v>45002</v>
      </c>
      <c r="O564" s="135">
        <v>45002</v>
      </c>
      <c r="P564" s="135">
        <v>45005</v>
      </c>
      <c r="Q564" s="135"/>
      <c r="R564" s="135"/>
      <c r="S564" s="135"/>
      <c r="T564" s="135"/>
      <c r="U564" s="144">
        <v>4</v>
      </c>
      <c r="V564" s="143">
        <v>51991</v>
      </c>
      <c r="W564" s="143" t="str">
        <f ca="1">IF(H564="",IF(D564="","",IF(U564+V564&lt;15,"Données Nb pers ou RFR manquantes",IF(COUNTA(INDIRECT("TabRFR["&amp;YEAR(D564)&amp;"]"))&lt;&gt;COUNTA(TabRFR[Recherche RFR]),"Data RFR manquantes", IF(V564&lt;=INDEX(TabRFR[[2023]:[2025]],MATCH(BD!U564&amp;"-Très modestes",TabRFR[Recherche RFR],0),MATCH(TEXT(YEAR(BD!D564),"Standard"),TabRFR[[#Headers],[2023]:[2025]],0)),"Très Modeste",IF(V564&lt;=INDEX(TabRFR[[2023]:[2025]],MATCH(BD!U564&amp;"-modestes",TabRFR[Recherche RFR],0),MATCH(TEXT(YEAR(BD!D564),"Standard"),TabRFR[[#Headers],[2023]:[2025]],0)),"Modeste",IF(V564&lt;=INDEX(TabRFR[[2023]:[2025]],MATCH(BD!U564&amp;"-Intermédiaire",TabRFR[Recherche RFR],0),MATCH(TEXT(YEAR(BD!D564),"Standard"),TabRFR[[#Headers],[2023]:[2025]],0)),"Intermédiaire","Supérieur")))))),IF(D564="","",IF(U564+V564&lt;15,"Données Nb pers ou RFR manquantes",IF(COUNTA(INDIRECT("TabRFR["&amp;YEAR(H564)&amp;"]"))&lt;&gt;COUNTA(TabRFR[Recherche RFR]),"Data RFR manquantes", IF(V564&lt;=INDEX(TabRFR[[2023]:[2025]],MATCH(BD!U564&amp;"-Très modestes",TabRFR[Recherche RFR],0),MATCH(TEXT(YEAR(BD!H564),"Standard"),TabRFR[[#Headers],[2023]:[2025]],0)),"Très Modeste",IF(V564&lt;=INDEX(TabRFR[[2023]:[2025]],MATCH(BD!U564&amp;"-modestes",TabRFR[Recherche RFR],0),MATCH(TEXT(YEAR(BD!H564),"Standard"),TabRFR[[#Headers],[2023]:[2025]],0)),"Modeste",IF(V564&lt;=INDEX(TabRFR[[2023]:[2025]],MATCH(BD!U564&amp;"-Intermédiaire",TabRFR[Recherche RFR],0),MATCH(TEXT(YEAR(BD!H564),"Standard"),TabRFR[[#Headers],[2023]:[2025]],0)),"Intermédiaire","Supérieur")))))))</f>
        <v>Intermédiaire</v>
      </c>
      <c r="X564" s="144"/>
      <c r="Y564" s="135" t="s">
        <v>178</v>
      </c>
      <c r="Z564" s="144">
        <v>38210</v>
      </c>
      <c r="AA564" s="135" t="s">
        <v>130</v>
      </c>
      <c r="AB564" s="148"/>
      <c r="AC564" s="169"/>
      <c r="AD564" s="135" t="s">
        <v>91</v>
      </c>
      <c r="AE564" s="135"/>
      <c r="AF564" s="135"/>
      <c r="AG564" s="135"/>
      <c r="AH564" s="135"/>
      <c r="AI564" s="135" t="s">
        <v>169</v>
      </c>
      <c r="AJ564" s="135" t="s">
        <v>119</v>
      </c>
      <c r="AK564" s="135" t="s">
        <v>2192</v>
      </c>
      <c r="AL564" s="170" t="s">
        <v>171</v>
      </c>
      <c r="AM564" s="148" t="s">
        <v>1406</v>
      </c>
      <c r="AN564" s="135"/>
      <c r="AO564" s="150" t="s">
        <v>102</v>
      </c>
      <c r="AP564" s="135">
        <v>45248</v>
      </c>
      <c r="AQ564" s="135" t="s">
        <v>3496</v>
      </c>
      <c r="AR564" s="143">
        <v>1999</v>
      </c>
      <c r="AS564" s="143" t="s">
        <v>3413</v>
      </c>
      <c r="AT564" s="135" t="s">
        <v>3446</v>
      </c>
      <c r="AU564" s="135" t="s">
        <v>173</v>
      </c>
      <c r="AV564" s="135" t="s">
        <v>2480</v>
      </c>
      <c r="AW564" s="143"/>
      <c r="AX564" s="143"/>
      <c r="AY564" s="143"/>
      <c r="AZ564" s="143"/>
      <c r="BA564" s="135" t="s">
        <v>101</v>
      </c>
      <c r="BB564" s="135"/>
      <c r="BC564" s="151">
        <f>360+48.5+35.5+99.09+67.54+87.45+114+350+3300+218+89.6+45.35</f>
        <v>4815.0300000000007</v>
      </c>
      <c r="BD564" s="135"/>
      <c r="BE564" s="151">
        <v>425</v>
      </c>
      <c r="BF564" s="151">
        <f t="shared" ref="BF564:BF574" si="45">BC564+BE564</f>
        <v>5240.0300000000007</v>
      </c>
      <c r="BG564" s="151">
        <f t="shared" si="41"/>
        <v>288.20165000000003</v>
      </c>
      <c r="BH564" s="151">
        <f t="shared" si="42"/>
        <v>5528.2316500000006</v>
      </c>
      <c r="BI564" s="143"/>
      <c r="BJ564" s="135" t="s">
        <v>1391</v>
      </c>
      <c r="BK564" s="135"/>
      <c r="BL564" s="135"/>
      <c r="BM564" s="144" t="s">
        <v>3592</v>
      </c>
      <c r="BN564" s="143">
        <v>2023</v>
      </c>
      <c r="BO564" s="144" t="s">
        <v>143</v>
      </c>
      <c r="BP564" s="144">
        <v>2023</v>
      </c>
      <c r="BQ564" s="203" t="s">
        <v>3274</v>
      </c>
    </row>
    <row r="565" spans="1:69" ht="41.1" customHeight="1">
      <c r="A565" s="218" t="s">
        <v>1705</v>
      </c>
      <c r="B565" s="218" t="s">
        <v>2517</v>
      </c>
      <c r="C565" s="143">
        <f t="shared" ca="1" si="44"/>
        <v>1000</v>
      </c>
      <c r="D565" s="135">
        <v>44932</v>
      </c>
      <c r="E565" s="135">
        <v>44936</v>
      </c>
      <c r="F565" s="135" t="s">
        <v>76</v>
      </c>
      <c r="G565" s="135" t="s">
        <v>76</v>
      </c>
      <c r="H565" s="135">
        <v>44936</v>
      </c>
      <c r="I565" s="135">
        <v>44936</v>
      </c>
      <c r="J565" s="135">
        <v>44960</v>
      </c>
      <c r="K565" s="135">
        <v>45267</v>
      </c>
      <c r="L565" s="135">
        <v>45071</v>
      </c>
      <c r="M565" s="135" t="s">
        <v>3345</v>
      </c>
      <c r="N565" s="135">
        <v>45268</v>
      </c>
      <c r="O565" s="135">
        <v>45268</v>
      </c>
      <c r="P565" s="135">
        <v>45274</v>
      </c>
      <c r="Q565" s="135"/>
      <c r="R565" s="135"/>
      <c r="S565" s="135"/>
      <c r="T565" s="135"/>
      <c r="U565" s="144">
        <v>2</v>
      </c>
      <c r="V565" s="143">
        <f>5905+11913</f>
        <v>17818</v>
      </c>
      <c r="W565" s="143" t="str">
        <f ca="1">IF(H565="",IF(D565="","",IF(U565+V565&lt;15,"Données Nb pers ou RFR manquantes",IF(COUNTA(INDIRECT("TabRFR["&amp;YEAR(D565)&amp;"]"))&lt;&gt;COUNTA(TabRFR[Recherche RFR]),"Data RFR manquantes", IF(V565&lt;=INDEX(TabRFR[[2023]:[2025]],MATCH(BD!U565&amp;"-Très modestes",TabRFR[Recherche RFR],0),MATCH(TEXT(YEAR(BD!D565),"Standard"),TabRFR[[#Headers],[2023]:[2025]],0)),"Très Modeste",IF(V565&lt;=INDEX(TabRFR[[2023]:[2025]],MATCH(BD!U565&amp;"-modestes",TabRFR[Recherche RFR],0),MATCH(TEXT(YEAR(BD!D565),"Standard"),TabRFR[[#Headers],[2023]:[2025]],0)),"Modeste",IF(V565&lt;=INDEX(TabRFR[[2023]:[2025]],MATCH(BD!U565&amp;"-Intermédiaire",TabRFR[Recherche RFR],0),MATCH(TEXT(YEAR(BD!D565),"Standard"),TabRFR[[#Headers],[2023]:[2025]],0)),"Intermédiaire","Supérieur")))))),IF(D565="","",IF(U565+V565&lt;15,"Données Nb pers ou RFR manquantes",IF(COUNTA(INDIRECT("TabRFR["&amp;YEAR(H565)&amp;"]"))&lt;&gt;COUNTA(TabRFR[Recherche RFR]),"Data RFR manquantes", IF(V565&lt;=INDEX(TabRFR[[2023]:[2025]],MATCH(BD!U565&amp;"-Très modestes",TabRFR[Recherche RFR],0),MATCH(TEXT(YEAR(BD!H565),"Standard"),TabRFR[[#Headers],[2023]:[2025]],0)),"Très Modeste",IF(V565&lt;=INDEX(TabRFR[[2023]:[2025]],MATCH(BD!U565&amp;"-modestes",TabRFR[Recherche RFR],0),MATCH(TEXT(YEAR(BD!H565),"Standard"),TabRFR[[#Headers],[2023]:[2025]],0)),"Modeste",IF(V565&lt;=INDEX(TabRFR[[2023]:[2025]],MATCH(BD!U565&amp;"-Intermédiaire",TabRFR[Recherche RFR],0),MATCH(TEXT(YEAR(BD!H565),"Standard"),TabRFR[[#Headers],[2023]:[2025]],0)),"Intermédiaire","Supérieur")))))))</f>
        <v>Très Modeste</v>
      </c>
      <c r="X565" s="144"/>
      <c r="Y565" s="135" t="s">
        <v>2518</v>
      </c>
      <c r="Z565" s="144">
        <v>38620</v>
      </c>
      <c r="AA565" s="143" t="s">
        <v>680</v>
      </c>
      <c r="AB565" s="148"/>
      <c r="AC565" s="169"/>
      <c r="AD565" s="135" t="s">
        <v>91</v>
      </c>
      <c r="AE565" s="135"/>
      <c r="AF565" s="135"/>
      <c r="AG565" s="135"/>
      <c r="AH565" s="135"/>
      <c r="AI565" s="135" t="s">
        <v>1436</v>
      </c>
      <c r="AJ565" s="135" t="s">
        <v>1437</v>
      </c>
      <c r="AK565" s="135" t="s">
        <v>1920</v>
      </c>
      <c r="AL565" s="169" t="s">
        <v>2177</v>
      </c>
      <c r="AM565" s="148">
        <v>631077133</v>
      </c>
      <c r="AN565" s="135" t="s">
        <v>76</v>
      </c>
      <c r="AO565" s="150" t="s">
        <v>102</v>
      </c>
      <c r="AP565" s="135">
        <v>45056</v>
      </c>
      <c r="AQ565" s="135" t="s">
        <v>3496</v>
      </c>
      <c r="AR565" s="143">
        <v>1990</v>
      </c>
      <c r="AS565" s="143" t="s">
        <v>3413</v>
      </c>
      <c r="AT565" s="135" t="s">
        <v>3446</v>
      </c>
      <c r="AU565" s="135" t="s">
        <v>852</v>
      </c>
      <c r="AV565" s="135" t="s">
        <v>2519</v>
      </c>
      <c r="AW565" s="143"/>
      <c r="AX565" s="143"/>
      <c r="AY565" s="143"/>
      <c r="AZ565" s="143"/>
      <c r="BA565" s="135" t="s">
        <v>101</v>
      </c>
      <c r="BB565" s="135"/>
      <c r="BC565" s="151">
        <f>1770+274+644</f>
        <v>2688</v>
      </c>
      <c r="BD565" s="135"/>
      <c r="BE565" s="151">
        <v>730</v>
      </c>
      <c r="BF565" s="151">
        <f t="shared" si="45"/>
        <v>3418</v>
      </c>
      <c r="BG565" s="151">
        <f t="shared" si="41"/>
        <v>187.99</v>
      </c>
      <c r="BH565" s="151">
        <f t="shared" si="42"/>
        <v>3605.99</v>
      </c>
      <c r="BI565" s="143">
        <v>4234.57</v>
      </c>
      <c r="BJ565" s="135" t="s">
        <v>144</v>
      </c>
      <c r="BK565" s="135"/>
      <c r="BL565" s="135"/>
      <c r="BM565" s="144" t="s">
        <v>3592</v>
      </c>
      <c r="BN565" s="143">
        <v>2023</v>
      </c>
      <c r="BO565" s="135" t="s">
        <v>155</v>
      </c>
      <c r="BP565" s="144">
        <v>2023</v>
      </c>
      <c r="BQ565" s="203" t="s">
        <v>144</v>
      </c>
    </row>
    <row r="566" spans="1:69" ht="41.1" customHeight="1">
      <c r="A566" s="218" t="s">
        <v>1705</v>
      </c>
      <c r="B566" s="218" t="s">
        <v>2520</v>
      </c>
      <c r="C566" s="143">
        <f t="shared" ca="1" si="44"/>
        <v>600</v>
      </c>
      <c r="D566" s="135">
        <v>44933</v>
      </c>
      <c r="E566" s="135">
        <v>44936</v>
      </c>
      <c r="F566" s="135">
        <v>44936</v>
      </c>
      <c r="G566" s="135" t="s">
        <v>2521</v>
      </c>
      <c r="H566" s="135">
        <v>44963</v>
      </c>
      <c r="I566" s="135">
        <v>44963</v>
      </c>
      <c r="J566" s="135">
        <v>44966</v>
      </c>
      <c r="K566" s="135">
        <v>45143</v>
      </c>
      <c r="L566" s="135">
        <v>45133</v>
      </c>
      <c r="M566" s="135" t="s">
        <v>76</v>
      </c>
      <c r="N566" s="135">
        <v>45146</v>
      </c>
      <c r="O566" s="135">
        <v>45146</v>
      </c>
      <c r="P566" s="135">
        <v>45147</v>
      </c>
      <c r="Q566" s="135"/>
      <c r="R566" s="135"/>
      <c r="S566" s="135"/>
      <c r="T566" s="135"/>
      <c r="U566" s="144">
        <v>2</v>
      </c>
      <c r="V566" s="143">
        <v>52023</v>
      </c>
      <c r="W566" s="143" t="str">
        <f ca="1">IF(H566="",IF(D566="","",IF(U566+V566&lt;15,"Données Nb pers ou RFR manquantes",IF(COUNTA(INDIRECT("TabRFR["&amp;YEAR(D566)&amp;"]"))&lt;&gt;COUNTA(TabRFR[Recherche RFR]),"Data RFR manquantes", IF(V566&lt;=INDEX(TabRFR[[2023]:[2025]],MATCH(BD!U566&amp;"-Très modestes",TabRFR[Recherche RFR],0),MATCH(TEXT(YEAR(BD!D566),"Standard"),TabRFR[[#Headers],[2023]:[2025]],0)),"Très Modeste",IF(V566&lt;=INDEX(TabRFR[[2023]:[2025]],MATCH(BD!U566&amp;"-modestes",TabRFR[Recherche RFR],0),MATCH(TEXT(YEAR(BD!D566),"Standard"),TabRFR[[#Headers],[2023]:[2025]],0)),"Modeste",IF(V566&lt;=INDEX(TabRFR[[2023]:[2025]],MATCH(BD!U566&amp;"-Intermédiaire",TabRFR[Recherche RFR],0),MATCH(TEXT(YEAR(BD!D566),"Standard"),TabRFR[[#Headers],[2023]:[2025]],0)),"Intermédiaire","Supérieur")))))),IF(D566="","",IF(U566+V566&lt;15,"Données Nb pers ou RFR manquantes",IF(COUNTA(INDIRECT("TabRFR["&amp;YEAR(H566)&amp;"]"))&lt;&gt;COUNTA(TabRFR[Recherche RFR]),"Data RFR manquantes", IF(V566&lt;=INDEX(TabRFR[[2023]:[2025]],MATCH(BD!U566&amp;"-Très modestes",TabRFR[Recherche RFR],0),MATCH(TEXT(YEAR(BD!H566),"Standard"),TabRFR[[#Headers],[2023]:[2025]],0)),"Très Modeste",IF(V566&lt;=INDEX(TabRFR[[2023]:[2025]],MATCH(BD!U566&amp;"-modestes",TabRFR[Recherche RFR],0),MATCH(TEXT(YEAR(BD!H566),"Standard"),TabRFR[[#Headers],[2023]:[2025]],0)),"Modeste",IF(V566&lt;=INDEX(TabRFR[[2023]:[2025]],MATCH(BD!U566&amp;"-Intermédiaire",TabRFR[Recherche RFR],0),MATCH(TEXT(YEAR(BD!H566),"Standard"),TabRFR[[#Headers],[2023]:[2025]],0)),"Intermédiaire","Supérieur")))))))</f>
        <v>Supérieur</v>
      </c>
      <c r="X566" s="144"/>
      <c r="Y566" s="135" t="s">
        <v>622</v>
      </c>
      <c r="Z566" s="144">
        <v>38850</v>
      </c>
      <c r="AA566" s="135" t="s">
        <v>435</v>
      </c>
      <c r="AB566" s="148"/>
      <c r="AC566" s="169"/>
      <c r="AD566" s="135" t="s">
        <v>91</v>
      </c>
      <c r="AE566" s="135"/>
      <c r="AF566" s="135"/>
      <c r="AG566" s="135"/>
      <c r="AH566" s="135"/>
      <c r="AI566" s="143" t="s">
        <v>1106</v>
      </c>
      <c r="AJ566" s="143" t="s">
        <v>1075</v>
      </c>
      <c r="AK566" s="143" t="s">
        <v>1107</v>
      </c>
      <c r="AL566" s="169" t="s">
        <v>1454</v>
      </c>
      <c r="AM566" s="148">
        <v>476663386</v>
      </c>
      <c r="AN566" s="143" t="s">
        <v>76</v>
      </c>
      <c r="AO566" s="150" t="s">
        <v>102</v>
      </c>
      <c r="AP566" s="147">
        <v>45096</v>
      </c>
      <c r="AQ566" s="135" t="s">
        <v>3449</v>
      </c>
      <c r="AR566" s="143">
        <v>1980</v>
      </c>
      <c r="AS566" s="143" t="s">
        <v>3413</v>
      </c>
      <c r="AT566" s="135" t="s">
        <v>3446</v>
      </c>
      <c r="AU566" s="135" t="s">
        <v>1878</v>
      </c>
      <c r="AV566" s="135" t="s">
        <v>2522</v>
      </c>
      <c r="AW566" s="143"/>
      <c r="AX566" s="143"/>
      <c r="AY566" s="143"/>
      <c r="AZ566" s="143"/>
      <c r="BA566" s="135" t="s">
        <v>101</v>
      </c>
      <c r="BB566" s="135"/>
      <c r="BC566" s="151">
        <f>3185.52+2485.8+385+225+261.69-439.86</f>
        <v>6103.15</v>
      </c>
      <c r="BD566" s="151"/>
      <c r="BE566" s="151">
        <f>900+485</f>
        <v>1385</v>
      </c>
      <c r="BF566" s="151">
        <f t="shared" si="45"/>
        <v>7488.15</v>
      </c>
      <c r="BG566" s="151">
        <f t="shared" si="41"/>
        <v>411.84825000000001</v>
      </c>
      <c r="BH566" s="151">
        <f t="shared" si="42"/>
        <v>7899.9982499999996</v>
      </c>
      <c r="BI566" s="151">
        <v>7900</v>
      </c>
      <c r="BJ566" s="135" t="s">
        <v>144</v>
      </c>
      <c r="BK566" s="135"/>
      <c r="BL566" s="135"/>
      <c r="BM566" s="144" t="s">
        <v>3592</v>
      </c>
      <c r="BN566" s="143">
        <v>2023</v>
      </c>
      <c r="BO566" s="144" t="s">
        <v>143</v>
      </c>
      <c r="BP566" s="144">
        <v>2023</v>
      </c>
      <c r="BQ566" s="203" t="s">
        <v>144</v>
      </c>
    </row>
    <row r="567" spans="1:69" ht="41.1" customHeight="1">
      <c r="A567" s="218" t="s">
        <v>1705</v>
      </c>
      <c r="B567" s="218" t="s">
        <v>2523</v>
      </c>
      <c r="C567" s="143">
        <f t="shared" ca="1" si="44"/>
        <v>600</v>
      </c>
      <c r="D567" s="135">
        <v>44935</v>
      </c>
      <c r="E567" s="135">
        <v>44936</v>
      </c>
      <c r="F567" s="135">
        <v>44936</v>
      </c>
      <c r="G567" s="135" t="s">
        <v>76</v>
      </c>
      <c r="H567" s="135">
        <v>44936</v>
      </c>
      <c r="I567" s="135">
        <v>44936</v>
      </c>
      <c r="J567" s="135">
        <v>44960</v>
      </c>
      <c r="K567" s="135">
        <v>45006</v>
      </c>
      <c r="L567" s="135">
        <v>44968</v>
      </c>
      <c r="M567" s="135" t="s">
        <v>2524</v>
      </c>
      <c r="N567" s="135">
        <v>45050</v>
      </c>
      <c r="O567" s="135">
        <v>45050</v>
      </c>
      <c r="P567" s="135">
        <v>45051</v>
      </c>
      <c r="Q567" s="135"/>
      <c r="R567" s="135"/>
      <c r="S567" s="135"/>
      <c r="T567" s="135"/>
      <c r="U567" s="144">
        <v>3</v>
      </c>
      <c r="V567" s="143">
        <v>77211</v>
      </c>
      <c r="W567" s="143" t="str">
        <f ca="1">IF(H567="",IF(D567="","",IF(U567+V567&lt;15,"Données Nb pers ou RFR manquantes",IF(COUNTA(INDIRECT("TabRFR["&amp;YEAR(D567)&amp;"]"))&lt;&gt;COUNTA(TabRFR[Recherche RFR]),"Data RFR manquantes", IF(V567&lt;=INDEX(TabRFR[[2023]:[2025]],MATCH(BD!U567&amp;"-Très modestes",TabRFR[Recherche RFR],0),MATCH(TEXT(YEAR(BD!D567),"Standard"),TabRFR[[#Headers],[2023]:[2025]],0)),"Très Modeste",IF(V567&lt;=INDEX(TabRFR[[2023]:[2025]],MATCH(BD!U567&amp;"-modestes",TabRFR[Recherche RFR],0),MATCH(TEXT(YEAR(BD!D567),"Standard"),TabRFR[[#Headers],[2023]:[2025]],0)),"Modeste",IF(V567&lt;=INDEX(TabRFR[[2023]:[2025]],MATCH(BD!U567&amp;"-Intermédiaire",TabRFR[Recherche RFR],0),MATCH(TEXT(YEAR(BD!D567),"Standard"),TabRFR[[#Headers],[2023]:[2025]],0)),"Intermédiaire","Supérieur")))))),IF(D567="","",IF(U567+V567&lt;15,"Données Nb pers ou RFR manquantes",IF(COUNTA(INDIRECT("TabRFR["&amp;YEAR(H567)&amp;"]"))&lt;&gt;COUNTA(TabRFR[Recherche RFR]),"Data RFR manquantes", IF(V567&lt;=INDEX(TabRFR[[2023]:[2025]],MATCH(BD!U567&amp;"-Très modestes",TabRFR[Recherche RFR],0),MATCH(TEXT(YEAR(BD!H567),"Standard"),TabRFR[[#Headers],[2023]:[2025]],0)),"Très Modeste",IF(V567&lt;=INDEX(TabRFR[[2023]:[2025]],MATCH(BD!U567&amp;"-modestes",TabRFR[Recherche RFR],0),MATCH(TEXT(YEAR(BD!H567),"Standard"),TabRFR[[#Headers],[2023]:[2025]],0)),"Modeste",IF(V567&lt;=INDEX(TabRFR[[2023]:[2025]],MATCH(BD!U567&amp;"-Intermédiaire",TabRFR[Recherche RFR],0),MATCH(TEXT(YEAR(BD!H567),"Standard"),TabRFR[[#Headers],[2023]:[2025]],0)),"Intermédiaire","Supérieur")))))))</f>
        <v>Supérieur</v>
      </c>
      <c r="X567" s="144"/>
      <c r="Y567" s="135" t="s">
        <v>2525</v>
      </c>
      <c r="Z567" s="144">
        <v>38500</v>
      </c>
      <c r="AA567" s="135" t="s">
        <v>284</v>
      </c>
      <c r="AB567" s="148"/>
      <c r="AC567" s="169"/>
      <c r="AD567" s="135" t="s">
        <v>91</v>
      </c>
      <c r="AE567" s="135"/>
      <c r="AF567" s="135"/>
      <c r="AG567" s="135"/>
      <c r="AH567" s="135"/>
      <c r="AI567" s="135" t="s">
        <v>1665</v>
      </c>
      <c r="AJ567" s="143" t="s">
        <v>121</v>
      </c>
      <c r="AK567" s="135" t="s">
        <v>2450</v>
      </c>
      <c r="AL567" s="169" t="s">
        <v>252</v>
      </c>
      <c r="AM567" s="148">
        <v>476452433</v>
      </c>
      <c r="AN567" s="135" t="s">
        <v>76</v>
      </c>
      <c r="AO567" s="135" t="s">
        <v>102</v>
      </c>
      <c r="AP567" s="135">
        <v>44954</v>
      </c>
      <c r="AQ567" s="135" t="s">
        <v>3449</v>
      </c>
      <c r="AR567" s="143">
        <v>1930</v>
      </c>
      <c r="AS567" s="143" t="s">
        <v>3413</v>
      </c>
      <c r="AT567" s="135" t="s">
        <v>3446</v>
      </c>
      <c r="AU567" s="135" t="s">
        <v>2526</v>
      </c>
      <c r="AV567" s="135" t="s">
        <v>2527</v>
      </c>
      <c r="AW567" s="143"/>
      <c r="AX567" s="143"/>
      <c r="AY567" s="143"/>
      <c r="AZ567" s="143"/>
      <c r="BA567" s="135" t="s">
        <v>101</v>
      </c>
      <c r="BB567" s="135"/>
      <c r="BC567" s="151">
        <f>2700+577.6+1554.3+450+255.68+175.33+79.78</f>
        <v>5792.69</v>
      </c>
      <c r="BD567" s="151"/>
      <c r="BE567" s="151">
        <f>400+130+585-292.5</f>
        <v>822.5</v>
      </c>
      <c r="BF567" s="151">
        <f t="shared" si="45"/>
        <v>6615.19</v>
      </c>
      <c r="BG567" s="151">
        <f t="shared" si="41"/>
        <v>363.83544999999998</v>
      </c>
      <c r="BH567" s="151">
        <f t="shared" si="42"/>
        <v>6979.0254499999992</v>
      </c>
      <c r="BI567" s="143">
        <v>6915.19</v>
      </c>
      <c r="BJ567" s="135" t="s">
        <v>1391</v>
      </c>
      <c r="BK567" s="135"/>
      <c r="BL567" s="135"/>
      <c r="BM567" s="144" t="s">
        <v>3592</v>
      </c>
      <c r="BN567" s="143">
        <v>2023</v>
      </c>
      <c r="BO567" s="144" t="s">
        <v>143</v>
      </c>
      <c r="BP567" s="144">
        <v>2023</v>
      </c>
      <c r="BQ567" s="203" t="s">
        <v>3274</v>
      </c>
    </row>
    <row r="568" spans="1:69" ht="41.1" customHeight="1">
      <c r="A568" s="218" t="s">
        <v>1705</v>
      </c>
      <c r="B568" s="218" t="s">
        <v>2528</v>
      </c>
      <c r="C568" s="143">
        <f t="shared" ca="1" si="44"/>
        <v>1000</v>
      </c>
      <c r="D568" s="135">
        <v>44937</v>
      </c>
      <c r="E568" s="135">
        <v>44938</v>
      </c>
      <c r="F568" s="135" t="s">
        <v>76</v>
      </c>
      <c r="G568" s="135" t="s">
        <v>76</v>
      </c>
      <c r="H568" s="135">
        <v>44945</v>
      </c>
      <c r="I568" s="135">
        <v>44946</v>
      </c>
      <c r="J568" s="135">
        <v>44966</v>
      </c>
      <c r="K568" s="135">
        <v>45089</v>
      </c>
      <c r="L568" s="135">
        <v>45082</v>
      </c>
      <c r="M568" s="135" t="s">
        <v>76</v>
      </c>
      <c r="N568" s="135">
        <v>45099</v>
      </c>
      <c r="O568" s="135">
        <v>45099</v>
      </c>
      <c r="P568" s="135">
        <v>45103</v>
      </c>
      <c r="Q568" s="135"/>
      <c r="R568" s="135"/>
      <c r="S568" s="135"/>
      <c r="T568" s="135"/>
      <c r="U568" s="144">
        <v>2</v>
      </c>
      <c r="V568" s="143">
        <v>19926</v>
      </c>
      <c r="W568" s="143" t="str">
        <f ca="1">IF(H568="",IF(D568="","",IF(U568+V568&lt;15,"Données Nb pers ou RFR manquantes",IF(COUNTA(INDIRECT("TabRFR["&amp;YEAR(D568)&amp;"]"))&lt;&gt;COUNTA(TabRFR[Recherche RFR]),"Data RFR manquantes", IF(V568&lt;=INDEX(TabRFR[[2023]:[2025]],MATCH(BD!U568&amp;"-Très modestes",TabRFR[Recherche RFR],0),MATCH(TEXT(YEAR(BD!D568),"Standard"),TabRFR[[#Headers],[2023]:[2025]],0)),"Très Modeste",IF(V568&lt;=INDEX(TabRFR[[2023]:[2025]],MATCH(BD!U568&amp;"-modestes",TabRFR[Recherche RFR],0),MATCH(TEXT(YEAR(BD!D568),"Standard"),TabRFR[[#Headers],[2023]:[2025]],0)),"Modeste",IF(V568&lt;=INDEX(TabRFR[[2023]:[2025]],MATCH(BD!U568&amp;"-Intermédiaire",TabRFR[Recherche RFR],0),MATCH(TEXT(YEAR(BD!D568),"Standard"),TabRFR[[#Headers],[2023]:[2025]],0)),"Intermédiaire","Supérieur")))))),IF(D568="","",IF(U568+V568&lt;15,"Données Nb pers ou RFR manquantes",IF(COUNTA(INDIRECT("TabRFR["&amp;YEAR(H568)&amp;"]"))&lt;&gt;COUNTA(TabRFR[Recherche RFR]),"Data RFR manquantes", IF(V568&lt;=INDEX(TabRFR[[2023]:[2025]],MATCH(BD!U568&amp;"-Très modestes",TabRFR[Recherche RFR],0),MATCH(TEXT(YEAR(BD!H568),"Standard"),TabRFR[[#Headers],[2023]:[2025]],0)),"Très Modeste",IF(V568&lt;=INDEX(TabRFR[[2023]:[2025]],MATCH(BD!U568&amp;"-modestes",TabRFR[Recherche RFR],0),MATCH(TEXT(YEAR(BD!H568),"Standard"),TabRFR[[#Headers],[2023]:[2025]],0)),"Modeste",IF(V568&lt;=INDEX(TabRFR[[2023]:[2025]],MATCH(BD!U568&amp;"-Intermédiaire",TabRFR[Recherche RFR],0),MATCH(TEXT(YEAR(BD!H568),"Standard"),TabRFR[[#Headers],[2023]:[2025]],0)),"Intermédiaire","Supérieur")))))))</f>
        <v>Très Modeste</v>
      </c>
      <c r="X568" s="144"/>
      <c r="Y568" s="135" t="s">
        <v>2529</v>
      </c>
      <c r="Z568" s="144">
        <v>38500</v>
      </c>
      <c r="AA568" s="135" t="s">
        <v>108</v>
      </c>
      <c r="AB568" s="148"/>
      <c r="AC568" s="169"/>
      <c r="AD568" s="135" t="s">
        <v>91</v>
      </c>
      <c r="AE568" s="135"/>
      <c r="AF568" s="135"/>
      <c r="AG568" s="135"/>
      <c r="AH568" s="135"/>
      <c r="AI568" s="135" t="s">
        <v>169</v>
      </c>
      <c r="AJ568" s="135" t="s">
        <v>119</v>
      </c>
      <c r="AK568" s="135" t="s">
        <v>2192</v>
      </c>
      <c r="AL568" s="170" t="s">
        <v>171</v>
      </c>
      <c r="AM568" s="148" t="s">
        <v>1406</v>
      </c>
      <c r="AN568" s="135"/>
      <c r="AO568" s="150" t="s">
        <v>102</v>
      </c>
      <c r="AP568" s="135">
        <v>45248</v>
      </c>
      <c r="AQ568" s="143" t="s">
        <v>3413</v>
      </c>
      <c r="AR568" s="143">
        <v>1999</v>
      </c>
      <c r="AS568" s="143" t="s">
        <v>3413</v>
      </c>
      <c r="AT568" s="143" t="s">
        <v>98</v>
      </c>
      <c r="AU568" s="135" t="s">
        <v>173</v>
      </c>
      <c r="AV568" s="135" t="s">
        <v>2530</v>
      </c>
      <c r="AW568" s="143"/>
      <c r="AX568" s="143"/>
      <c r="AY568" s="143"/>
      <c r="AZ568" s="143"/>
      <c r="BA568" s="135" t="s">
        <v>101</v>
      </c>
      <c r="BB568" s="135"/>
      <c r="BC568" s="151">
        <f>282.94+181.25+274.35+61.05+523+82.14+79.59+174.4+152.9+65.6+450+3400</f>
        <v>5727.22</v>
      </c>
      <c r="BD568" s="151"/>
      <c r="BE568" s="151">
        <v>525</v>
      </c>
      <c r="BF568" s="151">
        <f t="shared" si="45"/>
        <v>6252.22</v>
      </c>
      <c r="BG568" s="151">
        <f t="shared" si="41"/>
        <v>343.87209999999999</v>
      </c>
      <c r="BH568" s="151">
        <f t="shared" si="42"/>
        <v>6596.0920999999998</v>
      </c>
      <c r="BI568" s="143">
        <v>6596.09</v>
      </c>
      <c r="BJ568" s="135" t="s">
        <v>1391</v>
      </c>
      <c r="BK568" s="135"/>
      <c r="BL568" s="135"/>
      <c r="BM568" s="144" t="s">
        <v>3592</v>
      </c>
      <c r="BN568" s="143">
        <v>2023</v>
      </c>
      <c r="BO568" s="135" t="s">
        <v>155</v>
      </c>
      <c r="BP568" s="143" t="s">
        <v>3583</v>
      </c>
      <c r="BQ568" s="203" t="s">
        <v>3274</v>
      </c>
    </row>
    <row r="569" spans="1:69" ht="41.1" customHeight="1">
      <c r="A569" s="218" t="s">
        <v>1705</v>
      </c>
      <c r="B569" s="218" t="s">
        <v>2531</v>
      </c>
      <c r="C569" s="143">
        <f t="shared" ca="1" si="44"/>
        <v>600</v>
      </c>
      <c r="D569" s="135">
        <v>44940</v>
      </c>
      <c r="E569" s="135">
        <v>44943</v>
      </c>
      <c r="F569" s="135">
        <v>44945</v>
      </c>
      <c r="G569" s="135" t="s">
        <v>2080</v>
      </c>
      <c r="H569" s="135">
        <v>44970</v>
      </c>
      <c r="I569" s="135">
        <v>44970</v>
      </c>
      <c r="J569" s="135">
        <v>44974</v>
      </c>
      <c r="K569" s="135">
        <v>45228</v>
      </c>
      <c r="L569" s="135">
        <v>45215</v>
      </c>
      <c r="M569" s="135" t="s">
        <v>76</v>
      </c>
      <c r="N569" s="135">
        <v>45232</v>
      </c>
      <c r="O569" s="135">
        <v>45232</v>
      </c>
      <c r="P569" s="135">
        <v>45258</v>
      </c>
      <c r="Q569" s="135"/>
      <c r="R569" s="135"/>
      <c r="S569" s="135"/>
      <c r="T569" s="135"/>
      <c r="U569" s="144">
        <v>2</v>
      </c>
      <c r="V569" s="143">
        <f>31607+37777</f>
        <v>69384</v>
      </c>
      <c r="W569" s="143" t="str">
        <f ca="1">IF(H569="",IF(D569="","",IF(U569+V569&lt;15,"Données Nb pers ou RFR manquantes",IF(COUNTA(INDIRECT("TabRFR["&amp;YEAR(D569)&amp;"]"))&lt;&gt;COUNTA(TabRFR[Recherche RFR]),"Data RFR manquantes", IF(V569&lt;=INDEX(TabRFR[[2023]:[2025]],MATCH(BD!U569&amp;"-Très modestes",TabRFR[Recherche RFR],0),MATCH(TEXT(YEAR(BD!D569),"Standard"),TabRFR[[#Headers],[2023]:[2025]],0)),"Très Modeste",IF(V569&lt;=INDEX(TabRFR[[2023]:[2025]],MATCH(BD!U569&amp;"-modestes",TabRFR[Recherche RFR],0),MATCH(TEXT(YEAR(BD!D569),"Standard"),TabRFR[[#Headers],[2023]:[2025]],0)),"Modeste",IF(V569&lt;=INDEX(TabRFR[[2023]:[2025]],MATCH(BD!U569&amp;"-Intermédiaire",TabRFR[Recherche RFR],0),MATCH(TEXT(YEAR(BD!D569),"Standard"),TabRFR[[#Headers],[2023]:[2025]],0)),"Intermédiaire","Supérieur")))))),IF(D569="","",IF(U569+V569&lt;15,"Données Nb pers ou RFR manquantes",IF(COUNTA(INDIRECT("TabRFR["&amp;YEAR(H569)&amp;"]"))&lt;&gt;COUNTA(TabRFR[Recherche RFR]),"Data RFR manquantes", IF(V569&lt;=INDEX(TabRFR[[2023]:[2025]],MATCH(BD!U569&amp;"-Très modestes",TabRFR[Recherche RFR],0),MATCH(TEXT(YEAR(BD!H569),"Standard"),TabRFR[[#Headers],[2023]:[2025]],0)),"Très Modeste",IF(V569&lt;=INDEX(TabRFR[[2023]:[2025]],MATCH(BD!U569&amp;"-modestes",TabRFR[Recherche RFR],0),MATCH(TEXT(YEAR(BD!H569),"Standard"),TabRFR[[#Headers],[2023]:[2025]],0)),"Modeste",IF(V569&lt;=INDEX(TabRFR[[2023]:[2025]],MATCH(BD!U569&amp;"-Intermédiaire",TabRFR[Recherche RFR],0),MATCH(TEXT(YEAR(BD!H569),"Standard"),TabRFR[[#Headers],[2023]:[2025]],0)),"Intermédiaire","Supérieur")))))))</f>
        <v>Supérieur</v>
      </c>
      <c r="X569" s="144"/>
      <c r="Y569" s="135" t="s">
        <v>2532</v>
      </c>
      <c r="Z569" s="144">
        <v>38340</v>
      </c>
      <c r="AA569" s="135" t="s">
        <v>266</v>
      </c>
      <c r="AB569" s="148"/>
      <c r="AC569" s="169"/>
      <c r="AD569" s="135" t="s">
        <v>91</v>
      </c>
      <c r="AE569" s="135"/>
      <c r="AF569" s="135"/>
      <c r="AG569" s="135"/>
      <c r="AH569" s="135"/>
      <c r="AI569" s="135" t="s">
        <v>120</v>
      </c>
      <c r="AJ569" s="135" t="s">
        <v>121</v>
      </c>
      <c r="AK569" s="135" t="s">
        <v>2232</v>
      </c>
      <c r="AL569" s="150" t="s">
        <v>123</v>
      </c>
      <c r="AM569" s="135" t="s">
        <v>1469</v>
      </c>
      <c r="AN569" s="135" t="s">
        <v>2233</v>
      </c>
      <c r="AO569" s="135" t="s">
        <v>102</v>
      </c>
      <c r="AP569" s="135">
        <v>45147</v>
      </c>
      <c r="AQ569" s="135" t="s">
        <v>3449</v>
      </c>
      <c r="AR569" s="143" t="s">
        <v>213</v>
      </c>
      <c r="AS569" s="143" t="s">
        <v>3413</v>
      </c>
      <c r="AT569" s="135" t="s">
        <v>3446</v>
      </c>
      <c r="AU569" s="135" t="s">
        <v>194</v>
      </c>
      <c r="AV569" s="135" t="s">
        <v>2533</v>
      </c>
      <c r="AW569" s="143"/>
      <c r="AX569" s="143"/>
      <c r="AY569" s="143"/>
      <c r="AZ569" s="143"/>
      <c r="BA569" s="135" t="s">
        <v>101</v>
      </c>
      <c r="BB569" s="135"/>
      <c r="BC569" s="151">
        <f>(5803+380+890+156+157)/1.055</f>
        <v>7000.9478672985788</v>
      </c>
      <c r="BD569" s="151"/>
      <c r="BE569" s="151">
        <f>850/1.055</f>
        <v>805.68720379146919</v>
      </c>
      <c r="BF569" s="151">
        <f t="shared" si="45"/>
        <v>7806.6350710900479</v>
      </c>
      <c r="BG569" s="151">
        <f t="shared" si="41"/>
        <v>429.36492890995265</v>
      </c>
      <c r="BH569" s="151">
        <f t="shared" si="42"/>
        <v>8236</v>
      </c>
      <c r="BI569" s="151">
        <v>9449</v>
      </c>
      <c r="BJ569" s="135" t="s">
        <v>144</v>
      </c>
      <c r="BK569" s="135"/>
      <c r="BL569" s="135"/>
      <c r="BM569" s="144" t="s">
        <v>3592</v>
      </c>
      <c r="BN569" s="143">
        <v>2023</v>
      </c>
      <c r="BO569" s="144" t="s">
        <v>143</v>
      </c>
      <c r="BP569" s="144">
        <v>2023</v>
      </c>
      <c r="BQ569" s="203" t="s">
        <v>144</v>
      </c>
    </row>
    <row r="570" spans="1:69" ht="41.1" customHeight="1">
      <c r="A570" s="219" t="s">
        <v>1705</v>
      </c>
      <c r="B570" s="219" t="s">
        <v>2534</v>
      </c>
      <c r="C570" s="143">
        <f t="shared" ca="1" si="44"/>
        <v>1000</v>
      </c>
      <c r="D570" s="135">
        <v>44942</v>
      </c>
      <c r="E570" s="135">
        <v>44943</v>
      </c>
      <c r="F570" s="135">
        <v>44945</v>
      </c>
      <c r="G570" s="135" t="s">
        <v>2535</v>
      </c>
      <c r="H570" s="135">
        <v>44946</v>
      </c>
      <c r="I570" s="135">
        <v>44946</v>
      </c>
      <c r="J570" s="135">
        <v>44966</v>
      </c>
      <c r="K570" s="135">
        <v>45408</v>
      </c>
      <c r="L570" s="135">
        <v>45077</v>
      </c>
      <c r="M570" s="135" t="s">
        <v>3303</v>
      </c>
      <c r="N570" s="135">
        <v>45429</v>
      </c>
      <c r="O570" s="135">
        <v>45429</v>
      </c>
      <c r="P570" s="135"/>
      <c r="Q570" s="135"/>
      <c r="R570" s="135"/>
      <c r="S570" s="135"/>
      <c r="T570" s="135"/>
      <c r="U570" s="144">
        <v>5</v>
      </c>
      <c r="V570" s="143">
        <v>47466</v>
      </c>
      <c r="W570" s="143" t="str">
        <f ca="1">IF(H570="",IF(D570="","",IF(U570+V570&lt;15,"Données Nb pers ou RFR manquantes",IF(COUNTA(INDIRECT("TabRFR["&amp;YEAR(D570)&amp;"]"))&lt;&gt;COUNTA(TabRFR[Recherche RFR]),"Data RFR manquantes", IF(V570&lt;=INDEX(TabRFR[[2023]:[2025]],MATCH(BD!U570&amp;"-Très modestes",TabRFR[Recherche RFR],0),MATCH(TEXT(YEAR(BD!D570),"Standard"),TabRFR[[#Headers],[2023]:[2025]],0)),"Très Modeste",IF(V570&lt;=INDEX(TabRFR[[2023]:[2025]],MATCH(BD!U570&amp;"-modestes",TabRFR[Recherche RFR],0),MATCH(TEXT(YEAR(BD!D570),"Standard"),TabRFR[[#Headers],[2023]:[2025]],0)),"Modeste",IF(V570&lt;=INDEX(TabRFR[[2023]:[2025]],MATCH(BD!U570&amp;"-Intermédiaire",TabRFR[Recherche RFR],0),MATCH(TEXT(YEAR(BD!D570),"Standard"),TabRFR[[#Headers],[2023]:[2025]],0)),"Intermédiaire","Supérieur")))))),IF(D570="","",IF(U570+V570&lt;15,"Données Nb pers ou RFR manquantes",IF(COUNTA(INDIRECT("TabRFR["&amp;YEAR(H570)&amp;"]"))&lt;&gt;COUNTA(TabRFR[Recherche RFR]),"Data RFR manquantes", IF(V570&lt;=INDEX(TabRFR[[2023]:[2025]],MATCH(BD!U570&amp;"-Très modestes",TabRFR[Recherche RFR],0),MATCH(TEXT(YEAR(BD!H570),"Standard"),TabRFR[[#Headers],[2023]:[2025]],0)),"Très Modeste",IF(V570&lt;=INDEX(TabRFR[[2023]:[2025]],MATCH(BD!U570&amp;"-modestes",TabRFR[Recherche RFR],0),MATCH(TEXT(YEAR(BD!H570),"Standard"),TabRFR[[#Headers],[2023]:[2025]],0)),"Modeste",IF(V570&lt;=INDEX(TabRFR[[2023]:[2025]],MATCH(BD!U570&amp;"-Intermédiaire",TabRFR[Recherche RFR],0),MATCH(TEXT(YEAR(BD!H570),"Standard"),TabRFR[[#Headers],[2023]:[2025]],0)),"Intermédiaire","Supérieur")))))))</f>
        <v>Modeste</v>
      </c>
      <c r="X570" s="144"/>
      <c r="Y570" s="135" t="s">
        <v>2536</v>
      </c>
      <c r="Z570" s="144">
        <v>38730</v>
      </c>
      <c r="AA570" s="135" t="s">
        <v>148</v>
      </c>
      <c r="AB570" s="148"/>
      <c r="AC570" s="208"/>
      <c r="AD570" s="135" t="s">
        <v>91</v>
      </c>
      <c r="AE570" s="135"/>
      <c r="AF570" s="135"/>
      <c r="AG570" s="135"/>
      <c r="AH570" s="135"/>
      <c r="AI570" s="135" t="s">
        <v>1436</v>
      </c>
      <c r="AJ570" s="135" t="s">
        <v>1437</v>
      </c>
      <c r="AK570" s="135" t="s">
        <v>1920</v>
      </c>
      <c r="AL570" s="169" t="s">
        <v>2177</v>
      </c>
      <c r="AM570" s="148">
        <v>631077133</v>
      </c>
      <c r="AN570" s="135" t="s">
        <v>76</v>
      </c>
      <c r="AO570" s="150" t="s">
        <v>102</v>
      </c>
      <c r="AP570" s="135">
        <v>45056</v>
      </c>
      <c r="AQ570" s="135" t="s">
        <v>3449</v>
      </c>
      <c r="AR570" s="143" t="s">
        <v>213</v>
      </c>
      <c r="AS570" s="143" t="s">
        <v>3413</v>
      </c>
      <c r="AT570" s="135" t="s">
        <v>3446</v>
      </c>
      <c r="AU570" s="135" t="s">
        <v>852</v>
      </c>
      <c r="AV570" s="135" t="s">
        <v>2537</v>
      </c>
      <c r="AW570" s="143"/>
      <c r="AX570" s="143"/>
      <c r="AY570" s="143"/>
      <c r="AZ570" s="143"/>
      <c r="BA570" s="135" t="s">
        <v>101</v>
      </c>
      <c r="BB570" s="135"/>
      <c r="BC570" s="151">
        <f>2450+274+838+112+69+168+96+46</f>
        <v>4053</v>
      </c>
      <c r="BD570" s="151"/>
      <c r="BE570" s="151">
        <v>730</v>
      </c>
      <c r="BF570" s="151">
        <f t="shared" si="45"/>
        <v>4783</v>
      </c>
      <c r="BG570" s="151">
        <f t="shared" si="41"/>
        <v>263.065</v>
      </c>
      <c r="BH570" s="151">
        <f t="shared" si="42"/>
        <v>5046.0649999999996</v>
      </c>
      <c r="BI570" s="151">
        <v>3027.64</v>
      </c>
      <c r="BJ570" s="135" t="s">
        <v>1391</v>
      </c>
      <c r="BK570" s="135"/>
      <c r="BL570" s="135"/>
      <c r="BM570" s="144" t="s">
        <v>3592</v>
      </c>
      <c r="BN570" s="143">
        <v>2023</v>
      </c>
      <c r="BO570" s="135" t="s">
        <v>155</v>
      </c>
      <c r="BP570" s="144">
        <v>2023</v>
      </c>
      <c r="BQ570" s="203" t="s">
        <v>3274</v>
      </c>
    </row>
    <row r="571" spans="1:69" ht="41.1" customHeight="1">
      <c r="A571" s="218" t="s">
        <v>1705</v>
      </c>
      <c r="B571" s="218" t="s">
        <v>2538</v>
      </c>
      <c r="C571" s="143">
        <f t="shared" ca="1" si="44"/>
        <v>1000</v>
      </c>
      <c r="D571" s="135">
        <v>44949</v>
      </c>
      <c r="E571" s="135">
        <v>44952</v>
      </c>
      <c r="F571" s="135" t="s">
        <v>76</v>
      </c>
      <c r="G571" s="135" t="s">
        <v>76</v>
      </c>
      <c r="H571" s="135">
        <v>44970</v>
      </c>
      <c r="I571" s="135">
        <v>44970</v>
      </c>
      <c r="J571" s="135">
        <v>44974</v>
      </c>
      <c r="K571" s="135">
        <v>45265</v>
      </c>
      <c r="L571" s="135">
        <v>45253</v>
      </c>
      <c r="M571" s="135" t="s">
        <v>3339</v>
      </c>
      <c r="N571" s="135">
        <v>45274</v>
      </c>
      <c r="O571" s="135">
        <v>45274</v>
      </c>
      <c r="P571" s="135">
        <v>45275</v>
      </c>
      <c r="Q571" s="135"/>
      <c r="R571" s="135"/>
      <c r="S571" s="135"/>
      <c r="T571" s="135"/>
      <c r="U571" s="144">
        <v>1</v>
      </c>
      <c r="V571" s="143">
        <v>8705</v>
      </c>
      <c r="W571" s="143" t="str">
        <f ca="1">IF(H571="",IF(D571="","",IF(U571+V571&lt;15,"Données Nb pers ou RFR manquantes",IF(COUNTA(INDIRECT("TabRFR["&amp;YEAR(D571)&amp;"]"))&lt;&gt;COUNTA(TabRFR[Recherche RFR]),"Data RFR manquantes", IF(V571&lt;=INDEX(TabRFR[[2023]:[2025]],MATCH(BD!U571&amp;"-Très modestes",TabRFR[Recherche RFR],0),MATCH(TEXT(YEAR(BD!D571),"Standard"),TabRFR[[#Headers],[2023]:[2025]],0)),"Très Modeste",IF(V571&lt;=INDEX(TabRFR[[2023]:[2025]],MATCH(BD!U571&amp;"-modestes",TabRFR[Recherche RFR],0),MATCH(TEXT(YEAR(BD!D571),"Standard"),TabRFR[[#Headers],[2023]:[2025]],0)),"Modeste",IF(V571&lt;=INDEX(TabRFR[[2023]:[2025]],MATCH(BD!U571&amp;"-Intermédiaire",TabRFR[Recherche RFR],0),MATCH(TEXT(YEAR(BD!D571),"Standard"),TabRFR[[#Headers],[2023]:[2025]],0)),"Intermédiaire","Supérieur")))))),IF(D571="","",IF(U571+V571&lt;15,"Données Nb pers ou RFR manquantes",IF(COUNTA(INDIRECT("TabRFR["&amp;YEAR(H571)&amp;"]"))&lt;&gt;COUNTA(TabRFR[Recherche RFR]),"Data RFR manquantes", IF(V571&lt;=INDEX(TabRFR[[2023]:[2025]],MATCH(BD!U571&amp;"-Très modestes",TabRFR[Recherche RFR],0),MATCH(TEXT(YEAR(BD!H571),"Standard"),TabRFR[[#Headers],[2023]:[2025]],0)),"Très Modeste",IF(V571&lt;=INDEX(TabRFR[[2023]:[2025]],MATCH(BD!U571&amp;"-modestes",TabRFR[Recherche RFR],0),MATCH(TEXT(YEAR(BD!H571),"Standard"),TabRFR[[#Headers],[2023]:[2025]],0)),"Modeste",IF(V571&lt;=INDEX(TabRFR[[2023]:[2025]],MATCH(BD!U571&amp;"-Intermédiaire",TabRFR[Recherche RFR],0),MATCH(TEXT(YEAR(BD!H571),"Standard"),TabRFR[[#Headers],[2023]:[2025]],0)),"Intermédiaire","Supérieur")))))))</f>
        <v>Très Modeste</v>
      </c>
      <c r="X571" s="144"/>
      <c r="Y571" s="135" t="s">
        <v>2539</v>
      </c>
      <c r="Z571" s="144">
        <v>38620</v>
      </c>
      <c r="AA571" s="135" t="s">
        <v>241</v>
      </c>
      <c r="AB571" s="148"/>
      <c r="AC571" s="210"/>
      <c r="AD571" s="135" t="s">
        <v>91</v>
      </c>
      <c r="AE571" s="135"/>
      <c r="AF571" s="135"/>
      <c r="AG571" s="135"/>
      <c r="AH571" s="135"/>
      <c r="AI571" s="143" t="s">
        <v>1106</v>
      </c>
      <c r="AJ571" s="143" t="s">
        <v>1075</v>
      </c>
      <c r="AK571" s="143" t="s">
        <v>1107</v>
      </c>
      <c r="AL571" s="169" t="s">
        <v>1454</v>
      </c>
      <c r="AM571" s="148">
        <v>476663386</v>
      </c>
      <c r="AN571" s="143" t="s">
        <v>76</v>
      </c>
      <c r="AO571" s="150" t="s">
        <v>102</v>
      </c>
      <c r="AP571" s="147">
        <v>45096</v>
      </c>
      <c r="AQ571" s="135" t="s">
        <v>3323</v>
      </c>
      <c r="AR571" s="143">
        <v>1951</v>
      </c>
      <c r="AS571" s="143" t="s">
        <v>2862</v>
      </c>
      <c r="AT571" s="135" t="s">
        <v>3446</v>
      </c>
      <c r="AU571" s="135" t="s">
        <v>587</v>
      </c>
      <c r="AV571" s="135" t="s">
        <v>2540</v>
      </c>
      <c r="AW571" s="143"/>
      <c r="AX571" s="143"/>
      <c r="AY571" s="143"/>
      <c r="AZ571" s="143"/>
      <c r="BA571" s="135" t="s">
        <v>101</v>
      </c>
      <c r="BB571" s="135"/>
      <c r="BC571" s="151">
        <f>2812+385+2816.8+225</f>
        <v>6238.8</v>
      </c>
      <c r="BD571" s="151"/>
      <c r="BE571" s="151">
        <v>800</v>
      </c>
      <c r="BF571" s="151">
        <f t="shared" si="45"/>
        <v>7038.8</v>
      </c>
      <c r="BG571" s="151">
        <f t="shared" ref="BG571:BG602" si="46">BF571*0.055</f>
        <v>387.13400000000001</v>
      </c>
      <c r="BH571" s="151">
        <f t="shared" ref="BH571:BH602" si="47">BF571+BG571</f>
        <v>7425.9340000000002</v>
      </c>
      <c r="BI571" s="143">
        <v>7425.93</v>
      </c>
      <c r="BJ571" s="135" t="s">
        <v>144</v>
      </c>
      <c r="BK571" s="135"/>
      <c r="BL571" s="135"/>
      <c r="BM571" s="144" t="s">
        <v>3592</v>
      </c>
      <c r="BN571" s="143">
        <v>2023</v>
      </c>
      <c r="BO571" s="135" t="s">
        <v>155</v>
      </c>
      <c r="BP571" s="144">
        <v>2023</v>
      </c>
      <c r="BQ571" s="203" t="s">
        <v>144</v>
      </c>
    </row>
    <row r="572" spans="1:69" ht="41.1" customHeight="1">
      <c r="A572" s="218" t="s">
        <v>1705</v>
      </c>
      <c r="B572" s="218" t="s">
        <v>2541</v>
      </c>
      <c r="C572" s="143">
        <f t="shared" ca="1" si="44"/>
        <v>600</v>
      </c>
      <c r="D572" s="135">
        <v>44949</v>
      </c>
      <c r="E572" s="135">
        <v>44952</v>
      </c>
      <c r="F572" s="135">
        <v>44970</v>
      </c>
      <c r="G572" s="135" t="s">
        <v>2542</v>
      </c>
      <c r="H572" s="135">
        <v>44971</v>
      </c>
      <c r="I572" s="135">
        <v>44971</v>
      </c>
      <c r="J572" s="135">
        <v>44974</v>
      </c>
      <c r="K572" s="135">
        <v>45279</v>
      </c>
      <c r="L572" s="135">
        <v>45026</v>
      </c>
      <c r="M572" s="135" t="s">
        <v>3303</v>
      </c>
      <c r="N572" s="135">
        <v>45281</v>
      </c>
      <c r="O572" s="135">
        <v>45281</v>
      </c>
      <c r="P572" s="135">
        <v>45288</v>
      </c>
      <c r="Q572" s="135"/>
      <c r="R572" s="135"/>
      <c r="S572" s="135"/>
      <c r="T572" s="135"/>
      <c r="U572" s="144">
        <v>4</v>
      </c>
      <c r="V572" s="143">
        <v>123343</v>
      </c>
      <c r="W572" s="143" t="str">
        <f ca="1">IF(H572="",IF(D572="","",IF(U572+V572&lt;15,"Données Nb pers ou RFR manquantes",IF(COUNTA(INDIRECT("TabRFR["&amp;YEAR(D572)&amp;"]"))&lt;&gt;COUNTA(TabRFR[Recherche RFR]),"Data RFR manquantes", IF(V572&lt;=INDEX(TabRFR[[2023]:[2025]],MATCH(BD!U572&amp;"-Très modestes",TabRFR[Recherche RFR],0),MATCH(TEXT(YEAR(BD!D572),"Standard"),TabRFR[[#Headers],[2023]:[2025]],0)),"Très Modeste",IF(V572&lt;=INDEX(TabRFR[[2023]:[2025]],MATCH(BD!U572&amp;"-modestes",TabRFR[Recherche RFR],0),MATCH(TEXT(YEAR(BD!D572),"Standard"),TabRFR[[#Headers],[2023]:[2025]],0)),"Modeste",IF(V572&lt;=INDEX(TabRFR[[2023]:[2025]],MATCH(BD!U572&amp;"-Intermédiaire",TabRFR[Recherche RFR],0),MATCH(TEXT(YEAR(BD!D572),"Standard"),TabRFR[[#Headers],[2023]:[2025]],0)),"Intermédiaire","Supérieur")))))),IF(D572="","",IF(U572+V572&lt;15,"Données Nb pers ou RFR manquantes",IF(COUNTA(INDIRECT("TabRFR["&amp;YEAR(H572)&amp;"]"))&lt;&gt;COUNTA(TabRFR[Recherche RFR]),"Data RFR manquantes", IF(V572&lt;=INDEX(TabRFR[[2023]:[2025]],MATCH(BD!U572&amp;"-Très modestes",TabRFR[Recherche RFR],0),MATCH(TEXT(YEAR(BD!H572),"Standard"),TabRFR[[#Headers],[2023]:[2025]],0)),"Très Modeste",IF(V572&lt;=INDEX(TabRFR[[2023]:[2025]],MATCH(BD!U572&amp;"-modestes",TabRFR[Recherche RFR],0),MATCH(TEXT(YEAR(BD!H572),"Standard"),TabRFR[[#Headers],[2023]:[2025]],0)),"Modeste",IF(V572&lt;=INDEX(TabRFR[[2023]:[2025]],MATCH(BD!U572&amp;"-Intermédiaire",TabRFR[Recherche RFR],0),MATCH(TEXT(YEAR(BD!H572),"Standard"),TabRFR[[#Headers],[2023]:[2025]],0)),"Intermédiaire","Supérieur")))))))</f>
        <v>Supérieur</v>
      </c>
      <c r="X572" s="144"/>
      <c r="Y572" s="135" t="s">
        <v>2543</v>
      </c>
      <c r="Z572" s="144">
        <v>38500</v>
      </c>
      <c r="AA572" s="135" t="s">
        <v>108</v>
      </c>
      <c r="AB572" s="148"/>
      <c r="AC572" s="213"/>
      <c r="AD572" s="135" t="s">
        <v>91</v>
      </c>
      <c r="AE572" s="135"/>
      <c r="AF572" s="135"/>
      <c r="AG572" s="135"/>
      <c r="AH572" s="135"/>
      <c r="AI572" s="135" t="s">
        <v>120</v>
      </c>
      <c r="AJ572" s="135" t="s">
        <v>121</v>
      </c>
      <c r="AK572" s="135" t="s">
        <v>2232</v>
      </c>
      <c r="AL572" s="150" t="s">
        <v>123</v>
      </c>
      <c r="AM572" s="135" t="s">
        <v>1469</v>
      </c>
      <c r="AN572" s="135" t="s">
        <v>2233</v>
      </c>
      <c r="AO572" s="135" t="s">
        <v>102</v>
      </c>
      <c r="AP572" s="135">
        <v>45147</v>
      </c>
      <c r="AQ572" s="135" t="s">
        <v>3449</v>
      </c>
      <c r="AR572" s="143">
        <v>1998</v>
      </c>
      <c r="AS572" s="143" t="s">
        <v>3413</v>
      </c>
      <c r="AT572" s="135" t="s">
        <v>3446</v>
      </c>
      <c r="AU572" s="135" t="s">
        <v>2544</v>
      </c>
      <c r="AV572" s="135" t="s">
        <v>2545</v>
      </c>
      <c r="AW572" s="143"/>
      <c r="AX572" s="143"/>
      <c r="AY572" s="143"/>
      <c r="AZ572" s="143"/>
      <c r="BA572" s="135" t="s">
        <v>1401</v>
      </c>
      <c r="BB572" s="135"/>
      <c r="BC572" s="151">
        <f>(4782+700+290+189+734+156+157)/1.055</f>
        <v>6642.654028436019</v>
      </c>
      <c r="BD572" s="151"/>
      <c r="BE572" s="151">
        <f>(650+80)/1.055</f>
        <v>691.94312796208533</v>
      </c>
      <c r="BF572" s="151">
        <f t="shared" si="45"/>
        <v>7334.5971563981038</v>
      </c>
      <c r="BG572" s="151">
        <f t="shared" si="46"/>
        <v>403.40284360189571</v>
      </c>
      <c r="BH572" s="151">
        <f t="shared" si="47"/>
        <v>7738</v>
      </c>
      <c r="BI572" s="151">
        <v>8000</v>
      </c>
      <c r="BJ572" s="135" t="s">
        <v>1391</v>
      </c>
      <c r="BK572" s="135"/>
      <c r="BL572" s="135"/>
      <c r="BM572" s="144" t="s">
        <v>3592</v>
      </c>
      <c r="BN572" s="143">
        <v>2023</v>
      </c>
      <c r="BO572" s="144" t="s">
        <v>143</v>
      </c>
      <c r="BP572" s="144">
        <v>2023</v>
      </c>
      <c r="BQ572" s="203" t="s">
        <v>3274</v>
      </c>
    </row>
    <row r="573" spans="1:69" ht="41.1" customHeight="1">
      <c r="A573" s="218" t="s">
        <v>1705</v>
      </c>
      <c r="B573" s="218" t="s">
        <v>2546</v>
      </c>
      <c r="C573" s="143">
        <f t="shared" ca="1" si="44"/>
        <v>600</v>
      </c>
      <c r="D573" s="135">
        <v>44950</v>
      </c>
      <c r="E573" s="135">
        <v>44952</v>
      </c>
      <c r="F573" s="135">
        <v>44971</v>
      </c>
      <c r="G573" s="135" t="s">
        <v>2547</v>
      </c>
      <c r="H573" s="135">
        <v>45104</v>
      </c>
      <c r="I573" s="135">
        <v>45104</v>
      </c>
      <c r="J573" s="135">
        <v>45104</v>
      </c>
      <c r="K573" s="135">
        <v>45138</v>
      </c>
      <c r="L573" s="135">
        <v>45110</v>
      </c>
      <c r="M573" s="135" t="s">
        <v>76</v>
      </c>
      <c r="N573" s="135">
        <v>45163</v>
      </c>
      <c r="O573" s="135">
        <v>45163</v>
      </c>
      <c r="P573" s="135">
        <v>45194</v>
      </c>
      <c r="Q573" s="135"/>
      <c r="R573" s="135"/>
      <c r="S573" s="135"/>
      <c r="T573" s="135"/>
      <c r="U573" s="144">
        <v>2</v>
      </c>
      <c r="V573" s="143">
        <v>32945</v>
      </c>
      <c r="W573" s="143" t="str">
        <f ca="1">IF(H573="",IF(D573="","",IF(U573+V573&lt;15,"Données Nb pers ou RFR manquantes",IF(COUNTA(INDIRECT("TabRFR["&amp;YEAR(D573)&amp;"]"))&lt;&gt;COUNTA(TabRFR[Recherche RFR]),"Data RFR manquantes", IF(V573&lt;=INDEX(TabRFR[[2023]:[2025]],MATCH(BD!U573&amp;"-Très modestes",TabRFR[Recherche RFR],0),MATCH(TEXT(YEAR(BD!D573),"Standard"),TabRFR[[#Headers],[2023]:[2025]],0)),"Très Modeste",IF(V573&lt;=INDEX(TabRFR[[2023]:[2025]],MATCH(BD!U573&amp;"-modestes",TabRFR[Recherche RFR],0),MATCH(TEXT(YEAR(BD!D573),"Standard"),TabRFR[[#Headers],[2023]:[2025]],0)),"Modeste",IF(V573&lt;=INDEX(TabRFR[[2023]:[2025]],MATCH(BD!U573&amp;"-Intermédiaire",TabRFR[Recherche RFR],0),MATCH(TEXT(YEAR(BD!D573),"Standard"),TabRFR[[#Headers],[2023]:[2025]],0)),"Intermédiaire","Supérieur")))))),IF(D573="","",IF(U573+V573&lt;15,"Données Nb pers ou RFR manquantes",IF(COUNTA(INDIRECT("TabRFR["&amp;YEAR(H573)&amp;"]"))&lt;&gt;COUNTA(TabRFR[Recherche RFR]),"Data RFR manquantes", IF(V573&lt;=INDEX(TabRFR[[2023]:[2025]],MATCH(BD!U573&amp;"-Très modestes",TabRFR[Recherche RFR],0),MATCH(TEXT(YEAR(BD!H573),"Standard"),TabRFR[[#Headers],[2023]:[2025]],0)),"Très Modeste",IF(V573&lt;=INDEX(TabRFR[[2023]:[2025]],MATCH(BD!U573&amp;"-modestes",TabRFR[Recherche RFR],0),MATCH(TEXT(YEAR(BD!H573),"Standard"),TabRFR[[#Headers],[2023]:[2025]],0)),"Modeste",IF(V573&lt;=INDEX(TabRFR[[2023]:[2025]],MATCH(BD!U573&amp;"-Intermédiaire",TabRFR[Recherche RFR],0),MATCH(TEXT(YEAR(BD!H573),"Standard"),TabRFR[[#Headers],[2023]:[2025]],0)),"Intermédiaire","Supérieur")))))))</f>
        <v>Intermédiaire</v>
      </c>
      <c r="X573" s="144"/>
      <c r="Y573" s="135" t="s">
        <v>2548</v>
      </c>
      <c r="Z573" s="144">
        <v>38340</v>
      </c>
      <c r="AA573" s="135" t="s">
        <v>413</v>
      </c>
      <c r="AB573" s="148"/>
      <c r="AC573" s="169"/>
      <c r="AD573" s="135" t="s">
        <v>91</v>
      </c>
      <c r="AE573" s="135"/>
      <c r="AF573" s="135"/>
      <c r="AG573" s="135"/>
      <c r="AH573" s="135"/>
      <c r="AI573" s="135" t="s">
        <v>2249</v>
      </c>
      <c r="AJ573" s="135" t="s">
        <v>266</v>
      </c>
      <c r="AK573" s="135" t="s">
        <v>2459</v>
      </c>
      <c r="AL573" s="169" t="s">
        <v>2251</v>
      </c>
      <c r="AM573" s="148">
        <v>768823714</v>
      </c>
      <c r="AN573" s="135" t="s">
        <v>76</v>
      </c>
      <c r="AO573" s="135" t="s">
        <v>102</v>
      </c>
      <c r="AP573" s="135">
        <v>45102</v>
      </c>
      <c r="AQ573" s="135" t="s">
        <v>3449</v>
      </c>
      <c r="AR573" s="143">
        <v>1973</v>
      </c>
      <c r="AS573" s="143" t="s">
        <v>3413</v>
      </c>
      <c r="AT573" s="135" t="s">
        <v>3446</v>
      </c>
      <c r="AU573" s="135" t="s">
        <v>2460</v>
      </c>
      <c r="AV573" s="135" t="s">
        <v>2549</v>
      </c>
      <c r="AW573" s="143"/>
      <c r="AX573" s="143"/>
      <c r="AY573" s="143"/>
      <c r="AZ573" s="143"/>
      <c r="BA573" s="135" t="s">
        <v>101</v>
      </c>
      <c r="BB573" s="135"/>
      <c r="BC573" s="151">
        <f>3403+78+122+109+132+960+126.3</f>
        <v>4930.3</v>
      </c>
      <c r="BD573" s="151"/>
      <c r="BE573" s="151">
        <v>990</v>
      </c>
      <c r="BF573" s="151">
        <f t="shared" si="45"/>
        <v>5920.3</v>
      </c>
      <c r="BG573" s="151">
        <f t="shared" si="46"/>
        <v>325.61650000000003</v>
      </c>
      <c r="BH573" s="151">
        <f t="shared" si="47"/>
        <v>6245.9165000000003</v>
      </c>
      <c r="BI573" s="151">
        <v>4245.92</v>
      </c>
      <c r="BJ573" s="135" t="s">
        <v>102</v>
      </c>
      <c r="BK573" s="135"/>
      <c r="BL573" s="135"/>
      <c r="BM573" s="144" t="s">
        <v>3592</v>
      </c>
      <c r="BN573" s="143">
        <v>2023</v>
      </c>
      <c r="BO573" s="144" t="s">
        <v>143</v>
      </c>
      <c r="BP573" s="144">
        <v>2023</v>
      </c>
      <c r="BQ573" s="203" t="s">
        <v>144</v>
      </c>
    </row>
    <row r="574" spans="1:69" ht="41.1" customHeight="1">
      <c r="A574" s="218" t="s">
        <v>1705</v>
      </c>
      <c r="B574" s="218" t="s">
        <v>2550</v>
      </c>
      <c r="C574" s="143">
        <f t="shared" ca="1" si="44"/>
        <v>600</v>
      </c>
      <c r="D574" s="135">
        <v>44959</v>
      </c>
      <c r="E574" s="135">
        <v>44970</v>
      </c>
      <c r="F574" s="135">
        <v>44971</v>
      </c>
      <c r="G574" s="135" t="s">
        <v>2551</v>
      </c>
      <c r="H574" s="135">
        <v>44981</v>
      </c>
      <c r="I574" s="135">
        <v>44981</v>
      </c>
      <c r="J574" s="135">
        <v>44992</v>
      </c>
      <c r="K574" s="135">
        <v>45040</v>
      </c>
      <c r="L574" s="135">
        <v>45000</v>
      </c>
      <c r="M574" s="135" t="s">
        <v>76</v>
      </c>
      <c r="N574" s="135">
        <v>45042</v>
      </c>
      <c r="O574" s="135">
        <v>45042</v>
      </c>
      <c r="P574" s="135">
        <v>45050</v>
      </c>
      <c r="Q574" s="135"/>
      <c r="R574" s="135"/>
      <c r="S574" s="135"/>
      <c r="T574" s="135"/>
      <c r="U574" s="144">
        <v>2</v>
      </c>
      <c r="V574" s="143">
        <v>87105</v>
      </c>
      <c r="W574" s="143" t="str">
        <f ca="1">IF(H574="",IF(D574="","",IF(U574+V574&lt;15,"Données Nb pers ou RFR manquantes",IF(COUNTA(INDIRECT("TabRFR["&amp;YEAR(D574)&amp;"]"))&lt;&gt;COUNTA(TabRFR[Recherche RFR]),"Data RFR manquantes", IF(V574&lt;=INDEX(TabRFR[[2023]:[2025]],MATCH(BD!U574&amp;"-Très modestes",TabRFR[Recherche RFR],0),MATCH(TEXT(YEAR(BD!D574),"Standard"),TabRFR[[#Headers],[2023]:[2025]],0)),"Très Modeste",IF(V574&lt;=INDEX(TabRFR[[2023]:[2025]],MATCH(BD!U574&amp;"-modestes",TabRFR[Recherche RFR],0),MATCH(TEXT(YEAR(BD!D574),"Standard"),TabRFR[[#Headers],[2023]:[2025]],0)),"Modeste",IF(V574&lt;=INDEX(TabRFR[[2023]:[2025]],MATCH(BD!U574&amp;"-Intermédiaire",TabRFR[Recherche RFR],0),MATCH(TEXT(YEAR(BD!D574),"Standard"),TabRFR[[#Headers],[2023]:[2025]],0)),"Intermédiaire","Supérieur")))))),IF(D574="","",IF(U574+V574&lt;15,"Données Nb pers ou RFR manquantes",IF(COUNTA(INDIRECT("TabRFR["&amp;YEAR(H574)&amp;"]"))&lt;&gt;COUNTA(TabRFR[Recherche RFR]),"Data RFR manquantes", IF(V574&lt;=INDEX(TabRFR[[2023]:[2025]],MATCH(BD!U574&amp;"-Très modestes",TabRFR[Recherche RFR],0),MATCH(TEXT(YEAR(BD!H574),"Standard"),TabRFR[[#Headers],[2023]:[2025]],0)),"Très Modeste",IF(V574&lt;=INDEX(TabRFR[[2023]:[2025]],MATCH(BD!U574&amp;"-modestes",TabRFR[Recherche RFR],0),MATCH(TEXT(YEAR(BD!H574),"Standard"),TabRFR[[#Headers],[2023]:[2025]],0)),"Modeste",IF(V574&lt;=INDEX(TabRFR[[2023]:[2025]],MATCH(BD!U574&amp;"-Intermédiaire",TabRFR[Recherche RFR],0),MATCH(TEXT(YEAR(BD!H574),"Standard"),TabRFR[[#Headers],[2023]:[2025]],0)),"Intermédiaire","Supérieur")))))))</f>
        <v>Supérieur</v>
      </c>
      <c r="X574" s="144"/>
      <c r="Y574" s="135" t="s">
        <v>1236</v>
      </c>
      <c r="Z574" s="144">
        <v>38210</v>
      </c>
      <c r="AA574" s="135" t="s">
        <v>130</v>
      </c>
      <c r="AB574" s="148"/>
      <c r="AC574" s="169"/>
      <c r="AD574" s="135" t="s">
        <v>91</v>
      </c>
      <c r="AE574" s="135"/>
      <c r="AF574" s="135"/>
      <c r="AG574" s="135"/>
      <c r="AH574" s="135"/>
      <c r="AI574" s="135" t="s">
        <v>169</v>
      </c>
      <c r="AJ574" s="135" t="s">
        <v>119</v>
      </c>
      <c r="AK574" s="135" t="s">
        <v>2192</v>
      </c>
      <c r="AL574" s="170" t="s">
        <v>171</v>
      </c>
      <c r="AM574" s="148" t="s">
        <v>1406</v>
      </c>
      <c r="AN574" s="135" t="s">
        <v>76</v>
      </c>
      <c r="AO574" s="150" t="s">
        <v>102</v>
      </c>
      <c r="AP574" s="135">
        <v>45248</v>
      </c>
      <c r="AQ574" s="135" t="s">
        <v>3496</v>
      </c>
      <c r="AR574" s="143" t="s">
        <v>172</v>
      </c>
      <c r="AS574" s="135" t="s">
        <v>3496</v>
      </c>
      <c r="AT574" s="135" t="s">
        <v>3446</v>
      </c>
      <c r="AU574" s="135" t="s">
        <v>173</v>
      </c>
      <c r="AV574" s="135" t="s">
        <v>400</v>
      </c>
      <c r="AW574" s="143"/>
      <c r="AX574" s="143"/>
      <c r="AY574" s="143"/>
      <c r="AZ574" s="143"/>
      <c r="BA574" s="135" t="s">
        <v>101</v>
      </c>
      <c r="BB574" s="135"/>
      <c r="BC574" s="151">
        <f>582.94+480+35.5+74.8+99.09+114+465.75+2000+565+266.4+65.35+479</f>
        <v>5227.83</v>
      </c>
      <c r="BD574" s="151"/>
      <c r="BE574" s="151">
        <f>225+950</f>
        <v>1175</v>
      </c>
      <c r="BF574" s="151">
        <f t="shared" si="45"/>
        <v>6402.83</v>
      </c>
      <c r="BG574" s="151">
        <f t="shared" si="46"/>
        <v>352.15564999999998</v>
      </c>
      <c r="BH574" s="151">
        <f t="shared" si="47"/>
        <v>6754.9856499999996</v>
      </c>
      <c r="BI574" s="151">
        <v>6139.98</v>
      </c>
      <c r="BJ574" s="135" t="s">
        <v>102</v>
      </c>
      <c r="BK574" s="135"/>
      <c r="BL574" s="135"/>
      <c r="BM574" s="144" t="s">
        <v>3592</v>
      </c>
      <c r="BN574" s="143">
        <v>2023</v>
      </c>
      <c r="BO574" s="144" t="s">
        <v>143</v>
      </c>
      <c r="BP574" s="144">
        <v>2023</v>
      </c>
      <c r="BQ574" s="203" t="s">
        <v>144</v>
      </c>
    </row>
    <row r="575" spans="1:69" ht="41.1" customHeight="1">
      <c r="A575" s="218" t="s">
        <v>1705</v>
      </c>
      <c r="B575" s="218" t="s">
        <v>2552</v>
      </c>
      <c r="C575" s="143">
        <f t="shared" ca="1" si="44"/>
        <v>1000</v>
      </c>
      <c r="D575" s="135">
        <v>44960</v>
      </c>
      <c r="E575" s="135">
        <v>44970</v>
      </c>
      <c r="F575" s="135" t="s">
        <v>76</v>
      </c>
      <c r="G575" s="135" t="s">
        <v>76</v>
      </c>
      <c r="H575" s="135">
        <v>44971</v>
      </c>
      <c r="I575" s="135">
        <v>44971</v>
      </c>
      <c r="J575" s="135">
        <v>44974</v>
      </c>
      <c r="K575" s="135">
        <v>45044</v>
      </c>
      <c r="L575" s="135">
        <v>45001</v>
      </c>
      <c r="M575" s="135" t="s">
        <v>2553</v>
      </c>
      <c r="N575" s="135">
        <v>45083</v>
      </c>
      <c r="O575" s="135">
        <v>45083</v>
      </c>
      <c r="P575" s="135">
        <v>45084</v>
      </c>
      <c r="Q575" s="135"/>
      <c r="R575" s="135"/>
      <c r="S575" s="135"/>
      <c r="T575" s="135"/>
      <c r="U575" s="144">
        <v>4</v>
      </c>
      <c r="V575" s="143">
        <v>25736</v>
      </c>
      <c r="W575" s="143" t="str">
        <f ca="1">IF(H575="",IF(D575="","",IF(U575+V575&lt;15,"Données Nb pers ou RFR manquantes",IF(COUNTA(INDIRECT("TabRFR["&amp;YEAR(D575)&amp;"]"))&lt;&gt;COUNTA(TabRFR[Recherche RFR]),"Data RFR manquantes", IF(V575&lt;=INDEX(TabRFR[[2023]:[2025]],MATCH(BD!U575&amp;"-Très modestes",TabRFR[Recherche RFR],0),MATCH(TEXT(YEAR(BD!D575),"Standard"),TabRFR[[#Headers],[2023]:[2025]],0)),"Très Modeste",IF(V575&lt;=INDEX(TabRFR[[2023]:[2025]],MATCH(BD!U575&amp;"-modestes",TabRFR[Recherche RFR],0),MATCH(TEXT(YEAR(BD!D575),"Standard"),TabRFR[[#Headers],[2023]:[2025]],0)),"Modeste",IF(V575&lt;=INDEX(TabRFR[[2023]:[2025]],MATCH(BD!U575&amp;"-Intermédiaire",TabRFR[Recherche RFR],0),MATCH(TEXT(YEAR(BD!D575),"Standard"),TabRFR[[#Headers],[2023]:[2025]],0)),"Intermédiaire","Supérieur")))))),IF(D575="","",IF(U575+V575&lt;15,"Données Nb pers ou RFR manquantes",IF(COUNTA(INDIRECT("TabRFR["&amp;YEAR(H575)&amp;"]"))&lt;&gt;COUNTA(TabRFR[Recherche RFR]),"Data RFR manquantes", IF(V575&lt;=INDEX(TabRFR[[2023]:[2025]],MATCH(BD!U575&amp;"-Très modestes",TabRFR[Recherche RFR],0),MATCH(TEXT(YEAR(BD!H575),"Standard"),TabRFR[[#Headers],[2023]:[2025]],0)),"Très Modeste",IF(V575&lt;=INDEX(TabRFR[[2023]:[2025]],MATCH(BD!U575&amp;"-modestes",TabRFR[Recherche RFR],0),MATCH(TEXT(YEAR(BD!H575),"Standard"),TabRFR[[#Headers],[2023]:[2025]],0)),"Modeste",IF(V575&lt;=INDEX(TabRFR[[2023]:[2025]],MATCH(BD!U575&amp;"-Intermédiaire",TabRFR[Recherche RFR],0),MATCH(TEXT(YEAR(BD!H575),"Standard"),TabRFR[[#Headers],[2023]:[2025]],0)),"Intermédiaire","Supérieur")))))))</f>
        <v>Très Modeste</v>
      </c>
      <c r="X575" s="144"/>
      <c r="Y575" s="135" t="s">
        <v>2532</v>
      </c>
      <c r="Z575" s="144">
        <v>38340</v>
      </c>
      <c r="AA575" s="135" t="s">
        <v>266</v>
      </c>
      <c r="AB575" s="148"/>
      <c r="AC575" s="169"/>
      <c r="AD575" s="135" t="s">
        <v>91</v>
      </c>
      <c r="AE575" s="135"/>
      <c r="AF575" s="135"/>
      <c r="AG575" s="135"/>
      <c r="AH575" s="135"/>
      <c r="AI575" s="143" t="s">
        <v>185</v>
      </c>
      <c r="AJ575" s="143" t="s">
        <v>108</v>
      </c>
      <c r="AK575" s="143" t="s">
        <v>186</v>
      </c>
      <c r="AL575" s="150" t="s">
        <v>187</v>
      </c>
      <c r="AM575" s="148" t="s">
        <v>2383</v>
      </c>
      <c r="AN575" s="135" t="s">
        <v>76</v>
      </c>
      <c r="AO575" s="150" t="s">
        <v>102</v>
      </c>
      <c r="AP575" s="147">
        <v>45163</v>
      </c>
      <c r="AQ575" s="135" t="s">
        <v>3449</v>
      </c>
      <c r="AR575" s="143">
        <v>1997</v>
      </c>
      <c r="AS575" s="143" t="s">
        <v>3413</v>
      </c>
      <c r="AT575" s="135" t="s">
        <v>3446</v>
      </c>
      <c r="AU575" s="135" t="s">
        <v>459</v>
      </c>
      <c r="AV575" s="135" t="s">
        <v>2554</v>
      </c>
      <c r="AW575" s="143"/>
      <c r="AX575" s="143"/>
      <c r="AY575" s="143"/>
      <c r="AZ575" s="143"/>
      <c r="BA575" s="135" t="s">
        <v>101</v>
      </c>
      <c r="BB575" s="135"/>
      <c r="BC575" s="151">
        <f>390+2876.67+450.5+399.3+774.48</f>
        <v>4890.9500000000007</v>
      </c>
      <c r="BD575" s="151"/>
      <c r="BE575" s="151">
        <v>710</v>
      </c>
      <c r="BF575" s="151">
        <f>BC575+BE575-431.5-300</f>
        <v>4869.4500000000007</v>
      </c>
      <c r="BG575" s="151">
        <f t="shared" si="46"/>
        <v>267.81975000000006</v>
      </c>
      <c r="BH575" s="151">
        <f t="shared" si="47"/>
        <v>5137.2697500000004</v>
      </c>
      <c r="BI575" s="151">
        <v>5137.26</v>
      </c>
      <c r="BJ575" s="135" t="s">
        <v>144</v>
      </c>
      <c r="BK575" s="135"/>
      <c r="BL575" s="135"/>
      <c r="BM575" s="144" t="s">
        <v>3592</v>
      </c>
      <c r="BN575" s="143">
        <v>2023</v>
      </c>
      <c r="BO575" s="135" t="s">
        <v>155</v>
      </c>
      <c r="BP575" s="144">
        <v>2023</v>
      </c>
      <c r="BQ575" s="203" t="s">
        <v>144</v>
      </c>
    </row>
    <row r="576" spans="1:69" ht="41.1" customHeight="1">
      <c r="A576" s="218" t="s">
        <v>1705</v>
      </c>
      <c r="B576" s="218" t="s">
        <v>2555</v>
      </c>
      <c r="C576" s="143">
        <f t="shared" ca="1" si="44"/>
        <v>600</v>
      </c>
      <c r="D576" s="135">
        <v>44966</v>
      </c>
      <c r="E576" s="135">
        <v>44970</v>
      </c>
      <c r="F576" s="135">
        <v>44971</v>
      </c>
      <c r="G576" s="135" t="s">
        <v>2556</v>
      </c>
      <c r="H576" s="135">
        <v>44992</v>
      </c>
      <c r="I576" s="135">
        <v>44993</v>
      </c>
      <c r="J576" s="135">
        <v>44995</v>
      </c>
      <c r="K576" s="135">
        <v>45096</v>
      </c>
      <c r="L576" s="135">
        <v>45076</v>
      </c>
      <c r="M576" s="135" t="s">
        <v>76</v>
      </c>
      <c r="N576" s="135">
        <v>45099</v>
      </c>
      <c r="O576" s="135">
        <v>45099</v>
      </c>
      <c r="P576" s="135">
        <v>45103</v>
      </c>
      <c r="Q576" s="135"/>
      <c r="R576" s="135"/>
      <c r="S576" s="135"/>
      <c r="T576" s="135"/>
      <c r="U576" s="144">
        <v>4</v>
      </c>
      <c r="V576" s="143">
        <v>78772</v>
      </c>
      <c r="W576" s="143" t="str">
        <f ca="1">IF(H576="",IF(D576="","",IF(U576+V576&lt;15,"Données Nb pers ou RFR manquantes",IF(COUNTA(INDIRECT("TabRFR["&amp;YEAR(D576)&amp;"]"))&lt;&gt;COUNTA(TabRFR[Recherche RFR]),"Data RFR manquantes", IF(V576&lt;=INDEX(TabRFR[[2023]:[2025]],MATCH(BD!U576&amp;"-Très modestes",TabRFR[Recherche RFR],0),MATCH(TEXT(YEAR(BD!D576),"Standard"),TabRFR[[#Headers],[2023]:[2025]],0)),"Très Modeste",IF(V576&lt;=INDEX(TabRFR[[2023]:[2025]],MATCH(BD!U576&amp;"-modestes",TabRFR[Recherche RFR],0),MATCH(TEXT(YEAR(BD!D576),"Standard"),TabRFR[[#Headers],[2023]:[2025]],0)),"Modeste",IF(V576&lt;=INDEX(TabRFR[[2023]:[2025]],MATCH(BD!U576&amp;"-Intermédiaire",TabRFR[Recherche RFR],0),MATCH(TEXT(YEAR(BD!D576),"Standard"),TabRFR[[#Headers],[2023]:[2025]],0)),"Intermédiaire","Supérieur")))))),IF(D576="","",IF(U576+V576&lt;15,"Données Nb pers ou RFR manquantes",IF(COUNTA(INDIRECT("TabRFR["&amp;YEAR(H576)&amp;"]"))&lt;&gt;COUNTA(TabRFR[Recherche RFR]),"Data RFR manquantes", IF(V576&lt;=INDEX(TabRFR[[2023]:[2025]],MATCH(BD!U576&amp;"-Très modestes",TabRFR[Recherche RFR],0),MATCH(TEXT(YEAR(BD!H576),"Standard"),TabRFR[[#Headers],[2023]:[2025]],0)),"Très Modeste",IF(V576&lt;=INDEX(TabRFR[[2023]:[2025]],MATCH(BD!U576&amp;"-modestes",TabRFR[Recherche RFR],0),MATCH(TEXT(YEAR(BD!H576),"Standard"),TabRFR[[#Headers],[2023]:[2025]],0)),"Modeste",IF(V576&lt;=INDEX(TabRFR[[2023]:[2025]],MATCH(BD!U576&amp;"-Intermédiaire",TabRFR[Recherche RFR],0),MATCH(TEXT(YEAR(BD!H576),"Standard"),TabRFR[[#Headers],[2023]:[2025]],0)),"Intermédiaire","Supérieur")))))))</f>
        <v>Supérieur</v>
      </c>
      <c r="X576" s="144"/>
      <c r="Y576" s="135" t="s">
        <v>2557</v>
      </c>
      <c r="Z576" s="144">
        <v>38960</v>
      </c>
      <c r="AA576" s="135" t="s">
        <v>360</v>
      </c>
      <c r="AB576" s="148"/>
      <c r="AC576" s="169"/>
      <c r="AD576" s="135" t="s">
        <v>91</v>
      </c>
      <c r="AE576" s="135"/>
      <c r="AF576" s="135"/>
      <c r="AG576" s="135"/>
      <c r="AH576" s="135"/>
      <c r="AI576" s="135" t="s">
        <v>285</v>
      </c>
      <c r="AJ576" s="135" t="s">
        <v>108</v>
      </c>
      <c r="AK576" s="135" t="s">
        <v>2227</v>
      </c>
      <c r="AL576" s="170" t="s">
        <v>287</v>
      </c>
      <c r="AM576" s="135" t="s">
        <v>2184</v>
      </c>
      <c r="AN576" s="135" t="s">
        <v>76</v>
      </c>
      <c r="AO576" s="135" t="s">
        <v>102</v>
      </c>
      <c r="AP576" s="135">
        <v>45187</v>
      </c>
      <c r="AQ576" s="135" t="s">
        <v>3449</v>
      </c>
      <c r="AR576" s="143">
        <v>1990</v>
      </c>
      <c r="AS576" s="143" t="s">
        <v>3413</v>
      </c>
      <c r="AT576" s="143" t="s">
        <v>98</v>
      </c>
      <c r="AU576" s="135" t="s">
        <v>381</v>
      </c>
      <c r="AV576" s="135" t="s">
        <v>2558</v>
      </c>
      <c r="AW576" s="143"/>
      <c r="AX576" s="143"/>
      <c r="AY576" s="143"/>
      <c r="AZ576" s="143"/>
      <c r="BA576" s="135" t="s">
        <v>101</v>
      </c>
      <c r="BB576" s="135"/>
      <c r="BC576" s="151">
        <f>1420+490+510+5658+207+1090</f>
        <v>9375</v>
      </c>
      <c r="BD576" s="151"/>
      <c r="BE576" s="151">
        <v>420</v>
      </c>
      <c r="BF576" s="151">
        <f t="shared" ref="BF576:BF585" si="48">BC576+BE576</f>
        <v>9795</v>
      </c>
      <c r="BG576" s="151">
        <f t="shared" si="46"/>
        <v>538.72500000000002</v>
      </c>
      <c r="BH576" s="151">
        <f t="shared" si="47"/>
        <v>10333.725</v>
      </c>
      <c r="BI576" s="151">
        <v>8965.39</v>
      </c>
      <c r="BJ576" s="135" t="s">
        <v>144</v>
      </c>
      <c r="BK576" s="135"/>
      <c r="BL576" s="135"/>
      <c r="BM576" s="144" t="s">
        <v>3592</v>
      </c>
      <c r="BN576" s="143">
        <v>2023</v>
      </c>
      <c r="BO576" s="135" t="s">
        <v>143</v>
      </c>
      <c r="BP576" s="143" t="s">
        <v>3583</v>
      </c>
      <c r="BQ576" s="203" t="s">
        <v>144</v>
      </c>
    </row>
    <row r="577" spans="1:69" ht="41.1" customHeight="1">
      <c r="A577" s="218" t="s">
        <v>1705</v>
      </c>
      <c r="B577" s="218" t="s">
        <v>2559</v>
      </c>
      <c r="C577" s="143">
        <f t="shared" ca="1" si="44"/>
        <v>1000</v>
      </c>
      <c r="D577" s="135">
        <v>44971</v>
      </c>
      <c r="E577" s="135">
        <v>44971</v>
      </c>
      <c r="F577" s="135" t="s">
        <v>76</v>
      </c>
      <c r="G577" s="135" t="s">
        <v>76</v>
      </c>
      <c r="H577" s="135">
        <v>44971</v>
      </c>
      <c r="I577" s="135">
        <v>44971</v>
      </c>
      <c r="J577" s="135">
        <v>44974</v>
      </c>
      <c r="K577" s="135">
        <v>45057</v>
      </c>
      <c r="L577" s="135">
        <v>45055</v>
      </c>
      <c r="M577" s="135" t="s">
        <v>76</v>
      </c>
      <c r="N577" s="135">
        <v>45083</v>
      </c>
      <c r="O577" s="135">
        <v>45083</v>
      </c>
      <c r="P577" s="135">
        <v>45084</v>
      </c>
      <c r="Q577" s="135"/>
      <c r="R577" s="135"/>
      <c r="S577" s="135"/>
      <c r="T577" s="135"/>
      <c r="U577" s="144">
        <v>4</v>
      </c>
      <c r="V577" s="143">
        <v>37998</v>
      </c>
      <c r="W577" s="143" t="str">
        <f ca="1">IF(H577="",IF(D577="","",IF(U577+V577&lt;15,"Données Nb pers ou RFR manquantes",IF(COUNTA(INDIRECT("TabRFR["&amp;YEAR(D577)&amp;"]"))&lt;&gt;COUNTA(TabRFR[Recherche RFR]),"Data RFR manquantes", IF(V577&lt;=INDEX(TabRFR[[2023]:[2025]],MATCH(BD!U577&amp;"-Très modestes",TabRFR[Recherche RFR],0),MATCH(TEXT(YEAR(BD!D577),"Standard"),TabRFR[[#Headers],[2023]:[2025]],0)),"Très Modeste",IF(V577&lt;=INDEX(TabRFR[[2023]:[2025]],MATCH(BD!U577&amp;"-modestes",TabRFR[Recherche RFR],0),MATCH(TEXT(YEAR(BD!D577),"Standard"),TabRFR[[#Headers],[2023]:[2025]],0)),"Modeste",IF(V577&lt;=INDEX(TabRFR[[2023]:[2025]],MATCH(BD!U577&amp;"-Intermédiaire",TabRFR[Recherche RFR],0),MATCH(TEXT(YEAR(BD!D577),"Standard"),TabRFR[[#Headers],[2023]:[2025]],0)),"Intermédiaire","Supérieur")))))),IF(D577="","",IF(U577+V577&lt;15,"Données Nb pers ou RFR manquantes",IF(COUNTA(INDIRECT("TabRFR["&amp;YEAR(H577)&amp;"]"))&lt;&gt;COUNTA(TabRFR[Recherche RFR]),"Data RFR manquantes", IF(V577&lt;=INDEX(TabRFR[[2023]:[2025]],MATCH(BD!U577&amp;"-Très modestes",TabRFR[Recherche RFR],0),MATCH(TEXT(YEAR(BD!H577),"Standard"),TabRFR[[#Headers],[2023]:[2025]],0)),"Très Modeste",IF(V577&lt;=INDEX(TabRFR[[2023]:[2025]],MATCH(BD!U577&amp;"-modestes",TabRFR[Recherche RFR],0),MATCH(TEXT(YEAR(BD!H577),"Standard"),TabRFR[[#Headers],[2023]:[2025]],0)),"Modeste",IF(V577&lt;=INDEX(TabRFR[[2023]:[2025]],MATCH(BD!U577&amp;"-Intermédiaire",TabRFR[Recherche RFR],0),MATCH(TEXT(YEAR(BD!H577),"Standard"),TabRFR[[#Headers],[2023]:[2025]],0)),"Intermédiaire","Supérieur")))))))</f>
        <v>Modeste</v>
      </c>
      <c r="X577" s="144"/>
      <c r="Y577" s="135" t="s">
        <v>2560</v>
      </c>
      <c r="Z577" s="144">
        <v>38340</v>
      </c>
      <c r="AA577" s="135" t="s">
        <v>266</v>
      </c>
      <c r="AB577" s="148"/>
      <c r="AC577" s="169"/>
      <c r="AD577" s="135" t="s">
        <v>91</v>
      </c>
      <c r="AE577" s="135"/>
      <c r="AF577" s="135"/>
      <c r="AG577" s="135"/>
      <c r="AH577" s="135"/>
      <c r="AI577" s="135" t="s">
        <v>120</v>
      </c>
      <c r="AJ577" s="135" t="s">
        <v>121</v>
      </c>
      <c r="AK577" s="135" t="s">
        <v>2232</v>
      </c>
      <c r="AL577" s="150" t="s">
        <v>123</v>
      </c>
      <c r="AM577" s="135" t="s">
        <v>1469</v>
      </c>
      <c r="AN577" s="135" t="s">
        <v>2233</v>
      </c>
      <c r="AO577" s="135" t="s">
        <v>102</v>
      </c>
      <c r="AP577" s="135">
        <v>45147</v>
      </c>
      <c r="AQ577" s="135" t="s">
        <v>3449</v>
      </c>
      <c r="AR577" s="143">
        <v>1978</v>
      </c>
      <c r="AS577" s="143" t="s">
        <v>3413</v>
      </c>
      <c r="AT577" s="135" t="s">
        <v>3446</v>
      </c>
      <c r="AU577" s="135" t="s">
        <v>2561</v>
      </c>
      <c r="AV577" s="135" t="s">
        <v>2562</v>
      </c>
      <c r="AW577" s="143"/>
      <c r="AX577" s="143"/>
      <c r="AY577" s="143"/>
      <c r="AZ577" s="143"/>
      <c r="BA577" s="135" t="s">
        <v>101</v>
      </c>
      <c r="BB577" s="135"/>
      <c r="BC577" s="151">
        <f>(4255+280+734+280)/1.055</f>
        <v>5259.7156398104271</v>
      </c>
      <c r="BD577" s="151"/>
      <c r="BE577" s="151">
        <f>(720+80)/1.055</f>
        <v>758.29383886255926</v>
      </c>
      <c r="BF577" s="151">
        <f t="shared" si="48"/>
        <v>6018.009478672986</v>
      </c>
      <c r="BG577" s="151">
        <f t="shared" si="46"/>
        <v>330.99052132701422</v>
      </c>
      <c r="BH577" s="151">
        <f t="shared" si="47"/>
        <v>6349</v>
      </c>
      <c r="BI577" s="151">
        <v>4500</v>
      </c>
      <c r="BJ577" s="135" t="s">
        <v>115</v>
      </c>
      <c r="BK577" s="135"/>
      <c r="BL577" s="135"/>
      <c r="BM577" s="144" t="s">
        <v>3592</v>
      </c>
      <c r="BN577" s="143">
        <v>2023</v>
      </c>
      <c r="BO577" s="135" t="s">
        <v>155</v>
      </c>
      <c r="BP577" s="144">
        <v>2023</v>
      </c>
      <c r="BQ577" s="203" t="s">
        <v>3274</v>
      </c>
    </row>
    <row r="578" spans="1:69" ht="41.1" customHeight="1">
      <c r="A578" s="219" t="s">
        <v>1705</v>
      </c>
      <c r="B578" s="219" t="s">
        <v>2563</v>
      </c>
      <c r="C578" s="143">
        <f t="shared" ca="1" si="44"/>
        <v>600</v>
      </c>
      <c r="D578" s="135">
        <v>44970</v>
      </c>
      <c r="E578" s="135">
        <v>44978</v>
      </c>
      <c r="F578" s="135">
        <v>44979</v>
      </c>
      <c r="G578" s="135" t="s">
        <v>3306</v>
      </c>
      <c r="H578" s="135">
        <v>45268</v>
      </c>
      <c r="I578" s="135">
        <v>45268</v>
      </c>
      <c r="J578" s="135">
        <v>45273</v>
      </c>
      <c r="K578" s="135"/>
      <c r="L578" s="135"/>
      <c r="M578" s="135"/>
      <c r="N578" s="135"/>
      <c r="O578" s="135"/>
      <c r="P578" s="135"/>
      <c r="Q578" s="135"/>
      <c r="R578" s="135"/>
      <c r="S578" s="135"/>
      <c r="T578" s="135"/>
      <c r="U578" s="144">
        <v>1</v>
      </c>
      <c r="V578" s="143">
        <v>58227</v>
      </c>
      <c r="W578" s="143" t="str">
        <f ca="1">IF(H578="",IF(D578="","",IF(U578+V578&lt;15,"Données Nb pers ou RFR manquantes",IF(COUNTA(INDIRECT("TabRFR["&amp;YEAR(D578)&amp;"]"))&lt;&gt;COUNTA(TabRFR[Recherche RFR]),"Data RFR manquantes", IF(V578&lt;=INDEX(TabRFR[[2023]:[2025]],MATCH(BD!U578&amp;"-Très modestes",TabRFR[Recherche RFR],0),MATCH(TEXT(YEAR(BD!D578),"Standard"),TabRFR[[#Headers],[2023]:[2025]],0)),"Très Modeste",IF(V578&lt;=INDEX(TabRFR[[2023]:[2025]],MATCH(BD!U578&amp;"-modestes",TabRFR[Recherche RFR],0),MATCH(TEXT(YEAR(BD!D578),"Standard"),TabRFR[[#Headers],[2023]:[2025]],0)),"Modeste",IF(V578&lt;=INDEX(TabRFR[[2023]:[2025]],MATCH(BD!U578&amp;"-Intermédiaire",TabRFR[Recherche RFR],0),MATCH(TEXT(YEAR(BD!D578),"Standard"),TabRFR[[#Headers],[2023]:[2025]],0)),"Intermédiaire","Supérieur")))))),IF(D578="","",IF(U578+V578&lt;15,"Données Nb pers ou RFR manquantes",IF(COUNTA(INDIRECT("TabRFR["&amp;YEAR(H578)&amp;"]"))&lt;&gt;COUNTA(TabRFR[Recherche RFR]),"Data RFR manquantes", IF(V578&lt;=INDEX(TabRFR[[2023]:[2025]],MATCH(BD!U578&amp;"-Très modestes",TabRFR[Recherche RFR],0),MATCH(TEXT(YEAR(BD!H578),"Standard"),TabRFR[[#Headers],[2023]:[2025]],0)),"Très Modeste",IF(V578&lt;=INDEX(TabRFR[[2023]:[2025]],MATCH(BD!U578&amp;"-modestes",TabRFR[Recherche RFR],0),MATCH(TEXT(YEAR(BD!H578),"Standard"),TabRFR[[#Headers],[2023]:[2025]],0)),"Modeste",IF(V578&lt;=INDEX(TabRFR[[2023]:[2025]],MATCH(BD!U578&amp;"-Intermédiaire",TabRFR[Recherche RFR],0),MATCH(TEXT(YEAR(BD!H578),"Standard"),TabRFR[[#Headers],[2023]:[2025]],0)),"Intermédiaire","Supérieur")))))))</f>
        <v>Supérieur</v>
      </c>
      <c r="X578" s="144"/>
      <c r="Y578" s="135" t="s">
        <v>795</v>
      </c>
      <c r="Z578" s="144">
        <v>38500</v>
      </c>
      <c r="AA578" s="135" t="s">
        <v>284</v>
      </c>
      <c r="AB578" s="148"/>
      <c r="AC578" s="169"/>
      <c r="AD578" s="135" t="s">
        <v>91</v>
      </c>
      <c r="AE578" s="135"/>
      <c r="AF578" s="135"/>
      <c r="AG578" s="135"/>
      <c r="AH578" s="135"/>
      <c r="AI578" s="143" t="s">
        <v>109</v>
      </c>
      <c r="AJ578" s="135" t="s">
        <v>108</v>
      </c>
      <c r="AK578" s="135" t="s">
        <v>110</v>
      </c>
      <c r="AL578" s="170" t="s">
        <v>1701</v>
      </c>
      <c r="AM578" s="148" t="s">
        <v>112</v>
      </c>
      <c r="AN578" s="135"/>
      <c r="AO578" s="135" t="s">
        <v>102</v>
      </c>
      <c r="AP578" s="135">
        <v>44868</v>
      </c>
      <c r="AQ578" s="135" t="s">
        <v>3449</v>
      </c>
      <c r="AR578" s="143">
        <v>1990</v>
      </c>
      <c r="AS578" s="143" t="s">
        <v>3413</v>
      </c>
      <c r="AT578" s="135" t="s">
        <v>3446</v>
      </c>
      <c r="AU578" s="135" t="s">
        <v>2564</v>
      </c>
      <c r="AV578" s="135" t="s">
        <v>2413</v>
      </c>
      <c r="AW578" s="143">
        <v>19</v>
      </c>
      <c r="AX578" s="143" t="s">
        <v>1767</v>
      </c>
      <c r="AY578" s="143">
        <v>80</v>
      </c>
      <c r="AZ578" s="143" t="s">
        <v>2565</v>
      </c>
      <c r="BA578" s="135" t="s">
        <v>101</v>
      </c>
      <c r="BB578" s="135"/>
      <c r="BC578" s="151">
        <f>2790.48+123+108+120+90+47+45+28+71+20</f>
        <v>3442.48</v>
      </c>
      <c r="BD578" s="151"/>
      <c r="BE578" s="151">
        <f>40+420+30</f>
        <v>490</v>
      </c>
      <c r="BF578" s="151">
        <f t="shared" si="48"/>
        <v>3932.48</v>
      </c>
      <c r="BG578" s="151">
        <f t="shared" si="46"/>
        <v>216.28640000000001</v>
      </c>
      <c r="BH578" s="151">
        <f t="shared" si="47"/>
        <v>4148.7664000000004</v>
      </c>
      <c r="BI578" s="135"/>
      <c r="BJ578" s="135" t="s">
        <v>103</v>
      </c>
      <c r="BK578" s="135"/>
      <c r="BL578" s="135"/>
      <c r="BM578" s="144" t="s">
        <v>3592</v>
      </c>
      <c r="BN578" s="153">
        <v>2023</v>
      </c>
      <c r="BO578" s="135" t="s">
        <v>143</v>
      </c>
      <c r="BP578" s="135"/>
      <c r="BQ578" s="203" t="s">
        <v>3274</v>
      </c>
    </row>
    <row r="579" spans="1:69" ht="41.1" customHeight="1">
      <c r="A579" s="218" t="s">
        <v>1705</v>
      </c>
      <c r="B579" s="218" t="s">
        <v>2566</v>
      </c>
      <c r="C579" s="143">
        <f t="shared" ca="1" si="44"/>
        <v>600</v>
      </c>
      <c r="D579" s="135">
        <v>44973</v>
      </c>
      <c r="E579" s="135">
        <v>44978</v>
      </c>
      <c r="F579" s="135">
        <v>44979</v>
      </c>
      <c r="G579" s="135" t="s">
        <v>2567</v>
      </c>
      <c r="H579" s="135">
        <v>44981</v>
      </c>
      <c r="I579" s="135">
        <v>44981</v>
      </c>
      <c r="J579" s="135">
        <v>44992</v>
      </c>
      <c r="K579" s="135">
        <v>45005</v>
      </c>
      <c r="L579" s="135">
        <v>44996</v>
      </c>
      <c r="M579" s="135" t="s">
        <v>76</v>
      </c>
      <c r="N579" s="135">
        <v>45036</v>
      </c>
      <c r="O579" s="135">
        <v>45036</v>
      </c>
      <c r="P579" s="135">
        <v>45037</v>
      </c>
      <c r="Q579" s="135"/>
      <c r="R579" s="135"/>
      <c r="S579" s="135"/>
      <c r="T579" s="135"/>
      <c r="U579" s="144">
        <v>2</v>
      </c>
      <c r="V579" s="143">
        <v>43025</v>
      </c>
      <c r="W579" s="143" t="str">
        <f ca="1">IF(H579="",IF(D579="","",IF(U579+V579&lt;15,"Données Nb pers ou RFR manquantes",IF(COUNTA(INDIRECT("TabRFR["&amp;YEAR(D579)&amp;"]"))&lt;&gt;COUNTA(TabRFR[Recherche RFR]),"Data RFR manquantes", IF(V579&lt;=INDEX(TabRFR[[2023]:[2025]],MATCH(BD!U579&amp;"-Très modestes",TabRFR[Recherche RFR],0),MATCH(TEXT(YEAR(BD!D579),"Standard"),TabRFR[[#Headers],[2023]:[2025]],0)),"Très Modeste",IF(V579&lt;=INDEX(TabRFR[[2023]:[2025]],MATCH(BD!U579&amp;"-modestes",TabRFR[Recherche RFR],0),MATCH(TEXT(YEAR(BD!D579),"Standard"),TabRFR[[#Headers],[2023]:[2025]],0)),"Modeste",IF(V579&lt;=INDEX(TabRFR[[2023]:[2025]],MATCH(BD!U579&amp;"-Intermédiaire",TabRFR[Recherche RFR],0),MATCH(TEXT(YEAR(BD!D579),"Standard"),TabRFR[[#Headers],[2023]:[2025]],0)),"Intermédiaire","Supérieur")))))),IF(D579="","",IF(U579+V579&lt;15,"Données Nb pers ou RFR manquantes",IF(COUNTA(INDIRECT("TabRFR["&amp;YEAR(H579)&amp;"]"))&lt;&gt;COUNTA(TabRFR[Recherche RFR]),"Data RFR manquantes", IF(V579&lt;=INDEX(TabRFR[[2023]:[2025]],MATCH(BD!U579&amp;"-Très modestes",TabRFR[Recherche RFR],0),MATCH(TEXT(YEAR(BD!H579),"Standard"),TabRFR[[#Headers],[2023]:[2025]],0)),"Très Modeste",IF(V579&lt;=INDEX(TabRFR[[2023]:[2025]],MATCH(BD!U579&amp;"-modestes",TabRFR[Recherche RFR],0),MATCH(TEXT(YEAR(BD!H579),"Standard"),TabRFR[[#Headers],[2023]:[2025]],0)),"Modeste",IF(V579&lt;=INDEX(TabRFR[[2023]:[2025]],MATCH(BD!U579&amp;"-Intermédiaire",TabRFR[Recherche RFR],0),MATCH(TEXT(YEAR(BD!H579),"Standard"),TabRFR[[#Headers],[2023]:[2025]],0)),"Intermédiaire","Supérieur")))))))</f>
        <v>Supérieur</v>
      </c>
      <c r="X579" s="144"/>
      <c r="Y579" s="135" t="s">
        <v>2568</v>
      </c>
      <c r="Z579" s="144">
        <v>38730</v>
      </c>
      <c r="AA579" s="135" t="s">
        <v>148</v>
      </c>
      <c r="AB579" s="148"/>
      <c r="AC579" s="170"/>
      <c r="AD579" s="135" t="s">
        <v>91</v>
      </c>
      <c r="AE579" s="135"/>
      <c r="AF579" s="135"/>
      <c r="AG579" s="135"/>
      <c r="AH579" s="135"/>
      <c r="AI579" s="143" t="s">
        <v>1106</v>
      </c>
      <c r="AJ579" s="143" t="s">
        <v>1075</v>
      </c>
      <c r="AK579" s="143" t="s">
        <v>1107</v>
      </c>
      <c r="AL579" s="169" t="s">
        <v>1454</v>
      </c>
      <c r="AM579" s="148">
        <v>476663386</v>
      </c>
      <c r="AN579" s="143" t="s">
        <v>76</v>
      </c>
      <c r="AO579" s="150" t="s">
        <v>102</v>
      </c>
      <c r="AP579" s="147">
        <v>45096</v>
      </c>
      <c r="AQ579" s="135" t="s">
        <v>3449</v>
      </c>
      <c r="AR579" s="143">
        <v>1980</v>
      </c>
      <c r="AS579" s="135" t="s">
        <v>3496</v>
      </c>
      <c r="AT579" s="135" t="s">
        <v>3446</v>
      </c>
      <c r="AU579" s="135" t="s">
        <v>1878</v>
      </c>
      <c r="AV579" s="135" t="s">
        <v>1227</v>
      </c>
      <c r="AW579" s="143">
        <v>24</v>
      </c>
      <c r="AX579" s="143" t="s">
        <v>2569</v>
      </c>
      <c r="AY579" s="143" t="s">
        <v>2570</v>
      </c>
      <c r="AZ579" s="143" t="s">
        <v>2571</v>
      </c>
      <c r="BA579" s="135" t="s">
        <v>101</v>
      </c>
      <c r="BB579" s="135"/>
      <c r="BC579" s="151">
        <f>3141.5+175+582+197+345+525+395+133.4</f>
        <v>5493.9</v>
      </c>
      <c r="BD579" s="151"/>
      <c r="BE579" s="151">
        <f>190+900</f>
        <v>1090</v>
      </c>
      <c r="BF579" s="151">
        <f t="shared" si="48"/>
        <v>6583.9</v>
      </c>
      <c r="BG579" s="151">
        <f t="shared" si="46"/>
        <v>362.11449999999996</v>
      </c>
      <c r="BH579" s="151">
        <f t="shared" si="47"/>
        <v>6946.0144999999993</v>
      </c>
      <c r="BI579" s="151">
        <v>6946.01</v>
      </c>
      <c r="BJ579" s="135" t="s">
        <v>1391</v>
      </c>
      <c r="BK579" s="135"/>
      <c r="BL579" s="135"/>
      <c r="BM579" s="144" t="s">
        <v>3592</v>
      </c>
      <c r="BN579" s="143">
        <v>2023</v>
      </c>
      <c r="BO579" s="135" t="s">
        <v>143</v>
      </c>
      <c r="BP579" s="144">
        <v>2023</v>
      </c>
      <c r="BQ579" s="203" t="s">
        <v>3274</v>
      </c>
    </row>
    <row r="580" spans="1:69" ht="41.1" customHeight="1">
      <c r="A580" s="218" t="s">
        <v>1705</v>
      </c>
      <c r="B580" s="218" t="s">
        <v>2572</v>
      </c>
      <c r="C580" s="143">
        <f t="shared" ca="1" si="44"/>
        <v>600</v>
      </c>
      <c r="D580" s="135">
        <v>44973</v>
      </c>
      <c r="E580" s="135">
        <v>44978</v>
      </c>
      <c r="F580" s="135" t="s">
        <v>76</v>
      </c>
      <c r="G580" s="135" t="s">
        <v>76</v>
      </c>
      <c r="H580" s="135">
        <v>44979</v>
      </c>
      <c r="I580" s="135">
        <v>44979</v>
      </c>
      <c r="J580" s="135">
        <v>44992</v>
      </c>
      <c r="K580" s="135">
        <v>45193</v>
      </c>
      <c r="L580" s="135">
        <v>45174</v>
      </c>
      <c r="M580" s="135" t="s">
        <v>3372</v>
      </c>
      <c r="N580" s="135">
        <v>45296</v>
      </c>
      <c r="O580" s="135">
        <v>45296</v>
      </c>
      <c r="P580" s="135">
        <v>45302</v>
      </c>
      <c r="Q580" s="135"/>
      <c r="R580" s="135"/>
      <c r="S580" s="135"/>
      <c r="T580" s="135"/>
      <c r="U580" s="144">
        <v>2</v>
      </c>
      <c r="V580" s="143">
        <v>36693</v>
      </c>
      <c r="W580" s="143" t="str">
        <f ca="1">IF(H580="",IF(D580="","",IF(U580+V580&lt;15,"Données Nb pers ou RFR manquantes",IF(COUNTA(INDIRECT("TabRFR["&amp;YEAR(D580)&amp;"]"))&lt;&gt;COUNTA(TabRFR[Recherche RFR]),"Data RFR manquantes", IF(V580&lt;=INDEX(TabRFR[[2023]:[2025]],MATCH(BD!U580&amp;"-Très modestes",TabRFR[Recherche RFR],0),MATCH(TEXT(YEAR(BD!D580),"Standard"),TabRFR[[#Headers],[2023]:[2025]],0)),"Très Modeste",IF(V580&lt;=INDEX(TabRFR[[2023]:[2025]],MATCH(BD!U580&amp;"-modestes",TabRFR[Recherche RFR],0),MATCH(TEXT(YEAR(BD!D580),"Standard"),TabRFR[[#Headers],[2023]:[2025]],0)),"Modeste",IF(V580&lt;=INDEX(TabRFR[[2023]:[2025]],MATCH(BD!U580&amp;"-Intermédiaire",TabRFR[Recherche RFR],0),MATCH(TEXT(YEAR(BD!D580),"Standard"),TabRFR[[#Headers],[2023]:[2025]],0)),"Intermédiaire","Supérieur")))))),IF(D580="","",IF(U580+V580&lt;15,"Données Nb pers ou RFR manquantes",IF(COUNTA(INDIRECT("TabRFR["&amp;YEAR(H580)&amp;"]"))&lt;&gt;COUNTA(TabRFR[Recherche RFR]),"Data RFR manquantes", IF(V580&lt;=INDEX(TabRFR[[2023]:[2025]],MATCH(BD!U580&amp;"-Très modestes",TabRFR[Recherche RFR],0),MATCH(TEXT(YEAR(BD!H580),"Standard"),TabRFR[[#Headers],[2023]:[2025]],0)),"Très Modeste",IF(V580&lt;=INDEX(TabRFR[[2023]:[2025]],MATCH(BD!U580&amp;"-modestes",TabRFR[Recherche RFR],0),MATCH(TEXT(YEAR(BD!H580),"Standard"),TabRFR[[#Headers],[2023]:[2025]],0)),"Modeste",IF(V580&lt;=INDEX(TabRFR[[2023]:[2025]],MATCH(BD!U580&amp;"-Intermédiaire",TabRFR[Recherche RFR],0),MATCH(TEXT(YEAR(BD!H580),"Standard"),TabRFR[[#Headers],[2023]:[2025]],0)),"Intermédiaire","Supérieur")))))))</f>
        <v>Intermédiaire</v>
      </c>
      <c r="X580" s="144"/>
      <c r="Y580" s="135" t="s">
        <v>2573</v>
      </c>
      <c r="Z580" s="144">
        <v>38490</v>
      </c>
      <c r="AA580" s="135" t="s">
        <v>1075</v>
      </c>
      <c r="AB580" s="148"/>
      <c r="AC580" s="169"/>
      <c r="AD580" s="135" t="s">
        <v>91</v>
      </c>
      <c r="AE580" s="135"/>
      <c r="AF580" s="135"/>
      <c r="AG580" s="135"/>
      <c r="AH580" s="135"/>
      <c r="AI580" s="143" t="s">
        <v>1106</v>
      </c>
      <c r="AJ580" s="143" t="s">
        <v>1075</v>
      </c>
      <c r="AK580" s="143" t="s">
        <v>1107</v>
      </c>
      <c r="AL580" s="169" t="s">
        <v>1454</v>
      </c>
      <c r="AM580" s="148">
        <v>476663386</v>
      </c>
      <c r="AN580" s="143" t="s">
        <v>76</v>
      </c>
      <c r="AO580" s="150" t="s">
        <v>102</v>
      </c>
      <c r="AP580" s="147">
        <v>45096</v>
      </c>
      <c r="AQ580" s="135" t="s">
        <v>3496</v>
      </c>
      <c r="AR580" s="143">
        <v>1980</v>
      </c>
      <c r="AS580" s="143" t="s">
        <v>3413</v>
      </c>
      <c r="AT580" s="143" t="s">
        <v>98</v>
      </c>
      <c r="AU580" s="135" t="s">
        <v>1564</v>
      </c>
      <c r="AV580" s="135" t="s">
        <v>2574</v>
      </c>
      <c r="AW580" s="143">
        <v>14</v>
      </c>
      <c r="AX580" s="143">
        <v>8</v>
      </c>
      <c r="AY580" s="143" t="s">
        <v>2077</v>
      </c>
      <c r="AZ580" s="143" t="s">
        <v>2575</v>
      </c>
      <c r="BA580" s="135" t="s">
        <v>101</v>
      </c>
      <c r="BB580" s="135"/>
      <c r="BC580" s="151">
        <f>3203+1820+365+275.1+335+167</f>
        <v>6165.1</v>
      </c>
      <c r="BD580" s="151"/>
      <c r="BE580" s="151">
        <f>350+600</f>
        <v>950</v>
      </c>
      <c r="BF580" s="151">
        <f t="shared" si="48"/>
        <v>7115.1</v>
      </c>
      <c r="BG580" s="151">
        <f t="shared" si="46"/>
        <v>391.33050000000003</v>
      </c>
      <c r="BH580" s="151">
        <f t="shared" si="47"/>
        <v>7506.4305000000004</v>
      </c>
      <c r="BI580" s="151">
        <v>8323</v>
      </c>
      <c r="BJ580" s="135" t="s">
        <v>144</v>
      </c>
      <c r="BK580" s="135"/>
      <c r="BL580" s="135"/>
      <c r="BM580" s="144" t="s">
        <v>3592</v>
      </c>
      <c r="BN580" s="143">
        <v>2023</v>
      </c>
      <c r="BO580" s="135" t="s">
        <v>143</v>
      </c>
      <c r="BP580" s="143" t="s">
        <v>3583</v>
      </c>
      <c r="BQ580" s="203"/>
    </row>
    <row r="581" spans="1:69" ht="41.1" customHeight="1">
      <c r="A581" s="218" t="s">
        <v>1705</v>
      </c>
      <c r="B581" s="218" t="s">
        <v>2576</v>
      </c>
      <c r="C581" s="143">
        <f t="shared" ca="1" si="44"/>
        <v>600</v>
      </c>
      <c r="D581" s="135">
        <v>44973</v>
      </c>
      <c r="E581" s="135">
        <v>44978</v>
      </c>
      <c r="F581" s="135">
        <v>44979</v>
      </c>
      <c r="G581" s="135" t="s">
        <v>2507</v>
      </c>
      <c r="H581" s="135">
        <v>44981</v>
      </c>
      <c r="I581" s="135">
        <v>44981</v>
      </c>
      <c r="J581" s="135">
        <v>44992</v>
      </c>
      <c r="K581" s="135">
        <v>45027</v>
      </c>
      <c r="L581" s="135">
        <v>45015</v>
      </c>
      <c r="M581" s="135" t="s">
        <v>2577</v>
      </c>
      <c r="N581" s="135">
        <v>45048</v>
      </c>
      <c r="O581" s="135">
        <v>45048</v>
      </c>
      <c r="P581" s="135">
        <v>45050</v>
      </c>
      <c r="Q581" s="135"/>
      <c r="R581" s="135"/>
      <c r="S581" s="135"/>
      <c r="T581" s="135"/>
      <c r="U581" s="144">
        <v>2</v>
      </c>
      <c r="V581" s="143">
        <f>36020+14110</f>
        <v>50130</v>
      </c>
      <c r="W581" s="143" t="str">
        <f ca="1">IF(H581="",IF(D581="","",IF(U581+V581&lt;15,"Données Nb pers ou RFR manquantes",IF(COUNTA(INDIRECT("TabRFR["&amp;YEAR(D581)&amp;"]"))&lt;&gt;COUNTA(TabRFR[Recherche RFR]),"Data RFR manquantes", IF(V581&lt;=INDEX(TabRFR[[2023]:[2025]],MATCH(BD!U581&amp;"-Très modestes",TabRFR[Recherche RFR],0),MATCH(TEXT(YEAR(BD!D581),"Standard"),TabRFR[[#Headers],[2023]:[2025]],0)),"Très Modeste",IF(V581&lt;=INDEX(TabRFR[[2023]:[2025]],MATCH(BD!U581&amp;"-modestes",TabRFR[Recherche RFR],0),MATCH(TEXT(YEAR(BD!D581),"Standard"),TabRFR[[#Headers],[2023]:[2025]],0)),"Modeste",IF(V581&lt;=INDEX(TabRFR[[2023]:[2025]],MATCH(BD!U581&amp;"-Intermédiaire",TabRFR[Recherche RFR],0),MATCH(TEXT(YEAR(BD!D581),"Standard"),TabRFR[[#Headers],[2023]:[2025]],0)),"Intermédiaire","Supérieur")))))),IF(D581="","",IF(U581+V581&lt;15,"Données Nb pers ou RFR manquantes",IF(COUNTA(INDIRECT("TabRFR["&amp;YEAR(H581)&amp;"]"))&lt;&gt;COUNTA(TabRFR[Recherche RFR]),"Data RFR manquantes", IF(V581&lt;=INDEX(TabRFR[[2023]:[2025]],MATCH(BD!U581&amp;"-Très modestes",TabRFR[Recherche RFR],0),MATCH(TEXT(YEAR(BD!H581),"Standard"),TabRFR[[#Headers],[2023]:[2025]],0)),"Très Modeste",IF(V581&lt;=INDEX(TabRFR[[2023]:[2025]],MATCH(BD!U581&amp;"-modestes",TabRFR[Recherche RFR],0),MATCH(TEXT(YEAR(BD!H581),"Standard"),TabRFR[[#Headers],[2023]:[2025]],0)),"Modeste",IF(V581&lt;=INDEX(TabRFR[[2023]:[2025]],MATCH(BD!U581&amp;"-Intermédiaire",TabRFR[Recherche RFR],0),MATCH(TEXT(YEAR(BD!H581),"Standard"),TabRFR[[#Headers],[2023]:[2025]],0)),"Intermédiaire","Supérieur")))))))</f>
        <v>Supérieur</v>
      </c>
      <c r="X581" s="144"/>
      <c r="Y581" s="135" t="s">
        <v>517</v>
      </c>
      <c r="Z581" s="144">
        <v>38620</v>
      </c>
      <c r="AA581" s="135" t="s">
        <v>518</v>
      </c>
      <c r="AB581" s="148"/>
      <c r="AC581" s="169"/>
      <c r="AD581" s="135" t="s">
        <v>91</v>
      </c>
      <c r="AE581" s="135"/>
      <c r="AF581" s="135"/>
      <c r="AG581" s="135"/>
      <c r="AH581" s="135"/>
      <c r="AI581" s="135" t="s">
        <v>1436</v>
      </c>
      <c r="AJ581" s="135" t="s">
        <v>1437</v>
      </c>
      <c r="AK581" s="135" t="s">
        <v>1920</v>
      </c>
      <c r="AL581" s="169" t="s">
        <v>2177</v>
      </c>
      <c r="AM581" s="148">
        <v>631077133</v>
      </c>
      <c r="AN581" s="135" t="s">
        <v>76</v>
      </c>
      <c r="AO581" s="150" t="s">
        <v>102</v>
      </c>
      <c r="AP581" s="135">
        <v>45056</v>
      </c>
      <c r="AQ581" s="135" t="s">
        <v>3496</v>
      </c>
      <c r="AR581" s="143" t="s">
        <v>236</v>
      </c>
      <c r="AS581" s="135" t="s">
        <v>3496</v>
      </c>
      <c r="AT581" s="135" t="s">
        <v>3446</v>
      </c>
      <c r="AU581" s="135" t="s">
        <v>2179</v>
      </c>
      <c r="AV581" s="135" t="s">
        <v>2578</v>
      </c>
      <c r="AW581" s="143">
        <v>24</v>
      </c>
      <c r="AX581" s="143">
        <v>10</v>
      </c>
      <c r="AY581" s="143">
        <v>77</v>
      </c>
      <c r="AZ581" s="143">
        <v>1238</v>
      </c>
      <c r="BA581" s="135" t="s">
        <v>1401</v>
      </c>
      <c r="BB581" s="135"/>
      <c r="BC581" s="151">
        <f>2235+242+744+224+320+198+98</f>
        <v>4061</v>
      </c>
      <c r="BD581" s="151"/>
      <c r="BE581" s="151">
        <v>800</v>
      </c>
      <c r="BF581" s="151">
        <f t="shared" si="48"/>
        <v>4861</v>
      </c>
      <c r="BG581" s="151">
        <f t="shared" si="46"/>
        <v>267.35500000000002</v>
      </c>
      <c r="BH581" s="151">
        <f t="shared" si="47"/>
        <v>5128.3549999999996</v>
      </c>
      <c r="BI581" s="151">
        <v>3077.02</v>
      </c>
      <c r="BJ581" s="135" t="s">
        <v>1391</v>
      </c>
      <c r="BK581" s="135"/>
      <c r="BL581" s="135"/>
      <c r="BM581" s="144" t="s">
        <v>3592</v>
      </c>
      <c r="BN581" s="143">
        <v>2023</v>
      </c>
      <c r="BO581" s="135" t="s">
        <v>143</v>
      </c>
      <c r="BP581" s="144">
        <v>2023</v>
      </c>
      <c r="BQ581" s="203" t="s">
        <v>3274</v>
      </c>
    </row>
    <row r="582" spans="1:69" ht="41.1" customHeight="1">
      <c r="A582" s="218" t="s">
        <v>1705</v>
      </c>
      <c r="B582" s="218" t="s">
        <v>2579</v>
      </c>
      <c r="C582" s="143">
        <f t="shared" ca="1" si="44"/>
        <v>600</v>
      </c>
      <c r="D582" s="135">
        <v>44974</v>
      </c>
      <c r="E582" s="135">
        <v>44978</v>
      </c>
      <c r="F582" s="135" t="s">
        <v>76</v>
      </c>
      <c r="G582" s="135" t="s">
        <v>76</v>
      </c>
      <c r="H582" s="135">
        <v>45000</v>
      </c>
      <c r="I582" s="135">
        <v>45092</v>
      </c>
      <c r="J582" s="135">
        <v>45006</v>
      </c>
      <c r="K582" s="135">
        <v>45124</v>
      </c>
      <c r="L582" s="135">
        <v>45077</v>
      </c>
      <c r="M582" s="135" t="s">
        <v>76</v>
      </c>
      <c r="N582" s="135">
        <v>45145</v>
      </c>
      <c r="O582" s="135">
        <v>45145</v>
      </c>
      <c r="P582" s="135">
        <v>45146</v>
      </c>
      <c r="Q582" s="135"/>
      <c r="R582" s="135"/>
      <c r="S582" s="135"/>
      <c r="T582" s="135"/>
      <c r="U582" s="144">
        <v>5</v>
      </c>
      <c r="V582" s="143">
        <v>51551</v>
      </c>
      <c r="W582" s="143" t="str">
        <f ca="1">IF(H582="",IF(D582="","",IF(U582+V582&lt;15,"Données Nb pers ou RFR manquantes",IF(COUNTA(INDIRECT("TabRFR["&amp;YEAR(D582)&amp;"]"))&lt;&gt;COUNTA(TabRFR[Recherche RFR]),"Data RFR manquantes", IF(V582&lt;=INDEX(TabRFR[[2023]:[2025]],MATCH(BD!U582&amp;"-Très modestes",TabRFR[Recherche RFR],0),MATCH(TEXT(YEAR(BD!D582),"Standard"),TabRFR[[#Headers],[2023]:[2025]],0)),"Très Modeste",IF(V582&lt;=INDEX(TabRFR[[2023]:[2025]],MATCH(BD!U582&amp;"-modestes",TabRFR[Recherche RFR],0),MATCH(TEXT(YEAR(BD!D582),"Standard"),TabRFR[[#Headers],[2023]:[2025]],0)),"Modeste",IF(V582&lt;=INDEX(TabRFR[[2023]:[2025]],MATCH(BD!U582&amp;"-Intermédiaire",TabRFR[Recherche RFR],0),MATCH(TEXT(YEAR(BD!D582),"Standard"),TabRFR[[#Headers],[2023]:[2025]],0)),"Intermédiaire","Supérieur")))))),IF(D582="","",IF(U582+V582&lt;15,"Données Nb pers ou RFR manquantes",IF(COUNTA(INDIRECT("TabRFR["&amp;YEAR(H582)&amp;"]"))&lt;&gt;COUNTA(TabRFR[Recherche RFR]),"Data RFR manquantes", IF(V582&lt;=INDEX(TabRFR[[2023]:[2025]],MATCH(BD!U582&amp;"-Très modestes",TabRFR[Recherche RFR],0),MATCH(TEXT(YEAR(BD!H582),"Standard"),TabRFR[[#Headers],[2023]:[2025]],0)),"Très Modeste",IF(V582&lt;=INDEX(TabRFR[[2023]:[2025]],MATCH(BD!U582&amp;"-modestes",TabRFR[Recherche RFR],0),MATCH(TEXT(YEAR(BD!H582),"Standard"),TabRFR[[#Headers],[2023]:[2025]],0)),"Modeste",IF(V582&lt;=INDEX(TabRFR[[2023]:[2025]],MATCH(BD!U582&amp;"-Intermédiaire",TabRFR[Recherche RFR],0),MATCH(TEXT(YEAR(BD!H582),"Standard"),TabRFR[[#Headers],[2023]:[2025]],0)),"Intermédiaire","Supérieur")))))))</f>
        <v>Intermédiaire</v>
      </c>
      <c r="X582" s="144"/>
      <c r="Y582" s="135" t="s">
        <v>2580</v>
      </c>
      <c r="Z582" s="144">
        <v>38730</v>
      </c>
      <c r="AA582" s="135" t="s">
        <v>148</v>
      </c>
      <c r="AB582" s="148"/>
      <c r="AC582" s="170"/>
      <c r="AD582" s="135" t="s">
        <v>91</v>
      </c>
      <c r="AE582" s="135"/>
      <c r="AF582" s="135"/>
      <c r="AG582" s="135"/>
      <c r="AH582" s="135"/>
      <c r="AI582" s="135" t="s">
        <v>1988</v>
      </c>
      <c r="AJ582" s="135" t="s">
        <v>93</v>
      </c>
      <c r="AK582" s="135" t="s">
        <v>2197</v>
      </c>
      <c r="AL582" s="169" t="s">
        <v>2198</v>
      </c>
      <c r="AM582" s="148" t="s">
        <v>96</v>
      </c>
      <c r="AN582" s="135"/>
      <c r="AO582" s="135" t="s">
        <v>102</v>
      </c>
      <c r="AP582" s="135">
        <v>45186</v>
      </c>
      <c r="AQ582" s="135" t="s">
        <v>3449</v>
      </c>
      <c r="AR582" s="143">
        <v>1999</v>
      </c>
      <c r="AS582" s="143" t="s">
        <v>3413</v>
      </c>
      <c r="AT582" s="135" t="s">
        <v>3446</v>
      </c>
      <c r="AU582" s="135" t="s">
        <v>532</v>
      </c>
      <c r="AV582" s="135" t="s">
        <v>2581</v>
      </c>
      <c r="AW582" s="143">
        <v>17</v>
      </c>
      <c r="AX582" s="143">
        <v>9</v>
      </c>
      <c r="AY582" s="143" t="s">
        <v>2582</v>
      </c>
      <c r="AZ582" s="143" t="s">
        <v>2583</v>
      </c>
      <c r="BA582" s="135" t="s">
        <v>101</v>
      </c>
      <c r="BB582" s="135"/>
      <c r="BC582" s="151">
        <f>4400+895+225+148+88+48+1180</f>
        <v>6984</v>
      </c>
      <c r="BD582" s="151"/>
      <c r="BE582" s="151">
        <v>590</v>
      </c>
      <c r="BF582" s="151">
        <f t="shared" si="48"/>
        <v>7574</v>
      </c>
      <c r="BG582" s="151">
        <f t="shared" si="46"/>
        <v>416.57</v>
      </c>
      <c r="BH582" s="151">
        <f t="shared" si="47"/>
        <v>7990.57</v>
      </c>
      <c r="BI582" s="151">
        <v>7990.57</v>
      </c>
      <c r="BJ582" s="135" t="s">
        <v>1391</v>
      </c>
      <c r="BK582" s="135"/>
      <c r="BL582" s="135"/>
      <c r="BM582" s="144" t="s">
        <v>3592</v>
      </c>
      <c r="BN582" s="143">
        <v>2023</v>
      </c>
      <c r="BO582" s="135" t="s">
        <v>143</v>
      </c>
      <c r="BP582" s="144">
        <v>2023</v>
      </c>
      <c r="BQ582" s="203" t="s">
        <v>3274</v>
      </c>
    </row>
    <row r="583" spans="1:69" ht="41.1" customHeight="1">
      <c r="A583" s="218" t="s">
        <v>1705</v>
      </c>
      <c r="B583" s="218" t="s">
        <v>2584</v>
      </c>
      <c r="C583" s="143">
        <f t="shared" ca="1" si="44"/>
        <v>600</v>
      </c>
      <c r="D583" s="135">
        <v>44974</v>
      </c>
      <c r="E583" s="135">
        <v>44978</v>
      </c>
      <c r="F583" s="135" t="s">
        <v>76</v>
      </c>
      <c r="G583" s="135" t="s">
        <v>76</v>
      </c>
      <c r="H583" s="135">
        <v>44979</v>
      </c>
      <c r="I583" s="135">
        <v>44979</v>
      </c>
      <c r="J583" s="135">
        <v>44992</v>
      </c>
      <c r="K583" s="135">
        <v>45062</v>
      </c>
      <c r="L583" s="135">
        <v>45057</v>
      </c>
      <c r="M583" s="135" t="s">
        <v>76</v>
      </c>
      <c r="N583" s="135">
        <v>45083</v>
      </c>
      <c r="O583" s="135">
        <v>45083</v>
      </c>
      <c r="P583" s="135">
        <v>45084</v>
      </c>
      <c r="Q583" s="135"/>
      <c r="R583" s="135"/>
      <c r="S583" s="135"/>
      <c r="T583" s="135"/>
      <c r="U583" s="144">
        <v>1</v>
      </c>
      <c r="V583" s="143">
        <v>22245</v>
      </c>
      <c r="W583" s="143" t="str">
        <f ca="1">IF(H583="",IF(D583="","",IF(U583+V583&lt;15,"Données Nb pers ou RFR manquantes",IF(COUNTA(INDIRECT("TabRFR["&amp;YEAR(D583)&amp;"]"))&lt;&gt;COUNTA(TabRFR[Recherche RFR]),"Data RFR manquantes", IF(V583&lt;=INDEX(TabRFR[[2023]:[2025]],MATCH(BD!U583&amp;"-Très modestes",TabRFR[Recherche RFR],0),MATCH(TEXT(YEAR(BD!D583),"Standard"),TabRFR[[#Headers],[2023]:[2025]],0)),"Très Modeste",IF(V583&lt;=INDEX(TabRFR[[2023]:[2025]],MATCH(BD!U583&amp;"-modestes",TabRFR[Recherche RFR],0),MATCH(TEXT(YEAR(BD!D583),"Standard"),TabRFR[[#Headers],[2023]:[2025]],0)),"Modeste",IF(V583&lt;=INDEX(TabRFR[[2023]:[2025]],MATCH(BD!U583&amp;"-Intermédiaire",TabRFR[Recherche RFR],0),MATCH(TEXT(YEAR(BD!D583),"Standard"),TabRFR[[#Headers],[2023]:[2025]],0)),"Intermédiaire","Supérieur")))))),IF(D583="","",IF(U583+V583&lt;15,"Données Nb pers ou RFR manquantes",IF(COUNTA(INDIRECT("TabRFR["&amp;YEAR(H583)&amp;"]"))&lt;&gt;COUNTA(TabRFR[Recherche RFR]),"Data RFR manquantes", IF(V583&lt;=INDEX(TabRFR[[2023]:[2025]],MATCH(BD!U583&amp;"-Très modestes",TabRFR[Recherche RFR],0),MATCH(TEXT(YEAR(BD!H583),"Standard"),TabRFR[[#Headers],[2023]:[2025]],0)),"Très Modeste",IF(V583&lt;=INDEX(TabRFR[[2023]:[2025]],MATCH(BD!U583&amp;"-modestes",TabRFR[Recherche RFR],0),MATCH(TEXT(YEAR(BD!H583),"Standard"),TabRFR[[#Headers],[2023]:[2025]],0)),"Modeste",IF(V583&lt;=INDEX(TabRFR[[2023]:[2025]],MATCH(BD!U583&amp;"-Intermédiaire",TabRFR[Recherche RFR],0),MATCH(TEXT(YEAR(BD!H583),"Standard"),TabRFR[[#Headers],[2023]:[2025]],0)),"Intermédiaire","Supérieur")))))))</f>
        <v>Intermédiaire</v>
      </c>
      <c r="X583" s="144"/>
      <c r="Y583" s="135" t="s">
        <v>2585</v>
      </c>
      <c r="Z583" s="144">
        <v>38620</v>
      </c>
      <c r="AA583" s="135" t="s">
        <v>262</v>
      </c>
      <c r="AB583" s="148"/>
      <c r="AC583" s="169"/>
      <c r="AD583" s="135" t="s">
        <v>91</v>
      </c>
      <c r="AE583" s="135"/>
      <c r="AF583" s="135"/>
      <c r="AG583" s="135"/>
      <c r="AH583" s="135"/>
      <c r="AI583" s="135" t="s">
        <v>220</v>
      </c>
      <c r="AJ583" s="135" t="s">
        <v>108</v>
      </c>
      <c r="AK583" s="135" t="s">
        <v>2059</v>
      </c>
      <c r="AL583" s="169" t="s">
        <v>1947</v>
      </c>
      <c r="AM583" s="148">
        <v>476323235</v>
      </c>
      <c r="AN583" s="135" t="s">
        <v>76</v>
      </c>
      <c r="AO583" s="150" t="s">
        <v>102</v>
      </c>
      <c r="AP583" s="135">
        <v>45159</v>
      </c>
      <c r="AQ583" s="135" t="s">
        <v>3323</v>
      </c>
      <c r="AR583" s="143" t="s">
        <v>213</v>
      </c>
      <c r="AS583" s="143" t="s">
        <v>3413</v>
      </c>
      <c r="AT583" s="135" t="s">
        <v>3446</v>
      </c>
      <c r="AU583" s="135" t="s">
        <v>2060</v>
      </c>
      <c r="AV583" s="135" t="s">
        <v>2586</v>
      </c>
      <c r="AW583" s="143">
        <v>14</v>
      </c>
      <c r="AX583" s="143">
        <v>5</v>
      </c>
      <c r="AY583" s="143">
        <v>82</v>
      </c>
      <c r="AZ583" s="143" t="s">
        <v>2587</v>
      </c>
      <c r="BA583" s="135" t="s">
        <v>101</v>
      </c>
      <c r="BB583" s="135"/>
      <c r="BC583" s="151">
        <f>(2426.5+61.19+205.73+68.58+50.64+200.45+38.5+2488.2+71.5+52.8+588.5)/1.055</f>
        <v>5926.6255924170609</v>
      </c>
      <c r="BD583" s="151"/>
      <c r="BE583" s="151">
        <f>(27.5+739.2+33+198)/1.055</f>
        <v>945.6872037914693</v>
      </c>
      <c r="BF583" s="151">
        <f t="shared" si="48"/>
        <v>6872.31279620853</v>
      </c>
      <c r="BG583" s="151">
        <f t="shared" si="46"/>
        <v>377.97720379146915</v>
      </c>
      <c r="BH583" s="151">
        <f t="shared" si="47"/>
        <v>7250.2899999999991</v>
      </c>
      <c r="BI583" s="151">
        <f>3239.5+2807.36</f>
        <v>6046.8600000000006</v>
      </c>
      <c r="BJ583" s="135" t="s">
        <v>1391</v>
      </c>
      <c r="BK583" s="135"/>
      <c r="BL583" s="135"/>
      <c r="BM583" s="144" t="s">
        <v>3592</v>
      </c>
      <c r="BN583" s="143">
        <v>2023</v>
      </c>
      <c r="BO583" s="135" t="s">
        <v>143</v>
      </c>
      <c r="BP583" s="144">
        <v>2023</v>
      </c>
      <c r="BQ583" s="203" t="s">
        <v>3274</v>
      </c>
    </row>
    <row r="584" spans="1:69" ht="41.1" customHeight="1">
      <c r="A584" s="145" t="s">
        <v>1705</v>
      </c>
      <c r="B584" s="145" t="s">
        <v>2588</v>
      </c>
      <c r="C584" s="143"/>
      <c r="D584" s="135"/>
      <c r="E584" s="135"/>
      <c r="F584" s="135"/>
      <c r="G584" s="135"/>
      <c r="H584" s="135"/>
      <c r="I584" s="135"/>
      <c r="J584" s="135"/>
      <c r="K584" s="135"/>
      <c r="L584" s="135"/>
      <c r="M584" s="135"/>
      <c r="N584" s="135"/>
      <c r="O584" s="135"/>
      <c r="P584" s="135"/>
      <c r="Q584" s="135"/>
      <c r="R584" s="135" t="s">
        <v>3581</v>
      </c>
      <c r="S584" s="135"/>
      <c r="T584" s="135"/>
      <c r="U584" s="144"/>
      <c r="V584" s="143"/>
      <c r="W584" s="143"/>
      <c r="X584" s="144"/>
      <c r="Y584" s="135"/>
      <c r="Z584" s="144"/>
      <c r="AA584" s="135"/>
      <c r="AB584" s="148"/>
      <c r="AC584" s="202"/>
      <c r="AD584" s="135"/>
      <c r="AE584" s="135"/>
      <c r="AF584" s="135"/>
      <c r="AG584" s="135"/>
      <c r="AH584" s="135"/>
      <c r="AI584" s="135"/>
      <c r="AJ584" s="135"/>
      <c r="AK584" s="135"/>
      <c r="AL584" s="208"/>
      <c r="AM584" s="148"/>
      <c r="AN584" s="135"/>
      <c r="AO584" s="193"/>
      <c r="AP584" s="135"/>
      <c r="AQ584" s="135"/>
      <c r="AR584" s="135"/>
      <c r="AS584" s="135"/>
      <c r="AT584" s="135"/>
      <c r="AU584" s="135"/>
      <c r="AV584" s="135"/>
      <c r="AW584" s="143"/>
      <c r="AX584" s="143"/>
      <c r="AY584" s="143"/>
      <c r="AZ584" s="143"/>
      <c r="BA584" s="135"/>
      <c r="BB584" s="151"/>
      <c r="BC584" s="151"/>
      <c r="BD584" s="151"/>
      <c r="BE584" s="151"/>
      <c r="BF584" s="151"/>
      <c r="BG584" s="151"/>
      <c r="BH584" s="151"/>
      <c r="BI584" s="135"/>
      <c r="BJ584" s="135"/>
      <c r="BK584" s="135"/>
      <c r="BL584" s="135"/>
      <c r="BM584" s="144">
        <v>0</v>
      </c>
      <c r="BN584" s="153" t="s">
        <v>103</v>
      </c>
      <c r="BO584" s="135" t="s">
        <v>103</v>
      </c>
      <c r="BP584" s="135" t="s">
        <v>3584</v>
      </c>
      <c r="BQ584" s="203" t="s">
        <v>3585</v>
      </c>
    </row>
    <row r="585" spans="1:69" ht="41.1" customHeight="1">
      <c r="A585" s="218" t="s">
        <v>1705</v>
      </c>
      <c r="B585" s="218" t="s">
        <v>2589</v>
      </c>
      <c r="C585" s="143">
        <f t="shared" ca="1" si="44"/>
        <v>600</v>
      </c>
      <c r="D585" s="135">
        <v>44974</v>
      </c>
      <c r="E585" s="135">
        <v>44978</v>
      </c>
      <c r="F585" s="135">
        <v>44979</v>
      </c>
      <c r="G585" s="135" t="s">
        <v>2590</v>
      </c>
      <c r="H585" s="135">
        <v>45008</v>
      </c>
      <c r="I585" s="135">
        <v>45008</v>
      </c>
      <c r="J585" s="135">
        <v>45027</v>
      </c>
      <c r="K585" s="135">
        <v>45040</v>
      </c>
      <c r="L585" s="135">
        <v>45037</v>
      </c>
      <c r="M585" s="135" t="s">
        <v>76</v>
      </c>
      <c r="N585" s="135">
        <v>45042</v>
      </c>
      <c r="O585" s="135">
        <v>45042</v>
      </c>
      <c r="P585" s="135">
        <v>45050</v>
      </c>
      <c r="Q585" s="135"/>
      <c r="R585" s="135"/>
      <c r="S585" s="135"/>
      <c r="T585" s="135"/>
      <c r="U585" s="144">
        <v>1</v>
      </c>
      <c r="V585" s="143">
        <v>24672</v>
      </c>
      <c r="W585" s="143" t="str">
        <f ca="1">IF(H585="",IF(D585="","",IF(U585+V585&lt;15,"Données Nb pers ou RFR manquantes",IF(COUNTA(INDIRECT("TabRFR["&amp;YEAR(D585)&amp;"]"))&lt;&gt;COUNTA(TabRFR[Recherche RFR]),"Data RFR manquantes", IF(V585&lt;=INDEX(TabRFR[[2023]:[2025]],MATCH(BD!U585&amp;"-Très modestes",TabRFR[Recherche RFR],0),MATCH(TEXT(YEAR(BD!D585),"Standard"),TabRFR[[#Headers],[2023]:[2025]],0)),"Très Modeste",IF(V585&lt;=INDEX(TabRFR[[2023]:[2025]],MATCH(BD!U585&amp;"-modestes",TabRFR[Recherche RFR],0),MATCH(TEXT(YEAR(BD!D585),"Standard"),TabRFR[[#Headers],[2023]:[2025]],0)),"Modeste",IF(V585&lt;=INDEX(TabRFR[[2023]:[2025]],MATCH(BD!U585&amp;"-Intermédiaire",TabRFR[Recherche RFR],0),MATCH(TEXT(YEAR(BD!D585),"Standard"),TabRFR[[#Headers],[2023]:[2025]],0)),"Intermédiaire","Supérieur")))))),IF(D585="","",IF(U585+V585&lt;15,"Données Nb pers ou RFR manquantes",IF(COUNTA(INDIRECT("TabRFR["&amp;YEAR(H585)&amp;"]"))&lt;&gt;COUNTA(TabRFR[Recherche RFR]),"Data RFR manquantes", IF(V585&lt;=INDEX(TabRFR[[2023]:[2025]],MATCH(BD!U585&amp;"-Très modestes",TabRFR[Recherche RFR],0),MATCH(TEXT(YEAR(BD!H585),"Standard"),TabRFR[[#Headers],[2023]:[2025]],0)),"Très Modeste",IF(V585&lt;=INDEX(TabRFR[[2023]:[2025]],MATCH(BD!U585&amp;"-modestes",TabRFR[Recherche RFR],0),MATCH(TEXT(YEAR(BD!H585),"Standard"),TabRFR[[#Headers],[2023]:[2025]],0)),"Modeste",IF(V585&lt;=INDEX(TabRFR[[2023]:[2025]],MATCH(BD!U585&amp;"-Intermédiaire",TabRFR[Recherche RFR],0),MATCH(TEXT(YEAR(BD!H585),"Standard"),TabRFR[[#Headers],[2023]:[2025]],0)),"Intermédiaire","Supérieur")))))))</f>
        <v>Intermédiaire</v>
      </c>
      <c r="X585" s="144"/>
      <c r="Y585" s="135" t="s">
        <v>2591</v>
      </c>
      <c r="Z585" s="144">
        <v>38620</v>
      </c>
      <c r="AA585" s="135" t="s">
        <v>680</v>
      </c>
      <c r="AB585" s="148"/>
      <c r="AC585" s="169"/>
      <c r="AD585" s="135" t="s">
        <v>91</v>
      </c>
      <c r="AE585" s="135"/>
      <c r="AF585" s="135"/>
      <c r="AG585" s="135"/>
      <c r="AH585" s="135"/>
      <c r="AI585" s="135" t="s">
        <v>220</v>
      </c>
      <c r="AJ585" s="135" t="s">
        <v>108</v>
      </c>
      <c r="AK585" s="135" t="s">
        <v>2059</v>
      </c>
      <c r="AL585" s="169" t="s">
        <v>1947</v>
      </c>
      <c r="AM585" s="148">
        <v>476323235</v>
      </c>
      <c r="AN585" s="135" t="s">
        <v>76</v>
      </c>
      <c r="AO585" s="150" t="s">
        <v>102</v>
      </c>
      <c r="AP585" s="135">
        <v>45159</v>
      </c>
      <c r="AQ585" s="135" t="s">
        <v>3449</v>
      </c>
      <c r="AR585" s="135" t="s">
        <v>76</v>
      </c>
      <c r="AS585" s="143" t="s">
        <v>3413</v>
      </c>
      <c r="AT585" s="135" t="s">
        <v>3446</v>
      </c>
      <c r="AU585" s="135" t="s">
        <v>2060</v>
      </c>
      <c r="AV585" s="135" t="s">
        <v>612</v>
      </c>
      <c r="AW585" s="143"/>
      <c r="AX585" s="143"/>
      <c r="AY585" s="143"/>
      <c r="AZ585" s="143"/>
      <c r="BA585" s="135" t="s">
        <v>101</v>
      </c>
      <c r="BB585" s="135"/>
      <c r="BC585" s="151">
        <f>(2648.05+177.24+68.58+103.39+31.65+42.2+31.65+60.5+2884.3+82.5)/1.055</f>
        <v>5810.4834123222745</v>
      </c>
      <c r="BD585" s="151"/>
      <c r="BE585" s="151">
        <f>(68.58+295.4+72.6+800.8)/1.055</f>
        <v>1172.8720379146919</v>
      </c>
      <c r="BF585" s="151">
        <f t="shared" si="48"/>
        <v>6983.3554502369661</v>
      </c>
      <c r="BG585" s="151">
        <f t="shared" si="46"/>
        <v>384.08454976303312</v>
      </c>
      <c r="BH585" s="151">
        <f t="shared" si="47"/>
        <v>7367.44</v>
      </c>
      <c r="BI585" s="151">
        <f>3900.7+3255.73</f>
        <v>7156.43</v>
      </c>
      <c r="BJ585" s="135" t="s">
        <v>1391</v>
      </c>
      <c r="BK585" s="135"/>
      <c r="BL585" s="135"/>
      <c r="BM585" s="144" t="s">
        <v>3592</v>
      </c>
      <c r="BN585" s="143">
        <v>2023</v>
      </c>
      <c r="BO585" s="135" t="s">
        <v>143</v>
      </c>
      <c r="BP585" s="144">
        <v>2023</v>
      </c>
      <c r="BQ585" s="203" t="s">
        <v>3274</v>
      </c>
    </row>
    <row r="586" spans="1:69" ht="41.1" customHeight="1">
      <c r="A586" s="218" t="s">
        <v>1705</v>
      </c>
      <c r="B586" s="218" t="s">
        <v>2592</v>
      </c>
      <c r="C586" s="143">
        <f t="shared" ca="1" si="44"/>
        <v>600</v>
      </c>
      <c r="D586" s="135">
        <v>44978</v>
      </c>
      <c r="E586" s="135">
        <v>44988</v>
      </c>
      <c r="F586" s="135" t="s">
        <v>76</v>
      </c>
      <c r="G586" s="135" t="s">
        <v>76</v>
      </c>
      <c r="H586" s="135">
        <v>44993</v>
      </c>
      <c r="I586" s="135">
        <v>44993</v>
      </c>
      <c r="J586" s="135">
        <v>44995</v>
      </c>
      <c r="K586" s="135">
        <v>45096</v>
      </c>
      <c r="L586" s="135">
        <v>44950</v>
      </c>
      <c r="M586" s="135" t="s">
        <v>2593</v>
      </c>
      <c r="N586" s="135">
        <v>45120</v>
      </c>
      <c r="O586" s="135">
        <v>45120</v>
      </c>
      <c r="P586" s="135">
        <v>45141</v>
      </c>
      <c r="Q586" s="135"/>
      <c r="R586" s="135"/>
      <c r="S586" s="135"/>
      <c r="T586" s="135"/>
      <c r="U586" s="144">
        <v>1</v>
      </c>
      <c r="V586" s="143">
        <v>27067</v>
      </c>
      <c r="W586" s="143" t="str">
        <f ca="1">IF(H586="",IF(D586="","",IF(U586+V586&lt;15,"Données Nb pers ou RFR manquantes",IF(COUNTA(INDIRECT("TabRFR["&amp;YEAR(D586)&amp;"]"))&lt;&gt;COUNTA(TabRFR[Recherche RFR]),"Data RFR manquantes", IF(V586&lt;=INDEX(TabRFR[[2023]:[2025]],MATCH(BD!U586&amp;"-Très modestes",TabRFR[Recherche RFR],0),MATCH(TEXT(YEAR(BD!D586),"Standard"),TabRFR[[#Headers],[2023]:[2025]],0)),"Très Modeste",IF(V586&lt;=INDEX(TabRFR[[2023]:[2025]],MATCH(BD!U586&amp;"-modestes",TabRFR[Recherche RFR],0),MATCH(TEXT(YEAR(BD!D586),"Standard"),TabRFR[[#Headers],[2023]:[2025]],0)),"Modeste",IF(V586&lt;=INDEX(TabRFR[[2023]:[2025]],MATCH(BD!U586&amp;"-Intermédiaire",TabRFR[Recherche RFR],0),MATCH(TEXT(YEAR(BD!D586),"Standard"),TabRFR[[#Headers],[2023]:[2025]],0)),"Intermédiaire","Supérieur")))))),IF(D586="","",IF(U586+V586&lt;15,"Données Nb pers ou RFR manquantes",IF(COUNTA(INDIRECT("TabRFR["&amp;YEAR(H586)&amp;"]"))&lt;&gt;COUNTA(TabRFR[Recherche RFR]),"Data RFR manquantes", IF(V586&lt;=INDEX(TabRFR[[2023]:[2025]],MATCH(BD!U586&amp;"-Très modestes",TabRFR[Recherche RFR],0),MATCH(TEXT(YEAR(BD!H586),"Standard"),TabRFR[[#Headers],[2023]:[2025]],0)),"Très Modeste",IF(V586&lt;=INDEX(TabRFR[[2023]:[2025]],MATCH(BD!U586&amp;"-modestes",TabRFR[Recherche RFR],0),MATCH(TEXT(YEAR(BD!H586),"Standard"),TabRFR[[#Headers],[2023]:[2025]],0)),"Modeste",IF(V586&lt;=INDEX(TabRFR[[2023]:[2025]],MATCH(BD!U586&amp;"-Intermédiaire",TabRFR[Recherche RFR],0),MATCH(TEXT(YEAR(BD!H586),"Standard"),TabRFR[[#Headers],[2023]:[2025]],0)),"Intermédiaire","Supérieur")))))))</f>
        <v>Intermédiaire</v>
      </c>
      <c r="X586" s="144"/>
      <c r="Y586" s="135" t="s">
        <v>2594</v>
      </c>
      <c r="Z586" s="144">
        <v>38140</v>
      </c>
      <c r="AA586" s="135" t="s">
        <v>200</v>
      </c>
      <c r="AB586" s="148"/>
      <c r="AC586" s="169"/>
      <c r="AD586" s="135" t="s">
        <v>91</v>
      </c>
      <c r="AE586" s="135"/>
      <c r="AF586" s="135"/>
      <c r="AG586" s="135"/>
      <c r="AH586" s="135"/>
      <c r="AI586" s="143" t="s">
        <v>185</v>
      </c>
      <c r="AJ586" s="143" t="s">
        <v>108</v>
      </c>
      <c r="AK586" s="143" t="s">
        <v>186</v>
      </c>
      <c r="AL586" s="150" t="s">
        <v>187</v>
      </c>
      <c r="AM586" s="148" t="s">
        <v>2383</v>
      </c>
      <c r="AN586" s="135" t="s">
        <v>76</v>
      </c>
      <c r="AO586" s="150" t="s">
        <v>102</v>
      </c>
      <c r="AP586" s="147">
        <v>45163</v>
      </c>
      <c r="AQ586" s="135" t="s">
        <v>3449</v>
      </c>
      <c r="AR586" s="143">
        <v>1995</v>
      </c>
      <c r="AS586" s="143" t="s">
        <v>3413</v>
      </c>
      <c r="AT586" s="135" t="s">
        <v>3446</v>
      </c>
      <c r="AU586" s="135" t="s">
        <v>2595</v>
      </c>
      <c r="AV586" s="135" t="s">
        <v>2596</v>
      </c>
      <c r="AW586" s="143"/>
      <c r="AX586" s="143"/>
      <c r="AY586" s="143"/>
      <c r="AZ586" s="143"/>
      <c r="BA586" s="135" t="s">
        <v>101</v>
      </c>
      <c r="BB586" s="135"/>
      <c r="BC586" s="151">
        <f>3184.45+415+409+883.05+139.9+185</f>
        <v>5216.3999999999996</v>
      </c>
      <c r="BD586" s="151"/>
      <c r="BE586" s="151">
        <f>690+980</f>
        <v>1670</v>
      </c>
      <c r="BF586" s="151">
        <f>BC586+BE586-599</f>
        <v>6287.4</v>
      </c>
      <c r="BG586" s="151">
        <f t="shared" si="46"/>
        <v>345.80699999999996</v>
      </c>
      <c r="BH586" s="151">
        <f t="shared" si="47"/>
        <v>6633.2069999999994</v>
      </c>
      <c r="BI586" s="151">
        <v>6633.21</v>
      </c>
      <c r="BJ586" s="135" t="s">
        <v>103</v>
      </c>
      <c r="BK586" s="135"/>
      <c r="BL586" s="135"/>
      <c r="BM586" s="144" t="s">
        <v>3592</v>
      </c>
      <c r="BN586" s="143">
        <v>2023</v>
      </c>
      <c r="BO586" s="135" t="s">
        <v>143</v>
      </c>
      <c r="BP586" s="144">
        <v>2023</v>
      </c>
      <c r="BQ586" s="203" t="s">
        <v>3274</v>
      </c>
    </row>
    <row r="587" spans="1:69" ht="41.1" customHeight="1">
      <c r="A587" s="218" t="s">
        <v>1705</v>
      </c>
      <c r="B587" s="218" t="s">
        <v>2597</v>
      </c>
      <c r="C587" s="143">
        <f t="shared" ca="1" si="44"/>
        <v>600</v>
      </c>
      <c r="D587" s="135">
        <v>44978</v>
      </c>
      <c r="E587" s="135">
        <v>44988</v>
      </c>
      <c r="F587" s="135">
        <v>44993</v>
      </c>
      <c r="G587" s="135" t="s">
        <v>2507</v>
      </c>
      <c r="H587" s="135">
        <v>44999</v>
      </c>
      <c r="I587" s="135">
        <v>45000</v>
      </c>
      <c r="J587" s="135">
        <v>45006</v>
      </c>
      <c r="K587" s="135">
        <v>45062</v>
      </c>
      <c r="L587" s="135">
        <v>45028</v>
      </c>
      <c r="M587" s="135" t="s">
        <v>2598</v>
      </c>
      <c r="N587" s="135">
        <v>45085</v>
      </c>
      <c r="O587" s="135">
        <v>45085</v>
      </c>
      <c r="P587" s="135">
        <v>45085</v>
      </c>
      <c r="Q587" s="135"/>
      <c r="R587" s="135"/>
      <c r="S587" s="135"/>
      <c r="T587" s="135"/>
      <c r="U587" s="144">
        <v>2</v>
      </c>
      <c r="V587" s="143">
        <v>43294</v>
      </c>
      <c r="W587" s="143" t="str">
        <f ca="1">IF(H587="",IF(D587="","",IF(U587+V587&lt;15,"Données Nb pers ou RFR manquantes",IF(COUNTA(INDIRECT("TabRFR["&amp;YEAR(D587)&amp;"]"))&lt;&gt;COUNTA(TabRFR[Recherche RFR]),"Data RFR manquantes", IF(V587&lt;=INDEX(TabRFR[[2023]:[2025]],MATCH(BD!U587&amp;"-Très modestes",TabRFR[Recherche RFR],0),MATCH(TEXT(YEAR(BD!D587),"Standard"),TabRFR[[#Headers],[2023]:[2025]],0)),"Très Modeste",IF(V587&lt;=INDEX(TabRFR[[2023]:[2025]],MATCH(BD!U587&amp;"-modestes",TabRFR[Recherche RFR],0),MATCH(TEXT(YEAR(BD!D587),"Standard"),TabRFR[[#Headers],[2023]:[2025]],0)),"Modeste",IF(V587&lt;=INDEX(TabRFR[[2023]:[2025]],MATCH(BD!U587&amp;"-Intermédiaire",TabRFR[Recherche RFR],0),MATCH(TEXT(YEAR(BD!D587),"Standard"),TabRFR[[#Headers],[2023]:[2025]],0)),"Intermédiaire","Supérieur")))))),IF(D587="","",IF(U587+V587&lt;15,"Données Nb pers ou RFR manquantes",IF(COUNTA(INDIRECT("TabRFR["&amp;YEAR(H587)&amp;"]"))&lt;&gt;COUNTA(TabRFR[Recherche RFR]),"Data RFR manquantes", IF(V587&lt;=INDEX(TabRFR[[2023]:[2025]],MATCH(BD!U587&amp;"-Très modestes",TabRFR[Recherche RFR],0),MATCH(TEXT(YEAR(BD!H587),"Standard"),TabRFR[[#Headers],[2023]:[2025]],0)),"Très Modeste",IF(V587&lt;=INDEX(TabRFR[[2023]:[2025]],MATCH(BD!U587&amp;"-modestes",TabRFR[Recherche RFR],0),MATCH(TEXT(YEAR(BD!H587),"Standard"),TabRFR[[#Headers],[2023]:[2025]],0)),"Modeste",IF(V587&lt;=INDEX(TabRFR[[2023]:[2025]],MATCH(BD!U587&amp;"-Intermédiaire",TabRFR[Recherche RFR],0),MATCH(TEXT(YEAR(BD!H587),"Standard"),TabRFR[[#Headers],[2023]:[2025]],0)),"Intermédiaire","Supérieur")))))))</f>
        <v>Supérieur</v>
      </c>
      <c r="X587" s="144"/>
      <c r="Y587" s="135" t="s">
        <v>2599</v>
      </c>
      <c r="Z587" s="144">
        <v>38960</v>
      </c>
      <c r="AA587" s="135" t="s">
        <v>209</v>
      </c>
      <c r="AB587" s="148"/>
      <c r="AC587" s="169"/>
      <c r="AD587" s="135" t="s">
        <v>91</v>
      </c>
      <c r="AE587" s="135"/>
      <c r="AF587" s="135"/>
      <c r="AG587" s="135"/>
      <c r="AH587" s="135"/>
      <c r="AI587" s="135" t="s">
        <v>544</v>
      </c>
      <c r="AJ587" s="135" t="s">
        <v>545</v>
      </c>
      <c r="AK587" s="135" t="s">
        <v>546</v>
      </c>
      <c r="AL587" s="169" t="s">
        <v>2600</v>
      </c>
      <c r="AM587" s="148">
        <v>970825050</v>
      </c>
      <c r="AN587" s="135" t="s">
        <v>76</v>
      </c>
      <c r="AO587" s="150" t="s">
        <v>144</v>
      </c>
      <c r="AP587" s="135" t="s">
        <v>2601</v>
      </c>
      <c r="AQ587" s="143" t="s">
        <v>3413</v>
      </c>
      <c r="AR587" s="143">
        <v>2000</v>
      </c>
      <c r="AS587" s="143" t="s">
        <v>3413</v>
      </c>
      <c r="AT587" s="135" t="s">
        <v>3446</v>
      </c>
      <c r="AU587" s="135" t="s">
        <v>271</v>
      </c>
      <c r="AV587" s="135" t="s">
        <v>2602</v>
      </c>
      <c r="AW587" s="143"/>
      <c r="AX587" s="143"/>
      <c r="AY587" s="143"/>
      <c r="AZ587" s="143"/>
      <c r="BA587" s="135" t="s">
        <v>101</v>
      </c>
      <c r="BB587" s="135"/>
      <c r="BC587" s="151">
        <f>(2080+3068+2940)/1.055</f>
        <v>7666.350710900474</v>
      </c>
      <c r="BD587" s="151"/>
      <c r="BE587" s="151">
        <f>(99)/1.055</f>
        <v>93.838862559241718</v>
      </c>
      <c r="BF587" s="151">
        <f>BC587+BE587</f>
        <v>7760.1895734597156</v>
      </c>
      <c r="BG587" s="151">
        <f t="shared" si="46"/>
        <v>426.81042654028437</v>
      </c>
      <c r="BH587" s="151">
        <f t="shared" si="47"/>
        <v>8187</v>
      </c>
      <c r="BI587" s="151">
        <v>4959.68</v>
      </c>
      <c r="BJ587" s="135" t="s">
        <v>144</v>
      </c>
      <c r="BK587" s="135"/>
      <c r="BL587" s="135"/>
      <c r="BM587" s="144" t="s">
        <v>3592</v>
      </c>
      <c r="BN587" s="143">
        <v>2023</v>
      </c>
      <c r="BO587" s="135" t="s">
        <v>143</v>
      </c>
      <c r="BP587" s="144">
        <v>2023</v>
      </c>
      <c r="BQ587" s="203" t="s">
        <v>144</v>
      </c>
    </row>
    <row r="588" spans="1:69" ht="41.1" customHeight="1">
      <c r="A588" s="218" t="s">
        <v>1705</v>
      </c>
      <c r="B588" s="218" t="s">
        <v>2603</v>
      </c>
      <c r="C588" s="143">
        <f t="shared" ca="1" si="44"/>
        <v>600</v>
      </c>
      <c r="D588" s="135">
        <v>44979</v>
      </c>
      <c r="E588" s="135">
        <v>44988</v>
      </c>
      <c r="F588" s="135" t="s">
        <v>76</v>
      </c>
      <c r="G588" s="135" t="s">
        <v>76</v>
      </c>
      <c r="H588" s="135">
        <v>44993</v>
      </c>
      <c r="I588" s="135">
        <v>44993</v>
      </c>
      <c r="J588" s="135">
        <v>44995</v>
      </c>
      <c r="K588" s="135">
        <v>45008</v>
      </c>
      <c r="L588" s="135">
        <v>45005</v>
      </c>
      <c r="M588" s="135" t="s">
        <v>76</v>
      </c>
      <c r="N588" s="135">
        <v>45036</v>
      </c>
      <c r="O588" s="135">
        <v>45036</v>
      </c>
      <c r="P588" s="135">
        <v>45037</v>
      </c>
      <c r="Q588" s="135"/>
      <c r="R588" s="135"/>
      <c r="S588" s="135"/>
      <c r="T588" s="135"/>
      <c r="U588" s="144">
        <v>2</v>
      </c>
      <c r="V588" s="143">
        <v>78401</v>
      </c>
      <c r="W588" s="143" t="str">
        <f ca="1">IF(H588="",IF(D588="","",IF(U588+V588&lt;15,"Données Nb pers ou RFR manquantes",IF(COUNTA(INDIRECT("TabRFR["&amp;YEAR(D588)&amp;"]"))&lt;&gt;COUNTA(TabRFR[Recherche RFR]),"Data RFR manquantes", IF(V588&lt;=INDEX(TabRFR[[2023]:[2025]],MATCH(BD!U588&amp;"-Très modestes",TabRFR[Recherche RFR],0),MATCH(TEXT(YEAR(BD!D588),"Standard"),TabRFR[[#Headers],[2023]:[2025]],0)),"Très Modeste",IF(V588&lt;=INDEX(TabRFR[[2023]:[2025]],MATCH(BD!U588&amp;"-modestes",TabRFR[Recherche RFR],0),MATCH(TEXT(YEAR(BD!D588),"Standard"),TabRFR[[#Headers],[2023]:[2025]],0)),"Modeste",IF(V588&lt;=INDEX(TabRFR[[2023]:[2025]],MATCH(BD!U588&amp;"-Intermédiaire",TabRFR[Recherche RFR],0),MATCH(TEXT(YEAR(BD!D588),"Standard"),TabRFR[[#Headers],[2023]:[2025]],0)),"Intermédiaire","Supérieur")))))),IF(D588="","",IF(U588+V588&lt;15,"Données Nb pers ou RFR manquantes",IF(COUNTA(INDIRECT("TabRFR["&amp;YEAR(H588)&amp;"]"))&lt;&gt;COUNTA(TabRFR[Recherche RFR]),"Data RFR manquantes", IF(V588&lt;=INDEX(TabRFR[[2023]:[2025]],MATCH(BD!U588&amp;"-Très modestes",TabRFR[Recherche RFR],0),MATCH(TEXT(YEAR(BD!H588),"Standard"),TabRFR[[#Headers],[2023]:[2025]],0)),"Très Modeste",IF(V588&lt;=INDEX(TabRFR[[2023]:[2025]],MATCH(BD!U588&amp;"-modestes",TabRFR[Recherche RFR],0),MATCH(TEXT(YEAR(BD!H588),"Standard"),TabRFR[[#Headers],[2023]:[2025]],0)),"Modeste",IF(V588&lt;=INDEX(TabRFR[[2023]:[2025]],MATCH(BD!U588&amp;"-Intermédiaire",TabRFR[Recherche RFR],0),MATCH(TEXT(YEAR(BD!H588),"Standard"),TabRFR[[#Headers],[2023]:[2025]],0)),"Intermédiaire","Supérieur")))))))</f>
        <v>Supérieur</v>
      </c>
      <c r="X588" s="144"/>
      <c r="Y588" s="135" t="s">
        <v>2604</v>
      </c>
      <c r="Z588" s="144">
        <v>38500</v>
      </c>
      <c r="AA588" s="135" t="s">
        <v>219</v>
      </c>
      <c r="AB588" s="148"/>
      <c r="AC588" s="169"/>
      <c r="AD588" s="135" t="s">
        <v>91</v>
      </c>
      <c r="AE588" s="135"/>
      <c r="AF588" s="135"/>
      <c r="AG588" s="135"/>
      <c r="AH588" s="135"/>
      <c r="AI588" s="135" t="str">
        <f t="shared" ref="AI588:AP588" si="49">AI575</f>
        <v>TECHNI NATURE</v>
      </c>
      <c r="AJ588" s="135" t="s">
        <v>108</v>
      </c>
      <c r="AK588" s="135" t="str">
        <f t="shared" si="49"/>
        <v>PIERRE Emmanuel</v>
      </c>
      <c r="AL588" s="169" t="str">
        <f t="shared" si="49"/>
        <v>voiron@techni-nature.com</v>
      </c>
      <c r="AM588" s="148" t="str">
        <f t="shared" si="49"/>
        <v>09 72 17 98 56</v>
      </c>
      <c r="AN588" s="135" t="str">
        <f t="shared" si="49"/>
        <v>-</v>
      </c>
      <c r="AO588" s="150" t="str">
        <f t="shared" si="49"/>
        <v>oui</v>
      </c>
      <c r="AP588" s="135">
        <f t="shared" si="49"/>
        <v>45163</v>
      </c>
      <c r="AQ588" s="135" t="s">
        <v>3496</v>
      </c>
      <c r="AR588" s="143">
        <v>2000</v>
      </c>
      <c r="AS588" s="143" t="s">
        <v>3413</v>
      </c>
      <c r="AT588" s="135" t="s">
        <v>3446</v>
      </c>
      <c r="AU588" s="135" t="s">
        <v>459</v>
      </c>
      <c r="AV588" s="135" t="s">
        <v>2605</v>
      </c>
      <c r="AW588" s="143"/>
      <c r="AX588" s="143"/>
      <c r="AY588" s="143"/>
      <c r="AZ588" s="143"/>
      <c r="BA588" s="135" t="s">
        <v>101</v>
      </c>
      <c r="BB588" s="135"/>
      <c r="BC588" s="151">
        <f>6489.33+63.83+595.23+404+369.3+716.1+185</f>
        <v>8822.7899999999991</v>
      </c>
      <c r="BD588" s="151"/>
      <c r="BE588" s="151">
        <v>790</v>
      </c>
      <c r="BF588" s="151">
        <f>BC588+BE588-714.83-150</f>
        <v>8747.9599999999991</v>
      </c>
      <c r="BG588" s="151">
        <f t="shared" si="46"/>
        <v>481.13779999999997</v>
      </c>
      <c r="BH588" s="151">
        <f t="shared" si="47"/>
        <v>9229.0977999999996</v>
      </c>
      <c r="BI588" s="151">
        <v>9229.1</v>
      </c>
      <c r="BJ588" s="135" t="s">
        <v>103</v>
      </c>
      <c r="BK588" s="135"/>
      <c r="BL588" s="135"/>
      <c r="BM588" s="144" t="s">
        <v>3592</v>
      </c>
      <c r="BN588" s="143">
        <v>2023</v>
      </c>
      <c r="BO588" s="135" t="s">
        <v>143</v>
      </c>
      <c r="BP588" s="144">
        <v>2023</v>
      </c>
      <c r="BQ588" s="203" t="s">
        <v>3274</v>
      </c>
    </row>
    <row r="589" spans="1:69" ht="41.1" customHeight="1">
      <c r="A589" s="218" t="s">
        <v>1705</v>
      </c>
      <c r="B589" s="218" t="s">
        <v>2606</v>
      </c>
      <c r="C589" s="143">
        <f t="shared" ca="1" si="44"/>
        <v>600</v>
      </c>
      <c r="D589" s="135">
        <v>44980</v>
      </c>
      <c r="E589" s="135">
        <v>44988</v>
      </c>
      <c r="F589" s="135" t="s">
        <v>76</v>
      </c>
      <c r="G589" s="135" t="s">
        <v>76</v>
      </c>
      <c r="H589" s="135">
        <v>44993</v>
      </c>
      <c r="I589" s="135">
        <v>44993</v>
      </c>
      <c r="J589" s="135">
        <v>44995</v>
      </c>
      <c r="K589" s="135">
        <v>45089</v>
      </c>
      <c r="L589" s="135">
        <v>45077</v>
      </c>
      <c r="M589" s="135" t="s">
        <v>76</v>
      </c>
      <c r="N589" s="135">
        <v>45099</v>
      </c>
      <c r="O589" s="135">
        <v>45099</v>
      </c>
      <c r="P589" s="135">
        <v>45103</v>
      </c>
      <c r="Q589" s="135"/>
      <c r="R589" s="135"/>
      <c r="S589" s="135"/>
      <c r="T589" s="135"/>
      <c r="U589" s="144">
        <v>1</v>
      </c>
      <c r="V589" s="143">
        <v>25662</v>
      </c>
      <c r="W589" s="143" t="str">
        <f ca="1">IF(H589="",IF(D589="","",IF(U589+V589&lt;15,"Données Nb pers ou RFR manquantes",IF(COUNTA(INDIRECT("TabRFR["&amp;YEAR(D589)&amp;"]"))&lt;&gt;COUNTA(TabRFR[Recherche RFR]),"Data RFR manquantes", IF(V589&lt;=INDEX(TabRFR[[2023]:[2025]],MATCH(BD!U589&amp;"-Très modestes",TabRFR[Recherche RFR],0),MATCH(TEXT(YEAR(BD!D589),"Standard"),TabRFR[[#Headers],[2023]:[2025]],0)),"Très Modeste",IF(V589&lt;=INDEX(TabRFR[[2023]:[2025]],MATCH(BD!U589&amp;"-modestes",TabRFR[Recherche RFR],0),MATCH(TEXT(YEAR(BD!D589),"Standard"),TabRFR[[#Headers],[2023]:[2025]],0)),"Modeste",IF(V589&lt;=INDEX(TabRFR[[2023]:[2025]],MATCH(BD!U589&amp;"-Intermédiaire",TabRFR[Recherche RFR],0),MATCH(TEXT(YEAR(BD!D589),"Standard"),TabRFR[[#Headers],[2023]:[2025]],0)),"Intermédiaire","Supérieur")))))),IF(D589="","",IF(U589+V589&lt;15,"Données Nb pers ou RFR manquantes",IF(COUNTA(INDIRECT("TabRFR["&amp;YEAR(H589)&amp;"]"))&lt;&gt;COUNTA(TabRFR[Recherche RFR]),"Data RFR manquantes", IF(V589&lt;=INDEX(TabRFR[[2023]:[2025]],MATCH(BD!U589&amp;"-Très modestes",TabRFR[Recherche RFR],0),MATCH(TEXT(YEAR(BD!H589),"Standard"),TabRFR[[#Headers],[2023]:[2025]],0)),"Très Modeste",IF(V589&lt;=INDEX(TabRFR[[2023]:[2025]],MATCH(BD!U589&amp;"-modestes",TabRFR[Recherche RFR],0),MATCH(TEXT(YEAR(BD!H589),"Standard"),TabRFR[[#Headers],[2023]:[2025]],0)),"Modeste",IF(V589&lt;=INDEX(TabRFR[[2023]:[2025]],MATCH(BD!U589&amp;"-Intermédiaire",TabRFR[Recherche RFR],0),MATCH(TEXT(YEAR(BD!H589),"Standard"),TabRFR[[#Headers],[2023]:[2025]],0)),"Intermédiaire","Supérieur")))))))</f>
        <v>Intermédiaire</v>
      </c>
      <c r="X589" s="144"/>
      <c r="Y589" s="135" t="s">
        <v>2607</v>
      </c>
      <c r="Z589" s="144">
        <v>38850</v>
      </c>
      <c r="AA589" s="135" t="s">
        <v>193</v>
      </c>
      <c r="AB589" s="148"/>
      <c r="AC589" s="169"/>
      <c r="AD589" s="135" t="s">
        <v>91</v>
      </c>
      <c r="AE589" s="135"/>
      <c r="AF589" s="135"/>
      <c r="AG589" s="135"/>
      <c r="AH589" s="135"/>
      <c r="AI589" s="135" t="str">
        <f t="shared" ref="AI589:AP589" si="50">AI588</f>
        <v>TECHNI NATURE</v>
      </c>
      <c r="AJ589" s="135" t="s">
        <v>108</v>
      </c>
      <c r="AK589" s="135" t="str">
        <f t="shared" si="50"/>
        <v>PIERRE Emmanuel</v>
      </c>
      <c r="AL589" s="192" t="str">
        <f t="shared" si="50"/>
        <v>voiron@techni-nature.com</v>
      </c>
      <c r="AM589" s="148" t="str">
        <f t="shared" si="50"/>
        <v>09 72 17 98 56</v>
      </c>
      <c r="AN589" s="135" t="str">
        <f t="shared" si="50"/>
        <v>-</v>
      </c>
      <c r="AO589" s="193" t="str">
        <f t="shared" si="50"/>
        <v>oui</v>
      </c>
      <c r="AP589" s="135">
        <f t="shared" si="50"/>
        <v>45163</v>
      </c>
      <c r="AQ589" s="135" t="s">
        <v>3496</v>
      </c>
      <c r="AR589" s="143">
        <v>1986</v>
      </c>
      <c r="AS589" s="143" t="s">
        <v>3413</v>
      </c>
      <c r="AT589" s="135" t="s">
        <v>3446</v>
      </c>
      <c r="AU589" s="135" t="s">
        <v>2608</v>
      </c>
      <c r="AV589" s="135" t="s">
        <v>2609</v>
      </c>
      <c r="AW589" s="143"/>
      <c r="AX589" s="143"/>
      <c r="AY589" s="143"/>
      <c r="AZ589" s="143"/>
      <c r="BA589" s="135" t="s">
        <v>101</v>
      </c>
      <c r="BB589" s="135"/>
      <c r="BC589" s="151">
        <f>60+320+2758.81+404+369.3+470.4</f>
        <v>4382.51</v>
      </c>
      <c r="BD589" s="151"/>
      <c r="BE589" s="151">
        <f>610+2780</f>
        <v>3390</v>
      </c>
      <c r="BF589" s="151">
        <f>BC589+BE589</f>
        <v>7772.51</v>
      </c>
      <c r="BG589" s="151">
        <f t="shared" si="46"/>
        <v>427.48804999999999</v>
      </c>
      <c r="BH589" s="151">
        <f t="shared" si="47"/>
        <v>8199.9980500000001</v>
      </c>
      <c r="BI589" s="151">
        <v>8200</v>
      </c>
      <c r="BJ589" s="135" t="s">
        <v>103</v>
      </c>
      <c r="BK589" s="135"/>
      <c r="BL589" s="135"/>
      <c r="BM589" s="144" t="s">
        <v>3592</v>
      </c>
      <c r="BN589" s="143">
        <v>2023</v>
      </c>
      <c r="BO589" s="135" t="s">
        <v>143</v>
      </c>
      <c r="BP589" s="144">
        <v>2023</v>
      </c>
      <c r="BQ589" s="203" t="s">
        <v>3274</v>
      </c>
    </row>
    <row r="590" spans="1:69" ht="41.1" customHeight="1">
      <c r="A590" s="218" t="s">
        <v>1705</v>
      </c>
      <c r="B590" s="218" t="s">
        <v>2610</v>
      </c>
      <c r="C590" s="143">
        <f t="shared" ca="1" si="44"/>
        <v>600</v>
      </c>
      <c r="D590" s="135">
        <v>44980</v>
      </c>
      <c r="E590" s="135">
        <v>44988</v>
      </c>
      <c r="F590" s="135">
        <v>44993</v>
      </c>
      <c r="G590" s="135" t="s">
        <v>2611</v>
      </c>
      <c r="H590" s="135">
        <v>44999</v>
      </c>
      <c r="I590" s="135">
        <v>45000</v>
      </c>
      <c r="J590" s="135">
        <v>45006</v>
      </c>
      <c r="K590" s="135">
        <v>45140</v>
      </c>
      <c r="L590" s="135">
        <v>45135</v>
      </c>
      <c r="M590" s="135" t="s">
        <v>76</v>
      </c>
      <c r="N590" s="135">
        <v>45145</v>
      </c>
      <c r="O590" s="135">
        <v>45145</v>
      </c>
      <c r="P590" s="135">
        <v>45146</v>
      </c>
      <c r="Q590" s="135"/>
      <c r="R590" s="135"/>
      <c r="S590" s="135"/>
      <c r="T590" s="135"/>
      <c r="U590" s="144">
        <v>3</v>
      </c>
      <c r="V590" s="143">
        <v>319730</v>
      </c>
      <c r="W590" s="143" t="str">
        <f ca="1">IF(H590="",IF(D590="","",IF(U590+V590&lt;15,"Données Nb pers ou RFR manquantes",IF(COUNTA(INDIRECT("TabRFR["&amp;YEAR(D590)&amp;"]"))&lt;&gt;COUNTA(TabRFR[Recherche RFR]),"Data RFR manquantes", IF(V590&lt;=INDEX(TabRFR[[2023]:[2025]],MATCH(BD!U590&amp;"-Très modestes",TabRFR[Recherche RFR],0),MATCH(TEXT(YEAR(BD!D590),"Standard"),TabRFR[[#Headers],[2023]:[2025]],0)),"Très Modeste",IF(V590&lt;=INDEX(TabRFR[[2023]:[2025]],MATCH(BD!U590&amp;"-modestes",TabRFR[Recherche RFR],0),MATCH(TEXT(YEAR(BD!D590),"Standard"),TabRFR[[#Headers],[2023]:[2025]],0)),"Modeste",IF(V590&lt;=INDEX(TabRFR[[2023]:[2025]],MATCH(BD!U590&amp;"-Intermédiaire",TabRFR[Recherche RFR],0),MATCH(TEXT(YEAR(BD!D590),"Standard"),TabRFR[[#Headers],[2023]:[2025]],0)),"Intermédiaire","Supérieur")))))),IF(D590="","",IF(U590+V590&lt;15,"Données Nb pers ou RFR manquantes",IF(COUNTA(INDIRECT("TabRFR["&amp;YEAR(H590)&amp;"]"))&lt;&gt;COUNTA(TabRFR[Recherche RFR]),"Data RFR manquantes", IF(V590&lt;=INDEX(TabRFR[[2023]:[2025]],MATCH(BD!U590&amp;"-Très modestes",TabRFR[Recherche RFR],0),MATCH(TEXT(YEAR(BD!H590),"Standard"),TabRFR[[#Headers],[2023]:[2025]],0)),"Très Modeste",IF(V590&lt;=INDEX(TabRFR[[2023]:[2025]],MATCH(BD!U590&amp;"-modestes",TabRFR[Recherche RFR],0),MATCH(TEXT(YEAR(BD!H590),"Standard"),TabRFR[[#Headers],[2023]:[2025]],0)),"Modeste",IF(V590&lt;=INDEX(TabRFR[[2023]:[2025]],MATCH(BD!U590&amp;"-Intermédiaire",TabRFR[Recherche RFR],0),MATCH(TEXT(YEAR(BD!H590),"Standard"),TabRFR[[#Headers],[2023]:[2025]],0)),"Intermédiaire","Supérieur")))))))</f>
        <v>Supérieur</v>
      </c>
      <c r="X590" s="144"/>
      <c r="Y590" s="135" t="s">
        <v>2612</v>
      </c>
      <c r="Z590" s="144">
        <v>38210</v>
      </c>
      <c r="AA590" s="135" t="s">
        <v>202</v>
      </c>
      <c r="AB590" s="148"/>
      <c r="AC590" s="169"/>
      <c r="AD590" s="135" t="s">
        <v>91</v>
      </c>
      <c r="AE590" s="135"/>
      <c r="AF590" s="135"/>
      <c r="AG590" s="135"/>
      <c r="AH590" s="135"/>
      <c r="AI590" s="135" t="str">
        <f>AI564</f>
        <v>JACQU'CHEMINEES</v>
      </c>
      <c r="AJ590" s="135" t="s">
        <v>119</v>
      </c>
      <c r="AK590" s="135" t="str">
        <f>AK564</f>
        <v>Mr FAURE</v>
      </c>
      <c r="AL590" s="169" t="str">
        <f>AL564</f>
        <v>jacques.faure24@wanadoo.fr</v>
      </c>
      <c r="AM590" s="148" t="str">
        <f>AM564</f>
        <v>04 76 35 56 05</v>
      </c>
      <c r="AN590" s="135" t="s">
        <v>76</v>
      </c>
      <c r="AO590" s="150" t="str">
        <f>AO564</f>
        <v>oui</v>
      </c>
      <c r="AP590" s="135">
        <f>AP564</f>
        <v>45248</v>
      </c>
      <c r="AQ590" s="135" t="s">
        <v>3449</v>
      </c>
      <c r="AR590" s="143">
        <v>1989</v>
      </c>
      <c r="AS590" s="135" t="s">
        <v>3496</v>
      </c>
      <c r="AT590" s="135" t="s">
        <v>3446</v>
      </c>
      <c r="AU590" s="135" t="s">
        <v>319</v>
      </c>
      <c r="AV590" s="135" t="s">
        <v>2613</v>
      </c>
      <c r="AW590" s="143"/>
      <c r="AX590" s="143"/>
      <c r="AY590" s="143"/>
      <c r="AZ590" s="143"/>
      <c r="BA590" s="135" t="s">
        <v>101</v>
      </c>
      <c r="BB590" s="135"/>
      <c r="BC590" s="151">
        <f>817.37+316.52+248.82+54.94+91.69+501.6+78.1+4000+216.66+368.98+189.1+176.05+176.05+71.19+365.92</f>
        <v>7672.9900000000007</v>
      </c>
      <c r="BD590" s="151"/>
      <c r="BE590" s="151">
        <v>2400</v>
      </c>
      <c r="BF590" s="151">
        <f>BC590+BE590</f>
        <v>10072.990000000002</v>
      </c>
      <c r="BG590" s="151">
        <f t="shared" si="46"/>
        <v>554.01445000000012</v>
      </c>
      <c r="BH590" s="151">
        <f t="shared" si="47"/>
        <v>10627.004450000002</v>
      </c>
      <c r="BI590" s="151">
        <v>10551.9</v>
      </c>
      <c r="BJ590" s="135" t="s">
        <v>103</v>
      </c>
      <c r="BK590" s="135"/>
      <c r="BL590" s="135"/>
      <c r="BM590" s="144" t="s">
        <v>3592</v>
      </c>
      <c r="BN590" s="143">
        <v>2023</v>
      </c>
      <c r="BO590" s="135" t="s">
        <v>143</v>
      </c>
      <c r="BP590" s="144">
        <v>2023</v>
      </c>
      <c r="BQ590" s="203" t="s">
        <v>3274</v>
      </c>
    </row>
    <row r="591" spans="1:69" ht="41.1" customHeight="1">
      <c r="A591" s="218" t="s">
        <v>1705</v>
      </c>
      <c r="B591" s="218" t="s">
        <v>2614</v>
      </c>
      <c r="C591" s="143">
        <f t="shared" ca="1" si="44"/>
        <v>1000</v>
      </c>
      <c r="D591" s="135">
        <v>44986</v>
      </c>
      <c r="E591" s="135">
        <v>44992</v>
      </c>
      <c r="F591" s="135" t="s">
        <v>76</v>
      </c>
      <c r="G591" s="135" t="s">
        <v>76</v>
      </c>
      <c r="H591" s="135">
        <v>44999</v>
      </c>
      <c r="I591" s="135">
        <v>45000</v>
      </c>
      <c r="J591" s="135">
        <v>45006</v>
      </c>
      <c r="K591" s="135">
        <v>45209</v>
      </c>
      <c r="L591" s="135">
        <v>45114</v>
      </c>
      <c r="M591" s="135" t="s">
        <v>76</v>
      </c>
      <c r="N591" s="135">
        <v>45212</v>
      </c>
      <c r="O591" s="135">
        <v>45212</v>
      </c>
      <c r="P591" s="135">
        <v>45236</v>
      </c>
      <c r="Q591" s="135"/>
      <c r="R591" s="135"/>
      <c r="S591" s="135"/>
      <c r="T591" s="135"/>
      <c r="U591" s="144">
        <v>3</v>
      </c>
      <c r="V591" s="143">
        <v>28589</v>
      </c>
      <c r="W591" s="143" t="str">
        <f ca="1">IF(H591="",IF(D591="","",IF(U591+V591&lt;15,"Données Nb pers ou RFR manquantes",IF(COUNTA(INDIRECT("TabRFR["&amp;YEAR(D591)&amp;"]"))&lt;&gt;COUNTA(TabRFR[Recherche RFR]),"Data RFR manquantes", IF(V591&lt;=INDEX(TabRFR[[2023]:[2025]],MATCH(BD!U591&amp;"-Très modestes",TabRFR[Recherche RFR],0),MATCH(TEXT(YEAR(BD!D591),"Standard"),TabRFR[[#Headers],[2023]:[2025]],0)),"Très Modeste",IF(V591&lt;=INDEX(TabRFR[[2023]:[2025]],MATCH(BD!U591&amp;"-modestes",TabRFR[Recherche RFR],0),MATCH(TEXT(YEAR(BD!D591),"Standard"),TabRFR[[#Headers],[2023]:[2025]],0)),"Modeste",IF(V591&lt;=INDEX(TabRFR[[2023]:[2025]],MATCH(BD!U591&amp;"-Intermédiaire",TabRFR[Recherche RFR],0),MATCH(TEXT(YEAR(BD!D591),"Standard"),TabRFR[[#Headers],[2023]:[2025]],0)),"Intermédiaire","Supérieur")))))),IF(D591="","",IF(U591+V591&lt;15,"Données Nb pers ou RFR manquantes",IF(COUNTA(INDIRECT("TabRFR["&amp;YEAR(H591)&amp;"]"))&lt;&gt;COUNTA(TabRFR[Recherche RFR]),"Data RFR manquantes", IF(V591&lt;=INDEX(TabRFR[[2023]:[2025]],MATCH(BD!U591&amp;"-Très modestes",TabRFR[Recherche RFR],0),MATCH(TEXT(YEAR(BD!H591),"Standard"),TabRFR[[#Headers],[2023]:[2025]],0)),"Très Modeste",IF(V591&lt;=INDEX(TabRFR[[2023]:[2025]],MATCH(BD!U591&amp;"-modestes",TabRFR[Recherche RFR],0),MATCH(TEXT(YEAR(BD!H591),"Standard"),TabRFR[[#Headers],[2023]:[2025]],0)),"Modeste",IF(V591&lt;=INDEX(TabRFR[[2023]:[2025]],MATCH(BD!U591&amp;"-Intermédiaire",TabRFR[Recherche RFR],0),MATCH(TEXT(YEAR(BD!H591),"Standard"),TabRFR[[#Headers],[2023]:[2025]],0)),"Intermédiaire","Supérieur")))))))</f>
        <v>Modeste</v>
      </c>
      <c r="X591" s="144"/>
      <c r="Y591" s="135" t="s">
        <v>2615</v>
      </c>
      <c r="Z591" s="144">
        <v>38340</v>
      </c>
      <c r="AA591" s="135" t="s">
        <v>266</v>
      </c>
      <c r="AB591" s="148"/>
      <c r="AC591" s="169"/>
      <c r="AD591" s="135" t="s">
        <v>91</v>
      </c>
      <c r="AE591" s="135"/>
      <c r="AF591" s="135"/>
      <c r="AG591" s="135"/>
      <c r="AH591" s="135"/>
      <c r="AI591" s="135" t="s">
        <v>2616</v>
      </c>
      <c r="AJ591" s="135" t="s">
        <v>720</v>
      </c>
      <c r="AK591" s="135" t="s">
        <v>2617</v>
      </c>
      <c r="AL591" s="150" t="s">
        <v>76</v>
      </c>
      <c r="AM591" s="148">
        <v>476333850</v>
      </c>
      <c r="AN591" s="135" t="s">
        <v>76</v>
      </c>
      <c r="AO591" s="150" t="str">
        <f>AO565</f>
        <v>oui</v>
      </c>
      <c r="AP591" s="135">
        <v>45107</v>
      </c>
      <c r="AQ591" s="135" t="s">
        <v>3496</v>
      </c>
      <c r="AR591" s="143">
        <v>1998</v>
      </c>
      <c r="AS591" s="143" t="s">
        <v>3413</v>
      </c>
      <c r="AT591" s="135" t="s">
        <v>3446</v>
      </c>
      <c r="AU591" s="135" t="s">
        <v>532</v>
      </c>
      <c r="AV591" s="135" t="s">
        <v>2456</v>
      </c>
      <c r="AW591" s="143"/>
      <c r="AX591" s="143"/>
      <c r="AY591" s="143"/>
      <c r="AZ591" s="143"/>
      <c r="BA591" s="135" t="s">
        <v>101</v>
      </c>
      <c r="BB591" s="135"/>
      <c r="BC591" s="151">
        <f>3600+270+600+135+138+75+138+558</f>
        <v>5514</v>
      </c>
      <c r="BD591" s="151"/>
      <c r="BE591" s="151">
        <f>135+654</f>
        <v>789</v>
      </c>
      <c r="BF591" s="151">
        <f>BC591+BE591-900</f>
        <v>5403</v>
      </c>
      <c r="BG591" s="151">
        <f t="shared" si="46"/>
        <v>297.16500000000002</v>
      </c>
      <c r="BH591" s="151">
        <f t="shared" si="47"/>
        <v>5700.165</v>
      </c>
      <c r="BI591" s="151">
        <v>4000</v>
      </c>
      <c r="BJ591" s="135" t="s">
        <v>103</v>
      </c>
      <c r="BK591" s="135"/>
      <c r="BL591" s="135"/>
      <c r="BM591" s="144" t="s">
        <v>3592</v>
      </c>
      <c r="BN591" s="143">
        <v>2023</v>
      </c>
      <c r="BO591" s="135" t="s">
        <v>155</v>
      </c>
      <c r="BP591" s="144">
        <v>2023</v>
      </c>
      <c r="BQ591" s="203" t="s">
        <v>3274</v>
      </c>
    </row>
    <row r="592" spans="1:69" ht="41.1" customHeight="1">
      <c r="A592" s="218" t="s">
        <v>1705</v>
      </c>
      <c r="B592" s="218" t="s">
        <v>2618</v>
      </c>
      <c r="C592" s="143">
        <f t="shared" ca="1" si="44"/>
        <v>1000</v>
      </c>
      <c r="D592" s="135">
        <v>44991</v>
      </c>
      <c r="E592" s="135">
        <v>44999</v>
      </c>
      <c r="F592" s="135">
        <v>44999</v>
      </c>
      <c r="G592" s="135" t="s">
        <v>2619</v>
      </c>
      <c r="H592" s="135">
        <v>44999</v>
      </c>
      <c r="I592" s="135">
        <v>45000</v>
      </c>
      <c r="J592" s="135">
        <v>45006</v>
      </c>
      <c r="K592" s="135">
        <v>45226</v>
      </c>
      <c r="L592" s="135">
        <v>45205</v>
      </c>
      <c r="M592" s="135" t="s">
        <v>76</v>
      </c>
      <c r="N592" s="135">
        <v>45232</v>
      </c>
      <c r="O592" s="135">
        <v>45232</v>
      </c>
      <c r="P592" s="135">
        <v>45258</v>
      </c>
      <c r="Q592" s="135"/>
      <c r="R592" s="135"/>
      <c r="S592" s="135"/>
      <c r="T592" s="135"/>
      <c r="U592" s="144">
        <v>2</v>
      </c>
      <c r="V592" s="143">
        <v>21432</v>
      </c>
      <c r="W592" s="143" t="str">
        <f ca="1">IF(H592="",IF(D592="","",IF(U592+V592&lt;15,"Données Nb pers ou RFR manquantes",IF(COUNTA(INDIRECT("TabRFR["&amp;YEAR(D592)&amp;"]"))&lt;&gt;COUNTA(TabRFR[Recherche RFR]),"Data RFR manquantes", IF(V592&lt;=INDEX(TabRFR[[2023]:[2025]],MATCH(BD!U592&amp;"-Très modestes",TabRFR[Recherche RFR],0),MATCH(TEXT(YEAR(BD!D592),"Standard"),TabRFR[[#Headers],[2023]:[2025]],0)),"Très Modeste",IF(V592&lt;=INDEX(TabRFR[[2023]:[2025]],MATCH(BD!U592&amp;"-modestes",TabRFR[Recherche RFR],0),MATCH(TEXT(YEAR(BD!D592),"Standard"),TabRFR[[#Headers],[2023]:[2025]],0)),"Modeste",IF(V592&lt;=INDEX(TabRFR[[2023]:[2025]],MATCH(BD!U592&amp;"-Intermédiaire",TabRFR[Recherche RFR],0),MATCH(TEXT(YEAR(BD!D592),"Standard"),TabRFR[[#Headers],[2023]:[2025]],0)),"Intermédiaire","Supérieur")))))),IF(D592="","",IF(U592+V592&lt;15,"Données Nb pers ou RFR manquantes",IF(COUNTA(INDIRECT("TabRFR["&amp;YEAR(H592)&amp;"]"))&lt;&gt;COUNTA(TabRFR[Recherche RFR]),"Data RFR manquantes", IF(V592&lt;=INDEX(TabRFR[[2023]:[2025]],MATCH(BD!U592&amp;"-Très modestes",TabRFR[Recherche RFR],0),MATCH(TEXT(YEAR(BD!H592),"Standard"),TabRFR[[#Headers],[2023]:[2025]],0)),"Très Modeste",IF(V592&lt;=INDEX(TabRFR[[2023]:[2025]],MATCH(BD!U592&amp;"-modestes",TabRFR[Recherche RFR],0),MATCH(TEXT(YEAR(BD!H592),"Standard"),TabRFR[[#Headers],[2023]:[2025]],0)),"Modeste",IF(V592&lt;=INDEX(TabRFR[[2023]:[2025]],MATCH(BD!U592&amp;"-Intermédiaire",TabRFR[Recherche RFR],0),MATCH(TEXT(YEAR(BD!H592),"Standard"),TabRFR[[#Headers],[2023]:[2025]],0)),"Intermédiaire","Supérieur")))))))</f>
        <v>Très Modeste</v>
      </c>
      <c r="X592" s="144"/>
      <c r="Y592" s="135" t="s">
        <v>2237</v>
      </c>
      <c r="Z592" s="144">
        <v>38960</v>
      </c>
      <c r="AA592" s="135" t="s">
        <v>360</v>
      </c>
      <c r="AB592" s="148"/>
      <c r="AC592" s="169"/>
      <c r="AD592" s="135" t="s">
        <v>91</v>
      </c>
      <c r="AE592" s="135"/>
      <c r="AF592" s="135"/>
      <c r="AG592" s="135"/>
      <c r="AH592" s="135"/>
      <c r="AI592" s="135" t="s">
        <v>2703</v>
      </c>
      <c r="AJ592" s="135" t="s">
        <v>266</v>
      </c>
      <c r="AK592" s="135" t="str">
        <f t="shared" ref="AK592:AP592" si="51">AK560</f>
        <v>ALO Lorenzo</v>
      </c>
      <c r="AL592" s="169" t="str">
        <f t="shared" si="51"/>
        <v>cheminees.jay@orange.fr</v>
      </c>
      <c r="AM592" s="148" t="str">
        <f t="shared" si="51"/>
        <v>04 76 50 05 50</v>
      </c>
      <c r="AN592" s="135" t="str">
        <f t="shared" si="51"/>
        <v>-</v>
      </c>
      <c r="AO592" s="150" t="str">
        <f t="shared" si="51"/>
        <v>oui</v>
      </c>
      <c r="AP592" s="135">
        <f t="shared" si="51"/>
        <v>45137</v>
      </c>
      <c r="AQ592" s="143" t="s">
        <v>3413</v>
      </c>
      <c r="AR592" s="143">
        <v>1983</v>
      </c>
      <c r="AS592" s="143" t="s">
        <v>3413</v>
      </c>
      <c r="AT592" s="135" t="s">
        <v>3446</v>
      </c>
      <c r="AU592" s="135" t="s">
        <v>319</v>
      </c>
      <c r="AV592" s="135" t="s">
        <v>2620</v>
      </c>
      <c r="AW592" s="143"/>
      <c r="AX592" s="143"/>
      <c r="AY592" s="143"/>
      <c r="AZ592" s="143"/>
      <c r="BA592" s="135" t="s">
        <v>101</v>
      </c>
      <c r="BB592" s="135"/>
      <c r="BC592" s="151">
        <f>78.6+442.1+71.9+78.91+2662.5+118.55+52.18</f>
        <v>3504.7400000000002</v>
      </c>
      <c r="BD592" s="151"/>
      <c r="BE592" s="151">
        <v>900</v>
      </c>
      <c r="BF592" s="151">
        <f>BC592+BE592</f>
        <v>4404.74</v>
      </c>
      <c r="BG592" s="151">
        <f t="shared" si="46"/>
        <v>242.26069999999999</v>
      </c>
      <c r="BH592" s="151">
        <f t="shared" si="47"/>
        <v>4647.0006999999996</v>
      </c>
      <c r="BI592" s="151">
        <v>4647</v>
      </c>
      <c r="BJ592" s="135" t="s">
        <v>1391</v>
      </c>
      <c r="BK592" s="135"/>
      <c r="BL592" s="135"/>
      <c r="BM592" s="144" t="s">
        <v>3592</v>
      </c>
      <c r="BN592" s="143">
        <v>2023</v>
      </c>
      <c r="BO592" s="135" t="s">
        <v>155</v>
      </c>
      <c r="BP592" s="144">
        <v>2023</v>
      </c>
      <c r="BQ592" s="203" t="s">
        <v>3274</v>
      </c>
    </row>
    <row r="593" spans="1:69" ht="41.1" customHeight="1">
      <c r="A593" s="145" t="s">
        <v>1705</v>
      </c>
      <c r="B593" s="145" t="s">
        <v>2621</v>
      </c>
      <c r="C593" s="143">
        <v>600</v>
      </c>
      <c r="D593" s="135">
        <v>44992</v>
      </c>
      <c r="E593" s="135">
        <v>44999</v>
      </c>
      <c r="F593" s="135" t="s">
        <v>76</v>
      </c>
      <c r="G593" s="135" t="s">
        <v>2622</v>
      </c>
      <c r="H593" s="135"/>
      <c r="I593" s="135"/>
      <c r="J593" s="135"/>
      <c r="K593" s="135"/>
      <c r="L593" s="135"/>
      <c r="M593" s="135"/>
      <c r="N593" s="135"/>
      <c r="O593" s="135"/>
      <c r="P593" s="135"/>
      <c r="Q593" s="135">
        <v>45000</v>
      </c>
      <c r="R593" s="135" t="s">
        <v>2623</v>
      </c>
      <c r="S593" s="135"/>
      <c r="T593" s="135"/>
      <c r="U593" s="144">
        <v>4</v>
      </c>
      <c r="V593" s="143">
        <v>66921</v>
      </c>
      <c r="W593" s="143" t="str">
        <f ca="1">IF(H593="",IF(D593="","",IF(U593+V593&lt;15,"Données Nb pers ou RFR manquantes",IF(COUNTA(INDIRECT("TabRFR["&amp;YEAR(D593)&amp;"]"))&lt;&gt;COUNTA(TabRFR[Recherche RFR]),"Data RFR manquantes", IF(V593&lt;=INDEX(TabRFR[[2023]:[2025]],MATCH(BD!U593&amp;"-Très modestes",TabRFR[Recherche RFR],0),MATCH(TEXT(YEAR(BD!D593),"Standard"),TabRFR[[#Headers],[2023]:[2025]],0)),"Très Modeste",IF(V593&lt;=INDEX(TabRFR[[2023]:[2025]],MATCH(BD!U593&amp;"-modestes",TabRFR[Recherche RFR],0),MATCH(TEXT(YEAR(BD!D593),"Standard"),TabRFR[[#Headers],[2023]:[2025]],0)),"Modeste",IF(V593&lt;=INDEX(TabRFR[[2023]:[2025]],MATCH(BD!U593&amp;"-Intermédiaire",TabRFR[Recherche RFR],0),MATCH(TEXT(YEAR(BD!D593),"Standard"),TabRFR[[#Headers],[2023]:[2025]],0)),"Intermédiaire","Supérieur")))))),IF(D593="","",IF(U593+V593&lt;15,"Données Nb pers ou RFR manquantes",IF(COUNTA(INDIRECT("TabRFR["&amp;YEAR(H593)&amp;"]"))&lt;&gt;COUNTA(TabRFR[Recherche RFR]),"Data RFR manquantes", IF(V593&lt;=INDEX(TabRFR[[2023]:[2025]],MATCH(BD!U593&amp;"-Très modestes",TabRFR[Recherche RFR],0),MATCH(TEXT(YEAR(BD!H593),"Standard"),TabRFR[[#Headers],[2023]:[2025]],0)),"Très Modeste",IF(V593&lt;=INDEX(TabRFR[[2023]:[2025]],MATCH(BD!U593&amp;"-modestes",TabRFR[Recherche RFR],0),MATCH(TEXT(YEAR(BD!H593),"Standard"),TabRFR[[#Headers],[2023]:[2025]],0)),"Modeste",IF(V593&lt;=INDEX(TabRFR[[2023]:[2025]],MATCH(BD!U593&amp;"-Intermédiaire",TabRFR[Recherche RFR],0),MATCH(TEXT(YEAR(BD!H593),"Standard"),TabRFR[[#Headers],[2023]:[2025]],0)),"Intermédiaire","Supérieur")))))))</f>
        <v>Supérieur</v>
      </c>
      <c r="X593" s="144"/>
      <c r="Y593" s="135" t="s">
        <v>1196</v>
      </c>
      <c r="Z593" s="144">
        <v>38500</v>
      </c>
      <c r="AA593" s="135" t="s">
        <v>134</v>
      </c>
      <c r="AB593" s="148"/>
      <c r="AC593" s="169"/>
      <c r="AD593" s="135" t="s">
        <v>91</v>
      </c>
      <c r="AE593" s="135"/>
      <c r="AF593" s="135"/>
      <c r="AG593" s="135"/>
      <c r="AH593" s="135"/>
      <c r="AI593" s="135" t="s">
        <v>2703</v>
      </c>
      <c r="AJ593" s="135" t="s">
        <v>266</v>
      </c>
      <c r="AK593" s="135" t="str">
        <f t="shared" ref="AK593:AP593" si="52">AK592</f>
        <v>ALO Lorenzo</v>
      </c>
      <c r="AL593" s="192" t="str">
        <f t="shared" si="52"/>
        <v>cheminees.jay@orange.fr</v>
      </c>
      <c r="AM593" s="148" t="str">
        <f t="shared" si="52"/>
        <v>04 76 50 05 50</v>
      </c>
      <c r="AN593" s="135" t="str">
        <f t="shared" si="52"/>
        <v>-</v>
      </c>
      <c r="AO593" s="193" t="str">
        <f t="shared" si="52"/>
        <v>oui</v>
      </c>
      <c r="AP593" s="135">
        <f t="shared" si="52"/>
        <v>45137</v>
      </c>
      <c r="AQ593" s="143" t="s">
        <v>3413</v>
      </c>
      <c r="AR593" s="143">
        <v>2008</v>
      </c>
      <c r="AS593" s="143" t="s">
        <v>3413</v>
      </c>
      <c r="AT593" s="135" t="s">
        <v>3446</v>
      </c>
      <c r="AU593" s="135" t="s">
        <v>319</v>
      </c>
      <c r="AV593" s="135" t="s">
        <v>1093</v>
      </c>
      <c r="AW593" s="143"/>
      <c r="AX593" s="143"/>
      <c r="AY593" s="143"/>
      <c r="AZ593" s="143"/>
      <c r="BA593" s="135" t="s">
        <v>101</v>
      </c>
      <c r="BB593" s="135"/>
      <c r="BC593" s="151">
        <f>69.08+3375+237.1+42.75</f>
        <v>3723.93</v>
      </c>
      <c r="BD593" s="151"/>
      <c r="BE593" s="151">
        <v>550</v>
      </c>
      <c r="BF593" s="151">
        <f>BC593+BE593</f>
        <v>4273.93</v>
      </c>
      <c r="BG593" s="151">
        <f t="shared" si="46"/>
        <v>235.06615000000002</v>
      </c>
      <c r="BH593" s="151">
        <f t="shared" si="47"/>
        <v>4508.9961499999999</v>
      </c>
      <c r="BI593" s="135"/>
      <c r="BJ593" s="135"/>
      <c r="BK593" s="135"/>
      <c r="BL593" s="135"/>
      <c r="BM593" s="144">
        <v>0</v>
      </c>
      <c r="BN593" s="153" t="s">
        <v>1496</v>
      </c>
      <c r="BO593" s="135" t="s">
        <v>143</v>
      </c>
      <c r="BP593" s="203" t="s">
        <v>3582</v>
      </c>
      <c r="BQ593" s="203" t="s">
        <v>3273</v>
      </c>
    </row>
    <row r="594" spans="1:69" ht="41.1" customHeight="1">
      <c r="A594" s="218" t="s">
        <v>1705</v>
      </c>
      <c r="B594" s="218" t="s">
        <v>2624</v>
      </c>
      <c r="C594" s="143">
        <f t="shared" ref="C594:C609" ca="1" si="53">IF(W594="Très modeste",1000,IF(W594="Modeste",1000,IF(W594="Intermédiaire",600,IF(W594="Supérieur",600,"Non calculé"))))</f>
        <v>600</v>
      </c>
      <c r="D594" s="135">
        <v>44992</v>
      </c>
      <c r="E594" s="135">
        <v>44999</v>
      </c>
      <c r="F594" s="135">
        <v>44999</v>
      </c>
      <c r="G594" s="135" t="s">
        <v>2625</v>
      </c>
      <c r="H594" s="135">
        <v>45050</v>
      </c>
      <c r="I594" s="135">
        <v>45021</v>
      </c>
      <c r="J594" s="135">
        <v>45051</v>
      </c>
      <c r="K594" s="135">
        <v>45287</v>
      </c>
      <c r="L594" s="135">
        <v>45260</v>
      </c>
      <c r="M594" s="135" t="s">
        <v>3303</v>
      </c>
      <c r="N594" s="135">
        <v>45296</v>
      </c>
      <c r="O594" s="135">
        <v>45296</v>
      </c>
      <c r="P594" s="135">
        <v>45302</v>
      </c>
      <c r="Q594" s="135"/>
      <c r="R594" s="135"/>
      <c r="S594" s="135"/>
      <c r="T594" s="135"/>
      <c r="U594" s="144">
        <v>2</v>
      </c>
      <c r="V594" s="143">
        <v>82031</v>
      </c>
      <c r="W594" s="143" t="str">
        <f ca="1">IF(H594="",IF(D594="","",IF(U594+V594&lt;15,"Données Nb pers ou RFR manquantes",IF(COUNTA(INDIRECT("TabRFR["&amp;YEAR(D594)&amp;"]"))&lt;&gt;COUNTA(TabRFR[Recherche RFR]),"Data RFR manquantes", IF(V594&lt;=INDEX(TabRFR[[2023]:[2025]],MATCH(BD!U594&amp;"-Très modestes",TabRFR[Recherche RFR],0),MATCH(TEXT(YEAR(BD!D594),"Standard"),TabRFR[[#Headers],[2023]:[2025]],0)),"Très Modeste",IF(V594&lt;=INDEX(TabRFR[[2023]:[2025]],MATCH(BD!U594&amp;"-modestes",TabRFR[Recherche RFR],0),MATCH(TEXT(YEAR(BD!D594),"Standard"),TabRFR[[#Headers],[2023]:[2025]],0)),"Modeste",IF(V594&lt;=INDEX(TabRFR[[2023]:[2025]],MATCH(BD!U594&amp;"-Intermédiaire",TabRFR[Recherche RFR],0),MATCH(TEXT(YEAR(BD!D594),"Standard"),TabRFR[[#Headers],[2023]:[2025]],0)),"Intermédiaire","Supérieur")))))),IF(D594="","",IF(U594+V594&lt;15,"Données Nb pers ou RFR manquantes",IF(COUNTA(INDIRECT("TabRFR["&amp;YEAR(H594)&amp;"]"))&lt;&gt;COUNTA(TabRFR[Recherche RFR]),"Data RFR manquantes", IF(V594&lt;=INDEX(TabRFR[[2023]:[2025]],MATCH(BD!U594&amp;"-Très modestes",TabRFR[Recherche RFR],0),MATCH(TEXT(YEAR(BD!H594),"Standard"),TabRFR[[#Headers],[2023]:[2025]],0)),"Très Modeste",IF(V594&lt;=INDEX(TabRFR[[2023]:[2025]],MATCH(BD!U594&amp;"-modestes",TabRFR[Recherche RFR],0),MATCH(TEXT(YEAR(BD!H594),"Standard"),TabRFR[[#Headers],[2023]:[2025]],0)),"Modeste",IF(V594&lt;=INDEX(TabRFR[[2023]:[2025]],MATCH(BD!U594&amp;"-Intermédiaire",TabRFR[Recherche RFR],0),MATCH(TEXT(YEAR(BD!H594),"Standard"),TabRFR[[#Headers],[2023]:[2025]],0)),"Intermédiaire","Supérieur")))))))</f>
        <v>Supérieur</v>
      </c>
      <c r="X594" s="144"/>
      <c r="Y594" s="135" t="s">
        <v>2626</v>
      </c>
      <c r="Z594" s="144">
        <v>38500</v>
      </c>
      <c r="AA594" s="135" t="s">
        <v>284</v>
      </c>
      <c r="AB594" s="148"/>
      <c r="AC594" s="208"/>
      <c r="AD594" s="135" t="s">
        <v>91</v>
      </c>
      <c r="AE594" s="135"/>
      <c r="AF594" s="135"/>
      <c r="AG594" s="135"/>
      <c r="AH594" s="135"/>
      <c r="AI594" s="135" t="s">
        <v>1988</v>
      </c>
      <c r="AJ594" s="135" t="s">
        <v>93</v>
      </c>
      <c r="AK594" s="135" t="str">
        <f>AK541</f>
        <v>Mr CARRE</v>
      </c>
      <c r="AL594" s="192" t="str">
        <f>AL541</f>
        <v>marketing@carre-f.com</v>
      </c>
      <c r="AM594" s="148" t="str">
        <f>AM541</f>
        <v>04 76 37 03 50</v>
      </c>
      <c r="AN594" s="135" t="s">
        <v>76</v>
      </c>
      <c r="AO594" s="193" t="str">
        <f>AO541</f>
        <v>oui</v>
      </c>
      <c r="AP594" s="135">
        <f>AP541</f>
        <v>45186</v>
      </c>
      <c r="AQ594" s="135" t="s">
        <v>3496</v>
      </c>
      <c r="AR594" s="143">
        <v>1996</v>
      </c>
      <c r="AS594" s="135" t="s">
        <v>3496</v>
      </c>
      <c r="AT594" s="135" t="s">
        <v>3446</v>
      </c>
      <c r="AU594" s="135" t="s">
        <v>385</v>
      </c>
      <c r="AV594" s="135" t="s">
        <v>2627</v>
      </c>
      <c r="AW594" s="143"/>
      <c r="AX594" s="143"/>
      <c r="AY594" s="143"/>
      <c r="AZ594" s="143"/>
      <c r="BA594" s="135" t="s">
        <v>101</v>
      </c>
      <c r="BB594" s="135"/>
      <c r="BC594" s="151">
        <f>2562+190+1895+148+190</f>
        <v>4985</v>
      </c>
      <c r="BD594" s="151"/>
      <c r="BE594" s="151">
        <f>950+395</f>
        <v>1345</v>
      </c>
      <c r="BF594" s="151">
        <f>BC594+BE594</f>
        <v>6330</v>
      </c>
      <c r="BG594" s="151">
        <f t="shared" si="46"/>
        <v>348.15</v>
      </c>
      <c r="BH594" s="151">
        <f t="shared" si="47"/>
        <v>6678.15</v>
      </c>
      <c r="BI594" s="151">
        <v>6678.15</v>
      </c>
      <c r="BJ594" s="135" t="s">
        <v>1391</v>
      </c>
      <c r="BK594" s="135"/>
      <c r="BL594" s="135"/>
      <c r="BM594" s="144" t="s">
        <v>3592</v>
      </c>
      <c r="BN594" s="143">
        <v>2023</v>
      </c>
      <c r="BO594" s="135" t="s">
        <v>143</v>
      </c>
      <c r="BP594" s="144">
        <v>2023</v>
      </c>
      <c r="BQ594" s="203"/>
    </row>
    <row r="595" spans="1:69" ht="41.1" customHeight="1">
      <c r="A595" s="218" t="s">
        <v>1705</v>
      </c>
      <c r="B595" s="218" t="s">
        <v>2628</v>
      </c>
      <c r="C595" s="143">
        <f t="shared" ca="1" si="53"/>
        <v>1000</v>
      </c>
      <c r="D595" s="135">
        <v>44993</v>
      </c>
      <c r="E595" s="135">
        <v>44999</v>
      </c>
      <c r="F595" s="135" t="s">
        <v>76</v>
      </c>
      <c r="G595" s="135" t="s">
        <v>76</v>
      </c>
      <c r="H595" s="135">
        <v>44999</v>
      </c>
      <c r="I595" s="135">
        <v>45000</v>
      </c>
      <c r="J595" s="135">
        <v>45006</v>
      </c>
      <c r="K595" s="135">
        <v>45252</v>
      </c>
      <c r="L595" s="135">
        <v>45232</v>
      </c>
      <c r="M595" s="135" t="s">
        <v>3303</v>
      </c>
      <c r="N595" s="135">
        <v>45264</v>
      </c>
      <c r="O595" s="135">
        <v>45264</v>
      </c>
      <c r="P595" s="135">
        <v>45271</v>
      </c>
      <c r="Q595" s="135"/>
      <c r="R595" s="135"/>
      <c r="S595" s="135"/>
      <c r="T595" s="135"/>
      <c r="U595" s="144">
        <v>2</v>
      </c>
      <c r="V595" s="143">
        <v>27064</v>
      </c>
      <c r="W595" s="143" t="str">
        <f ca="1">IF(H595="",IF(D595="","",IF(U595+V595&lt;15,"Données Nb pers ou RFR manquantes",IF(COUNTA(INDIRECT("TabRFR["&amp;YEAR(D595)&amp;"]"))&lt;&gt;COUNTA(TabRFR[Recherche RFR]),"Data RFR manquantes", IF(V595&lt;=INDEX(TabRFR[[2023]:[2025]],MATCH(BD!U595&amp;"-Très modestes",TabRFR[Recherche RFR],0),MATCH(TEXT(YEAR(BD!D595),"Standard"),TabRFR[[#Headers],[2023]:[2025]],0)),"Très Modeste",IF(V595&lt;=INDEX(TabRFR[[2023]:[2025]],MATCH(BD!U595&amp;"-modestes",TabRFR[Recherche RFR],0),MATCH(TEXT(YEAR(BD!D595),"Standard"),TabRFR[[#Headers],[2023]:[2025]],0)),"Modeste",IF(V595&lt;=INDEX(TabRFR[[2023]:[2025]],MATCH(BD!U595&amp;"-Intermédiaire",TabRFR[Recherche RFR],0),MATCH(TEXT(YEAR(BD!D595),"Standard"),TabRFR[[#Headers],[2023]:[2025]],0)),"Intermédiaire","Supérieur")))))),IF(D595="","",IF(U595+V595&lt;15,"Données Nb pers ou RFR manquantes",IF(COUNTA(INDIRECT("TabRFR["&amp;YEAR(H595)&amp;"]"))&lt;&gt;COUNTA(TabRFR[Recherche RFR]),"Data RFR manquantes", IF(V595&lt;=INDEX(TabRFR[[2023]:[2025]],MATCH(BD!U595&amp;"-Très modestes",TabRFR[Recherche RFR],0),MATCH(TEXT(YEAR(BD!H595),"Standard"),TabRFR[[#Headers],[2023]:[2025]],0)),"Très Modeste",IF(V595&lt;=INDEX(TabRFR[[2023]:[2025]],MATCH(BD!U595&amp;"-modestes",TabRFR[Recherche RFR],0),MATCH(TEXT(YEAR(BD!H595),"Standard"),TabRFR[[#Headers],[2023]:[2025]],0)),"Modeste",IF(V595&lt;=INDEX(TabRFR[[2023]:[2025]],MATCH(BD!U595&amp;"-Intermédiaire",TabRFR[Recherche RFR],0),MATCH(TEXT(YEAR(BD!H595),"Standard"),TabRFR[[#Headers],[2023]:[2025]],0)),"Intermédiaire","Supérieur")))))))</f>
        <v>Modeste</v>
      </c>
      <c r="X595" s="144"/>
      <c r="Y595" s="135" t="s">
        <v>787</v>
      </c>
      <c r="Z595" s="144">
        <v>38430</v>
      </c>
      <c r="AA595" s="135" t="s">
        <v>119</v>
      </c>
      <c r="AB595" s="148"/>
      <c r="AC595" s="208"/>
      <c r="AD595" s="135" t="s">
        <v>91</v>
      </c>
      <c r="AE595" s="135"/>
      <c r="AF595" s="135"/>
      <c r="AG595" s="135"/>
      <c r="AH595" s="135"/>
      <c r="AI595" s="135" t="str">
        <f t="shared" ref="AI595:AP595" si="54">AI589</f>
        <v>TECHNI NATURE</v>
      </c>
      <c r="AJ595" s="135" t="s">
        <v>108</v>
      </c>
      <c r="AK595" s="135" t="str">
        <f t="shared" si="54"/>
        <v>PIERRE Emmanuel</v>
      </c>
      <c r="AL595" s="192" t="str">
        <f t="shared" si="54"/>
        <v>voiron@techni-nature.com</v>
      </c>
      <c r="AM595" s="148" t="str">
        <f t="shared" si="54"/>
        <v>09 72 17 98 56</v>
      </c>
      <c r="AN595" s="135" t="str">
        <f t="shared" si="54"/>
        <v>-</v>
      </c>
      <c r="AO595" s="193" t="str">
        <f t="shared" si="54"/>
        <v>oui</v>
      </c>
      <c r="AP595" s="135">
        <f t="shared" si="54"/>
        <v>45163</v>
      </c>
      <c r="AQ595" s="135" t="s">
        <v>3496</v>
      </c>
      <c r="AR595" s="143">
        <v>1985</v>
      </c>
      <c r="AS595" s="143" t="s">
        <v>3413</v>
      </c>
      <c r="AT595" s="135" t="s">
        <v>3446</v>
      </c>
      <c r="AU595" s="135" t="s">
        <v>459</v>
      </c>
      <c r="AV595" s="135" t="s">
        <v>3265</v>
      </c>
      <c r="AW595" s="143"/>
      <c r="AX595" s="143"/>
      <c r="AY595" s="143"/>
      <c r="AZ595" s="143"/>
      <c r="BA595" s="135" t="s">
        <v>101</v>
      </c>
      <c r="BB595" s="135"/>
      <c r="BC595" s="151">
        <f>3618.25+610+415+409+550</f>
        <v>5602.25</v>
      </c>
      <c r="BD595" s="151"/>
      <c r="BE595" s="151">
        <v>750</v>
      </c>
      <c r="BF595" s="151">
        <f>BC595+BE595</f>
        <v>6352.25</v>
      </c>
      <c r="BG595" s="151">
        <f t="shared" si="46"/>
        <v>349.37375000000003</v>
      </c>
      <c r="BH595" s="151">
        <f t="shared" si="47"/>
        <v>6701.6237499999997</v>
      </c>
      <c r="BI595" s="151">
        <v>6701.62</v>
      </c>
      <c r="BJ595" s="135" t="s">
        <v>103</v>
      </c>
      <c r="BK595" s="135"/>
      <c r="BL595" s="135"/>
      <c r="BM595" s="144" t="s">
        <v>3592</v>
      </c>
      <c r="BN595" s="143">
        <v>2023</v>
      </c>
      <c r="BO595" s="135" t="s">
        <v>155</v>
      </c>
      <c r="BP595" s="144">
        <v>2023</v>
      </c>
      <c r="BQ595" s="203" t="s">
        <v>3274</v>
      </c>
    </row>
    <row r="596" spans="1:69" ht="41.1" customHeight="1">
      <c r="A596" s="218" t="s">
        <v>1705</v>
      </c>
      <c r="B596" s="218" t="s">
        <v>2629</v>
      </c>
      <c r="C596" s="143">
        <f t="shared" ca="1" si="53"/>
        <v>600</v>
      </c>
      <c r="D596" s="135">
        <v>44993</v>
      </c>
      <c r="E596" s="135">
        <v>44999</v>
      </c>
      <c r="F596" s="135" t="s">
        <v>76</v>
      </c>
      <c r="G596" s="135" t="s">
        <v>76</v>
      </c>
      <c r="H596" s="135">
        <v>44999</v>
      </c>
      <c r="I596" s="135">
        <v>45000</v>
      </c>
      <c r="J596" s="135">
        <v>45006</v>
      </c>
      <c r="K596" s="135">
        <v>45229</v>
      </c>
      <c r="L596" s="135">
        <v>45168</v>
      </c>
      <c r="M596" s="135" t="s">
        <v>76</v>
      </c>
      <c r="N596" s="135">
        <v>45232</v>
      </c>
      <c r="O596" s="135">
        <v>45232</v>
      </c>
      <c r="P596" s="135">
        <v>45258</v>
      </c>
      <c r="Q596" s="135"/>
      <c r="R596" s="135"/>
      <c r="S596" s="135"/>
      <c r="T596" s="135"/>
      <c r="U596" s="144">
        <v>3</v>
      </c>
      <c r="V596" s="143">
        <v>67882</v>
      </c>
      <c r="W596" s="143" t="str">
        <f ca="1">IF(H596="",IF(D596="","",IF(U596+V596&lt;15,"Données Nb pers ou RFR manquantes",IF(COUNTA(INDIRECT("TabRFR["&amp;YEAR(D596)&amp;"]"))&lt;&gt;COUNTA(TabRFR[Recherche RFR]),"Data RFR manquantes", IF(V596&lt;=INDEX(TabRFR[[2023]:[2025]],MATCH(BD!U596&amp;"-Très modestes",TabRFR[Recherche RFR],0),MATCH(TEXT(YEAR(BD!D596),"Standard"),TabRFR[[#Headers],[2023]:[2025]],0)),"Très Modeste",IF(V596&lt;=INDEX(TabRFR[[2023]:[2025]],MATCH(BD!U596&amp;"-modestes",TabRFR[Recherche RFR],0),MATCH(TEXT(YEAR(BD!D596),"Standard"),TabRFR[[#Headers],[2023]:[2025]],0)),"Modeste",IF(V596&lt;=INDEX(TabRFR[[2023]:[2025]],MATCH(BD!U596&amp;"-Intermédiaire",TabRFR[Recherche RFR],0),MATCH(TEXT(YEAR(BD!D596),"Standard"),TabRFR[[#Headers],[2023]:[2025]],0)),"Intermédiaire","Supérieur")))))),IF(D596="","",IF(U596+V596&lt;15,"Données Nb pers ou RFR manquantes",IF(COUNTA(INDIRECT("TabRFR["&amp;YEAR(H596)&amp;"]"))&lt;&gt;COUNTA(TabRFR[Recherche RFR]),"Data RFR manquantes", IF(V596&lt;=INDEX(TabRFR[[2023]:[2025]],MATCH(BD!U596&amp;"-Très modestes",TabRFR[Recherche RFR],0),MATCH(TEXT(YEAR(BD!H596),"Standard"),TabRFR[[#Headers],[2023]:[2025]],0)),"Très Modeste",IF(V596&lt;=INDEX(TabRFR[[2023]:[2025]],MATCH(BD!U596&amp;"-modestes",TabRFR[Recherche RFR],0),MATCH(TEXT(YEAR(BD!H596),"Standard"),TabRFR[[#Headers],[2023]:[2025]],0)),"Modeste",IF(V596&lt;=INDEX(TabRFR[[2023]:[2025]],MATCH(BD!U596&amp;"-Intermédiaire",TabRFR[Recherche RFR],0),MATCH(TEXT(YEAR(BD!H596),"Standard"),TabRFR[[#Headers],[2023]:[2025]],0)),"Intermédiaire","Supérieur")))))))</f>
        <v>Supérieur</v>
      </c>
      <c r="X596" s="144"/>
      <c r="Y596" s="135" t="s">
        <v>2630</v>
      </c>
      <c r="Z596" s="144">
        <v>38500</v>
      </c>
      <c r="AA596" s="135" t="s">
        <v>284</v>
      </c>
      <c r="AB596" s="148"/>
      <c r="AC596" s="169"/>
      <c r="AD596" s="135" t="s">
        <v>91</v>
      </c>
      <c r="AE596" s="135"/>
      <c r="AF596" s="135"/>
      <c r="AG596" s="135"/>
      <c r="AH596" s="135"/>
      <c r="AI596" s="135" t="s">
        <v>872</v>
      </c>
      <c r="AJ596" s="135" t="s">
        <v>873</v>
      </c>
      <c r="AK596" s="135" t="s">
        <v>1970</v>
      </c>
      <c r="AL596" s="169" t="s">
        <v>875</v>
      </c>
      <c r="AM596" s="148">
        <v>476354364</v>
      </c>
      <c r="AN596" s="135" t="s">
        <v>76</v>
      </c>
      <c r="AO596" s="193" t="str">
        <f>AO590</f>
        <v>oui</v>
      </c>
      <c r="AP596" s="135">
        <v>45164</v>
      </c>
      <c r="AQ596" s="135" t="s">
        <v>3496</v>
      </c>
      <c r="AR596" s="153">
        <v>1995</v>
      </c>
      <c r="AS596" s="143" t="s">
        <v>3413</v>
      </c>
      <c r="AT596" s="135" t="s">
        <v>3446</v>
      </c>
      <c r="AU596" s="135" t="s">
        <v>899</v>
      </c>
      <c r="AV596" s="135" t="s">
        <v>2631</v>
      </c>
      <c r="AW596" s="143"/>
      <c r="AX596" s="143"/>
      <c r="AY596" s="143"/>
      <c r="AZ596" s="143"/>
      <c r="BA596" s="135" t="s">
        <v>1401</v>
      </c>
      <c r="BB596" s="135"/>
      <c r="BC596" s="151">
        <v>6697.54</v>
      </c>
      <c r="BD596" s="151"/>
      <c r="BE596" s="151">
        <v>1575</v>
      </c>
      <c r="BF596" s="151">
        <f>BC596+BE596-200</f>
        <v>8072.5400000000009</v>
      </c>
      <c r="BG596" s="151">
        <f t="shared" si="46"/>
        <v>443.98970000000003</v>
      </c>
      <c r="BH596" s="151">
        <f t="shared" si="47"/>
        <v>8516.529700000001</v>
      </c>
      <c r="BI596" s="151">
        <v>8516.5300000000007</v>
      </c>
      <c r="BJ596" s="135" t="s">
        <v>103</v>
      </c>
      <c r="BK596" s="135"/>
      <c r="BL596" s="135"/>
      <c r="BM596" s="144" t="s">
        <v>3592</v>
      </c>
      <c r="BN596" s="143">
        <v>2023</v>
      </c>
      <c r="BO596" s="135" t="s">
        <v>143</v>
      </c>
      <c r="BP596" s="144">
        <v>2023</v>
      </c>
      <c r="BQ596" s="203" t="s">
        <v>3274</v>
      </c>
    </row>
    <row r="597" spans="1:69" ht="41.1" customHeight="1">
      <c r="A597" s="218" t="s">
        <v>1705</v>
      </c>
      <c r="B597" s="218" t="s">
        <v>2632</v>
      </c>
      <c r="C597" s="143">
        <f t="shared" ca="1" si="53"/>
        <v>1000</v>
      </c>
      <c r="D597" s="135">
        <v>44995</v>
      </c>
      <c r="E597" s="135">
        <v>44999</v>
      </c>
      <c r="F597" s="135">
        <v>44999</v>
      </c>
      <c r="G597" s="135" t="s">
        <v>2633</v>
      </c>
      <c r="H597" s="135">
        <v>45000</v>
      </c>
      <c r="I597" s="135">
        <v>45000</v>
      </c>
      <c r="J597" s="135">
        <v>45006</v>
      </c>
      <c r="K597" s="135">
        <v>45028</v>
      </c>
      <c r="L597" s="135">
        <v>45016</v>
      </c>
      <c r="M597" s="135" t="s">
        <v>76</v>
      </c>
      <c r="N597" s="135">
        <v>45036</v>
      </c>
      <c r="O597" s="135">
        <v>45036</v>
      </c>
      <c r="P597" s="135">
        <v>45037</v>
      </c>
      <c r="Q597" s="135"/>
      <c r="R597" s="135"/>
      <c r="S597" s="135"/>
      <c r="T597" s="135"/>
      <c r="U597" s="144">
        <v>3</v>
      </c>
      <c r="V597" s="143">
        <f>17002+19413</f>
        <v>36415</v>
      </c>
      <c r="W597" s="143" t="str">
        <f ca="1">IF(H597="",IF(D597="","",IF(U597+V597&lt;15,"Données Nb pers ou RFR manquantes",IF(COUNTA(INDIRECT("TabRFR["&amp;YEAR(D597)&amp;"]"))&lt;&gt;COUNTA(TabRFR[Recherche RFR]),"Data RFR manquantes", IF(V597&lt;=INDEX(TabRFR[[2023]:[2025]],MATCH(BD!U597&amp;"-Très modestes",TabRFR[Recherche RFR],0),MATCH(TEXT(YEAR(BD!D597),"Standard"),TabRFR[[#Headers],[2023]:[2025]],0)),"Très Modeste",IF(V597&lt;=INDEX(TabRFR[[2023]:[2025]],MATCH(BD!U597&amp;"-modestes",TabRFR[Recherche RFR],0),MATCH(TEXT(YEAR(BD!D597),"Standard"),TabRFR[[#Headers],[2023]:[2025]],0)),"Modeste",IF(V597&lt;=INDEX(TabRFR[[2023]:[2025]],MATCH(BD!U597&amp;"-Intermédiaire",TabRFR[Recherche RFR],0),MATCH(TEXT(YEAR(BD!D597),"Standard"),TabRFR[[#Headers],[2023]:[2025]],0)),"Intermédiaire","Supérieur")))))),IF(D597="","",IF(U597+V597&lt;15,"Données Nb pers ou RFR manquantes",IF(COUNTA(INDIRECT("TabRFR["&amp;YEAR(H597)&amp;"]"))&lt;&gt;COUNTA(TabRFR[Recherche RFR]),"Data RFR manquantes", IF(V597&lt;=INDEX(TabRFR[[2023]:[2025]],MATCH(BD!U597&amp;"-Très modestes",TabRFR[Recherche RFR],0),MATCH(TEXT(YEAR(BD!H597),"Standard"),TabRFR[[#Headers],[2023]:[2025]],0)),"Très Modeste",IF(V597&lt;=INDEX(TabRFR[[2023]:[2025]],MATCH(BD!U597&amp;"-modestes",TabRFR[Recherche RFR],0),MATCH(TEXT(YEAR(BD!H597),"Standard"),TabRFR[[#Headers],[2023]:[2025]],0)),"Modeste",IF(V597&lt;=INDEX(TabRFR[[2023]:[2025]],MATCH(BD!U597&amp;"-Intermédiaire",TabRFR[Recherche RFR],0),MATCH(TEXT(YEAR(BD!H597),"Standard"),TabRFR[[#Headers],[2023]:[2025]],0)),"Intermédiaire","Supérieur")))))))</f>
        <v>Modeste</v>
      </c>
      <c r="X597" s="144"/>
      <c r="Y597" s="135" t="s">
        <v>787</v>
      </c>
      <c r="Z597" s="144">
        <v>38430</v>
      </c>
      <c r="AA597" s="135" t="s">
        <v>119</v>
      </c>
      <c r="AB597" s="148"/>
      <c r="AC597" s="169"/>
      <c r="AD597" s="135" t="s">
        <v>91</v>
      </c>
      <c r="AE597" s="135"/>
      <c r="AF597" s="135"/>
      <c r="AG597" s="135"/>
      <c r="AH597" s="135"/>
      <c r="AI597" s="135" t="str">
        <f t="shared" ref="AI597:AP597" si="55">AI574</f>
        <v>JACQU'CHEMINEES</v>
      </c>
      <c r="AJ597" s="135" t="s">
        <v>119</v>
      </c>
      <c r="AK597" s="135" t="str">
        <f t="shared" si="55"/>
        <v>Mr FAURE</v>
      </c>
      <c r="AL597" s="192" t="str">
        <f t="shared" si="55"/>
        <v>jacques.faure24@wanadoo.fr</v>
      </c>
      <c r="AM597" s="148" t="str">
        <f t="shared" si="55"/>
        <v>04 76 35 56 05</v>
      </c>
      <c r="AN597" s="135" t="str">
        <f t="shared" si="55"/>
        <v>-</v>
      </c>
      <c r="AO597" s="193" t="str">
        <f t="shared" si="55"/>
        <v>oui</v>
      </c>
      <c r="AP597" s="135">
        <f t="shared" si="55"/>
        <v>45248</v>
      </c>
      <c r="AQ597" s="135" t="s">
        <v>3496</v>
      </c>
      <c r="AR597" s="143">
        <v>1984</v>
      </c>
      <c r="AS597" s="135" t="s">
        <v>3496</v>
      </c>
      <c r="AT597" s="135" t="s">
        <v>3446</v>
      </c>
      <c r="AU597" s="135" t="s">
        <v>2634</v>
      </c>
      <c r="AV597" s="143" t="s">
        <v>526</v>
      </c>
      <c r="AW597" s="143"/>
      <c r="AX597" s="143"/>
      <c r="AY597" s="143"/>
      <c r="AZ597" s="143"/>
      <c r="BA597" s="135" t="s">
        <v>101</v>
      </c>
      <c r="BB597" s="135"/>
      <c r="BC597" s="151">
        <f>312.45+89.8+335.45+299.35+72.3+696+166.25+298.25+87.2+100.27+51.34+550+582.94+295.6+465.75+1750+690.65+345+266.4+174+76.39+1350</f>
        <v>9055.39</v>
      </c>
      <c r="BD597" s="151"/>
      <c r="BE597" s="151">
        <f>99.09+950</f>
        <v>1049.0899999999999</v>
      </c>
      <c r="BF597" s="151">
        <f>BC597+BE597</f>
        <v>10104.48</v>
      </c>
      <c r="BG597" s="151">
        <f t="shared" si="46"/>
        <v>555.74639999999999</v>
      </c>
      <c r="BH597" s="151">
        <f t="shared" si="47"/>
        <v>10660.2264</v>
      </c>
      <c r="BI597" s="151">
        <v>10660.23</v>
      </c>
      <c r="BJ597" s="135" t="s">
        <v>103</v>
      </c>
      <c r="BK597" s="135"/>
      <c r="BL597" s="135"/>
      <c r="BM597" s="144" t="s">
        <v>3592</v>
      </c>
      <c r="BN597" s="143">
        <v>2023</v>
      </c>
      <c r="BO597" s="135" t="s">
        <v>155</v>
      </c>
      <c r="BP597" s="144">
        <v>2023</v>
      </c>
      <c r="BQ597" s="203" t="s">
        <v>3274</v>
      </c>
    </row>
    <row r="598" spans="1:69" ht="41.1" customHeight="1">
      <c r="A598" s="145" t="s">
        <v>1705</v>
      </c>
      <c r="B598" s="145" t="s">
        <v>2635</v>
      </c>
      <c r="C598" s="143"/>
      <c r="D598" s="135"/>
      <c r="E598" s="135"/>
      <c r="F598" s="135"/>
      <c r="G598" s="135"/>
      <c r="H598" s="135"/>
      <c r="I598" s="135"/>
      <c r="J598" s="135"/>
      <c r="K598" s="135"/>
      <c r="L598" s="135"/>
      <c r="M598" s="135"/>
      <c r="N598" s="135"/>
      <c r="O598" s="135"/>
      <c r="P598" s="135"/>
      <c r="Q598" s="135"/>
      <c r="R598" s="135" t="s">
        <v>3581</v>
      </c>
      <c r="S598" s="135"/>
      <c r="T598" s="135"/>
      <c r="U598" s="144"/>
      <c r="V598" s="143"/>
      <c r="W598" s="143"/>
      <c r="X598" s="144"/>
      <c r="Y598" s="135"/>
      <c r="Z598" s="144"/>
      <c r="AA598" s="135"/>
      <c r="AB598" s="148"/>
      <c r="AC598" s="202"/>
      <c r="AD598" s="135"/>
      <c r="AE598" s="135"/>
      <c r="AF598" s="135"/>
      <c r="AG598" s="135"/>
      <c r="AH598" s="135"/>
      <c r="AI598" s="135"/>
      <c r="AJ598" s="135"/>
      <c r="AK598" s="135"/>
      <c r="AL598" s="208"/>
      <c r="AM598" s="148"/>
      <c r="AN598" s="135"/>
      <c r="AO598" s="193"/>
      <c r="AP598" s="135"/>
      <c r="AQ598" s="135"/>
      <c r="AR598" s="135"/>
      <c r="AS598" s="135"/>
      <c r="AT598" s="135"/>
      <c r="AU598" s="135"/>
      <c r="AV598" s="135"/>
      <c r="AW598" s="143"/>
      <c r="AX598" s="143"/>
      <c r="AY598" s="143"/>
      <c r="AZ598" s="143"/>
      <c r="BA598" s="135"/>
      <c r="BB598" s="151"/>
      <c r="BC598" s="151"/>
      <c r="BD598" s="151"/>
      <c r="BE598" s="151"/>
      <c r="BF598" s="151"/>
      <c r="BG598" s="151"/>
      <c r="BH598" s="151"/>
      <c r="BI598" s="135"/>
      <c r="BJ598" s="135"/>
      <c r="BK598" s="135"/>
      <c r="BL598" s="135"/>
      <c r="BM598" s="144">
        <v>0</v>
      </c>
      <c r="BN598" s="153" t="s">
        <v>103</v>
      </c>
      <c r="BO598" s="135" t="s">
        <v>103</v>
      </c>
      <c r="BP598" s="135" t="s">
        <v>3584</v>
      </c>
      <c r="BQ598" s="203" t="s">
        <v>3585</v>
      </c>
    </row>
    <row r="599" spans="1:69" ht="41.1" customHeight="1">
      <c r="A599" s="218" t="s">
        <v>1705</v>
      </c>
      <c r="B599" s="218" t="s">
        <v>2636</v>
      </c>
      <c r="C599" s="143">
        <f t="shared" ca="1" si="53"/>
        <v>1000</v>
      </c>
      <c r="D599" s="135">
        <v>44998</v>
      </c>
      <c r="E599" s="135">
        <v>44999</v>
      </c>
      <c r="F599" s="135" t="s">
        <v>76</v>
      </c>
      <c r="G599" s="135" t="s">
        <v>76</v>
      </c>
      <c r="H599" s="135">
        <v>44999</v>
      </c>
      <c r="I599" s="135">
        <v>45000</v>
      </c>
      <c r="J599" s="135">
        <v>45006</v>
      </c>
      <c r="K599" s="135">
        <v>45076</v>
      </c>
      <c r="L599" s="135">
        <v>45046</v>
      </c>
      <c r="M599" s="135" t="s">
        <v>76</v>
      </c>
      <c r="N599" s="135">
        <v>45083</v>
      </c>
      <c r="O599" s="135">
        <v>45083</v>
      </c>
      <c r="P599" s="135">
        <v>45084</v>
      </c>
      <c r="Q599" s="135"/>
      <c r="R599" s="135"/>
      <c r="S599" s="135"/>
      <c r="T599" s="135"/>
      <c r="U599" s="144">
        <v>1</v>
      </c>
      <c r="V599" s="143">
        <v>7486</v>
      </c>
      <c r="W599" s="143" t="str">
        <f ca="1">IF(H599="",IF(D599="","",IF(U599+V599&lt;15,"Données Nb pers ou RFR manquantes",IF(COUNTA(INDIRECT("TabRFR["&amp;YEAR(D599)&amp;"]"))&lt;&gt;COUNTA(TabRFR[Recherche RFR]),"Data RFR manquantes", IF(V599&lt;=INDEX(TabRFR[[2023]:[2025]],MATCH(BD!U599&amp;"-Très modestes",TabRFR[Recherche RFR],0),MATCH(TEXT(YEAR(BD!D599),"Standard"),TabRFR[[#Headers],[2023]:[2025]],0)),"Très Modeste",IF(V599&lt;=INDEX(TabRFR[[2023]:[2025]],MATCH(BD!U599&amp;"-modestes",TabRFR[Recherche RFR],0),MATCH(TEXT(YEAR(BD!D599),"Standard"),TabRFR[[#Headers],[2023]:[2025]],0)),"Modeste",IF(V599&lt;=INDEX(TabRFR[[2023]:[2025]],MATCH(BD!U599&amp;"-Intermédiaire",TabRFR[Recherche RFR],0),MATCH(TEXT(YEAR(BD!D599),"Standard"),TabRFR[[#Headers],[2023]:[2025]],0)),"Intermédiaire","Supérieur")))))),IF(D599="","",IF(U599+V599&lt;15,"Données Nb pers ou RFR manquantes",IF(COUNTA(INDIRECT("TabRFR["&amp;YEAR(H599)&amp;"]"))&lt;&gt;COUNTA(TabRFR[Recherche RFR]),"Data RFR manquantes", IF(V599&lt;=INDEX(TabRFR[[2023]:[2025]],MATCH(BD!U599&amp;"-Très modestes",TabRFR[Recherche RFR],0),MATCH(TEXT(YEAR(BD!H599),"Standard"),TabRFR[[#Headers],[2023]:[2025]],0)),"Très Modeste",IF(V599&lt;=INDEX(TabRFR[[2023]:[2025]],MATCH(BD!U599&amp;"-modestes",TabRFR[Recherche RFR],0),MATCH(TEXT(YEAR(BD!H599),"Standard"),TabRFR[[#Headers],[2023]:[2025]],0)),"Modeste",IF(V599&lt;=INDEX(TabRFR[[2023]:[2025]],MATCH(BD!U599&amp;"-Intermédiaire",TabRFR[Recherche RFR],0),MATCH(TEXT(YEAR(BD!H599),"Standard"),TabRFR[[#Headers],[2023]:[2025]],0)),"Intermédiaire","Supérieur")))))))</f>
        <v>Très Modeste</v>
      </c>
      <c r="X599" s="144"/>
      <c r="Y599" s="135" t="s">
        <v>2637</v>
      </c>
      <c r="Z599" s="144">
        <v>38960</v>
      </c>
      <c r="AA599" s="135" t="s">
        <v>360</v>
      </c>
      <c r="AB599" s="148"/>
      <c r="AC599" s="169"/>
      <c r="AD599" s="135" t="s">
        <v>91</v>
      </c>
      <c r="AE599" s="135"/>
      <c r="AF599" s="135"/>
      <c r="AG599" s="135"/>
      <c r="AH599" s="135"/>
      <c r="AI599" s="135" t="s">
        <v>1988</v>
      </c>
      <c r="AJ599" s="135" t="s">
        <v>93</v>
      </c>
      <c r="AK599" s="135" t="str">
        <f>AK594</f>
        <v>Mr CARRE</v>
      </c>
      <c r="AL599" s="192" t="str">
        <f>AL594</f>
        <v>marketing@carre-f.com</v>
      </c>
      <c r="AM599" s="148" t="str">
        <f>AM594</f>
        <v>04 76 37 03 50</v>
      </c>
      <c r="AN599" s="135" t="s">
        <v>76</v>
      </c>
      <c r="AO599" s="193" t="str">
        <f>AO594</f>
        <v>oui</v>
      </c>
      <c r="AP599" s="135">
        <f>AP594</f>
        <v>45186</v>
      </c>
      <c r="AQ599" s="135" t="s">
        <v>3496</v>
      </c>
      <c r="AR599" s="143">
        <v>1970</v>
      </c>
      <c r="AS599" s="143" t="s">
        <v>3413</v>
      </c>
      <c r="AT599" s="135" t="s">
        <v>3446</v>
      </c>
      <c r="AU599" s="135" t="s">
        <v>532</v>
      </c>
      <c r="AV599" s="135" t="s">
        <v>1760</v>
      </c>
      <c r="AW599" s="143"/>
      <c r="AX599" s="143"/>
      <c r="AY599" s="143"/>
      <c r="AZ599" s="143"/>
      <c r="BA599" s="135" t="s">
        <v>101</v>
      </c>
      <c r="BB599" s="135"/>
      <c r="BC599" s="151">
        <f>1945+690+1989.4+150+158.1+160.4+64.7+138+48+198</f>
        <v>5541.5999999999995</v>
      </c>
      <c r="BD599" s="151"/>
      <c r="BE599" s="151">
        <v>490</v>
      </c>
      <c r="BF599" s="151">
        <f>BC599+BE599</f>
        <v>6031.5999999999995</v>
      </c>
      <c r="BG599" s="151">
        <f t="shared" si="46"/>
        <v>331.738</v>
      </c>
      <c r="BH599" s="151">
        <f t="shared" si="47"/>
        <v>6363.3379999999997</v>
      </c>
      <c r="BI599" s="151">
        <v>6363.34</v>
      </c>
      <c r="BJ599" s="135" t="s">
        <v>144</v>
      </c>
      <c r="BK599" s="135"/>
      <c r="BL599" s="135"/>
      <c r="BM599" s="144" t="s">
        <v>3592</v>
      </c>
      <c r="BN599" s="143">
        <v>2023</v>
      </c>
      <c r="BO599" s="135" t="s">
        <v>155</v>
      </c>
      <c r="BP599" s="144">
        <v>2023</v>
      </c>
      <c r="BQ599" s="203" t="s">
        <v>144</v>
      </c>
    </row>
    <row r="600" spans="1:69" ht="41.1" customHeight="1">
      <c r="A600" s="219" t="s">
        <v>1705</v>
      </c>
      <c r="B600" s="219" t="s">
        <v>2638</v>
      </c>
      <c r="C600" s="143">
        <f t="shared" ca="1" si="53"/>
        <v>1000</v>
      </c>
      <c r="D600" s="135">
        <v>44998</v>
      </c>
      <c r="E600" s="135">
        <v>44999</v>
      </c>
      <c r="F600" s="135" t="s">
        <v>76</v>
      </c>
      <c r="G600" s="135" t="s">
        <v>76</v>
      </c>
      <c r="H600" s="135">
        <v>45008</v>
      </c>
      <c r="I600" s="135">
        <v>45008</v>
      </c>
      <c r="J600" s="135">
        <v>45027</v>
      </c>
      <c r="K600" s="135"/>
      <c r="L600" s="135"/>
      <c r="M600" s="135" t="s">
        <v>3303</v>
      </c>
      <c r="N600" s="135"/>
      <c r="O600" s="135"/>
      <c r="P600" s="135"/>
      <c r="Q600" s="135"/>
      <c r="R600" s="135"/>
      <c r="S600" s="135"/>
      <c r="T600" s="135"/>
      <c r="U600" s="144">
        <v>5</v>
      </c>
      <c r="V600" s="143">
        <v>45833</v>
      </c>
      <c r="W600" s="143" t="str">
        <f ca="1">IF(H600="",IF(D600="","",IF(U600+V600&lt;15,"Données Nb pers ou RFR manquantes",IF(COUNTA(INDIRECT("TabRFR["&amp;YEAR(D600)&amp;"]"))&lt;&gt;COUNTA(TabRFR[Recherche RFR]),"Data RFR manquantes", IF(V600&lt;=INDEX(TabRFR[[2023]:[2025]],MATCH(BD!U600&amp;"-Très modestes",TabRFR[Recherche RFR],0),MATCH(TEXT(YEAR(BD!D600),"Standard"),TabRFR[[#Headers],[2023]:[2025]],0)),"Très Modeste",IF(V600&lt;=INDEX(TabRFR[[2023]:[2025]],MATCH(BD!U600&amp;"-modestes",TabRFR[Recherche RFR],0),MATCH(TEXT(YEAR(BD!D600),"Standard"),TabRFR[[#Headers],[2023]:[2025]],0)),"Modeste",IF(V600&lt;=INDEX(TabRFR[[2023]:[2025]],MATCH(BD!U600&amp;"-Intermédiaire",TabRFR[Recherche RFR],0),MATCH(TEXT(YEAR(BD!D600),"Standard"),TabRFR[[#Headers],[2023]:[2025]],0)),"Intermédiaire","Supérieur")))))),IF(D600="","",IF(U600+V600&lt;15,"Données Nb pers ou RFR manquantes",IF(COUNTA(INDIRECT("TabRFR["&amp;YEAR(H600)&amp;"]"))&lt;&gt;COUNTA(TabRFR[Recherche RFR]),"Data RFR manquantes", IF(V600&lt;=INDEX(TabRFR[[2023]:[2025]],MATCH(BD!U600&amp;"-Très modestes",TabRFR[Recherche RFR],0),MATCH(TEXT(YEAR(BD!H600),"Standard"),TabRFR[[#Headers],[2023]:[2025]],0)),"Très Modeste",IF(V600&lt;=INDEX(TabRFR[[2023]:[2025]],MATCH(BD!U600&amp;"-modestes",TabRFR[Recherche RFR],0),MATCH(TEXT(YEAR(BD!H600),"Standard"),TabRFR[[#Headers],[2023]:[2025]],0)),"Modeste",IF(V600&lt;=INDEX(TabRFR[[2023]:[2025]],MATCH(BD!U600&amp;"-Intermédiaire",TabRFR[Recherche RFR],0),MATCH(TEXT(YEAR(BD!H600),"Standard"),TabRFR[[#Headers],[2023]:[2025]],0)),"Intermédiaire","Supérieur")))))))</f>
        <v>Modeste</v>
      </c>
      <c r="X600" s="144"/>
      <c r="Y600" s="135" t="s">
        <v>2639</v>
      </c>
      <c r="Z600" s="144">
        <v>38500</v>
      </c>
      <c r="AA600" s="135" t="s">
        <v>134</v>
      </c>
      <c r="AB600" s="148"/>
      <c r="AC600" s="169"/>
      <c r="AD600" s="135" t="s">
        <v>91</v>
      </c>
      <c r="AE600" s="135"/>
      <c r="AF600" s="135"/>
      <c r="AG600" s="135"/>
      <c r="AH600" s="135"/>
      <c r="AI600" s="135" t="s">
        <v>2640</v>
      </c>
      <c r="AJ600" s="135" t="s">
        <v>360</v>
      </c>
      <c r="AK600" s="135" t="s">
        <v>2641</v>
      </c>
      <c r="AL600" s="169" t="s">
        <v>2642</v>
      </c>
      <c r="AM600" s="148">
        <v>476060662</v>
      </c>
      <c r="AN600" s="135" t="s">
        <v>76</v>
      </c>
      <c r="AO600" s="193" t="str">
        <f>AO595</f>
        <v>oui</v>
      </c>
      <c r="AP600" s="135">
        <v>45008</v>
      </c>
      <c r="AQ600" s="143" t="s">
        <v>1955</v>
      </c>
      <c r="AR600" s="143">
        <v>1982</v>
      </c>
      <c r="AS600" s="143" t="s">
        <v>1955</v>
      </c>
      <c r="AT600" s="135" t="s">
        <v>3446</v>
      </c>
      <c r="AU600" s="135" t="s">
        <v>933</v>
      </c>
      <c r="AV600" s="135" t="s">
        <v>2643</v>
      </c>
      <c r="AW600" s="143"/>
      <c r="AX600" s="143"/>
      <c r="AY600" s="143"/>
      <c r="AZ600" s="143"/>
      <c r="BA600" s="135" t="s">
        <v>101</v>
      </c>
      <c r="BB600" s="135"/>
      <c r="BC600" s="151">
        <f>(13841.6+242.65+242.65+125.55+399.85+804.97+562.32+194.12+87.88+1498.1+270.44+87.14+76.28+79.55+80.81+44.31+68.05+58.65+103.92+844)/1.055</f>
        <v>18685.156398104264</v>
      </c>
      <c r="BD600" s="151"/>
      <c r="BE600" s="151">
        <f>(4853)/1.055</f>
        <v>4600</v>
      </c>
      <c r="BF600" s="151">
        <f>BC600+BE600</f>
        <v>23285.156398104264</v>
      </c>
      <c r="BG600" s="151">
        <f t="shared" si="46"/>
        <v>1280.6836018957345</v>
      </c>
      <c r="BH600" s="151">
        <f t="shared" si="47"/>
        <v>24565.839999999997</v>
      </c>
      <c r="BI600" s="135"/>
      <c r="BJ600" s="135" t="s">
        <v>144</v>
      </c>
      <c r="BK600" s="135"/>
      <c r="BL600" s="135"/>
      <c r="BM600" s="144" t="s">
        <v>3592</v>
      </c>
      <c r="BN600" s="143">
        <v>2023</v>
      </c>
      <c r="BO600" s="135" t="s">
        <v>155</v>
      </c>
      <c r="BP600" s="144">
        <v>2023</v>
      </c>
      <c r="BQ600" s="203"/>
    </row>
    <row r="601" spans="1:69" ht="41.1" customHeight="1">
      <c r="A601" s="218" t="s">
        <v>1705</v>
      </c>
      <c r="B601" s="218" t="s">
        <v>2644</v>
      </c>
      <c r="C601" s="143">
        <f t="shared" ca="1" si="53"/>
        <v>1000</v>
      </c>
      <c r="D601" s="135">
        <v>44999</v>
      </c>
      <c r="E601" s="135" t="s">
        <v>76</v>
      </c>
      <c r="F601" s="135">
        <v>45008</v>
      </c>
      <c r="G601" s="135" t="s">
        <v>2507</v>
      </c>
      <c r="H601" s="135">
        <v>45012</v>
      </c>
      <c r="I601" s="135">
        <v>45012</v>
      </c>
      <c r="J601" s="135">
        <v>45027</v>
      </c>
      <c r="K601" s="135">
        <v>45200</v>
      </c>
      <c r="L601" s="135">
        <v>45184</v>
      </c>
      <c r="M601" s="135" t="s">
        <v>76</v>
      </c>
      <c r="N601" s="135">
        <v>45212</v>
      </c>
      <c r="O601" s="135">
        <v>45300</v>
      </c>
      <c r="P601" s="135">
        <v>45302</v>
      </c>
      <c r="Q601" s="135"/>
      <c r="R601" s="135"/>
      <c r="S601" s="135"/>
      <c r="T601" s="135"/>
      <c r="U601" s="144">
        <v>4</v>
      </c>
      <c r="V601" s="143">
        <f>21499+19098</f>
        <v>40597</v>
      </c>
      <c r="W601" s="143" t="str">
        <f ca="1">IF(H601="",IF(D601="","",IF(U601+V601&lt;15,"Données Nb pers ou RFR manquantes",IF(COUNTA(INDIRECT("TabRFR["&amp;YEAR(D601)&amp;"]"))&lt;&gt;COUNTA(TabRFR[Recherche RFR]),"Data RFR manquantes", IF(V601&lt;=INDEX(TabRFR[[2023]:[2025]],MATCH(BD!U601&amp;"-Très modestes",TabRFR[Recherche RFR],0),MATCH(TEXT(YEAR(BD!D601),"Standard"),TabRFR[[#Headers],[2023]:[2025]],0)),"Très Modeste",IF(V601&lt;=INDEX(TabRFR[[2023]:[2025]],MATCH(BD!U601&amp;"-modestes",TabRFR[Recherche RFR],0),MATCH(TEXT(YEAR(BD!D601),"Standard"),TabRFR[[#Headers],[2023]:[2025]],0)),"Modeste",IF(V601&lt;=INDEX(TabRFR[[2023]:[2025]],MATCH(BD!U601&amp;"-Intermédiaire",TabRFR[Recherche RFR],0),MATCH(TEXT(YEAR(BD!D601),"Standard"),TabRFR[[#Headers],[2023]:[2025]],0)),"Intermédiaire","Supérieur")))))),IF(D601="","",IF(U601+V601&lt;15,"Données Nb pers ou RFR manquantes",IF(COUNTA(INDIRECT("TabRFR["&amp;YEAR(H601)&amp;"]"))&lt;&gt;COUNTA(TabRFR[Recherche RFR]),"Data RFR manquantes", IF(V601&lt;=INDEX(TabRFR[[2023]:[2025]],MATCH(BD!U601&amp;"-Très modestes",TabRFR[Recherche RFR],0),MATCH(TEXT(YEAR(BD!H601),"Standard"),TabRFR[[#Headers],[2023]:[2025]],0)),"Très Modeste",IF(V601&lt;=INDEX(TabRFR[[2023]:[2025]],MATCH(BD!U601&amp;"-modestes",TabRFR[Recherche RFR],0),MATCH(TEXT(YEAR(BD!H601),"Standard"),TabRFR[[#Headers],[2023]:[2025]],0)),"Modeste",IF(V601&lt;=INDEX(TabRFR[[2023]:[2025]],MATCH(BD!U601&amp;"-Intermédiaire",TabRFR[Recherche RFR],0),MATCH(TEXT(YEAR(BD!H601),"Standard"),TabRFR[[#Headers],[2023]:[2025]],0)),"Intermédiaire","Supérieur")))))))</f>
        <v>Modeste</v>
      </c>
      <c r="X601" s="144"/>
      <c r="Y601" s="135" t="s">
        <v>2645</v>
      </c>
      <c r="Z601" s="144">
        <v>38340</v>
      </c>
      <c r="AA601" s="135" t="s">
        <v>266</v>
      </c>
      <c r="AB601" s="148"/>
      <c r="AC601" s="194"/>
      <c r="AD601" s="135" t="s">
        <v>91</v>
      </c>
      <c r="AE601" s="135"/>
      <c r="AF601" s="135"/>
      <c r="AG601" s="135"/>
      <c r="AH601" s="135"/>
      <c r="AI601" s="135" t="str">
        <f>AI561</f>
        <v>ATRE DECORATION</v>
      </c>
      <c r="AJ601" s="135" t="s">
        <v>161</v>
      </c>
      <c r="AK601" s="135" t="str">
        <f>AK561</f>
        <v>Mr MOCELLIN</v>
      </c>
      <c r="AL601" s="192" t="str">
        <f>AL561</f>
        <v>godin-grenoble@orange.fr</v>
      </c>
      <c r="AM601" s="148" t="str">
        <f>AM561</f>
        <v>04 74 93 43 16</v>
      </c>
      <c r="AN601" s="135" t="s">
        <v>76</v>
      </c>
      <c r="AO601" s="193" t="str">
        <f>AO561</f>
        <v>oui</v>
      </c>
      <c r="AP601" s="135">
        <f>AP561</f>
        <v>45006</v>
      </c>
      <c r="AQ601" s="143" t="s">
        <v>3413</v>
      </c>
      <c r="AR601" s="143">
        <v>1997</v>
      </c>
      <c r="AS601" s="143" t="s">
        <v>3413</v>
      </c>
      <c r="AT601" s="135" t="s">
        <v>3446</v>
      </c>
      <c r="AU601" s="135" t="s">
        <v>164</v>
      </c>
      <c r="AV601" s="135" t="s">
        <v>2646</v>
      </c>
      <c r="AW601" s="143"/>
      <c r="AX601" s="143"/>
      <c r="AY601" s="143"/>
      <c r="AZ601" s="143"/>
      <c r="BA601" s="135" t="s">
        <v>101</v>
      </c>
      <c r="BB601" s="135"/>
      <c r="BC601" s="151">
        <f>5882+1795+442</f>
        <v>8119</v>
      </c>
      <c r="BD601" s="151"/>
      <c r="BE601" s="151">
        <v>996</v>
      </c>
      <c r="BF601" s="151">
        <f>BC601+BE601</f>
        <v>9115</v>
      </c>
      <c r="BG601" s="151">
        <f t="shared" si="46"/>
        <v>501.32499999999999</v>
      </c>
      <c r="BH601" s="151">
        <f t="shared" si="47"/>
        <v>9616.3250000000007</v>
      </c>
      <c r="BI601" s="151">
        <v>8734</v>
      </c>
      <c r="BJ601" s="135" t="s">
        <v>144</v>
      </c>
      <c r="BK601" s="135"/>
      <c r="BL601" s="135"/>
      <c r="BM601" s="144" t="s">
        <v>3592</v>
      </c>
      <c r="BN601" s="143">
        <v>2023</v>
      </c>
      <c r="BO601" s="135" t="s">
        <v>155</v>
      </c>
      <c r="BP601" s="144">
        <v>2023</v>
      </c>
      <c r="BQ601" s="203"/>
    </row>
    <row r="602" spans="1:69" ht="41.1" customHeight="1">
      <c r="A602" s="218" t="s">
        <v>1705</v>
      </c>
      <c r="B602" s="218" t="s">
        <v>2647</v>
      </c>
      <c r="C602" s="143">
        <f t="shared" ca="1" si="53"/>
        <v>600</v>
      </c>
      <c r="D602" s="135">
        <v>44999</v>
      </c>
      <c r="E602" s="135">
        <v>45007</v>
      </c>
      <c r="F602" s="135">
        <v>45008</v>
      </c>
      <c r="G602" s="135" t="s">
        <v>2648</v>
      </c>
      <c r="H602" s="135">
        <v>45012</v>
      </c>
      <c r="I602" s="135">
        <v>45012</v>
      </c>
      <c r="J602" s="135">
        <v>45020</v>
      </c>
      <c r="K602" s="135">
        <v>45155</v>
      </c>
      <c r="L602" s="135">
        <v>45147</v>
      </c>
      <c r="M602" s="135" t="s">
        <v>2649</v>
      </c>
      <c r="N602" s="135">
        <v>45173</v>
      </c>
      <c r="O602" s="135">
        <v>45173</v>
      </c>
      <c r="P602" s="135">
        <v>45194</v>
      </c>
      <c r="Q602" s="135"/>
      <c r="R602" s="135"/>
      <c r="S602" s="135"/>
      <c r="T602" s="135"/>
      <c r="U602" s="144">
        <v>2</v>
      </c>
      <c r="V602" s="143">
        <v>70033</v>
      </c>
      <c r="W602" s="143" t="str">
        <f ca="1">IF(H602="",IF(D602="","",IF(U602+V602&lt;15,"Données Nb pers ou RFR manquantes",IF(COUNTA(INDIRECT("TabRFR["&amp;YEAR(D602)&amp;"]"))&lt;&gt;COUNTA(TabRFR[Recherche RFR]),"Data RFR manquantes", IF(V602&lt;=INDEX(TabRFR[[2023]:[2025]],MATCH(BD!U602&amp;"-Très modestes",TabRFR[Recherche RFR],0),MATCH(TEXT(YEAR(BD!D602),"Standard"),TabRFR[[#Headers],[2023]:[2025]],0)),"Très Modeste",IF(V602&lt;=INDEX(TabRFR[[2023]:[2025]],MATCH(BD!U602&amp;"-modestes",TabRFR[Recherche RFR],0),MATCH(TEXT(YEAR(BD!D602),"Standard"),TabRFR[[#Headers],[2023]:[2025]],0)),"Modeste",IF(V602&lt;=INDEX(TabRFR[[2023]:[2025]],MATCH(BD!U602&amp;"-Intermédiaire",TabRFR[Recherche RFR],0),MATCH(TEXT(YEAR(BD!D602),"Standard"),TabRFR[[#Headers],[2023]:[2025]],0)),"Intermédiaire","Supérieur")))))),IF(D602="","",IF(U602+V602&lt;15,"Données Nb pers ou RFR manquantes",IF(COUNTA(INDIRECT("TabRFR["&amp;YEAR(H602)&amp;"]"))&lt;&gt;COUNTA(TabRFR[Recherche RFR]),"Data RFR manquantes", IF(V602&lt;=INDEX(TabRFR[[2023]:[2025]],MATCH(BD!U602&amp;"-Très modestes",TabRFR[Recherche RFR],0),MATCH(TEXT(YEAR(BD!H602),"Standard"),TabRFR[[#Headers],[2023]:[2025]],0)),"Très Modeste",IF(V602&lt;=INDEX(TabRFR[[2023]:[2025]],MATCH(BD!U602&amp;"-modestes",TabRFR[Recherche RFR],0),MATCH(TEXT(YEAR(BD!H602),"Standard"),TabRFR[[#Headers],[2023]:[2025]],0)),"Modeste",IF(V602&lt;=INDEX(TabRFR[[2023]:[2025]],MATCH(BD!U602&amp;"-Intermédiaire",TabRFR[Recherche RFR],0),MATCH(TEXT(YEAR(BD!H602),"Standard"),TabRFR[[#Headers],[2023]:[2025]],0)),"Intermédiaire","Supérieur")))))))</f>
        <v>Supérieur</v>
      </c>
      <c r="X602" s="144"/>
      <c r="Y602" s="135" t="s">
        <v>2650</v>
      </c>
      <c r="Z602" s="144">
        <v>38620</v>
      </c>
      <c r="AA602" s="135" t="s">
        <v>262</v>
      </c>
      <c r="AB602" s="148"/>
      <c r="AC602" s="169"/>
      <c r="AD602" s="135" t="s">
        <v>91</v>
      </c>
      <c r="AE602" s="135"/>
      <c r="AF602" s="135"/>
      <c r="AG602" s="135"/>
      <c r="AH602" s="135"/>
      <c r="AI602" s="135" t="s">
        <v>1988</v>
      </c>
      <c r="AJ602" s="135" t="s">
        <v>93</v>
      </c>
      <c r="AK602" s="135" t="str">
        <f>AK599</f>
        <v>Mr CARRE</v>
      </c>
      <c r="AL602" s="192" t="str">
        <f>AL599</f>
        <v>marketing@carre-f.com</v>
      </c>
      <c r="AM602" s="148" t="str">
        <f>AM599</f>
        <v>04 76 37 03 50</v>
      </c>
      <c r="AN602" s="135" t="s">
        <v>76</v>
      </c>
      <c r="AO602" s="193" t="str">
        <f>AO599</f>
        <v>oui</v>
      </c>
      <c r="AP602" s="135">
        <f>AP599</f>
        <v>45186</v>
      </c>
      <c r="AQ602" s="135" t="s">
        <v>3496</v>
      </c>
      <c r="AR602" s="143">
        <v>1986</v>
      </c>
      <c r="AS602" s="143" t="s">
        <v>3413</v>
      </c>
      <c r="AT602" s="135" t="s">
        <v>3446</v>
      </c>
      <c r="AU602" s="135" t="s">
        <v>385</v>
      </c>
      <c r="AV602" s="135" t="s">
        <v>2651</v>
      </c>
      <c r="AW602" s="143"/>
      <c r="AX602" s="143"/>
      <c r="AY602" s="143"/>
      <c r="AZ602" s="143"/>
      <c r="BA602" s="135" t="s">
        <v>101</v>
      </c>
      <c r="BB602" s="135"/>
      <c r="BC602" s="151">
        <f>2116+2620.5+158.1+160.4+64.7+122+48+198</f>
        <v>5487.7</v>
      </c>
      <c r="BD602" s="151"/>
      <c r="BE602" s="151">
        <v>690</v>
      </c>
      <c r="BF602" s="151">
        <f>BC602+BE602</f>
        <v>6177.7</v>
      </c>
      <c r="BG602" s="151">
        <f t="shared" si="46"/>
        <v>339.77350000000001</v>
      </c>
      <c r="BH602" s="151">
        <f t="shared" si="47"/>
        <v>6517.4735000000001</v>
      </c>
      <c r="BI602" s="151">
        <v>5194.82</v>
      </c>
      <c r="BJ602" s="135" t="s">
        <v>144</v>
      </c>
      <c r="BK602" s="135"/>
      <c r="BL602" s="135"/>
      <c r="BM602" s="144" t="s">
        <v>3592</v>
      </c>
      <c r="BN602" s="143">
        <v>2023</v>
      </c>
      <c r="BO602" s="135" t="s">
        <v>143</v>
      </c>
      <c r="BP602" s="144">
        <v>2023</v>
      </c>
      <c r="BQ602" s="203" t="s">
        <v>144</v>
      </c>
    </row>
    <row r="603" spans="1:69" ht="41.1" customHeight="1">
      <c r="A603" s="218" t="s">
        <v>1705</v>
      </c>
      <c r="B603" s="218" t="s">
        <v>2652</v>
      </c>
      <c r="C603" s="143">
        <f t="shared" ca="1" si="53"/>
        <v>600</v>
      </c>
      <c r="D603" s="135">
        <v>45002</v>
      </c>
      <c r="E603" s="135">
        <v>45007</v>
      </c>
      <c r="F603" s="135" t="s">
        <v>76</v>
      </c>
      <c r="G603" s="135" t="s">
        <v>76</v>
      </c>
      <c r="H603" s="135">
        <v>45008</v>
      </c>
      <c r="I603" s="135">
        <v>45008</v>
      </c>
      <c r="J603" s="135">
        <v>45027</v>
      </c>
      <c r="K603" s="135">
        <v>45245</v>
      </c>
      <c r="L603" s="135">
        <v>45216</v>
      </c>
      <c r="M603" s="135" t="s">
        <v>76</v>
      </c>
      <c r="N603" s="135">
        <v>45250</v>
      </c>
      <c r="O603" s="135">
        <v>45250</v>
      </c>
      <c r="P603" s="135">
        <v>45267</v>
      </c>
      <c r="Q603" s="135"/>
      <c r="R603" s="135"/>
      <c r="S603" s="135"/>
      <c r="T603" s="135"/>
      <c r="U603" s="144">
        <v>2</v>
      </c>
      <c r="V603" s="143">
        <f>18766+19645</f>
        <v>38411</v>
      </c>
      <c r="W603" s="143" t="str">
        <f ca="1">IF(H603="",IF(D603="","",IF(U603+V603&lt;15,"Données Nb pers ou RFR manquantes",IF(COUNTA(INDIRECT("TabRFR["&amp;YEAR(D603)&amp;"]"))&lt;&gt;COUNTA(TabRFR[Recherche RFR]),"Data RFR manquantes", IF(V603&lt;=INDEX(TabRFR[[2023]:[2025]],MATCH(BD!U603&amp;"-Très modestes",TabRFR[Recherche RFR],0),MATCH(TEXT(YEAR(BD!D603),"Standard"),TabRFR[[#Headers],[2023]:[2025]],0)),"Très Modeste",IF(V603&lt;=INDEX(TabRFR[[2023]:[2025]],MATCH(BD!U603&amp;"-modestes",TabRFR[Recherche RFR],0),MATCH(TEXT(YEAR(BD!D603),"Standard"),TabRFR[[#Headers],[2023]:[2025]],0)),"Modeste",IF(V603&lt;=INDEX(TabRFR[[2023]:[2025]],MATCH(BD!U603&amp;"-Intermédiaire",TabRFR[Recherche RFR],0),MATCH(TEXT(YEAR(BD!D603),"Standard"),TabRFR[[#Headers],[2023]:[2025]],0)),"Intermédiaire","Supérieur")))))),IF(D603="","",IF(U603+V603&lt;15,"Données Nb pers ou RFR manquantes",IF(COUNTA(INDIRECT("TabRFR["&amp;YEAR(H603)&amp;"]"))&lt;&gt;COUNTA(TabRFR[Recherche RFR]),"Data RFR manquantes", IF(V603&lt;=INDEX(TabRFR[[2023]:[2025]],MATCH(BD!U603&amp;"-Très modestes",TabRFR[Recherche RFR],0),MATCH(TEXT(YEAR(BD!H603),"Standard"),TabRFR[[#Headers],[2023]:[2025]],0)),"Très Modeste",IF(V603&lt;=INDEX(TabRFR[[2023]:[2025]],MATCH(BD!U603&amp;"-modestes",TabRFR[Recherche RFR],0),MATCH(TEXT(YEAR(BD!H603),"Standard"),TabRFR[[#Headers],[2023]:[2025]],0)),"Modeste",IF(V603&lt;=INDEX(TabRFR[[2023]:[2025]],MATCH(BD!U603&amp;"-Intermédiaire",TabRFR[Recherche RFR],0),MATCH(TEXT(YEAR(BD!H603),"Standard"),TabRFR[[#Headers],[2023]:[2025]],0)),"Intermédiaire","Supérieur")))))))</f>
        <v>Intermédiaire</v>
      </c>
      <c r="X603" s="144"/>
      <c r="Y603" s="135" t="s">
        <v>2653</v>
      </c>
      <c r="Z603" s="144">
        <v>38620</v>
      </c>
      <c r="AA603" s="135" t="s">
        <v>262</v>
      </c>
      <c r="AB603" s="148"/>
      <c r="AC603" s="169"/>
      <c r="AD603" s="135" t="s">
        <v>91</v>
      </c>
      <c r="AE603" s="135"/>
      <c r="AF603" s="135"/>
      <c r="AG603" s="135"/>
      <c r="AH603" s="135"/>
      <c r="AI603" s="135" t="s">
        <v>905</v>
      </c>
      <c r="AJ603" s="135" t="s">
        <v>136</v>
      </c>
      <c r="AK603" s="135" t="s">
        <v>1897</v>
      </c>
      <c r="AL603" s="169" t="s">
        <v>1898</v>
      </c>
      <c r="AM603" s="148">
        <v>681627199</v>
      </c>
      <c r="AN603" s="135" t="s">
        <v>76</v>
      </c>
      <c r="AO603" s="150" t="s">
        <v>144</v>
      </c>
      <c r="AP603" s="135">
        <v>45399</v>
      </c>
      <c r="AQ603" s="143" t="s">
        <v>3413</v>
      </c>
      <c r="AR603" s="143">
        <v>2000</v>
      </c>
      <c r="AS603" s="143" t="s">
        <v>3413</v>
      </c>
      <c r="AT603" s="135" t="s">
        <v>3446</v>
      </c>
      <c r="AU603" s="135" t="s">
        <v>2654</v>
      </c>
      <c r="AV603" s="135" t="s">
        <v>1899</v>
      </c>
      <c r="AW603" s="143"/>
      <c r="AX603" s="143"/>
      <c r="AY603" s="143"/>
      <c r="AZ603" s="143"/>
      <c r="BA603" s="135" t="s">
        <v>101</v>
      </c>
      <c r="BB603" s="135"/>
      <c r="BC603" s="151">
        <f>(1322.97+2354.76+444.16+266.92+147.7+237.38+143.48+71.74)/1.055</f>
        <v>4729.014218009479</v>
      </c>
      <c r="BD603" s="151"/>
      <c r="BE603" s="151">
        <f>(894.64)/1.055</f>
        <v>848</v>
      </c>
      <c r="BF603" s="151">
        <f>BC603+BE603-193.12</f>
        <v>5383.8942180094791</v>
      </c>
      <c r="BG603" s="151">
        <f t="shared" ref="BG603:BG630" si="56">BF603*0.055</f>
        <v>296.11418199052133</v>
      </c>
      <c r="BH603" s="151">
        <f t="shared" ref="BH603:BH629" si="57">BF603+BG603</f>
        <v>5680.0084000000006</v>
      </c>
      <c r="BI603" s="151">
        <v>5680</v>
      </c>
      <c r="BJ603" s="135" t="s">
        <v>1391</v>
      </c>
      <c r="BK603" s="135"/>
      <c r="BL603" s="135"/>
      <c r="BM603" s="144" t="s">
        <v>3592</v>
      </c>
      <c r="BN603" s="143">
        <v>2023</v>
      </c>
      <c r="BO603" s="135" t="s">
        <v>143</v>
      </c>
      <c r="BP603" s="144">
        <v>2023</v>
      </c>
      <c r="BQ603" s="203" t="s">
        <v>3274</v>
      </c>
    </row>
    <row r="604" spans="1:69" ht="41.1" customHeight="1">
      <c r="A604" s="218" t="s">
        <v>1705</v>
      </c>
      <c r="B604" s="218" t="s">
        <v>2655</v>
      </c>
      <c r="C604" s="143">
        <f t="shared" ca="1" si="53"/>
        <v>1000</v>
      </c>
      <c r="D604" s="135">
        <v>45002</v>
      </c>
      <c r="E604" s="135">
        <v>45007</v>
      </c>
      <c r="F604" s="135">
        <v>45008</v>
      </c>
      <c r="G604" s="135" t="s">
        <v>2656</v>
      </c>
      <c r="H604" s="135">
        <v>45012</v>
      </c>
      <c r="I604" s="135">
        <v>45012</v>
      </c>
      <c r="J604" s="135">
        <v>45020</v>
      </c>
      <c r="K604" s="135">
        <v>45071</v>
      </c>
      <c r="L604" s="135">
        <v>45069</v>
      </c>
      <c r="M604" s="135" t="s">
        <v>76</v>
      </c>
      <c r="N604" s="135">
        <v>45083</v>
      </c>
      <c r="O604" s="135">
        <v>45083</v>
      </c>
      <c r="P604" s="135">
        <v>45084</v>
      </c>
      <c r="Q604" s="135"/>
      <c r="R604" s="135"/>
      <c r="S604" s="135"/>
      <c r="T604" s="135"/>
      <c r="U604" s="144">
        <v>2</v>
      </c>
      <c r="V604" s="143">
        <v>9055</v>
      </c>
      <c r="W604" s="143" t="str">
        <f ca="1">IF(H604="",IF(D604="","",IF(U604+V604&lt;15,"Données Nb pers ou RFR manquantes",IF(COUNTA(INDIRECT("TabRFR["&amp;YEAR(D604)&amp;"]"))&lt;&gt;COUNTA(TabRFR[Recherche RFR]),"Data RFR manquantes", IF(V604&lt;=INDEX(TabRFR[[2023]:[2025]],MATCH(BD!U604&amp;"-Très modestes",TabRFR[Recherche RFR],0),MATCH(TEXT(YEAR(BD!D604),"Standard"),TabRFR[[#Headers],[2023]:[2025]],0)),"Très Modeste",IF(V604&lt;=INDEX(TabRFR[[2023]:[2025]],MATCH(BD!U604&amp;"-modestes",TabRFR[Recherche RFR],0),MATCH(TEXT(YEAR(BD!D604),"Standard"),TabRFR[[#Headers],[2023]:[2025]],0)),"Modeste",IF(V604&lt;=INDEX(TabRFR[[2023]:[2025]],MATCH(BD!U604&amp;"-Intermédiaire",TabRFR[Recherche RFR],0),MATCH(TEXT(YEAR(BD!D604),"Standard"),TabRFR[[#Headers],[2023]:[2025]],0)),"Intermédiaire","Supérieur")))))),IF(D604="","",IF(U604+V604&lt;15,"Données Nb pers ou RFR manquantes",IF(COUNTA(INDIRECT("TabRFR["&amp;YEAR(H604)&amp;"]"))&lt;&gt;COUNTA(TabRFR[Recherche RFR]),"Data RFR manquantes", IF(V604&lt;=INDEX(TabRFR[[2023]:[2025]],MATCH(BD!U604&amp;"-Très modestes",TabRFR[Recherche RFR],0),MATCH(TEXT(YEAR(BD!H604),"Standard"),TabRFR[[#Headers],[2023]:[2025]],0)),"Très Modeste",IF(V604&lt;=INDEX(TabRFR[[2023]:[2025]],MATCH(BD!U604&amp;"-modestes",TabRFR[Recherche RFR],0),MATCH(TEXT(YEAR(BD!H604),"Standard"),TabRFR[[#Headers],[2023]:[2025]],0)),"Modeste",IF(V604&lt;=INDEX(TabRFR[[2023]:[2025]],MATCH(BD!U604&amp;"-Intermédiaire",TabRFR[Recherche RFR],0),MATCH(TEXT(YEAR(BD!H604),"Standard"),TabRFR[[#Headers],[2023]:[2025]],0)),"Intermédiaire","Supérieur")))))))</f>
        <v>Très Modeste</v>
      </c>
      <c r="X604" s="144"/>
      <c r="Y604" s="135" t="s">
        <v>2657</v>
      </c>
      <c r="Z604" s="144">
        <v>38210</v>
      </c>
      <c r="AA604" s="135" t="s">
        <v>202</v>
      </c>
      <c r="AB604" s="148"/>
      <c r="AC604" s="169"/>
      <c r="AD604" s="135" t="s">
        <v>414</v>
      </c>
      <c r="AE604" s="144">
        <v>1032</v>
      </c>
      <c r="AF604" s="143" t="s">
        <v>462</v>
      </c>
      <c r="AG604" s="144">
        <v>38210</v>
      </c>
      <c r="AH604" s="144" t="s">
        <v>202</v>
      </c>
      <c r="AI604" s="135" t="str">
        <f t="shared" ref="AI604:AP604" si="58">AI597</f>
        <v>JACQU'CHEMINEES</v>
      </c>
      <c r="AJ604" s="135" t="s">
        <v>119</v>
      </c>
      <c r="AK604" s="135" t="str">
        <f t="shared" si="58"/>
        <v>Mr FAURE</v>
      </c>
      <c r="AL604" s="192" t="str">
        <f t="shared" si="58"/>
        <v>jacques.faure24@wanadoo.fr</v>
      </c>
      <c r="AM604" s="148" t="str">
        <f t="shared" si="58"/>
        <v>04 76 35 56 05</v>
      </c>
      <c r="AN604" s="135" t="str">
        <f t="shared" si="58"/>
        <v>-</v>
      </c>
      <c r="AO604" s="193" t="str">
        <f t="shared" si="58"/>
        <v>oui</v>
      </c>
      <c r="AP604" s="135">
        <f t="shared" si="58"/>
        <v>45248</v>
      </c>
      <c r="AQ604" s="135" t="s">
        <v>3496</v>
      </c>
      <c r="AR604" s="143">
        <v>1985</v>
      </c>
      <c r="AS604" s="135" t="s">
        <v>3496</v>
      </c>
      <c r="AT604" s="135" t="s">
        <v>3446</v>
      </c>
      <c r="AU604" s="135" t="s">
        <v>173</v>
      </c>
      <c r="AV604" s="135" t="s">
        <v>2658</v>
      </c>
      <c r="AW604" s="143"/>
      <c r="AX604" s="143"/>
      <c r="AY604" s="143"/>
      <c r="AZ604" s="143"/>
      <c r="BA604" s="135" t="s">
        <v>101</v>
      </c>
      <c r="BB604" s="135"/>
      <c r="BC604" s="151">
        <f>382.94+480+35.5+74.8+99.09+465.75+1800+490.56+114+88.8+165+99.09</f>
        <v>4295.5300000000007</v>
      </c>
      <c r="BD604" s="151"/>
      <c r="BE604" s="151">
        <v>950</v>
      </c>
      <c r="BF604" s="151">
        <f>BC604+BE604</f>
        <v>5245.5300000000007</v>
      </c>
      <c r="BG604" s="151">
        <f t="shared" si="56"/>
        <v>288.50415000000004</v>
      </c>
      <c r="BH604" s="151">
        <f t="shared" si="57"/>
        <v>5534.0341500000004</v>
      </c>
      <c r="BI604" s="151">
        <v>5534.03</v>
      </c>
      <c r="BJ604" s="135" t="s">
        <v>1391</v>
      </c>
      <c r="BK604" s="135"/>
      <c r="BL604" s="135"/>
      <c r="BM604" s="144" t="s">
        <v>3592</v>
      </c>
      <c r="BN604" s="143">
        <v>2023</v>
      </c>
      <c r="BO604" s="135" t="s">
        <v>155</v>
      </c>
      <c r="BP604" s="144">
        <v>2023</v>
      </c>
      <c r="BQ604" s="203" t="s">
        <v>3274</v>
      </c>
    </row>
    <row r="605" spans="1:69" ht="41.1" customHeight="1">
      <c r="A605" s="218" t="s">
        <v>1705</v>
      </c>
      <c r="B605" s="218" t="s">
        <v>2659</v>
      </c>
      <c r="C605" s="143">
        <f t="shared" ca="1" si="53"/>
        <v>1000</v>
      </c>
      <c r="D605" s="135">
        <v>45002</v>
      </c>
      <c r="E605" s="135">
        <v>45007</v>
      </c>
      <c r="F605" s="135" t="s">
        <v>76</v>
      </c>
      <c r="G605" s="135" t="s">
        <v>76</v>
      </c>
      <c r="H605" s="135">
        <v>45008</v>
      </c>
      <c r="I605" s="135">
        <v>45008</v>
      </c>
      <c r="J605" s="135">
        <v>45027</v>
      </c>
      <c r="K605" s="135">
        <v>45117</v>
      </c>
      <c r="L605" s="135">
        <v>45096</v>
      </c>
      <c r="M605" s="135" t="s">
        <v>76</v>
      </c>
      <c r="N605" s="135">
        <v>45120</v>
      </c>
      <c r="O605" s="135">
        <v>45120</v>
      </c>
      <c r="P605" s="135">
        <v>45126</v>
      </c>
      <c r="Q605" s="135"/>
      <c r="R605" s="135"/>
      <c r="S605" s="135"/>
      <c r="T605" s="135"/>
      <c r="U605" s="144">
        <v>1</v>
      </c>
      <c r="V605" s="143">
        <v>17288</v>
      </c>
      <c r="W605" s="143" t="str">
        <f ca="1">IF(H605="",IF(D605="","",IF(U605+V605&lt;15,"Données Nb pers ou RFR manquantes",IF(COUNTA(INDIRECT("TabRFR["&amp;YEAR(D605)&amp;"]"))&lt;&gt;COUNTA(TabRFR[Recherche RFR]),"Data RFR manquantes", IF(V605&lt;=INDEX(TabRFR[[2023]:[2025]],MATCH(BD!U605&amp;"-Très modestes",TabRFR[Recherche RFR],0),MATCH(TEXT(YEAR(BD!D605),"Standard"),TabRFR[[#Headers],[2023]:[2025]],0)),"Très Modeste",IF(V605&lt;=INDEX(TabRFR[[2023]:[2025]],MATCH(BD!U605&amp;"-modestes",TabRFR[Recherche RFR],0),MATCH(TEXT(YEAR(BD!D605),"Standard"),TabRFR[[#Headers],[2023]:[2025]],0)),"Modeste",IF(V605&lt;=INDEX(TabRFR[[2023]:[2025]],MATCH(BD!U605&amp;"-Intermédiaire",TabRFR[Recherche RFR],0),MATCH(TEXT(YEAR(BD!D605),"Standard"),TabRFR[[#Headers],[2023]:[2025]],0)),"Intermédiaire","Supérieur")))))),IF(D605="","",IF(U605+V605&lt;15,"Données Nb pers ou RFR manquantes",IF(COUNTA(INDIRECT("TabRFR["&amp;YEAR(H605)&amp;"]"))&lt;&gt;COUNTA(TabRFR[Recherche RFR]),"Data RFR manquantes", IF(V605&lt;=INDEX(TabRFR[[2023]:[2025]],MATCH(BD!U605&amp;"-Très modestes",TabRFR[Recherche RFR],0),MATCH(TEXT(YEAR(BD!H605),"Standard"),TabRFR[[#Headers],[2023]:[2025]],0)),"Très Modeste",IF(V605&lt;=INDEX(TabRFR[[2023]:[2025]],MATCH(BD!U605&amp;"-modestes",TabRFR[Recherche RFR],0),MATCH(TEXT(YEAR(BD!H605),"Standard"),TabRFR[[#Headers],[2023]:[2025]],0)),"Modeste",IF(V605&lt;=INDEX(TabRFR[[2023]:[2025]],MATCH(BD!U605&amp;"-Intermédiaire",TabRFR[Recherche RFR],0),MATCH(TEXT(YEAR(BD!H605),"Standard"),TabRFR[[#Headers],[2023]:[2025]],0)),"Intermédiaire","Supérieur")))))))</f>
        <v>Modeste</v>
      </c>
      <c r="X605" s="144"/>
      <c r="Y605" s="195" t="s">
        <v>936</v>
      </c>
      <c r="Z605" s="144">
        <v>38500</v>
      </c>
      <c r="AA605" s="135" t="s">
        <v>108</v>
      </c>
      <c r="AB605" s="148"/>
      <c r="AC605" s="196"/>
      <c r="AD605" s="135" t="s">
        <v>91</v>
      </c>
      <c r="AE605" s="135"/>
      <c r="AF605" s="135"/>
      <c r="AG605" s="144"/>
      <c r="AH605" s="135"/>
      <c r="AI605" s="135" t="str">
        <f t="shared" ref="AI605:AP605" si="59">AI604</f>
        <v>JACQU'CHEMINEES</v>
      </c>
      <c r="AJ605" s="135" t="s">
        <v>119</v>
      </c>
      <c r="AK605" s="135" t="str">
        <f t="shared" si="59"/>
        <v>Mr FAURE</v>
      </c>
      <c r="AL605" s="135" t="str">
        <f t="shared" si="59"/>
        <v>jacques.faure24@wanadoo.fr</v>
      </c>
      <c r="AM605" s="148" t="str">
        <f t="shared" si="59"/>
        <v>04 76 35 56 05</v>
      </c>
      <c r="AN605" s="135" t="str">
        <f t="shared" si="59"/>
        <v>-</v>
      </c>
      <c r="AO605" s="135" t="str">
        <f t="shared" si="59"/>
        <v>oui</v>
      </c>
      <c r="AP605" s="135">
        <f t="shared" si="59"/>
        <v>45248</v>
      </c>
      <c r="AQ605" s="143" t="s">
        <v>3413</v>
      </c>
      <c r="AR605" s="143">
        <v>1985</v>
      </c>
      <c r="AS605" s="143" t="s">
        <v>3413</v>
      </c>
      <c r="AT605" s="135" t="s">
        <v>3446</v>
      </c>
      <c r="AU605" s="135" t="s">
        <v>2042</v>
      </c>
      <c r="AV605" s="135" t="s">
        <v>2660</v>
      </c>
      <c r="AW605" s="143"/>
      <c r="AX605" s="143"/>
      <c r="AY605" s="143"/>
      <c r="AZ605" s="143"/>
      <c r="BA605" s="135" t="s">
        <v>101</v>
      </c>
      <c r="BB605" s="135"/>
      <c r="BC605" s="151">
        <f>540+74.8+35.5+99.09+114+72.36+28.5+65.35+550+3900+128+78.35+45.35</f>
        <v>5731.3000000000011</v>
      </c>
      <c r="BD605" s="151"/>
      <c r="BE605" s="151">
        <v>525</v>
      </c>
      <c r="BF605" s="151">
        <f>BC605+BE605</f>
        <v>6256.3000000000011</v>
      </c>
      <c r="BG605" s="151">
        <f t="shared" si="56"/>
        <v>344.09650000000005</v>
      </c>
      <c r="BH605" s="151">
        <f t="shared" si="57"/>
        <v>6600.3965000000007</v>
      </c>
      <c r="BI605" s="151">
        <v>6600.4</v>
      </c>
      <c r="BJ605" s="135" t="s">
        <v>144</v>
      </c>
      <c r="BK605" s="135"/>
      <c r="BL605" s="135"/>
      <c r="BM605" s="144" t="s">
        <v>3592</v>
      </c>
      <c r="BN605" s="143">
        <v>2023</v>
      </c>
      <c r="BO605" s="135" t="s">
        <v>155</v>
      </c>
      <c r="BP605" s="144">
        <v>2023</v>
      </c>
      <c r="BQ605" s="203" t="s">
        <v>144</v>
      </c>
    </row>
    <row r="606" spans="1:69" ht="41.1" customHeight="1">
      <c r="A606" s="218" t="s">
        <v>1705</v>
      </c>
      <c r="B606" s="218" t="s">
        <v>2661</v>
      </c>
      <c r="C606" s="143">
        <f t="shared" ca="1" si="53"/>
        <v>1000</v>
      </c>
      <c r="D606" s="135">
        <v>45004</v>
      </c>
      <c r="E606" s="135">
        <v>45007</v>
      </c>
      <c r="F606" s="135">
        <v>45008</v>
      </c>
      <c r="G606" s="135" t="s">
        <v>2507</v>
      </c>
      <c r="H606" s="135">
        <v>45012</v>
      </c>
      <c r="I606" s="135">
        <v>45012</v>
      </c>
      <c r="J606" s="135">
        <v>45020</v>
      </c>
      <c r="K606" s="135">
        <v>45103</v>
      </c>
      <c r="L606" s="135">
        <v>45099</v>
      </c>
      <c r="M606" s="135" t="s">
        <v>76</v>
      </c>
      <c r="N606" s="135">
        <v>45120</v>
      </c>
      <c r="O606" s="135">
        <v>45120</v>
      </c>
      <c r="P606" s="135">
        <v>45126</v>
      </c>
      <c r="Q606" s="135"/>
      <c r="R606" s="135"/>
      <c r="S606" s="135"/>
      <c r="T606" s="135"/>
      <c r="U606" s="144">
        <v>2</v>
      </c>
      <c r="V606" s="143">
        <v>27114</v>
      </c>
      <c r="W606" s="143" t="str">
        <f ca="1">IF(H606="",IF(D606="","",IF(U606+V606&lt;15,"Données Nb pers ou RFR manquantes",IF(COUNTA(INDIRECT("TabRFR["&amp;YEAR(D606)&amp;"]"))&lt;&gt;COUNTA(TabRFR[Recherche RFR]),"Data RFR manquantes", IF(V606&lt;=INDEX(TabRFR[[2023]:[2025]],MATCH(BD!U606&amp;"-Très modestes",TabRFR[Recherche RFR],0),MATCH(TEXT(YEAR(BD!D606),"Standard"),TabRFR[[#Headers],[2023]:[2025]],0)),"Très Modeste",IF(V606&lt;=INDEX(TabRFR[[2023]:[2025]],MATCH(BD!U606&amp;"-modestes",TabRFR[Recherche RFR],0),MATCH(TEXT(YEAR(BD!D606),"Standard"),TabRFR[[#Headers],[2023]:[2025]],0)),"Modeste",IF(V606&lt;=INDEX(TabRFR[[2023]:[2025]],MATCH(BD!U606&amp;"-Intermédiaire",TabRFR[Recherche RFR],0),MATCH(TEXT(YEAR(BD!D606),"Standard"),TabRFR[[#Headers],[2023]:[2025]],0)),"Intermédiaire","Supérieur")))))),IF(D606="","",IF(U606+V606&lt;15,"Données Nb pers ou RFR manquantes",IF(COUNTA(INDIRECT("TabRFR["&amp;YEAR(H606)&amp;"]"))&lt;&gt;COUNTA(TabRFR[Recherche RFR]),"Data RFR manquantes", IF(V606&lt;=INDEX(TabRFR[[2023]:[2025]],MATCH(BD!U606&amp;"-Très modestes",TabRFR[Recherche RFR],0),MATCH(TEXT(YEAR(BD!H606),"Standard"),TabRFR[[#Headers],[2023]:[2025]],0)),"Très Modeste",IF(V606&lt;=INDEX(TabRFR[[2023]:[2025]],MATCH(BD!U606&amp;"-modestes",TabRFR[Recherche RFR],0),MATCH(TEXT(YEAR(BD!H606),"Standard"),TabRFR[[#Headers],[2023]:[2025]],0)),"Modeste",IF(V606&lt;=INDEX(TabRFR[[2023]:[2025]],MATCH(BD!U606&amp;"-Intermédiaire",TabRFR[Recherche RFR],0),MATCH(TEXT(YEAR(BD!H606),"Standard"),TabRFR[[#Headers],[2023]:[2025]],0)),"Intermédiaire","Supérieur")))))))</f>
        <v>Modeste</v>
      </c>
      <c r="X606" s="144"/>
      <c r="Y606" s="135" t="s">
        <v>2662</v>
      </c>
      <c r="Z606" s="144">
        <v>38500</v>
      </c>
      <c r="AA606" s="135" t="s">
        <v>108</v>
      </c>
      <c r="AB606" s="148"/>
      <c r="AC606" s="169"/>
      <c r="AD606" s="135" t="s">
        <v>91</v>
      </c>
      <c r="AE606" s="135"/>
      <c r="AF606" s="135"/>
      <c r="AG606" s="144"/>
      <c r="AH606" s="135"/>
      <c r="AI606" s="135" t="s">
        <v>1764</v>
      </c>
      <c r="AJ606" s="135" t="s">
        <v>299</v>
      </c>
      <c r="AK606" s="135" t="s">
        <v>1765</v>
      </c>
      <c r="AL606" s="169" t="s">
        <v>301</v>
      </c>
      <c r="AM606" s="148">
        <v>479750979</v>
      </c>
      <c r="AN606" s="135" t="s">
        <v>76</v>
      </c>
      <c r="AO606" s="135" t="s">
        <v>102</v>
      </c>
      <c r="AP606" s="135">
        <v>45163</v>
      </c>
      <c r="AQ606" s="135" t="s">
        <v>3496</v>
      </c>
      <c r="AR606" s="143">
        <v>1989</v>
      </c>
      <c r="AS606" s="143" t="s">
        <v>3413</v>
      </c>
      <c r="AT606" s="143" t="s">
        <v>98</v>
      </c>
      <c r="AU606" s="135" t="s">
        <v>1328</v>
      </c>
      <c r="AV606" s="135" t="s">
        <v>2663</v>
      </c>
      <c r="AW606" s="135"/>
      <c r="AX606" s="135"/>
      <c r="AY606" s="135"/>
      <c r="AZ606" s="135"/>
      <c r="BA606" s="135" t="s">
        <v>101</v>
      </c>
      <c r="BB606" s="135"/>
      <c r="BC606" s="151">
        <f>110+126+41+320+148+280+236+616+3347.5+1.67</f>
        <v>5226.17</v>
      </c>
      <c r="BD606" s="151"/>
      <c r="BE606" s="151">
        <f>55+870+480</f>
        <v>1405</v>
      </c>
      <c r="BF606" s="151">
        <f>BC606+BE606</f>
        <v>6631.17</v>
      </c>
      <c r="BG606" s="151">
        <f t="shared" si="56"/>
        <v>364.71435000000002</v>
      </c>
      <c r="BH606" s="151">
        <f t="shared" si="57"/>
        <v>6995.8843500000003</v>
      </c>
      <c r="BI606" s="151">
        <v>3697.12</v>
      </c>
      <c r="BJ606" s="135" t="s">
        <v>1391</v>
      </c>
      <c r="BK606" s="135"/>
      <c r="BL606" s="135"/>
      <c r="BM606" s="144" t="s">
        <v>3592</v>
      </c>
      <c r="BN606" s="143">
        <v>2023</v>
      </c>
      <c r="BO606" s="135" t="s">
        <v>155</v>
      </c>
      <c r="BP606" s="143" t="s">
        <v>3583</v>
      </c>
      <c r="BQ606" s="203" t="s">
        <v>3274</v>
      </c>
    </row>
    <row r="607" spans="1:69" ht="41.1" customHeight="1">
      <c r="A607" s="218" t="s">
        <v>1705</v>
      </c>
      <c r="B607" s="218" t="s">
        <v>2664</v>
      </c>
      <c r="C607" s="143">
        <f t="shared" ca="1" si="53"/>
        <v>600</v>
      </c>
      <c r="D607" s="135">
        <v>45007</v>
      </c>
      <c r="E607" s="135">
        <v>45016</v>
      </c>
      <c r="F607" s="135" t="s">
        <v>76</v>
      </c>
      <c r="G607" s="135" t="s">
        <v>76</v>
      </c>
      <c r="H607" s="135">
        <v>45023</v>
      </c>
      <c r="I607" s="135">
        <v>45023</v>
      </c>
      <c r="J607" s="135">
        <v>45040</v>
      </c>
      <c r="K607" s="135">
        <v>45169</v>
      </c>
      <c r="L607" s="135">
        <v>45166</v>
      </c>
      <c r="M607" s="135" t="s">
        <v>76</v>
      </c>
      <c r="N607" s="135">
        <v>45173</v>
      </c>
      <c r="O607" s="135">
        <v>45173</v>
      </c>
      <c r="P607" s="135">
        <v>45194</v>
      </c>
      <c r="Q607" s="135"/>
      <c r="R607" s="135"/>
      <c r="S607" s="135"/>
      <c r="T607" s="135"/>
      <c r="U607" s="144">
        <v>2</v>
      </c>
      <c r="V607" s="143">
        <v>78316</v>
      </c>
      <c r="W607" s="143" t="str">
        <f ca="1">IF(H607="",IF(D607="","",IF(U607+V607&lt;15,"Données Nb pers ou RFR manquantes",IF(COUNTA(INDIRECT("TabRFR["&amp;YEAR(D607)&amp;"]"))&lt;&gt;COUNTA(TabRFR[Recherche RFR]),"Data RFR manquantes", IF(V607&lt;=INDEX(TabRFR[[2023]:[2025]],MATCH(BD!U607&amp;"-Très modestes",TabRFR[Recherche RFR],0),MATCH(TEXT(YEAR(BD!D607),"Standard"),TabRFR[[#Headers],[2023]:[2025]],0)),"Très Modeste",IF(V607&lt;=INDEX(TabRFR[[2023]:[2025]],MATCH(BD!U607&amp;"-modestes",TabRFR[Recherche RFR],0),MATCH(TEXT(YEAR(BD!D607),"Standard"),TabRFR[[#Headers],[2023]:[2025]],0)),"Modeste",IF(V607&lt;=INDEX(TabRFR[[2023]:[2025]],MATCH(BD!U607&amp;"-Intermédiaire",TabRFR[Recherche RFR],0),MATCH(TEXT(YEAR(BD!D607),"Standard"),TabRFR[[#Headers],[2023]:[2025]],0)),"Intermédiaire","Supérieur")))))),IF(D607="","",IF(U607+V607&lt;15,"Données Nb pers ou RFR manquantes",IF(COUNTA(INDIRECT("TabRFR["&amp;YEAR(H607)&amp;"]"))&lt;&gt;COUNTA(TabRFR[Recherche RFR]),"Data RFR manquantes", IF(V607&lt;=INDEX(TabRFR[[2023]:[2025]],MATCH(BD!U607&amp;"-Très modestes",TabRFR[Recherche RFR],0),MATCH(TEXT(YEAR(BD!H607),"Standard"),TabRFR[[#Headers],[2023]:[2025]],0)),"Très Modeste",IF(V607&lt;=INDEX(TabRFR[[2023]:[2025]],MATCH(BD!U607&amp;"-modestes",TabRFR[Recherche RFR],0),MATCH(TEXT(YEAR(BD!H607),"Standard"),TabRFR[[#Headers],[2023]:[2025]],0)),"Modeste",IF(V607&lt;=INDEX(TabRFR[[2023]:[2025]],MATCH(BD!U607&amp;"-Intermédiaire",TabRFR[Recherche RFR],0),MATCH(TEXT(YEAR(BD!H607),"Standard"),TabRFR[[#Headers],[2023]:[2025]],0)),"Intermédiaire","Supérieur")))))))</f>
        <v>Supérieur</v>
      </c>
      <c r="X607" s="144"/>
      <c r="Y607" s="135" t="s">
        <v>2665</v>
      </c>
      <c r="Z607" s="144">
        <v>37100</v>
      </c>
      <c r="AA607" s="135" t="s">
        <v>2666</v>
      </c>
      <c r="AB607" s="148"/>
      <c r="AC607" s="169"/>
      <c r="AD607" s="135" t="s">
        <v>414</v>
      </c>
      <c r="AE607" s="144">
        <v>56</v>
      </c>
      <c r="AF607" s="135" t="s">
        <v>787</v>
      </c>
      <c r="AG607" s="144">
        <v>38430</v>
      </c>
      <c r="AH607" s="135" t="s">
        <v>119</v>
      </c>
      <c r="AI607" s="135" t="str">
        <f t="shared" ref="AI607:AP607" si="60">AI606</f>
        <v>SARL ENERLOGIS</v>
      </c>
      <c r="AJ607" s="135" t="s">
        <v>299</v>
      </c>
      <c r="AK607" s="135" t="str">
        <f t="shared" si="60"/>
        <v>M. MICHEL</v>
      </c>
      <c r="AL607" s="192" t="str">
        <f t="shared" si="60"/>
        <v>enerlogis@orange.fr</v>
      </c>
      <c r="AM607" s="148">
        <f t="shared" si="60"/>
        <v>479750979</v>
      </c>
      <c r="AN607" s="135" t="str">
        <f t="shared" si="60"/>
        <v>-</v>
      </c>
      <c r="AO607" s="193" t="str">
        <f t="shared" si="60"/>
        <v>oui</v>
      </c>
      <c r="AP607" s="135">
        <f t="shared" si="60"/>
        <v>45163</v>
      </c>
      <c r="AQ607" s="135" t="s">
        <v>3496</v>
      </c>
      <c r="AR607" s="143" t="s">
        <v>2667</v>
      </c>
      <c r="AS607" s="135" t="s">
        <v>3496</v>
      </c>
      <c r="AT607" s="135" t="s">
        <v>3446</v>
      </c>
      <c r="AU607" s="135" t="s">
        <v>319</v>
      </c>
      <c r="AV607" s="135" t="s">
        <v>2668</v>
      </c>
      <c r="AW607" s="135"/>
      <c r="AX607" s="135"/>
      <c r="AY607" s="135"/>
      <c r="AZ607" s="135"/>
      <c r="BA607" s="135" t="s">
        <v>101</v>
      </c>
      <c r="BB607" s="135"/>
      <c r="BC607" s="151">
        <f>380+440.6+71.09+2350+183.36+148+76.4+147.15</f>
        <v>3796.6000000000004</v>
      </c>
      <c r="BD607" s="151"/>
      <c r="BE607" s="151">
        <v>1080</v>
      </c>
      <c r="BF607" s="151">
        <f>BC607+BE607</f>
        <v>4876.6000000000004</v>
      </c>
      <c r="BG607" s="151">
        <f t="shared" si="56"/>
        <v>268.21300000000002</v>
      </c>
      <c r="BH607" s="151">
        <f t="shared" si="57"/>
        <v>5144.8130000000001</v>
      </c>
      <c r="BI607" s="151">
        <v>5144.8100000000004</v>
      </c>
      <c r="BJ607" s="135" t="s">
        <v>144</v>
      </c>
      <c r="BK607" s="135"/>
      <c r="BL607" s="135"/>
      <c r="BM607" s="144" t="s">
        <v>3592</v>
      </c>
      <c r="BN607" s="143">
        <v>2023</v>
      </c>
      <c r="BO607" s="135" t="s">
        <v>143</v>
      </c>
      <c r="BP607" s="144">
        <v>2023</v>
      </c>
      <c r="BQ607" s="203" t="s">
        <v>144</v>
      </c>
    </row>
    <row r="608" spans="1:69" ht="41.1" customHeight="1">
      <c r="A608" s="218" t="s">
        <v>1705</v>
      </c>
      <c r="B608" s="218" t="s">
        <v>2669</v>
      </c>
      <c r="C608" s="143">
        <f t="shared" ca="1" si="53"/>
        <v>1000</v>
      </c>
      <c r="D608" s="135">
        <v>45009</v>
      </c>
      <c r="E608" s="135">
        <v>45016</v>
      </c>
      <c r="F608" s="135">
        <v>45023</v>
      </c>
      <c r="G608" s="135" t="s">
        <v>2670</v>
      </c>
      <c r="H608" s="135">
        <v>45029</v>
      </c>
      <c r="I608" s="135">
        <v>45029</v>
      </c>
      <c r="J608" s="135">
        <v>45040</v>
      </c>
      <c r="K608" s="135">
        <v>45090</v>
      </c>
      <c r="L608" s="135">
        <v>45056</v>
      </c>
      <c r="M608" s="135" t="s">
        <v>76</v>
      </c>
      <c r="N608" s="135">
        <v>45090</v>
      </c>
      <c r="O608" s="135">
        <v>45090</v>
      </c>
      <c r="P608" s="135">
        <v>45091</v>
      </c>
      <c r="Q608" s="135"/>
      <c r="R608" s="135"/>
      <c r="S608" s="135"/>
      <c r="T608" s="135"/>
      <c r="U608" s="144">
        <v>3</v>
      </c>
      <c r="V608" s="143">
        <v>15087</v>
      </c>
      <c r="W608" s="143" t="str">
        <f ca="1">IF(H608="",IF(D608="","",IF(U608+V608&lt;15,"Données Nb pers ou RFR manquantes",IF(COUNTA(INDIRECT("TabRFR["&amp;YEAR(D608)&amp;"]"))&lt;&gt;COUNTA(TabRFR[Recherche RFR]),"Data RFR manquantes", IF(V608&lt;=INDEX(TabRFR[[2023]:[2025]],MATCH(BD!U608&amp;"-Très modestes",TabRFR[Recherche RFR],0),MATCH(TEXT(YEAR(BD!D608),"Standard"),TabRFR[[#Headers],[2023]:[2025]],0)),"Très Modeste",IF(V608&lt;=INDEX(TabRFR[[2023]:[2025]],MATCH(BD!U608&amp;"-modestes",TabRFR[Recherche RFR],0),MATCH(TEXT(YEAR(BD!D608),"Standard"),TabRFR[[#Headers],[2023]:[2025]],0)),"Modeste",IF(V608&lt;=INDEX(TabRFR[[2023]:[2025]],MATCH(BD!U608&amp;"-Intermédiaire",TabRFR[Recherche RFR],0),MATCH(TEXT(YEAR(BD!D608),"Standard"),TabRFR[[#Headers],[2023]:[2025]],0)),"Intermédiaire","Supérieur")))))),IF(D608="","",IF(U608+V608&lt;15,"Données Nb pers ou RFR manquantes",IF(COUNTA(INDIRECT("TabRFR["&amp;YEAR(H608)&amp;"]"))&lt;&gt;COUNTA(TabRFR[Recherche RFR]),"Data RFR manquantes", IF(V608&lt;=INDEX(TabRFR[[2023]:[2025]],MATCH(BD!U608&amp;"-Très modestes",TabRFR[Recherche RFR],0),MATCH(TEXT(YEAR(BD!H608),"Standard"),TabRFR[[#Headers],[2023]:[2025]],0)),"Très Modeste",IF(V608&lt;=INDEX(TabRFR[[2023]:[2025]],MATCH(BD!U608&amp;"-modestes",TabRFR[Recherche RFR],0),MATCH(TEXT(YEAR(BD!H608),"Standard"),TabRFR[[#Headers],[2023]:[2025]],0)),"Modeste",IF(V608&lt;=INDEX(TabRFR[[2023]:[2025]],MATCH(BD!U608&amp;"-Intermédiaire",TabRFR[Recherche RFR],0),MATCH(TEXT(YEAR(BD!H608),"Standard"),TabRFR[[#Headers],[2023]:[2025]],0)),"Intermédiaire","Supérieur")))))))</f>
        <v>Très Modeste</v>
      </c>
      <c r="X608" s="144"/>
      <c r="Y608" s="135" t="s">
        <v>2671</v>
      </c>
      <c r="Z608" s="144">
        <v>38140</v>
      </c>
      <c r="AA608" s="135" t="s">
        <v>504</v>
      </c>
      <c r="AB608" s="148"/>
      <c r="AC608" s="169"/>
      <c r="AD608" s="135" t="s">
        <v>91</v>
      </c>
      <c r="AE608" s="144"/>
      <c r="AF608" s="135"/>
      <c r="AG608" s="144"/>
      <c r="AH608" s="135"/>
      <c r="AI608" s="135" t="s">
        <v>544</v>
      </c>
      <c r="AJ608" s="135" t="s">
        <v>545</v>
      </c>
      <c r="AK608" s="135" t="s">
        <v>546</v>
      </c>
      <c r="AL608" s="169" t="s">
        <v>2672</v>
      </c>
      <c r="AM608" s="148">
        <v>970825050</v>
      </c>
      <c r="AN608" s="135" t="s">
        <v>76</v>
      </c>
      <c r="AO608" s="150" t="s">
        <v>144</v>
      </c>
      <c r="AP608" s="135" t="s">
        <v>2601</v>
      </c>
      <c r="AQ608" s="135" t="s">
        <v>3496</v>
      </c>
      <c r="AR608" s="143" t="s">
        <v>1794</v>
      </c>
      <c r="AS608" s="143" t="s">
        <v>3413</v>
      </c>
      <c r="AT608" s="143" t="s">
        <v>98</v>
      </c>
      <c r="AU608" s="135" t="s">
        <v>2673</v>
      </c>
      <c r="AV608" s="135" t="s">
        <v>2674</v>
      </c>
      <c r="AW608" s="135"/>
      <c r="AX608" s="135"/>
      <c r="AY608" s="135"/>
      <c r="AZ608" s="135"/>
      <c r="BA608" s="135" t="s">
        <v>101</v>
      </c>
      <c r="BB608" s="135"/>
      <c r="BC608" s="151">
        <f>1612.39+2024</f>
        <v>3636.3900000000003</v>
      </c>
      <c r="BD608" s="151"/>
      <c r="BE608" s="151">
        <f>169</f>
        <v>169</v>
      </c>
      <c r="BF608" s="151">
        <f>(BC608+BE608)-2700</f>
        <v>1105.3900000000003</v>
      </c>
      <c r="BG608" s="151">
        <f t="shared" si="56"/>
        <v>60.796450000000021</v>
      </c>
      <c r="BH608" s="151">
        <f t="shared" si="57"/>
        <v>1166.1864500000004</v>
      </c>
      <c r="BI608" s="151">
        <v>1105.3900000000001</v>
      </c>
      <c r="BJ608" s="135" t="s">
        <v>1391</v>
      </c>
      <c r="BK608" s="135"/>
      <c r="BL608" s="135"/>
      <c r="BM608" s="144" t="s">
        <v>3592</v>
      </c>
      <c r="BN608" s="143">
        <v>2023</v>
      </c>
      <c r="BO608" s="135" t="s">
        <v>155</v>
      </c>
      <c r="BP608" s="143" t="s">
        <v>3583</v>
      </c>
      <c r="BQ608" s="203" t="s">
        <v>3274</v>
      </c>
    </row>
    <row r="609" spans="1:69" ht="41.1" customHeight="1">
      <c r="A609" s="218" t="s">
        <v>1705</v>
      </c>
      <c r="B609" s="218" t="s">
        <v>2675</v>
      </c>
      <c r="C609" s="143">
        <f t="shared" ca="1" si="53"/>
        <v>600</v>
      </c>
      <c r="D609" s="135">
        <v>45009</v>
      </c>
      <c r="E609" s="135">
        <v>45016</v>
      </c>
      <c r="F609" s="135">
        <v>45023</v>
      </c>
      <c r="G609" s="135" t="s">
        <v>2676</v>
      </c>
      <c r="H609" s="135">
        <v>45050</v>
      </c>
      <c r="I609" s="135">
        <v>45050</v>
      </c>
      <c r="J609" s="135">
        <v>45051</v>
      </c>
      <c r="K609" s="135">
        <v>45112</v>
      </c>
      <c r="L609" s="135">
        <v>45099</v>
      </c>
      <c r="M609" s="135" t="s">
        <v>2677</v>
      </c>
      <c r="N609" s="135">
        <v>45141</v>
      </c>
      <c r="O609" s="135">
        <v>45141</v>
      </c>
      <c r="P609" s="135">
        <v>45142</v>
      </c>
      <c r="Q609" s="135"/>
      <c r="R609" s="135"/>
      <c r="S609" s="135"/>
      <c r="T609" s="135"/>
      <c r="U609" s="144">
        <v>1</v>
      </c>
      <c r="V609" s="143">
        <v>30722</v>
      </c>
      <c r="W609" s="143" t="str">
        <f ca="1">IF(H609="",IF(D609="","",IF(U609+V609&lt;15,"Données Nb pers ou RFR manquantes",IF(COUNTA(INDIRECT("TabRFR["&amp;YEAR(D609)&amp;"]"))&lt;&gt;COUNTA(TabRFR[Recherche RFR]),"Data RFR manquantes", IF(V609&lt;=INDEX(TabRFR[[2023]:[2025]],MATCH(BD!U609&amp;"-Très modestes",TabRFR[Recherche RFR],0),MATCH(TEXT(YEAR(BD!D609),"Standard"),TabRFR[[#Headers],[2023]:[2025]],0)),"Très Modeste",IF(V609&lt;=INDEX(TabRFR[[2023]:[2025]],MATCH(BD!U609&amp;"-modestes",TabRFR[Recherche RFR],0),MATCH(TEXT(YEAR(BD!D609),"Standard"),TabRFR[[#Headers],[2023]:[2025]],0)),"Modeste",IF(V609&lt;=INDEX(TabRFR[[2023]:[2025]],MATCH(BD!U609&amp;"-Intermédiaire",TabRFR[Recherche RFR],0),MATCH(TEXT(YEAR(BD!D609),"Standard"),TabRFR[[#Headers],[2023]:[2025]],0)),"Intermédiaire","Supérieur")))))),IF(D609="","",IF(U609+V609&lt;15,"Données Nb pers ou RFR manquantes",IF(COUNTA(INDIRECT("TabRFR["&amp;YEAR(H609)&amp;"]"))&lt;&gt;COUNTA(TabRFR[Recherche RFR]),"Data RFR manquantes", IF(V609&lt;=INDEX(TabRFR[[2023]:[2025]],MATCH(BD!U609&amp;"-Très modestes",TabRFR[Recherche RFR],0),MATCH(TEXT(YEAR(BD!H609),"Standard"),TabRFR[[#Headers],[2023]:[2025]],0)),"Très Modeste",IF(V609&lt;=INDEX(TabRFR[[2023]:[2025]],MATCH(BD!U609&amp;"-modestes",TabRFR[Recherche RFR],0),MATCH(TEXT(YEAR(BD!H609),"Standard"),TabRFR[[#Headers],[2023]:[2025]],0)),"Modeste",IF(V609&lt;=INDEX(TabRFR[[2023]:[2025]],MATCH(BD!U609&amp;"-Intermédiaire",TabRFR[Recherche RFR],0),MATCH(TEXT(YEAR(BD!H609),"Standard"),TabRFR[[#Headers],[2023]:[2025]],0)),"Intermédiaire","Supérieur")))))))</f>
        <v>Supérieur</v>
      </c>
      <c r="X609" s="144"/>
      <c r="Y609" s="135" t="s">
        <v>2678</v>
      </c>
      <c r="Z609" s="144">
        <v>38210</v>
      </c>
      <c r="AA609" s="135" t="s">
        <v>202</v>
      </c>
      <c r="AB609" s="148"/>
      <c r="AC609" s="169"/>
      <c r="AD609" s="135" t="s">
        <v>91</v>
      </c>
      <c r="AE609" s="144"/>
      <c r="AF609" s="135"/>
      <c r="AG609" s="144"/>
      <c r="AH609" s="135"/>
      <c r="AI609" s="143" t="s">
        <v>331</v>
      </c>
      <c r="AJ609" s="135" t="s">
        <v>202</v>
      </c>
      <c r="AK609" s="135" t="s">
        <v>2679</v>
      </c>
      <c r="AL609" s="169" t="s">
        <v>333</v>
      </c>
      <c r="AM609" s="148">
        <v>476070084</v>
      </c>
      <c r="AN609" s="135" t="s">
        <v>76</v>
      </c>
      <c r="AO609" s="150" t="s">
        <v>144</v>
      </c>
      <c r="AP609" s="135">
        <v>45465</v>
      </c>
      <c r="AQ609" s="143" t="s">
        <v>3413</v>
      </c>
      <c r="AR609" s="143">
        <v>2000</v>
      </c>
      <c r="AS609" s="143" t="s">
        <v>3413</v>
      </c>
      <c r="AT609" s="135" t="s">
        <v>3446</v>
      </c>
      <c r="AU609" s="135" t="s">
        <v>1634</v>
      </c>
      <c r="AV609" s="135" t="s">
        <v>2680</v>
      </c>
      <c r="AW609" s="135"/>
      <c r="AX609" s="135"/>
      <c r="AY609" s="135"/>
      <c r="AZ609" s="135"/>
      <c r="BA609" s="135" t="s">
        <v>101</v>
      </c>
      <c r="BB609" s="135"/>
      <c r="BC609" s="151">
        <f>2670+1164+190+195</f>
        <v>4219</v>
      </c>
      <c r="BD609" s="151"/>
      <c r="BE609" s="151">
        <v>660</v>
      </c>
      <c r="BF609" s="151">
        <f t="shared" ref="BF609:BF615" si="61">BC609+BE609</f>
        <v>4879</v>
      </c>
      <c r="BG609" s="151">
        <f t="shared" si="56"/>
        <v>268.34500000000003</v>
      </c>
      <c r="BH609" s="151">
        <f t="shared" si="57"/>
        <v>5147.3450000000003</v>
      </c>
      <c r="BI609" s="151">
        <v>5147.3500000000004</v>
      </c>
      <c r="BJ609" s="135" t="s">
        <v>144</v>
      </c>
      <c r="BK609" s="135"/>
      <c r="BL609" s="135"/>
      <c r="BM609" s="144" t="s">
        <v>3592</v>
      </c>
      <c r="BN609" s="143">
        <v>2023</v>
      </c>
      <c r="BO609" s="135" t="s">
        <v>143</v>
      </c>
      <c r="BP609" s="144">
        <v>2023</v>
      </c>
      <c r="BQ609" s="203" t="s">
        <v>144</v>
      </c>
    </row>
    <row r="610" spans="1:69" ht="41.1" customHeight="1">
      <c r="A610" s="218" t="s">
        <v>1705</v>
      </c>
      <c r="B610" s="218" t="s">
        <v>2681</v>
      </c>
      <c r="C610" s="143">
        <v>600</v>
      </c>
      <c r="D610" s="135">
        <v>45014</v>
      </c>
      <c r="E610" s="135">
        <v>45016</v>
      </c>
      <c r="F610" s="135">
        <v>45023</v>
      </c>
      <c r="G610" s="135" t="s">
        <v>2507</v>
      </c>
      <c r="H610" s="135">
        <v>45029</v>
      </c>
      <c r="I610" s="135">
        <v>45029</v>
      </c>
      <c r="J610" s="135">
        <v>45040</v>
      </c>
      <c r="K610" s="135">
        <v>45209</v>
      </c>
      <c r="L610" s="135">
        <v>45199</v>
      </c>
      <c r="M610" s="135" t="s">
        <v>76</v>
      </c>
      <c r="N610" s="135">
        <v>45212</v>
      </c>
      <c r="O610" s="135">
        <v>45212</v>
      </c>
      <c r="P610" s="135">
        <v>45236</v>
      </c>
      <c r="Q610" s="135"/>
      <c r="R610" s="135"/>
      <c r="S610" s="135"/>
      <c r="T610" s="135"/>
      <c r="U610" s="144">
        <v>2</v>
      </c>
      <c r="V610" s="143">
        <v>43092</v>
      </c>
      <c r="W610" s="143" t="str">
        <f ca="1">IF(H610="",IF(D610="","",IF(U610+V610&lt;15,"Données Nb pers ou RFR manquantes",IF(COUNTA(INDIRECT("TabRFR["&amp;YEAR(D610)&amp;"]"))&lt;&gt;COUNTA(TabRFR[Recherche RFR]),"Data RFR manquantes", IF(V610&lt;=INDEX(TabRFR[[2023]:[2025]],MATCH(BD!U610&amp;"-Très modestes",TabRFR[Recherche RFR],0),MATCH(TEXT(YEAR(BD!D610),"Standard"),TabRFR[[#Headers],[2023]:[2025]],0)),"Très Modeste",IF(V610&lt;=INDEX(TabRFR[[2023]:[2025]],MATCH(BD!U610&amp;"-modestes",TabRFR[Recherche RFR],0),MATCH(TEXT(YEAR(BD!D610),"Standard"),TabRFR[[#Headers],[2023]:[2025]],0)),"Modeste",IF(V610&lt;=INDEX(TabRFR[[2023]:[2025]],MATCH(BD!U610&amp;"-Intermédiaire",TabRFR[Recherche RFR],0),MATCH(TEXT(YEAR(BD!D610),"Standard"),TabRFR[[#Headers],[2023]:[2025]],0)),"Intermédiaire","Supérieur")))))),IF(D610="","",IF(U610+V610&lt;15,"Données Nb pers ou RFR manquantes",IF(COUNTA(INDIRECT("TabRFR["&amp;YEAR(H610)&amp;"]"))&lt;&gt;COUNTA(TabRFR[Recherche RFR]),"Data RFR manquantes", IF(V610&lt;=INDEX(TabRFR[[2023]:[2025]],MATCH(BD!U610&amp;"-Très modestes",TabRFR[Recherche RFR],0),MATCH(TEXT(YEAR(BD!H610),"Standard"),TabRFR[[#Headers],[2023]:[2025]],0)),"Très Modeste",IF(V610&lt;=INDEX(TabRFR[[2023]:[2025]],MATCH(BD!U610&amp;"-modestes",TabRFR[Recherche RFR],0),MATCH(TEXT(YEAR(BD!H610),"Standard"),TabRFR[[#Headers],[2023]:[2025]],0)),"Modeste",IF(V610&lt;=INDEX(TabRFR[[2023]:[2025]],MATCH(BD!U610&amp;"-Intermédiaire",TabRFR[Recherche RFR],0),MATCH(TEXT(YEAR(BD!H610),"Standard"),TabRFR[[#Headers],[2023]:[2025]],0)),"Intermédiaire","Supérieur")))))))</f>
        <v>Supérieur</v>
      </c>
      <c r="X610" s="144"/>
      <c r="Y610" s="135" t="s">
        <v>1223</v>
      </c>
      <c r="Z610" s="144">
        <v>38620</v>
      </c>
      <c r="AA610" s="135" t="s">
        <v>90</v>
      </c>
      <c r="AB610" s="148"/>
      <c r="AC610" s="169"/>
      <c r="AD610" s="135" t="s">
        <v>91</v>
      </c>
      <c r="AE610" s="144"/>
      <c r="AF610" s="135"/>
      <c r="AG610" s="144"/>
      <c r="AH610" s="135"/>
      <c r="AI610" s="135" t="str">
        <f>AI607</f>
        <v>SARL ENERLOGIS</v>
      </c>
      <c r="AJ610" s="135" t="s">
        <v>299</v>
      </c>
      <c r="AK610" s="135" t="str">
        <f>AK607</f>
        <v>M. MICHEL</v>
      </c>
      <c r="AL610" s="192" t="str">
        <f>AL607</f>
        <v>enerlogis@orange.fr</v>
      </c>
      <c r="AM610" s="148">
        <f>AM607</f>
        <v>479750979</v>
      </c>
      <c r="AN610" s="135" t="s">
        <v>76</v>
      </c>
      <c r="AO610" s="193" t="str">
        <f>AO607</f>
        <v>oui</v>
      </c>
      <c r="AP610" s="135">
        <f>AP607</f>
        <v>45163</v>
      </c>
      <c r="AQ610" s="135" t="s">
        <v>3496</v>
      </c>
      <c r="AR610" s="143">
        <v>1985</v>
      </c>
      <c r="AS610" s="143" t="s">
        <v>3413</v>
      </c>
      <c r="AT610" s="135" t="s">
        <v>3446</v>
      </c>
      <c r="AU610" s="135" t="s">
        <v>538</v>
      </c>
      <c r="AV610" s="135" t="s">
        <v>2682</v>
      </c>
      <c r="AW610" s="135"/>
      <c r="AX610" s="135"/>
      <c r="AY610" s="135"/>
      <c r="AZ610" s="135"/>
      <c r="BA610" s="135" t="s">
        <v>101</v>
      </c>
      <c r="BB610" s="135"/>
      <c r="BC610" s="151">
        <f>(3870+995+225+136.6+48+96)/1.055</f>
        <v>5090.6161137440768</v>
      </c>
      <c r="BD610" s="151"/>
      <c r="BE610" s="151">
        <f>(690)/1.055</f>
        <v>654.02843601895734</v>
      </c>
      <c r="BF610" s="151">
        <f t="shared" si="61"/>
        <v>5744.6445497630339</v>
      </c>
      <c r="BG610" s="151">
        <f t="shared" si="56"/>
        <v>315.95545023696684</v>
      </c>
      <c r="BH610" s="151">
        <f t="shared" si="57"/>
        <v>6060.6</v>
      </c>
      <c r="BI610" s="151">
        <v>6060.6</v>
      </c>
      <c r="BJ610" s="135" t="s">
        <v>144</v>
      </c>
      <c r="BK610" s="135"/>
      <c r="BL610" s="135"/>
      <c r="BM610" s="144" t="s">
        <v>3592</v>
      </c>
      <c r="BN610" s="143">
        <v>2023</v>
      </c>
      <c r="BO610" s="135" t="s">
        <v>143</v>
      </c>
      <c r="BP610" s="144">
        <v>2023</v>
      </c>
      <c r="BQ610" s="203" t="s">
        <v>144</v>
      </c>
    </row>
    <row r="611" spans="1:69" ht="41.1" customHeight="1">
      <c r="A611" s="218" t="s">
        <v>1705</v>
      </c>
      <c r="B611" s="218" t="s">
        <v>2683</v>
      </c>
      <c r="C611" s="143">
        <f t="shared" ref="C611:C630" ca="1" si="62">IF(W611="Très modeste",1000,IF(W611="Modeste",1000,IF(W611="Intermédiaire",600,IF(W611="Supérieur",600,"Non calculé"))))</f>
        <v>600</v>
      </c>
      <c r="D611" s="135">
        <v>45012</v>
      </c>
      <c r="E611" s="135">
        <v>45020</v>
      </c>
      <c r="F611" s="135">
        <v>45023</v>
      </c>
      <c r="G611" s="135" t="s">
        <v>3294</v>
      </c>
      <c r="H611" s="135">
        <v>45225</v>
      </c>
      <c r="I611" s="135">
        <v>45230</v>
      </c>
      <c r="J611" s="135">
        <v>45265</v>
      </c>
      <c r="K611" s="135">
        <v>45259</v>
      </c>
      <c r="L611" s="135">
        <v>45251</v>
      </c>
      <c r="M611" s="135" t="s">
        <v>3340</v>
      </c>
      <c r="N611" s="135">
        <v>45336</v>
      </c>
      <c r="O611" s="135">
        <v>45336</v>
      </c>
      <c r="P611" s="135">
        <v>45337</v>
      </c>
      <c r="Q611" s="135"/>
      <c r="R611" s="135"/>
      <c r="S611" s="135"/>
      <c r="T611" s="135"/>
      <c r="U611" s="144">
        <v>2</v>
      </c>
      <c r="V611" s="143">
        <v>39832</v>
      </c>
      <c r="W611" s="143" t="str">
        <f ca="1">IF(H611="",IF(D611="","",IF(U611+V611&lt;15,"Données Nb pers ou RFR manquantes",IF(COUNTA(INDIRECT("TabRFR["&amp;YEAR(D611)&amp;"]"))&lt;&gt;COUNTA(TabRFR[Recherche RFR]),"Data RFR manquantes", IF(V611&lt;=INDEX(TabRFR[[2023]:[2025]],MATCH(BD!U611&amp;"-Très modestes",TabRFR[Recherche RFR],0),MATCH(TEXT(YEAR(BD!D611),"Standard"),TabRFR[[#Headers],[2023]:[2025]],0)),"Très Modeste",IF(V611&lt;=INDEX(TabRFR[[2023]:[2025]],MATCH(BD!U611&amp;"-modestes",TabRFR[Recherche RFR],0),MATCH(TEXT(YEAR(BD!D611),"Standard"),TabRFR[[#Headers],[2023]:[2025]],0)),"Modeste",IF(V611&lt;=INDEX(TabRFR[[2023]:[2025]],MATCH(BD!U611&amp;"-Intermédiaire",TabRFR[Recherche RFR],0),MATCH(TEXT(YEAR(BD!D611),"Standard"),TabRFR[[#Headers],[2023]:[2025]],0)),"Intermédiaire","Supérieur")))))),IF(D611="","",IF(U611+V611&lt;15,"Données Nb pers ou RFR manquantes",IF(COUNTA(INDIRECT("TabRFR["&amp;YEAR(H611)&amp;"]"))&lt;&gt;COUNTA(TabRFR[Recherche RFR]),"Data RFR manquantes", IF(V611&lt;=INDEX(TabRFR[[2023]:[2025]],MATCH(BD!U611&amp;"-Très modestes",TabRFR[Recherche RFR],0),MATCH(TEXT(YEAR(BD!H611),"Standard"),TabRFR[[#Headers],[2023]:[2025]],0)),"Très Modeste",IF(V611&lt;=INDEX(TabRFR[[2023]:[2025]],MATCH(BD!U611&amp;"-modestes",TabRFR[Recherche RFR],0),MATCH(TEXT(YEAR(BD!H611),"Standard"),TabRFR[[#Headers],[2023]:[2025]],0)),"Modeste",IF(V611&lt;=INDEX(TabRFR[[2023]:[2025]],MATCH(BD!U611&amp;"-Intermédiaire",TabRFR[Recherche RFR],0),MATCH(TEXT(YEAR(BD!H611),"Standard"),TabRFR[[#Headers],[2023]:[2025]],0)),"Intermédiaire","Supérieur")))))))</f>
        <v>Intermédiaire</v>
      </c>
      <c r="X611" s="144"/>
      <c r="Y611" s="135" t="s">
        <v>2684</v>
      </c>
      <c r="Z611" s="144">
        <v>38960</v>
      </c>
      <c r="AA611" s="135" t="s">
        <v>360</v>
      </c>
      <c r="AB611" s="148"/>
      <c r="AC611" s="179"/>
      <c r="AD611" s="135" t="s">
        <v>91</v>
      </c>
      <c r="AE611" s="144"/>
      <c r="AF611" s="135"/>
      <c r="AG611" s="144"/>
      <c r="AH611" s="135"/>
      <c r="AI611" s="135" t="s">
        <v>285</v>
      </c>
      <c r="AJ611" s="135" t="s">
        <v>108</v>
      </c>
      <c r="AK611" s="135" t="s">
        <v>2227</v>
      </c>
      <c r="AL611" s="169" t="s">
        <v>287</v>
      </c>
      <c r="AM611" s="148" t="s">
        <v>2184</v>
      </c>
      <c r="AN611" s="135" t="s">
        <v>76</v>
      </c>
      <c r="AO611" s="193" t="s">
        <v>102</v>
      </c>
      <c r="AP611" s="135">
        <v>45187</v>
      </c>
      <c r="AQ611" s="135" t="s">
        <v>3449</v>
      </c>
      <c r="AR611" s="143">
        <v>1987</v>
      </c>
      <c r="AS611" s="143" t="s">
        <v>3413</v>
      </c>
      <c r="AT611" s="135" t="s">
        <v>3446</v>
      </c>
      <c r="AU611" s="135" t="s">
        <v>469</v>
      </c>
      <c r="AV611" s="135" t="s">
        <v>470</v>
      </c>
      <c r="AW611" s="135"/>
      <c r="AX611" s="135"/>
      <c r="AY611" s="135"/>
      <c r="AZ611" s="135"/>
      <c r="BA611" s="135" t="s">
        <v>101</v>
      </c>
      <c r="BB611" s="135"/>
      <c r="BC611" s="151">
        <f>1090+2105+275+3153+583+89</f>
        <v>7295</v>
      </c>
      <c r="BD611" s="151"/>
      <c r="BE611" s="151">
        <f>530+330</f>
        <v>860</v>
      </c>
      <c r="BF611" s="151">
        <f t="shared" si="61"/>
        <v>8155</v>
      </c>
      <c r="BG611" s="151">
        <f t="shared" si="56"/>
        <v>448.52499999999998</v>
      </c>
      <c r="BH611" s="151">
        <f t="shared" si="57"/>
        <v>8603.5249999999996</v>
      </c>
      <c r="BI611" s="151"/>
      <c r="BJ611" s="135" t="s">
        <v>1391</v>
      </c>
      <c r="BK611" s="135"/>
      <c r="BL611" s="135"/>
      <c r="BM611" s="144" t="s">
        <v>3592</v>
      </c>
      <c r="BN611" s="144">
        <v>2023</v>
      </c>
      <c r="BO611" s="135" t="s">
        <v>143</v>
      </c>
      <c r="BP611" s="144">
        <v>2023</v>
      </c>
      <c r="BQ611" s="203" t="s">
        <v>3274</v>
      </c>
    </row>
    <row r="612" spans="1:69" ht="41.1" customHeight="1">
      <c r="A612" s="218" t="s">
        <v>1705</v>
      </c>
      <c r="B612" s="218" t="s">
        <v>2685</v>
      </c>
      <c r="C612" s="143">
        <f t="shared" ca="1" si="62"/>
        <v>600</v>
      </c>
      <c r="D612" s="135">
        <v>45020</v>
      </c>
      <c r="E612" s="135">
        <v>45020</v>
      </c>
      <c r="F612" s="135">
        <v>45023</v>
      </c>
      <c r="G612" s="135" t="s">
        <v>2686</v>
      </c>
      <c r="H612" s="135">
        <v>45029</v>
      </c>
      <c r="I612" s="135">
        <v>45029</v>
      </c>
      <c r="J612" s="135">
        <v>45040</v>
      </c>
      <c r="K612" s="135">
        <v>45056</v>
      </c>
      <c r="L612" s="135">
        <v>45049</v>
      </c>
      <c r="M612" s="135" t="s">
        <v>76</v>
      </c>
      <c r="N612" s="135">
        <v>45083</v>
      </c>
      <c r="O612" s="135">
        <v>45083</v>
      </c>
      <c r="P612" s="135">
        <v>45084</v>
      </c>
      <c r="Q612" s="135"/>
      <c r="R612" s="135"/>
      <c r="S612" s="135"/>
      <c r="T612" s="135"/>
      <c r="U612" s="144">
        <v>2</v>
      </c>
      <c r="V612" s="143">
        <v>32678</v>
      </c>
      <c r="W612" s="143" t="str">
        <f ca="1">IF(H612="",IF(D612="","",IF(U612+V612&lt;15,"Données Nb pers ou RFR manquantes",IF(COUNTA(INDIRECT("TabRFR["&amp;YEAR(D612)&amp;"]"))&lt;&gt;COUNTA(TabRFR[Recherche RFR]),"Data RFR manquantes", IF(V612&lt;=INDEX(TabRFR[[2023]:[2025]],MATCH(BD!U612&amp;"-Très modestes",TabRFR[Recherche RFR],0),MATCH(TEXT(YEAR(BD!D612),"Standard"),TabRFR[[#Headers],[2023]:[2025]],0)),"Très Modeste",IF(V612&lt;=INDEX(TabRFR[[2023]:[2025]],MATCH(BD!U612&amp;"-modestes",TabRFR[Recherche RFR],0),MATCH(TEXT(YEAR(BD!D612),"Standard"),TabRFR[[#Headers],[2023]:[2025]],0)),"Modeste",IF(V612&lt;=INDEX(TabRFR[[2023]:[2025]],MATCH(BD!U612&amp;"-Intermédiaire",TabRFR[Recherche RFR],0),MATCH(TEXT(YEAR(BD!D612),"Standard"),TabRFR[[#Headers],[2023]:[2025]],0)),"Intermédiaire","Supérieur")))))),IF(D612="","",IF(U612+V612&lt;15,"Données Nb pers ou RFR manquantes",IF(COUNTA(INDIRECT("TabRFR["&amp;YEAR(H612)&amp;"]"))&lt;&gt;COUNTA(TabRFR[Recherche RFR]),"Data RFR manquantes", IF(V612&lt;=INDEX(TabRFR[[2023]:[2025]],MATCH(BD!U612&amp;"-Très modestes",TabRFR[Recherche RFR],0),MATCH(TEXT(YEAR(BD!H612),"Standard"),TabRFR[[#Headers],[2023]:[2025]],0)),"Très Modeste",IF(V612&lt;=INDEX(TabRFR[[2023]:[2025]],MATCH(BD!U612&amp;"-modestes",TabRFR[Recherche RFR],0),MATCH(TEXT(YEAR(BD!H612),"Standard"),TabRFR[[#Headers],[2023]:[2025]],0)),"Modeste",IF(V612&lt;=INDEX(TabRFR[[2023]:[2025]],MATCH(BD!U612&amp;"-Intermédiaire",TabRFR[Recherche RFR],0),MATCH(TEXT(YEAR(BD!H612),"Standard"),TabRFR[[#Headers],[2023]:[2025]],0)),"Intermédiaire","Supérieur")))))))</f>
        <v>Intermédiaire</v>
      </c>
      <c r="X612" s="144"/>
      <c r="Y612" s="135" t="s">
        <v>2687</v>
      </c>
      <c r="Z612" s="144">
        <v>38500</v>
      </c>
      <c r="AA612" s="135" t="s">
        <v>108</v>
      </c>
      <c r="AB612" s="148"/>
      <c r="AC612" s="169"/>
      <c r="AD612" s="135" t="s">
        <v>91</v>
      </c>
      <c r="AE612" s="144"/>
      <c r="AF612" s="135"/>
      <c r="AG612" s="144"/>
      <c r="AH612" s="135"/>
      <c r="AI612" s="135" t="s">
        <v>285</v>
      </c>
      <c r="AJ612" s="135" t="s">
        <v>108</v>
      </c>
      <c r="AK612" s="135" t="s">
        <v>2227</v>
      </c>
      <c r="AL612" s="169" t="s">
        <v>287</v>
      </c>
      <c r="AM612" s="148" t="s">
        <v>2184</v>
      </c>
      <c r="AN612" s="135" t="s">
        <v>76</v>
      </c>
      <c r="AO612" s="193" t="s">
        <v>102</v>
      </c>
      <c r="AP612" s="135">
        <v>45187</v>
      </c>
      <c r="AQ612" s="135" t="s">
        <v>3449</v>
      </c>
      <c r="AR612" s="143">
        <v>1982</v>
      </c>
      <c r="AS612" s="143" t="s">
        <v>3413</v>
      </c>
      <c r="AT612" s="135" t="s">
        <v>3446</v>
      </c>
      <c r="AU612" s="135" t="s">
        <v>532</v>
      </c>
      <c r="AV612" s="135" t="s">
        <v>2688</v>
      </c>
      <c r="AW612" s="135"/>
      <c r="AX612" s="135"/>
      <c r="AY612" s="135"/>
      <c r="AZ612" s="135"/>
      <c r="BA612" s="135" t="s">
        <v>101</v>
      </c>
      <c r="BB612" s="135"/>
      <c r="BC612" s="151">
        <f>2090+530+275+89+2710</f>
        <v>5694</v>
      </c>
      <c r="BD612" s="151"/>
      <c r="BE612" s="151">
        <f>690+330</f>
        <v>1020</v>
      </c>
      <c r="BF612" s="151">
        <f t="shared" si="61"/>
        <v>6714</v>
      </c>
      <c r="BG612" s="151">
        <f t="shared" si="56"/>
        <v>369.27</v>
      </c>
      <c r="BH612" s="151">
        <f t="shared" si="57"/>
        <v>7083.27</v>
      </c>
      <c r="BI612" s="151">
        <v>7083.28</v>
      </c>
      <c r="BJ612" s="135" t="s">
        <v>144</v>
      </c>
      <c r="BK612" s="135"/>
      <c r="BL612" s="135"/>
      <c r="BM612" s="144" t="s">
        <v>3592</v>
      </c>
      <c r="BN612" s="143">
        <v>2023</v>
      </c>
      <c r="BO612" s="135" t="s">
        <v>143</v>
      </c>
      <c r="BP612" s="144">
        <v>2023</v>
      </c>
      <c r="BQ612" s="203" t="s">
        <v>144</v>
      </c>
    </row>
    <row r="613" spans="1:69" ht="41.1" customHeight="1">
      <c r="A613" s="218" t="s">
        <v>1705</v>
      </c>
      <c r="B613" s="218" t="s">
        <v>2689</v>
      </c>
      <c r="C613" s="143">
        <f t="shared" ca="1" si="62"/>
        <v>1000</v>
      </c>
      <c r="D613" s="135">
        <v>45020</v>
      </c>
      <c r="E613" s="135">
        <v>45033</v>
      </c>
      <c r="F613" s="135" t="s">
        <v>76</v>
      </c>
      <c r="G613" s="135" t="s">
        <v>76</v>
      </c>
      <c r="H613" s="135">
        <v>45036</v>
      </c>
      <c r="I613" s="135">
        <v>45036</v>
      </c>
      <c r="J613" s="135">
        <v>45040</v>
      </c>
      <c r="K613" s="135">
        <v>45305</v>
      </c>
      <c r="L613" s="135">
        <v>45132</v>
      </c>
      <c r="M613" s="135" t="s">
        <v>3406</v>
      </c>
      <c r="N613" s="135">
        <v>45323</v>
      </c>
      <c r="O613" s="135">
        <v>45323</v>
      </c>
      <c r="P613" s="135">
        <v>45341</v>
      </c>
      <c r="Q613" s="135"/>
      <c r="R613" s="135"/>
      <c r="S613" s="135"/>
      <c r="T613" s="135"/>
      <c r="U613" s="144">
        <v>1</v>
      </c>
      <c r="V613" s="143">
        <v>9153</v>
      </c>
      <c r="W613" s="143" t="str">
        <f ca="1">IF(H613="",IF(D613="","",IF(U613+V613&lt;15,"Données Nb pers ou RFR manquantes",IF(COUNTA(INDIRECT("TabRFR["&amp;YEAR(D613)&amp;"]"))&lt;&gt;COUNTA(TabRFR[Recherche RFR]),"Data RFR manquantes", IF(V613&lt;=INDEX(TabRFR[[2023]:[2025]],MATCH(BD!U613&amp;"-Très modestes",TabRFR[Recherche RFR],0),MATCH(TEXT(YEAR(BD!D613),"Standard"),TabRFR[[#Headers],[2023]:[2025]],0)),"Très Modeste",IF(V613&lt;=INDEX(TabRFR[[2023]:[2025]],MATCH(BD!U613&amp;"-modestes",TabRFR[Recherche RFR],0),MATCH(TEXT(YEAR(BD!D613),"Standard"),TabRFR[[#Headers],[2023]:[2025]],0)),"Modeste",IF(V613&lt;=INDEX(TabRFR[[2023]:[2025]],MATCH(BD!U613&amp;"-Intermédiaire",TabRFR[Recherche RFR],0),MATCH(TEXT(YEAR(BD!D613),"Standard"),TabRFR[[#Headers],[2023]:[2025]],0)),"Intermédiaire","Supérieur")))))),IF(D613="","",IF(U613+V613&lt;15,"Données Nb pers ou RFR manquantes",IF(COUNTA(INDIRECT("TabRFR["&amp;YEAR(H613)&amp;"]"))&lt;&gt;COUNTA(TabRFR[Recherche RFR]),"Data RFR manquantes", IF(V613&lt;=INDEX(TabRFR[[2023]:[2025]],MATCH(BD!U613&amp;"-Très modestes",TabRFR[Recherche RFR],0),MATCH(TEXT(YEAR(BD!H613),"Standard"),TabRFR[[#Headers],[2023]:[2025]],0)),"Très Modeste",IF(V613&lt;=INDEX(TabRFR[[2023]:[2025]],MATCH(BD!U613&amp;"-modestes",TabRFR[Recherche RFR],0),MATCH(TEXT(YEAR(BD!H613),"Standard"),TabRFR[[#Headers],[2023]:[2025]],0)),"Modeste",IF(V613&lt;=INDEX(TabRFR[[2023]:[2025]],MATCH(BD!U613&amp;"-Intermédiaire",TabRFR[Recherche RFR],0),MATCH(TEXT(YEAR(BD!H613),"Standard"),TabRFR[[#Headers],[2023]:[2025]],0)),"Intermédiaire","Supérieur")))))))</f>
        <v>Très Modeste</v>
      </c>
      <c r="X613" s="144"/>
      <c r="Y613" s="135" t="s">
        <v>2690</v>
      </c>
      <c r="Z613" s="144">
        <v>38850</v>
      </c>
      <c r="AA613" s="135" t="s">
        <v>168</v>
      </c>
      <c r="AB613" s="148"/>
      <c r="AC613" s="214"/>
      <c r="AD613" s="135" t="s">
        <v>91</v>
      </c>
      <c r="AE613" s="144"/>
      <c r="AF613" s="135"/>
      <c r="AG613" s="144"/>
      <c r="AH613" s="135"/>
      <c r="AI613" s="135" t="s">
        <v>267</v>
      </c>
      <c r="AJ613" s="135" t="s">
        <v>268</v>
      </c>
      <c r="AK613" s="135" t="s">
        <v>2099</v>
      </c>
      <c r="AL613" s="169" t="s">
        <v>2100</v>
      </c>
      <c r="AM613" s="148">
        <v>476064566</v>
      </c>
      <c r="AN613" s="135" t="s">
        <v>76</v>
      </c>
      <c r="AO613" s="193" t="s">
        <v>144</v>
      </c>
      <c r="AP613" s="135">
        <v>45364</v>
      </c>
      <c r="AQ613" s="143" t="s">
        <v>3413</v>
      </c>
      <c r="AR613" s="143" t="s">
        <v>1794</v>
      </c>
      <c r="AS613" s="143" t="s">
        <v>3413</v>
      </c>
      <c r="AT613" s="135" t="s">
        <v>3446</v>
      </c>
      <c r="AU613" s="135" t="s">
        <v>488</v>
      </c>
      <c r="AV613" s="135" t="s">
        <v>2691</v>
      </c>
      <c r="AW613" s="135"/>
      <c r="AX613" s="135"/>
      <c r="AY613" s="135"/>
      <c r="AZ613" s="135"/>
      <c r="BA613" s="135" t="s">
        <v>101</v>
      </c>
      <c r="BB613" s="135"/>
      <c r="BC613" s="151">
        <f>1089.63+1236.42</f>
        <v>2326.0500000000002</v>
      </c>
      <c r="BD613" s="151"/>
      <c r="BE613" s="151">
        <v>815</v>
      </c>
      <c r="BF613" s="151">
        <f t="shared" si="61"/>
        <v>3141.05</v>
      </c>
      <c r="BG613" s="151">
        <f t="shared" si="56"/>
        <v>172.75775000000002</v>
      </c>
      <c r="BH613" s="151">
        <f t="shared" si="57"/>
        <v>3313.8077500000004</v>
      </c>
      <c r="BI613" s="151">
        <v>3263.81</v>
      </c>
      <c r="BJ613" s="135" t="s">
        <v>144</v>
      </c>
      <c r="BK613" s="135"/>
      <c r="BL613" s="135"/>
      <c r="BM613" s="144" t="s">
        <v>3592</v>
      </c>
      <c r="BN613" s="143">
        <v>2023</v>
      </c>
      <c r="BO613" s="135" t="s">
        <v>155</v>
      </c>
      <c r="BP613" s="144">
        <v>2023</v>
      </c>
      <c r="BQ613" s="203"/>
    </row>
    <row r="614" spans="1:69" ht="41.1" customHeight="1">
      <c r="A614" s="218" t="s">
        <v>1705</v>
      </c>
      <c r="B614" s="218" t="s">
        <v>2692</v>
      </c>
      <c r="C614" s="143">
        <f t="shared" ca="1" si="62"/>
        <v>600</v>
      </c>
      <c r="D614" s="135">
        <v>45021</v>
      </c>
      <c r="E614" s="135">
        <v>45033</v>
      </c>
      <c r="F614" s="135">
        <v>45036</v>
      </c>
      <c r="G614" s="135" t="s">
        <v>2496</v>
      </c>
      <c r="H614" s="135">
        <v>45085</v>
      </c>
      <c r="I614" s="135">
        <v>45085</v>
      </c>
      <c r="J614" s="135">
        <v>45085</v>
      </c>
      <c r="K614" s="135">
        <v>45236</v>
      </c>
      <c r="L614" s="135">
        <v>45167</v>
      </c>
      <c r="M614" s="135" t="s">
        <v>76</v>
      </c>
      <c r="N614" s="135">
        <v>45244</v>
      </c>
      <c r="O614" s="135">
        <v>45244</v>
      </c>
      <c r="P614" s="135">
        <v>45266</v>
      </c>
      <c r="Q614" s="135"/>
      <c r="R614" s="135"/>
      <c r="S614" s="135"/>
      <c r="T614" s="135"/>
      <c r="U614" s="144">
        <v>3</v>
      </c>
      <c r="V614" s="143">
        <v>61628</v>
      </c>
      <c r="W614" s="143" t="str">
        <f ca="1">IF(H614="",IF(D614="","",IF(U614+V614&lt;15,"Données Nb pers ou RFR manquantes",IF(COUNTA(INDIRECT("TabRFR["&amp;YEAR(D614)&amp;"]"))&lt;&gt;COUNTA(TabRFR[Recherche RFR]),"Data RFR manquantes", IF(V614&lt;=INDEX(TabRFR[[2023]:[2025]],MATCH(BD!U614&amp;"-Très modestes",TabRFR[Recherche RFR],0),MATCH(TEXT(YEAR(BD!D614),"Standard"),TabRFR[[#Headers],[2023]:[2025]],0)),"Très Modeste",IF(V614&lt;=INDEX(TabRFR[[2023]:[2025]],MATCH(BD!U614&amp;"-modestes",TabRFR[Recherche RFR],0),MATCH(TEXT(YEAR(BD!D614),"Standard"),TabRFR[[#Headers],[2023]:[2025]],0)),"Modeste",IF(V614&lt;=INDEX(TabRFR[[2023]:[2025]],MATCH(BD!U614&amp;"-Intermédiaire",TabRFR[Recherche RFR],0),MATCH(TEXT(YEAR(BD!D614),"Standard"),TabRFR[[#Headers],[2023]:[2025]],0)),"Intermédiaire","Supérieur")))))),IF(D614="","",IF(U614+V614&lt;15,"Données Nb pers ou RFR manquantes",IF(COUNTA(INDIRECT("TabRFR["&amp;YEAR(H614)&amp;"]"))&lt;&gt;COUNTA(TabRFR[Recherche RFR]),"Data RFR manquantes", IF(V614&lt;=INDEX(TabRFR[[2023]:[2025]],MATCH(BD!U614&amp;"-Très modestes",TabRFR[Recherche RFR],0),MATCH(TEXT(YEAR(BD!H614),"Standard"),TabRFR[[#Headers],[2023]:[2025]],0)),"Très Modeste",IF(V614&lt;=INDEX(TabRFR[[2023]:[2025]],MATCH(BD!U614&amp;"-modestes",TabRFR[Recherche RFR],0),MATCH(TEXT(YEAR(BD!H614),"Standard"),TabRFR[[#Headers],[2023]:[2025]],0)),"Modeste",IF(V614&lt;=INDEX(TabRFR[[2023]:[2025]],MATCH(BD!U614&amp;"-Intermédiaire",TabRFR[Recherche RFR],0),MATCH(TEXT(YEAR(BD!H614),"Standard"),TabRFR[[#Headers],[2023]:[2025]],0)),"Intermédiaire","Supérieur")))))))</f>
        <v>Supérieur</v>
      </c>
      <c r="X614" s="144"/>
      <c r="Y614" s="135" t="s">
        <v>2693</v>
      </c>
      <c r="Z614" s="144">
        <v>38140</v>
      </c>
      <c r="AA614" s="135" t="s">
        <v>200</v>
      </c>
      <c r="AB614" s="148"/>
      <c r="AC614" s="169"/>
      <c r="AD614" s="135" t="s">
        <v>91</v>
      </c>
      <c r="AE614" s="144"/>
      <c r="AF614" s="135"/>
      <c r="AG614" s="144"/>
      <c r="AH614" s="135"/>
      <c r="AI614" s="135" t="s">
        <v>2249</v>
      </c>
      <c r="AJ614" s="135" t="s">
        <v>266</v>
      </c>
      <c r="AK614" s="135" t="s">
        <v>2459</v>
      </c>
      <c r="AL614" s="170" t="s">
        <v>2251</v>
      </c>
      <c r="AM614" s="148">
        <v>476530002</v>
      </c>
      <c r="AN614" s="135" t="s">
        <v>76</v>
      </c>
      <c r="AO614" s="193" t="s">
        <v>102</v>
      </c>
      <c r="AP614" s="135">
        <v>45102</v>
      </c>
      <c r="AQ614" s="143" t="s">
        <v>3413</v>
      </c>
      <c r="AR614" s="143">
        <v>2000</v>
      </c>
      <c r="AS614" s="143" t="s">
        <v>3413</v>
      </c>
      <c r="AT614" s="143" t="s">
        <v>98</v>
      </c>
      <c r="AU614" s="135" t="s">
        <v>2460</v>
      </c>
      <c r="AV614" s="135" t="s">
        <v>2461</v>
      </c>
      <c r="AW614" s="135"/>
      <c r="AX614" s="135"/>
      <c r="AY614" s="135"/>
      <c r="AZ614" s="135"/>
      <c r="BA614" s="135" t="s">
        <v>101</v>
      </c>
      <c r="BB614" s="135"/>
      <c r="BC614" s="151">
        <f>3308+128+180+204.79+78+251+68+79+96+48+248+130+353+59</f>
        <v>5230.79</v>
      </c>
      <c r="BD614" s="151"/>
      <c r="BE614" s="151">
        <v>980</v>
      </c>
      <c r="BF614" s="151">
        <f t="shared" si="61"/>
        <v>6210.79</v>
      </c>
      <c r="BG614" s="151">
        <f t="shared" si="56"/>
        <v>341.59345000000002</v>
      </c>
      <c r="BH614" s="151">
        <f t="shared" si="57"/>
        <v>6552.3834500000003</v>
      </c>
      <c r="BI614" s="151">
        <v>5999.55</v>
      </c>
      <c r="BJ614" s="135" t="s">
        <v>1391</v>
      </c>
      <c r="BK614" s="135"/>
      <c r="BL614" s="135"/>
      <c r="BM614" s="144" t="s">
        <v>3592</v>
      </c>
      <c r="BN614" s="143">
        <v>2023</v>
      </c>
      <c r="BO614" s="135" t="s">
        <v>143</v>
      </c>
      <c r="BP614" s="143" t="s">
        <v>3583</v>
      </c>
      <c r="BQ614" s="203" t="s">
        <v>3274</v>
      </c>
    </row>
    <row r="615" spans="1:69" ht="41.1" customHeight="1">
      <c r="A615" s="219" t="s">
        <v>1705</v>
      </c>
      <c r="B615" s="219" t="s">
        <v>2694</v>
      </c>
      <c r="C615" s="143">
        <f t="shared" ca="1" si="62"/>
        <v>1000</v>
      </c>
      <c r="D615" s="135">
        <v>45062</v>
      </c>
      <c r="E615" s="135">
        <v>45033</v>
      </c>
      <c r="F615" s="135">
        <v>45036</v>
      </c>
      <c r="G615" s="135" t="s">
        <v>2695</v>
      </c>
      <c r="H615" s="135">
        <v>45093</v>
      </c>
      <c r="I615" s="135">
        <v>45093</v>
      </c>
      <c r="J615" s="135">
        <v>45097</v>
      </c>
      <c r="K615" s="135">
        <v>45400</v>
      </c>
      <c r="L615" s="135">
        <v>45379</v>
      </c>
      <c r="M615" s="135" t="s">
        <v>76</v>
      </c>
      <c r="N615" s="135">
        <v>45429</v>
      </c>
      <c r="O615" s="135">
        <v>45429</v>
      </c>
      <c r="P615" s="135"/>
      <c r="Q615" s="135"/>
      <c r="R615" s="135"/>
      <c r="S615" s="135"/>
      <c r="T615" s="135"/>
      <c r="U615" s="144">
        <v>1</v>
      </c>
      <c r="V615" s="143">
        <v>10613</v>
      </c>
      <c r="W615" s="143" t="str">
        <f ca="1">IF(H615="",IF(D615="","",IF(U615+V615&lt;15,"Données Nb pers ou RFR manquantes",IF(COUNTA(INDIRECT("TabRFR["&amp;YEAR(D615)&amp;"]"))&lt;&gt;COUNTA(TabRFR[Recherche RFR]),"Data RFR manquantes", IF(V615&lt;=INDEX(TabRFR[[2023]:[2025]],MATCH(BD!U615&amp;"-Très modestes",TabRFR[Recherche RFR],0),MATCH(TEXT(YEAR(BD!D615),"Standard"),TabRFR[[#Headers],[2023]:[2025]],0)),"Très Modeste",IF(V615&lt;=INDEX(TabRFR[[2023]:[2025]],MATCH(BD!U615&amp;"-modestes",TabRFR[Recherche RFR],0),MATCH(TEXT(YEAR(BD!D615),"Standard"),TabRFR[[#Headers],[2023]:[2025]],0)),"Modeste",IF(V615&lt;=INDEX(TabRFR[[2023]:[2025]],MATCH(BD!U615&amp;"-Intermédiaire",TabRFR[Recherche RFR],0),MATCH(TEXT(YEAR(BD!D615),"Standard"),TabRFR[[#Headers],[2023]:[2025]],0)),"Intermédiaire","Supérieur")))))),IF(D615="","",IF(U615+V615&lt;15,"Données Nb pers ou RFR manquantes",IF(COUNTA(INDIRECT("TabRFR["&amp;YEAR(H615)&amp;"]"))&lt;&gt;COUNTA(TabRFR[Recherche RFR]),"Data RFR manquantes", IF(V615&lt;=INDEX(TabRFR[[2023]:[2025]],MATCH(BD!U615&amp;"-Très modestes",TabRFR[Recherche RFR],0),MATCH(TEXT(YEAR(BD!H615),"Standard"),TabRFR[[#Headers],[2023]:[2025]],0)),"Très Modeste",IF(V615&lt;=INDEX(TabRFR[[2023]:[2025]],MATCH(BD!U615&amp;"-modestes",TabRFR[Recherche RFR],0),MATCH(TEXT(YEAR(BD!H615),"Standard"),TabRFR[[#Headers],[2023]:[2025]],0)),"Modeste",IF(V615&lt;=INDEX(TabRFR[[2023]:[2025]],MATCH(BD!U615&amp;"-Intermédiaire",TabRFR[Recherche RFR],0),MATCH(TEXT(YEAR(BD!H615),"Standard"),TabRFR[[#Headers],[2023]:[2025]],0)),"Intermédiaire","Supérieur")))))))</f>
        <v>Très Modeste</v>
      </c>
      <c r="X615" s="144"/>
      <c r="Y615" s="135" t="s">
        <v>384</v>
      </c>
      <c r="Z615" s="144">
        <v>38500</v>
      </c>
      <c r="AA615" s="135" t="s">
        <v>108</v>
      </c>
      <c r="AB615" s="148"/>
      <c r="AC615" s="169"/>
      <c r="AD615" s="135" t="s">
        <v>91</v>
      </c>
      <c r="AE615" s="144"/>
      <c r="AF615" s="135"/>
      <c r="AG615" s="144"/>
      <c r="AH615" s="135"/>
      <c r="AI615" s="135" t="s">
        <v>2696</v>
      </c>
      <c r="AJ615" s="135" t="s">
        <v>200</v>
      </c>
      <c r="AK615" s="135" t="s">
        <v>2697</v>
      </c>
      <c r="AL615" s="169" t="s">
        <v>2698</v>
      </c>
      <c r="AM615" s="148">
        <v>628289107</v>
      </c>
      <c r="AN615" s="135" t="s">
        <v>76</v>
      </c>
      <c r="AO615" s="193" t="s">
        <v>102</v>
      </c>
      <c r="AP615" s="135">
        <v>45216</v>
      </c>
      <c r="AQ615" s="135" t="s">
        <v>3323</v>
      </c>
      <c r="AR615" s="143">
        <v>2001</v>
      </c>
      <c r="AS615" s="143" t="s">
        <v>3413</v>
      </c>
      <c r="AT615" s="143" t="s">
        <v>98</v>
      </c>
      <c r="AU615" s="135" t="s">
        <v>2699</v>
      </c>
      <c r="AV615" s="135" t="s">
        <v>2700</v>
      </c>
      <c r="AW615" s="135"/>
      <c r="AX615" s="135"/>
      <c r="AY615" s="135"/>
      <c r="AZ615" s="135"/>
      <c r="BA615" s="135" t="s">
        <v>101</v>
      </c>
      <c r="BB615" s="135"/>
      <c r="BC615" s="151">
        <f>7648+278.72+67.06+15.09+220+500+5.02+410+41.26+325.36+1340+360+19+29.63+25.36+600</f>
        <v>11884.500000000002</v>
      </c>
      <c r="BD615" s="151"/>
      <c r="BE615" s="151">
        <v>1600</v>
      </c>
      <c r="BF615" s="151">
        <f t="shared" si="61"/>
        <v>13484.500000000002</v>
      </c>
      <c r="BG615" s="151">
        <f t="shared" si="56"/>
        <v>741.64750000000015</v>
      </c>
      <c r="BH615" s="151">
        <f t="shared" si="57"/>
        <v>14226.147500000003</v>
      </c>
      <c r="BI615" s="151">
        <v>5057.24</v>
      </c>
      <c r="BJ615" s="135" t="s">
        <v>144</v>
      </c>
      <c r="BK615" s="135"/>
      <c r="BL615" s="135"/>
      <c r="BM615" s="144" t="s">
        <v>3592</v>
      </c>
      <c r="BN615" s="143">
        <v>2023</v>
      </c>
      <c r="BO615" s="135" t="s">
        <v>155</v>
      </c>
      <c r="BP615" s="143" t="s">
        <v>3583</v>
      </c>
      <c r="BQ615" s="203"/>
    </row>
    <row r="616" spans="1:69" ht="41.1" customHeight="1">
      <c r="A616" s="218" t="s">
        <v>1705</v>
      </c>
      <c r="B616" s="218" t="s">
        <v>2701</v>
      </c>
      <c r="C616" s="143">
        <f t="shared" ca="1" si="62"/>
        <v>600</v>
      </c>
      <c r="D616" s="135">
        <v>45034</v>
      </c>
      <c r="E616" s="135">
        <v>45034</v>
      </c>
      <c r="F616" s="135">
        <v>45036</v>
      </c>
      <c r="G616" s="135" t="s">
        <v>2702</v>
      </c>
      <c r="H616" s="135">
        <v>45048</v>
      </c>
      <c r="I616" s="135">
        <v>45048</v>
      </c>
      <c r="J616" s="135">
        <v>45051</v>
      </c>
      <c r="K616" s="135">
        <v>45236</v>
      </c>
      <c r="L616" s="135">
        <v>45232</v>
      </c>
      <c r="M616" s="135" t="s">
        <v>76</v>
      </c>
      <c r="N616" s="135">
        <v>45240</v>
      </c>
      <c r="O616" s="135">
        <v>45240</v>
      </c>
      <c r="P616" s="135">
        <v>45266</v>
      </c>
      <c r="Q616" s="135"/>
      <c r="R616" s="135"/>
      <c r="S616" s="135"/>
      <c r="T616" s="135"/>
      <c r="U616" s="144">
        <v>2</v>
      </c>
      <c r="V616" s="143">
        <v>45673</v>
      </c>
      <c r="W616" s="143" t="str">
        <f ca="1">IF(H616="",IF(D616="","",IF(U616+V616&lt;15,"Données Nb pers ou RFR manquantes",IF(COUNTA(INDIRECT("TabRFR["&amp;YEAR(D616)&amp;"]"))&lt;&gt;COUNTA(TabRFR[Recherche RFR]),"Data RFR manquantes", IF(V616&lt;=INDEX(TabRFR[[2023]:[2025]],MATCH(BD!U616&amp;"-Très modestes",TabRFR[Recherche RFR],0),MATCH(TEXT(YEAR(BD!D616),"Standard"),TabRFR[[#Headers],[2023]:[2025]],0)),"Très Modeste",IF(V616&lt;=INDEX(TabRFR[[2023]:[2025]],MATCH(BD!U616&amp;"-modestes",TabRFR[Recherche RFR],0),MATCH(TEXT(YEAR(BD!D616),"Standard"),TabRFR[[#Headers],[2023]:[2025]],0)),"Modeste",IF(V616&lt;=INDEX(TabRFR[[2023]:[2025]],MATCH(BD!U616&amp;"-Intermédiaire",TabRFR[Recherche RFR],0),MATCH(TEXT(YEAR(BD!D616),"Standard"),TabRFR[[#Headers],[2023]:[2025]],0)),"Intermédiaire","Supérieur")))))),IF(D616="","",IF(U616+V616&lt;15,"Données Nb pers ou RFR manquantes",IF(COUNTA(INDIRECT("TabRFR["&amp;YEAR(H616)&amp;"]"))&lt;&gt;COUNTA(TabRFR[Recherche RFR]),"Data RFR manquantes", IF(V616&lt;=INDEX(TabRFR[[2023]:[2025]],MATCH(BD!U616&amp;"-Très modestes",TabRFR[Recherche RFR],0),MATCH(TEXT(YEAR(BD!H616),"Standard"),TabRFR[[#Headers],[2023]:[2025]],0)),"Très Modeste",IF(V616&lt;=INDEX(TabRFR[[2023]:[2025]],MATCH(BD!U616&amp;"-modestes",TabRFR[Recherche RFR],0),MATCH(TEXT(YEAR(BD!H616),"Standard"),TabRFR[[#Headers],[2023]:[2025]],0)),"Modeste",IF(V616&lt;=INDEX(TabRFR[[2023]:[2025]],MATCH(BD!U616&amp;"-Intermédiaire",TabRFR[Recherche RFR],0),MATCH(TEXT(YEAR(BD!H616),"Standard"),TabRFR[[#Headers],[2023]:[2025]],0)),"Intermédiaire","Supérieur")))))))</f>
        <v>Supérieur</v>
      </c>
      <c r="X616" s="144"/>
      <c r="Y616" s="135" t="s">
        <v>388</v>
      </c>
      <c r="Z616" s="144">
        <v>38340</v>
      </c>
      <c r="AA616" s="135" t="s">
        <v>266</v>
      </c>
      <c r="AB616" s="148"/>
      <c r="AC616" s="169"/>
      <c r="AD616" s="135" t="s">
        <v>91</v>
      </c>
      <c r="AE616" s="144"/>
      <c r="AF616" s="135"/>
      <c r="AG616" s="144"/>
      <c r="AH616" s="135"/>
      <c r="AI616" s="135" t="s">
        <v>2703</v>
      </c>
      <c r="AJ616" s="135" t="s">
        <v>266</v>
      </c>
      <c r="AK616" s="135" t="s">
        <v>2704</v>
      </c>
      <c r="AL616" s="169" t="s">
        <v>318</v>
      </c>
      <c r="AM616" s="148">
        <v>476500550</v>
      </c>
      <c r="AN616" s="135" t="s">
        <v>76</v>
      </c>
      <c r="AO616" s="193" t="s">
        <v>102</v>
      </c>
      <c r="AP616" s="135">
        <v>45137</v>
      </c>
      <c r="AQ616" s="135" t="s">
        <v>3496</v>
      </c>
      <c r="AR616" s="143">
        <v>1990</v>
      </c>
      <c r="AS616" s="143" t="s">
        <v>3413</v>
      </c>
      <c r="AT616" s="135" t="s">
        <v>3446</v>
      </c>
      <c r="AU616" s="135" t="s">
        <v>319</v>
      </c>
      <c r="AV616" s="135" t="s">
        <v>2705</v>
      </c>
      <c r="AW616" s="135"/>
      <c r="AX616" s="135"/>
      <c r="AY616" s="135"/>
      <c r="AZ616" s="135"/>
      <c r="BA616" s="135" t="s">
        <v>101</v>
      </c>
      <c r="BB616" s="135"/>
      <c r="BC616" s="151">
        <f>115.2+74.53+4837.5+225.2</f>
        <v>5252.4299999999994</v>
      </c>
      <c r="BD616" s="151"/>
      <c r="BE616" s="151">
        <v>600</v>
      </c>
      <c r="BF616" s="151">
        <f>BC616+BE616-165.23</f>
        <v>5687.2</v>
      </c>
      <c r="BG616" s="151">
        <f t="shared" si="56"/>
        <v>312.79599999999999</v>
      </c>
      <c r="BH616" s="151">
        <f t="shared" si="57"/>
        <v>5999.9960000000001</v>
      </c>
      <c r="BI616" s="151">
        <v>6000</v>
      </c>
      <c r="BJ616" s="135" t="s">
        <v>1391</v>
      </c>
      <c r="BK616" s="135"/>
      <c r="BL616" s="135"/>
      <c r="BM616" s="144" t="s">
        <v>3592</v>
      </c>
      <c r="BN616" s="143">
        <v>2023</v>
      </c>
      <c r="BO616" s="135" t="s">
        <v>143</v>
      </c>
      <c r="BP616" s="144">
        <v>2023</v>
      </c>
      <c r="BQ616" s="203" t="s">
        <v>3274</v>
      </c>
    </row>
    <row r="617" spans="1:69" ht="41.1" customHeight="1">
      <c r="A617" s="218" t="s">
        <v>1705</v>
      </c>
      <c r="B617" s="218" t="s">
        <v>2706</v>
      </c>
      <c r="C617" s="143">
        <f t="shared" ca="1" si="62"/>
        <v>600</v>
      </c>
      <c r="D617" s="135">
        <v>45034</v>
      </c>
      <c r="E617" s="135">
        <v>45040</v>
      </c>
      <c r="F617" s="135" t="s">
        <v>76</v>
      </c>
      <c r="G617" s="135" t="s">
        <v>2707</v>
      </c>
      <c r="H617" s="135">
        <v>45096</v>
      </c>
      <c r="I617" s="135">
        <v>45097</v>
      </c>
      <c r="J617" s="135">
        <v>45097</v>
      </c>
      <c r="K617" s="135">
        <v>45138</v>
      </c>
      <c r="L617" s="135">
        <v>45099</v>
      </c>
      <c r="M617" s="135" t="s">
        <v>76</v>
      </c>
      <c r="N617" s="135">
        <v>45173</v>
      </c>
      <c r="O617" s="135">
        <v>45173</v>
      </c>
      <c r="P617" s="135">
        <v>45194</v>
      </c>
      <c r="Q617" s="135"/>
      <c r="R617" s="135"/>
      <c r="S617" s="135"/>
      <c r="T617" s="135"/>
      <c r="U617" s="144">
        <v>2</v>
      </c>
      <c r="V617" s="143">
        <v>55542</v>
      </c>
      <c r="W617" s="143" t="str">
        <f ca="1">IF(H617="",IF(D617="","",IF(U617+V617&lt;15,"Données Nb pers ou RFR manquantes",IF(COUNTA(INDIRECT("TabRFR["&amp;YEAR(D617)&amp;"]"))&lt;&gt;COUNTA(TabRFR[Recherche RFR]),"Data RFR manquantes", IF(V617&lt;=INDEX(TabRFR[[2023]:[2025]],MATCH(BD!U617&amp;"-Très modestes",TabRFR[Recherche RFR],0),MATCH(TEXT(YEAR(BD!D617),"Standard"),TabRFR[[#Headers],[2023]:[2025]],0)),"Très Modeste",IF(V617&lt;=INDEX(TabRFR[[2023]:[2025]],MATCH(BD!U617&amp;"-modestes",TabRFR[Recherche RFR],0),MATCH(TEXT(YEAR(BD!D617),"Standard"),TabRFR[[#Headers],[2023]:[2025]],0)),"Modeste",IF(V617&lt;=INDEX(TabRFR[[2023]:[2025]],MATCH(BD!U617&amp;"-Intermédiaire",TabRFR[Recherche RFR],0),MATCH(TEXT(YEAR(BD!D617),"Standard"),TabRFR[[#Headers],[2023]:[2025]],0)),"Intermédiaire","Supérieur")))))),IF(D617="","",IF(U617+V617&lt;15,"Données Nb pers ou RFR manquantes",IF(COUNTA(INDIRECT("TabRFR["&amp;YEAR(H617)&amp;"]"))&lt;&gt;COUNTA(TabRFR[Recherche RFR]),"Data RFR manquantes", IF(V617&lt;=INDEX(TabRFR[[2023]:[2025]],MATCH(BD!U617&amp;"-Très modestes",TabRFR[Recherche RFR],0),MATCH(TEXT(YEAR(BD!H617),"Standard"),TabRFR[[#Headers],[2023]:[2025]],0)),"Très Modeste",IF(V617&lt;=INDEX(TabRFR[[2023]:[2025]],MATCH(BD!U617&amp;"-modestes",TabRFR[Recherche RFR],0),MATCH(TEXT(YEAR(BD!H617),"Standard"),TabRFR[[#Headers],[2023]:[2025]],0)),"Modeste",IF(V617&lt;=INDEX(TabRFR[[2023]:[2025]],MATCH(BD!U617&amp;"-Intermédiaire",TabRFR[Recherche RFR],0),MATCH(TEXT(YEAR(BD!H617),"Standard"),TabRFR[[#Headers],[2023]:[2025]],0)),"Intermédiaire","Supérieur")))))))</f>
        <v>Supérieur</v>
      </c>
      <c r="X617" s="144"/>
      <c r="Y617" s="135" t="s">
        <v>2708</v>
      </c>
      <c r="Z617" s="144">
        <v>38210</v>
      </c>
      <c r="AA617" s="135" t="s">
        <v>202</v>
      </c>
      <c r="AB617" s="148"/>
      <c r="AC617" s="169"/>
      <c r="AD617" s="135" t="s">
        <v>91</v>
      </c>
      <c r="AE617" s="144"/>
      <c r="AF617" s="135"/>
      <c r="AG617" s="144"/>
      <c r="AH617" s="135"/>
      <c r="AI617" s="135" t="str">
        <f t="shared" ref="AI617:AP617" si="63">AI595</f>
        <v>TECHNI NATURE</v>
      </c>
      <c r="AJ617" s="135" t="s">
        <v>108</v>
      </c>
      <c r="AK617" s="135" t="str">
        <f t="shared" si="63"/>
        <v>PIERRE Emmanuel</v>
      </c>
      <c r="AL617" s="192" t="str">
        <f t="shared" si="63"/>
        <v>voiron@techni-nature.com</v>
      </c>
      <c r="AM617" s="148" t="str">
        <f t="shared" si="63"/>
        <v>09 72 17 98 56</v>
      </c>
      <c r="AN617" s="135" t="str">
        <f t="shared" si="63"/>
        <v>-</v>
      </c>
      <c r="AO617" s="193" t="str">
        <f t="shared" si="63"/>
        <v>oui</v>
      </c>
      <c r="AP617" s="135">
        <f t="shared" si="63"/>
        <v>45163</v>
      </c>
      <c r="AQ617" s="135" t="s">
        <v>3496</v>
      </c>
      <c r="AR617" s="143">
        <v>1999</v>
      </c>
      <c r="AS617" s="143" t="s">
        <v>3413</v>
      </c>
      <c r="AT617" s="135" t="s">
        <v>3446</v>
      </c>
      <c r="AU617" s="135" t="s">
        <v>2709</v>
      </c>
      <c r="AV617" s="135" t="s">
        <v>2710</v>
      </c>
      <c r="AW617" s="135"/>
      <c r="AX617" s="135"/>
      <c r="AY617" s="135"/>
      <c r="AZ617" s="135"/>
      <c r="BA617" s="135" t="s">
        <v>101</v>
      </c>
      <c r="BB617" s="135"/>
      <c r="BC617" s="151">
        <f>3830+415+415+1161.5+569.9</f>
        <v>6391.4</v>
      </c>
      <c r="BD617" s="151"/>
      <c r="BE617" s="151">
        <f>690+2500</f>
        <v>3190</v>
      </c>
      <c r="BF617" s="151">
        <f>BC617+BE617</f>
        <v>9581.4</v>
      </c>
      <c r="BG617" s="151">
        <f t="shared" si="56"/>
        <v>526.97699999999998</v>
      </c>
      <c r="BH617" s="151">
        <f t="shared" si="57"/>
        <v>10108.377</v>
      </c>
      <c r="BI617" s="151">
        <v>10108.379999999999</v>
      </c>
      <c r="BJ617" s="135" t="s">
        <v>144</v>
      </c>
      <c r="BK617" s="135"/>
      <c r="BL617" s="135"/>
      <c r="BM617" s="144" t="s">
        <v>3592</v>
      </c>
      <c r="BN617" s="143">
        <v>2023</v>
      </c>
      <c r="BO617" s="135" t="s">
        <v>143</v>
      </c>
      <c r="BP617" s="144">
        <v>2023</v>
      </c>
      <c r="BQ617" s="203" t="s">
        <v>144</v>
      </c>
    </row>
    <row r="618" spans="1:69" ht="41.1" customHeight="1">
      <c r="A618" s="218" t="s">
        <v>1705</v>
      </c>
      <c r="B618" s="218" t="s">
        <v>2711</v>
      </c>
      <c r="C618" s="143">
        <f t="shared" ca="1" si="62"/>
        <v>600</v>
      </c>
      <c r="D618" s="135">
        <v>45037</v>
      </c>
      <c r="E618" s="135">
        <v>45040</v>
      </c>
      <c r="F618" s="135" t="s">
        <v>76</v>
      </c>
      <c r="G618" s="135" t="s">
        <v>76</v>
      </c>
      <c r="H618" s="135">
        <v>45048</v>
      </c>
      <c r="I618" s="135">
        <v>45048</v>
      </c>
      <c r="J618" s="135">
        <v>45051</v>
      </c>
      <c r="K618" s="135">
        <v>45146</v>
      </c>
      <c r="L618" s="135">
        <v>45140</v>
      </c>
      <c r="M618" s="135" t="s">
        <v>76</v>
      </c>
      <c r="N618" s="135">
        <v>45154</v>
      </c>
      <c r="O618" s="135">
        <v>45154</v>
      </c>
      <c r="P618" s="135">
        <v>45156</v>
      </c>
      <c r="Q618" s="135"/>
      <c r="R618" s="135"/>
      <c r="S618" s="135"/>
      <c r="T618" s="135"/>
      <c r="U618" s="144">
        <v>2</v>
      </c>
      <c r="V618" s="143">
        <v>32304</v>
      </c>
      <c r="W618" s="143" t="str">
        <f ca="1">IF(H618="",IF(D618="","",IF(U618+V618&lt;15,"Données Nb pers ou RFR manquantes",IF(COUNTA(INDIRECT("TabRFR["&amp;YEAR(D618)&amp;"]"))&lt;&gt;COUNTA(TabRFR[Recherche RFR]),"Data RFR manquantes", IF(V618&lt;=INDEX(TabRFR[[2023]:[2025]],MATCH(BD!U618&amp;"-Très modestes",TabRFR[Recherche RFR],0),MATCH(TEXT(YEAR(BD!D618),"Standard"),TabRFR[[#Headers],[2023]:[2025]],0)),"Très Modeste",IF(V618&lt;=INDEX(TabRFR[[2023]:[2025]],MATCH(BD!U618&amp;"-modestes",TabRFR[Recherche RFR],0),MATCH(TEXT(YEAR(BD!D618),"Standard"),TabRFR[[#Headers],[2023]:[2025]],0)),"Modeste",IF(V618&lt;=INDEX(TabRFR[[2023]:[2025]],MATCH(BD!U618&amp;"-Intermédiaire",TabRFR[Recherche RFR],0),MATCH(TEXT(YEAR(BD!D618),"Standard"),TabRFR[[#Headers],[2023]:[2025]],0)),"Intermédiaire","Supérieur")))))),IF(D618="","",IF(U618+V618&lt;15,"Données Nb pers ou RFR manquantes",IF(COUNTA(INDIRECT("TabRFR["&amp;YEAR(H618)&amp;"]"))&lt;&gt;COUNTA(TabRFR[Recherche RFR]),"Data RFR manquantes", IF(V618&lt;=INDEX(TabRFR[[2023]:[2025]],MATCH(BD!U618&amp;"-Très modestes",TabRFR[Recherche RFR],0),MATCH(TEXT(YEAR(BD!H618),"Standard"),TabRFR[[#Headers],[2023]:[2025]],0)),"Très Modeste",IF(V618&lt;=INDEX(TabRFR[[2023]:[2025]],MATCH(BD!U618&amp;"-modestes",TabRFR[Recherche RFR],0),MATCH(TEXT(YEAR(BD!H618),"Standard"),TabRFR[[#Headers],[2023]:[2025]],0)),"Modeste",IF(V618&lt;=INDEX(TabRFR[[2023]:[2025]],MATCH(BD!U618&amp;"-Intermédiaire",TabRFR[Recherche RFR],0),MATCH(TEXT(YEAR(BD!H618),"Standard"),TabRFR[[#Headers],[2023]:[2025]],0)),"Intermédiaire","Supérieur")))))))</f>
        <v>Intermédiaire</v>
      </c>
      <c r="X618" s="144"/>
      <c r="Y618" s="135" t="s">
        <v>2712</v>
      </c>
      <c r="Z618" s="144">
        <v>38210</v>
      </c>
      <c r="AA618" s="135" t="s">
        <v>202</v>
      </c>
      <c r="AB618" s="148"/>
      <c r="AC618" s="169"/>
      <c r="AD618" s="135" t="s">
        <v>91</v>
      </c>
      <c r="AE618" s="144"/>
      <c r="AF618" s="135"/>
      <c r="AG618" s="144"/>
      <c r="AH618" s="135"/>
      <c r="AI618" s="135" t="s">
        <v>872</v>
      </c>
      <c r="AJ618" s="143" t="s">
        <v>873</v>
      </c>
      <c r="AK618" s="143" t="s">
        <v>1970</v>
      </c>
      <c r="AL618" s="169" t="s">
        <v>1971</v>
      </c>
      <c r="AM618" s="148">
        <v>474354364</v>
      </c>
      <c r="AN618" s="135" t="s">
        <v>76</v>
      </c>
      <c r="AO618" s="193" t="s">
        <v>102</v>
      </c>
      <c r="AP618" s="135">
        <v>45225</v>
      </c>
      <c r="AQ618" s="143" t="s">
        <v>3413</v>
      </c>
      <c r="AR618" s="153">
        <v>2001</v>
      </c>
      <c r="AS618" s="143" t="s">
        <v>3413</v>
      </c>
      <c r="AT618" s="143" t="s">
        <v>98</v>
      </c>
      <c r="AU618" s="135" t="s">
        <v>430</v>
      </c>
      <c r="AV618" s="135" t="s">
        <v>1505</v>
      </c>
      <c r="AW618" s="135"/>
      <c r="AX618" s="135"/>
      <c r="AY618" s="135"/>
      <c r="AZ618" s="135"/>
      <c r="BA618" s="135" t="s">
        <v>1401</v>
      </c>
      <c r="BB618" s="135"/>
      <c r="BC618" s="151">
        <f>4186+1090.89+324.7+259+55+181.12+105.22</f>
        <v>6201.93</v>
      </c>
      <c r="BD618" s="151"/>
      <c r="BE618" s="151">
        <v>750</v>
      </c>
      <c r="BF618" s="151">
        <f>BC618+BE618</f>
        <v>6951.93</v>
      </c>
      <c r="BG618" s="151">
        <f t="shared" si="56"/>
        <v>382.35615000000001</v>
      </c>
      <c r="BH618" s="151">
        <f t="shared" si="57"/>
        <v>7334.2861499999999</v>
      </c>
      <c r="BI618" s="151">
        <v>7334.29</v>
      </c>
      <c r="BJ618" s="135" t="s">
        <v>144</v>
      </c>
      <c r="BK618" s="135"/>
      <c r="BL618" s="135"/>
      <c r="BM618" s="144" t="s">
        <v>3592</v>
      </c>
      <c r="BN618" s="143">
        <v>2023</v>
      </c>
      <c r="BO618" s="135" t="s">
        <v>143</v>
      </c>
      <c r="BP618" s="143" t="s">
        <v>3583</v>
      </c>
      <c r="BQ618" s="203" t="s">
        <v>144</v>
      </c>
    </row>
    <row r="619" spans="1:69" ht="41.1" customHeight="1">
      <c r="A619" s="218" t="s">
        <v>1705</v>
      </c>
      <c r="B619" s="218" t="s">
        <v>2713</v>
      </c>
      <c r="C619" s="143">
        <f t="shared" ca="1" si="62"/>
        <v>600</v>
      </c>
      <c r="D619" s="135">
        <v>45043</v>
      </c>
      <c r="E619" s="135">
        <v>45050</v>
      </c>
      <c r="F619" s="135">
        <v>45057</v>
      </c>
      <c r="G619" s="135" t="s">
        <v>2714</v>
      </c>
      <c r="H619" s="135">
        <v>45058</v>
      </c>
      <c r="I619" s="135">
        <v>45058</v>
      </c>
      <c r="J619" s="135">
        <v>45061</v>
      </c>
      <c r="K619" s="135">
        <v>45114</v>
      </c>
      <c r="L619" s="135">
        <v>45103</v>
      </c>
      <c r="M619" s="135" t="s">
        <v>2715</v>
      </c>
      <c r="N619" s="135">
        <v>45141</v>
      </c>
      <c r="O619" s="135">
        <v>45141</v>
      </c>
      <c r="P619" s="135">
        <v>45142</v>
      </c>
      <c r="Q619" s="135"/>
      <c r="R619" s="135"/>
      <c r="S619" s="135"/>
      <c r="T619" s="135"/>
      <c r="U619" s="144">
        <v>2</v>
      </c>
      <c r="V619" s="143">
        <v>231564</v>
      </c>
      <c r="W619" s="143" t="str">
        <f ca="1">IF(H619="",IF(D619="","",IF(U619+V619&lt;15,"Données Nb pers ou RFR manquantes",IF(COUNTA(INDIRECT("TabRFR["&amp;YEAR(D619)&amp;"]"))&lt;&gt;COUNTA(TabRFR[Recherche RFR]),"Data RFR manquantes", IF(V619&lt;=INDEX(TabRFR[[2023]:[2025]],MATCH(BD!U619&amp;"-Très modestes",TabRFR[Recherche RFR],0),MATCH(TEXT(YEAR(BD!D619),"Standard"),TabRFR[[#Headers],[2023]:[2025]],0)),"Très Modeste",IF(V619&lt;=INDEX(TabRFR[[2023]:[2025]],MATCH(BD!U619&amp;"-modestes",TabRFR[Recherche RFR],0),MATCH(TEXT(YEAR(BD!D619),"Standard"),TabRFR[[#Headers],[2023]:[2025]],0)),"Modeste",IF(V619&lt;=INDEX(TabRFR[[2023]:[2025]],MATCH(BD!U619&amp;"-Intermédiaire",TabRFR[Recherche RFR],0),MATCH(TEXT(YEAR(BD!D619),"Standard"),TabRFR[[#Headers],[2023]:[2025]],0)),"Intermédiaire","Supérieur")))))),IF(D619="","",IF(U619+V619&lt;15,"Données Nb pers ou RFR manquantes",IF(COUNTA(INDIRECT("TabRFR["&amp;YEAR(H619)&amp;"]"))&lt;&gt;COUNTA(TabRFR[Recherche RFR]),"Data RFR manquantes", IF(V619&lt;=INDEX(TabRFR[[2023]:[2025]],MATCH(BD!U619&amp;"-Très modestes",TabRFR[Recherche RFR],0),MATCH(TEXT(YEAR(BD!H619),"Standard"),TabRFR[[#Headers],[2023]:[2025]],0)),"Très Modeste",IF(V619&lt;=INDEX(TabRFR[[2023]:[2025]],MATCH(BD!U619&amp;"-modestes",TabRFR[Recherche RFR],0),MATCH(TEXT(YEAR(BD!H619),"Standard"),TabRFR[[#Headers],[2023]:[2025]],0)),"Modeste",IF(V619&lt;=INDEX(TabRFR[[2023]:[2025]],MATCH(BD!U619&amp;"-Intermédiaire",TabRFR[Recherche RFR],0),MATCH(TEXT(YEAR(BD!H619),"Standard"),TabRFR[[#Headers],[2023]:[2025]],0)),"Intermédiaire","Supérieur")))))))</f>
        <v>Supérieur</v>
      </c>
      <c r="X619" s="144"/>
      <c r="Y619" s="135" t="s">
        <v>2626</v>
      </c>
      <c r="Z619" s="144">
        <v>38500</v>
      </c>
      <c r="AA619" s="135" t="s">
        <v>284</v>
      </c>
      <c r="AB619" s="148"/>
      <c r="AC619" s="169"/>
      <c r="AD619" s="135" t="s">
        <v>91</v>
      </c>
      <c r="AE619" s="144"/>
      <c r="AF619" s="135"/>
      <c r="AG619" s="144"/>
      <c r="AH619" s="135"/>
      <c r="AI619" s="135" t="str">
        <f t="shared" ref="AI619:AP619" si="64">AI603</f>
        <v>ALP'CONFORT</v>
      </c>
      <c r="AJ619" s="135" t="s">
        <v>136</v>
      </c>
      <c r="AK619" s="135" t="str">
        <f t="shared" si="64"/>
        <v>M. CLAVEL</v>
      </c>
      <c r="AL619" s="169" t="str">
        <f t="shared" si="64"/>
        <v>p.clavel@alp-confort.fr</v>
      </c>
      <c r="AM619" s="148">
        <f t="shared" si="64"/>
        <v>681627199</v>
      </c>
      <c r="AN619" s="135" t="str">
        <f t="shared" si="64"/>
        <v>-</v>
      </c>
      <c r="AO619" s="193" t="str">
        <f t="shared" si="64"/>
        <v>Oui</v>
      </c>
      <c r="AP619" s="135">
        <f t="shared" si="64"/>
        <v>45399</v>
      </c>
      <c r="AQ619" s="143" t="s">
        <v>3413</v>
      </c>
      <c r="AR619" s="143">
        <v>2000</v>
      </c>
      <c r="AS619" s="143" t="s">
        <v>3413</v>
      </c>
      <c r="AT619" s="143" t="s">
        <v>98</v>
      </c>
      <c r="AU619" s="135" t="s">
        <v>2060</v>
      </c>
      <c r="AV619" s="135" t="s">
        <v>2716</v>
      </c>
      <c r="AW619" s="135"/>
      <c r="AX619" s="135"/>
      <c r="AY619" s="135"/>
      <c r="AZ619" s="135"/>
      <c r="BA619" s="135" t="s">
        <v>101</v>
      </c>
      <c r="BB619" s="135"/>
      <c r="BC619" s="151">
        <f>5837+136+1184</f>
        <v>7157</v>
      </c>
      <c r="BD619" s="151"/>
      <c r="BE619" s="151">
        <f>848+225+68+1.67</f>
        <v>1142.67</v>
      </c>
      <c r="BF619" s="151">
        <f>BC619+BE619-337.58</f>
        <v>7962.09</v>
      </c>
      <c r="BG619" s="151">
        <f t="shared" si="56"/>
        <v>437.91495000000003</v>
      </c>
      <c r="BH619" s="151">
        <f t="shared" si="57"/>
        <v>8400.0049500000005</v>
      </c>
      <c r="BI619" s="151">
        <v>8400</v>
      </c>
      <c r="BJ619" s="135" t="s">
        <v>1391</v>
      </c>
      <c r="BK619" s="135"/>
      <c r="BL619" s="135"/>
      <c r="BM619" s="144" t="s">
        <v>3592</v>
      </c>
      <c r="BN619" s="143">
        <v>2023</v>
      </c>
      <c r="BO619" s="135" t="s">
        <v>143</v>
      </c>
      <c r="BP619" s="143" t="s">
        <v>3583</v>
      </c>
      <c r="BQ619" s="203" t="s">
        <v>3274</v>
      </c>
    </row>
    <row r="620" spans="1:69" ht="41.1" customHeight="1">
      <c r="A620" s="218" t="s">
        <v>1705</v>
      </c>
      <c r="B620" s="218" t="s">
        <v>2717</v>
      </c>
      <c r="C620" s="143">
        <f t="shared" ca="1" si="62"/>
        <v>1000</v>
      </c>
      <c r="D620" s="135">
        <v>45050</v>
      </c>
      <c r="E620" s="135">
        <v>45050</v>
      </c>
      <c r="F620" s="135">
        <v>45057</v>
      </c>
      <c r="G620" s="135" t="s">
        <v>2718</v>
      </c>
      <c r="H620" s="135">
        <v>45058</v>
      </c>
      <c r="I620" s="135">
        <v>45058</v>
      </c>
      <c r="J620" s="135">
        <v>45061</v>
      </c>
      <c r="K620" s="135">
        <v>45141</v>
      </c>
      <c r="L620" s="135">
        <v>45134</v>
      </c>
      <c r="M620" s="135" t="s">
        <v>76</v>
      </c>
      <c r="N620" s="135">
        <v>45146</v>
      </c>
      <c r="O620" s="135">
        <v>45146</v>
      </c>
      <c r="P620" s="135">
        <v>45147</v>
      </c>
      <c r="Q620" s="135"/>
      <c r="R620" s="135"/>
      <c r="S620" s="135"/>
      <c r="T620" s="135"/>
      <c r="U620" s="144">
        <v>3</v>
      </c>
      <c r="V620" s="143">
        <v>19732</v>
      </c>
      <c r="W620" s="143" t="str">
        <f ca="1">IF(H620="",IF(D620="","",IF(U620+V620&lt;15,"Données Nb pers ou RFR manquantes",IF(COUNTA(INDIRECT("TabRFR["&amp;YEAR(D620)&amp;"]"))&lt;&gt;COUNTA(TabRFR[Recherche RFR]),"Data RFR manquantes", IF(V620&lt;=INDEX(TabRFR[[2023]:[2025]],MATCH(BD!U620&amp;"-Très modestes",TabRFR[Recherche RFR],0),MATCH(TEXT(YEAR(BD!D620),"Standard"),TabRFR[[#Headers],[2023]:[2025]],0)),"Très Modeste",IF(V620&lt;=INDEX(TabRFR[[2023]:[2025]],MATCH(BD!U620&amp;"-modestes",TabRFR[Recherche RFR],0),MATCH(TEXT(YEAR(BD!D620),"Standard"),TabRFR[[#Headers],[2023]:[2025]],0)),"Modeste",IF(V620&lt;=INDEX(TabRFR[[2023]:[2025]],MATCH(BD!U620&amp;"-Intermédiaire",TabRFR[Recherche RFR],0),MATCH(TEXT(YEAR(BD!D620),"Standard"),TabRFR[[#Headers],[2023]:[2025]],0)),"Intermédiaire","Supérieur")))))),IF(D620="","",IF(U620+V620&lt;15,"Données Nb pers ou RFR manquantes",IF(COUNTA(INDIRECT("TabRFR["&amp;YEAR(H620)&amp;"]"))&lt;&gt;COUNTA(TabRFR[Recherche RFR]),"Data RFR manquantes", IF(V620&lt;=INDEX(TabRFR[[2023]:[2025]],MATCH(BD!U620&amp;"-Très modestes",TabRFR[Recherche RFR],0),MATCH(TEXT(YEAR(BD!H620),"Standard"),TabRFR[[#Headers],[2023]:[2025]],0)),"Très Modeste",IF(V620&lt;=INDEX(TabRFR[[2023]:[2025]],MATCH(BD!U620&amp;"-modestes",TabRFR[Recherche RFR],0),MATCH(TEXT(YEAR(BD!H620),"Standard"),TabRFR[[#Headers],[2023]:[2025]],0)),"Modeste",IF(V620&lt;=INDEX(TabRFR[[2023]:[2025]],MATCH(BD!U620&amp;"-Intermédiaire",TabRFR[Recherche RFR],0),MATCH(TEXT(YEAR(BD!H620),"Standard"),TabRFR[[#Headers],[2023]:[2025]],0)),"Intermédiaire","Supérieur")))))))</f>
        <v>Modeste</v>
      </c>
      <c r="X620" s="144"/>
      <c r="Y620" s="135" t="s">
        <v>2719</v>
      </c>
      <c r="Z620" s="144">
        <v>38730</v>
      </c>
      <c r="AA620" s="135" t="s">
        <v>148</v>
      </c>
      <c r="AB620" s="148"/>
      <c r="AC620" s="169"/>
      <c r="AD620" s="135" t="s">
        <v>91</v>
      </c>
      <c r="AE620" s="144"/>
      <c r="AF620" s="135"/>
      <c r="AG620" s="144"/>
      <c r="AH620" s="135"/>
      <c r="AI620" s="135" t="str">
        <f t="shared" ref="AI620:AO620" si="65">AI581</f>
        <v>SARL PASSION FLAMME</v>
      </c>
      <c r="AJ620" s="135" t="s">
        <v>1437</v>
      </c>
      <c r="AK620" s="135" t="str">
        <f t="shared" si="65"/>
        <v>M. DURANTON</v>
      </c>
      <c r="AL620" s="169" t="str">
        <f t="shared" si="65"/>
        <v>jeanfrancois@passionflamme.fr</v>
      </c>
      <c r="AM620" s="148">
        <f t="shared" si="65"/>
        <v>631077133</v>
      </c>
      <c r="AN620" s="135" t="str">
        <f t="shared" si="65"/>
        <v>-</v>
      </c>
      <c r="AO620" s="193" t="str">
        <f t="shared" si="65"/>
        <v>oui</v>
      </c>
      <c r="AP620" s="135">
        <v>45418</v>
      </c>
      <c r="AQ620" s="135" t="s">
        <v>3496</v>
      </c>
      <c r="AR620" s="143" t="s">
        <v>1794</v>
      </c>
      <c r="AS620" s="143" t="s">
        <v>3413</v>
      </c>
      <c r="AT620" s="135" t="s">
        <v>3446</v>
      </c>
      <c r="AU620" s="135" t="s">
        <v>214</v>
      </c>
      <c r="AV620" s="135" t="s">
        <v>2720</v>
      </c>
      <c r="AW620" s="135"/>
      <c r="AX620" s="135"/>
      <c r="AY620" s="135"/>
      <c r="AZ620" s="135"/>
      <c r="BA620" s="135" t="s">
        <v>101</v>
      </c>
      <c r="BB620" s="135"/>
      <c r="BC620" s="151">
        <f>6210+274+2125+256+102</f>
        <v>8967</v>
      </c>
      <c r="BD620" s="151"/>
      <c r="BE620" s="151">
        <f>61+800</f>
        <v>861</v>
      </c>
      <c r="BF620" s="151">
        <f>BC620+BE620</f>
        <v>9828</v>
      </c>
      <c r="BG620" s="151">
        <f t="shared" si="56"/>
        <v>540.54</v>
      </c>
      <c r="BH620" s="151">
        <f t="shared" si="57"/>
        <v>10368.540000000001</v>
      </c>
      <c r="BI620" s="151">
        <f>6768.46+3600.08</f>
        <v>10368.540000000001</v>
      </c>
      <c r="BJ620" s="135" t="s">
        <v>144</v>
      </c>
      <c r="BK620" s="135"/>
      <c r="BL620" s="135"/>
      <c r="BM620" s="144" t="s">
        <v>3592</v>
      </c>
      <c r="BN620" s="143">
        <v>2023</v>
      </c>
      <c r="BO620" s="135" t="s">
        <v>155</v>
      </c>
      <c r="BP620" s="144">
        <v>2023</v>
      </c>
      <c r="BQ620" s="203" t="s">
        <v>144</v>
      </c>
    </row>
    <row r="621" spans="1:69" ht="41.1" customHeight="1">
      <c r="A621" s="218" t="s">
        <v>1705</v>
      </c>
      <c r="B621" s="218" t="s">
        <v>2721</v>
      </c>
      <c r="C621" s="143">
        <f t="shared" ca="1" si="62"/>
        <v>600</v>
      </c>
      <c r="D621" s="135">
        <v>45055</v>
      </c>
      <c r="E621" s="135">
        <v>45058</v>
      </c>
      <c r="F621" s="135">
        <v>45071</v>
      </c>
      <c r="G621" s="135" t="s">
        <v>2722</v>
      </c>
      <c r="H621" s="135">
        <v>45078</v>
      </c>
      <c r="I621" s="135">
        <v>45078</v>
      </c>
      <c r="J621" s="135">
        <v>45079</v>
      </c>
      <c r="K621" s="135">
        <v>45237</v>
      </c>
      <c r="L621" s="135">
        <v>45233</v>
      </c>
      <c r="M621" s="135" t="s">
        <v>1306</v>
      </c>
      <c r="N621" s="135">
        <v>45246</v>
      </c>
      <c r="O621" s="135">
        <v>45246</v>
      </c>
      <c r="P621" s="135">
        <v>45271</v>
      </c>
      <c r="Q621" s="135"/>
      <c r="R621" s="135"/>
      <c r="S621" s="135"/>
      <c r="T621" s="135"/>
      <c r="U621" s="144">
        <v>1</v>
      </c>
      <c r="V621" s="143">
        <v>26111</v>
      </c>
      <c r="W621" s="143" t="str">
        <f ca="1">IF(H621="",IF(D621="","",IF(U621+V621&lt;15,"Données Nb pers ou RFR manquantes",IF(COUNTA(INDIRECT("TabRFR["&amp;YEAR(D621)&amp;"]"))&lt;&gt;COUNTA(TabRFR[Recherche RFR]),"Data RFR manquantes", IF(V621&lt;=INDEX(TabRFR[[2023]:[2025]],MATCH(BD!U621&amp;"-Très modestes",TabRFR[Recherche RFR],0),MATCH(TEXT(YEAR(BD!D621),"Standard"),TabRFR[[#Headers],[2023]:[2025]],0)),"Très Modeste",IF(V621&lt;=INDEX(TabRFR[[2023]:[2025]],MATCH(BD!U621&amp;"-modestes",TabRFR[Recherche RFR],0),MATCH(TEXT(YEAR(BD!D621),"Standard"),TabRFR[[#Headers],[2023]:[2025]],0)),"Modeste",IF(V621&lt;=INDEX(TabRFR[[2023]:[2025]],MATCH(BD!U621&amp;"-Intermédiaire",TabRFR[Recherche RFR],0),MATCH(TEXT(YEAR(BD!D621),"Standard"),TabRFR[[#Headers],[2023]:[2025]],0)),"Intermédiaire","Supérieur")))))),IF(D621="","",IF(U621+V621&lt;15,"Données Nb pers ou RFR manquantes",IF(COUNTA(INDIRECT("TabRFR["&amp;YEAR(H621)&amp;"]"))&lt;&gt;COUNTA(TabRFR[Recherche RFR]),"Data RFR manquantes", IF(V621&lt;=INDEX(TabRFR[[2023]:[2025]],MATCH(BD!U621&amp;"-Très modestes",TabRFR[Recherche RFR],0),MATCH(TEXT(YEAR(BD!H621),"Standard"),TabRFR[[#Headers],[2023]:[2025]],0)),"Très Modeste",IF(V621&lt;=INDEX(TabRFR[[2023]:[2025]],MATCH(BD!U621&amp;"-modestes",TabRFR[Recherche RFR],0),MATCH(TEXT(YEAR(BD!H621),"Standard"),TabRFR[[#Headers],[2023]:[2025]],0)),"Modeste",IF(V621&lt;=INDEX(TabRFR[[2023]:[2025]],MATCH(BD!U621&amp;"-Intermédiaire",TabRFR[Recherche RFR],0),MATCH(TEXT(YEAR(BD!H621),"Standard"),TabRFR[[#Headers],[2023]:[2025]],0)),"Intermédiaire","Supérieur")))))))</f>
        <v>Intermédiaire</v>
      </c>
      <c r="X621" s="144"/>
      <c r="Y621" s="135" t="s">
        <v>2723</v>
      </c>
      <c r="Z621" s="144">
        <v>38620</v>
      </c>
      <c r="AA621" s="135" t="s">
        <v>863</v>
      </c>
      <c r="AB621" s="148"/>
      <c r="AC621" s="170"/>
      <c r="AD621" s="135" t="s">
        <v>91</v>
      </c>
      <c r="AE621" s="144"/>
      <c r="AF621" s="135"/>
      <c r="AG621" s="144"/>
      <c r="AH621" s="135"/>
      <c r="AI621" s="143" t="s">
        <v>1106</v>
      </c>
      <c r="AJ621" s="135" t="s">
        <v>1075</v>
      </c>
      <c r="AK621" s="135" t="str">
        <f t="shared" ref="AK621:AP621" si="66">AK571</f>
        <v>BARGEL Jonathan</v>
      </c>
      <c r="AL621" s="169" t="str">
        <f t="shared" si="66"/>
        <v>jonathan.bargel@philippeisere.fr</v>
      </c>
      <c r="AM621" s="148">
        <f t="shared" si="66"/>
        <v>476663386</v>
      </c>
      <c r="AN621" s="135" t="str">
        <f t="shared" si="66"/>
        <v>-</v>
      </c>
      <c r="AO621" s="193" t="str">
        <f t="shared" si="66"/>
        <v>oui</v>
      </c>
      <c r="AP621" s="135">
        <f t="shared" si="66"/>
        <v>45096</v>
      </c>
      <c r="AQ621" s="135" t="s">
        <v>3449</v>
      </c>
      <c r="AR621" s="143">
        <v>1990</v>
      </c>
      <c r="AS621" s="143" t="s">
        <v>3413</v>
      </c>
      <c r="AT621" s="135" t="s">
        <v>3446</v>
      </c>
      <c r="AU621" s="135" t="s">
        <v>1815</v>
      </c>
      <c r="AV621" s="135" t="s">
        <v>1258</v>
      </c>
      <c r="AW621" s="135"/>
      <c r="AX621" s="135"/>
      <c r="AY621" s="135"/>
      <c r="AZ621" s="135"/>
      <c r="BA621" s="135" t="s">
        <v>101</v>
      </c>
      <c r="BB621" s="135"/>
      <c r="BC621" s="151">
        <f>2471.6+651.65+2184.7+106+180</f>
        <v>5593.95</v>
      </c>
      <c r="BD621" s="151"/>
      <c r="BE621" s="151">
        <v>500</v>
      </c>
      <c r="BF621" s="151">
        <f>BC621+BE621</f>
        <v>6093.95</v>
      </c>
      <c r="BG621" s="151">
        <f t="shared" si="56"/>
        <v>335.16724999999997</v>
      </c>
      <c r="BH621" s="151">
        <f t="shared" si="57"/>
        <v>6429.1172499999993</v>
      </c>
      <c r="BI621" s="151"/>
      <c r="BJ621" s="135" t="s">
        <v>1391</v>
      </c>
      <c r="BK621" s="135"/>
      <c r="BL621" s="135"/>
      <c r="BM621" s="144" t="s">
        <v>3592</v>
      </c>
      <c r="BN621" s="143">
        <v>2023</v>
      </c>
      <c r="BO621" s="135" t="s">
        <v>143</v>
      </c>
      <c r="BP621" s="144">
        <v>2023</v>
      </c>
      <c r="BQ621" s="203" t="s">
        <v>3274</v>
      </c>
    </row>
    <row r="622" spans="1:69" ht="41.1" customHeight="1">
      <c r="A622" s="218" t="s">
        <v>1705</v>
      </c>
      <c r="B622" s="218" t="s">
        <v>2724</v>
      </c>
      <c r="C622" s="143">
        <f t="shared" ca="1" si="62"/>
        <v>600</v>
      </c>
      <c r="D622" s="135">
        <v>45058</v>
      </c>
      <c r="E622" s="135">
        <v>45069</v>
      </c>
      <c r="F622" s="135" t="s">
        <v>76</v>
      </c>
      <c r="G622" s="135" t="s">
        <v>76</v>
      </c>
      <c r="H622" s="135">
        <v>45076</v>
      </c>
      <c r="I622" s="135">
        <v>45076</v>
      </c>
      <c r="J622" s="135">
        <v>45077</v>
      </c>
      <c r="K622" s="135">
        <v>45252</v>
      </c>
      <c r="L622" s="135">
        <v>45256</v>
      </c>
      <c r="M622" s="135" t="s">
        <v>3304</v>
      </c>
      <c r="N622" s="135">
        <v>45264</v>
      </c>
      <c r="O622" s="135">
        <v>45264</v>
      </c>
      <c r="P622" s="135">
        <v>45271</v>
      </c>
      <c r="Q622" s="135"/>
      <c r="R622" s="135"/>
      <c r="S622" s="135"/>
      <c r="T622" s="135"/>
      <c r="U622" s="144">
        <v>2</v>
      </c>
      <c r="V622" s="143">
        <v>41809</v>
      </c>
      <c r="W622" s="143" t="str">
        <f ca="1">IF(H622="",IF(D622="","",IF(U622+V622&lt;15,"Données Nb pers ou RFR manquantes",IF(COUNTA(INDIRECT("TabRFR["&amp;YEAR(D622)&amp;"]"))&lt;&gt;COUNTA(TabRFR[Recherche RFR]),"Data RFR manquantes", IF(V622&lt;=INDEX(TabRFR[[2023]:[2025]],MATCH(BD!U622&amp;"-Très modestes",TabRFR[Recherche RFR],0),MATCH(TEXT(YEAR(BD!D622),"Standard"),TabRFR[[#Headers],[2023]:[2025]],0)),"Très Modeste",IF(V622&lt;=INDEX(TabRFR[[2023]:[2025]],MATCH(BD!U622&amp;"-modestes",TabRFR[Recherche RFR],0),MATCH(TEXT(YEAR(BD!D622),"Standard"),TabRFR[[#Headers],[2023]:[2025]],0)),"Modeste",IF(V622&lt;=INDEX(TabRFR[[2023]:[2025]],MATCH(BD!U622&amp;"-Intermédiaire",TabRFR[Recherche RFR],0),MATCH(TEXT(YEAR(BD!D622),"Standard"),TabRFR[[#Headers],[2023]:[2025]],0)),"Intermédiaire","Supérieur")))))),IF(D622="","",IF(U622+V622&lt;15,"Données Nb pers ou RFR manquantes",IF(COUNTA(INDIRECT("TabRFR["&amp;YEAR(H622)&amp;"]"))&lt;&gt;COUNTA(TabRFR[Recherche RFR]),"Data RFR manquantes", IF(V622&lt;=INDEX(TabRFR[[2023]:[2025]],MATCH(BD!U622&amp;"-Très modestes",TabRFR[Recherche RFR],0),MATCH(TEXT(YEAR(BD!H622),"Standard"),TabRFR[[#Headers],[2023]:[2025]],0)),"Très Modeste",IF(V622&lt;=INDEX(TabRFR[[2023]:[2025]],MATCH(BD!U622&amp;"-modestes",TabRFR[Recherche RFR],0),MATCH(TEXT(YEAR(BD!H622),"Standard"),TabRFR[[#Headers],[2023]:[2025]],0)),"Modeste",IF(V622&lt;=INDEX(TabRFR[[2023]:[2025]],MATCH(BD!U622&amp;"-Intermédiaire",TabRFR[Recherche RFR],0),MATCH(TEXT(YEAR(BD!H622),"Standard"),TabRFR[[#Headers],[2023]:[2025]],0)),"Intermédiaire","Supérieur")))))))</f>
        <v>Intermédiaire</v>
      </c>
      <c r="X622" s="144"/>
      <c r="Y622" s="135" t="s">
        <v>2725</v>
      </c>
      <c r="Z622" s="144">
        <v>38960</v>
      </c>
      <c r="AA622" s="135" t="s">
        <v>360</v>
      </c>
      <c r="AB622" s="148"/>
      <c r="AC622" s="169"/>
      <c r="AD622" s="135" t="s">
        <v>91</v>
      </c>
      <c r="AE622" s="144"/>
      <c r="AF622" s="135"/>
      <c r="AG622" s="144"/>
      <c r="AH622" s="135"/>
      <c r="AI622" s="135" t="s">
        <v>120</v>
      </c>
      <c r="AJ622" s="135" t="s">
        <v>121</v>
      </c>
      <c r="AK622" s="135" t="s">
        <v>2232</v>
      </c>
      <c r="AL622" s="150" t="s">
        <v>123</v>
      </c>
      <c r="AM622" s="135" t="s">
        <v>1469</v>
      </c>
      <c r="AN622" s="135" t="s">
        <v>2233</v>
      </c>
      <c r="AO622" s="193" t="s">
        <v>102</v>
      </c>
      <c r="AP622" s="135">
        <v>45147</v>
      </c>
      <c r="AQ622" s="135" t="s">
        <v>3496</v>
      </c>
      <c r="AR622" s="143">
        <v>1995</v>
      </c>
      <c r="AS622" s="143" t="s">
        <v>3413</v>
      </c>
      <c r="AT622" s="135" t="s">
        <v>3446</v>
      </c>
      <c r="AU622" s="135" t="s">
        <v>2116</v>
      </c>
      <c r="AV622" s="135" t="s">
        <v>2726</v>
      </c>
      <c r="AW622" s="135"/>
      <c r="AX622" s="135"/>
      <c r="AY622" s="135"/>
      <c r="AZ622" s="135"/>
      <c r="BA622" s="135" t="s">
        <v>1401</v>
      </c>
      <c r="BB622" s="135"/>
      <c r="BC622" s="151">
        <f>(5789+435+180+320+391+820+136+144+267)/1.055</f>
        <v>8039.8104265402844</v>
      </c>
      <c r="BD622" s="151"/>
      <c r="BE622" s="151">
        <f>(800+80)/1.055</f>
        <v>834.12322274881524</v>
      </c>
      <c r="BF622" s="151">
        <f>BC622+BE622</f>
        <v>8873.9336492890998</v>
      </c>
      <c r="BG622" s="151">
        <f t="shared" si="56"/>
        <v>488.06635071090051</v>
      </c>
      <c r="BH622" s="151">
        <f t="shared" si="57"/>
        <v>9362</v>
      </c>
      <c r="BI622" s="151">
        <v>9362</v>
      </c>
      <c r="BJ622" s="135" t="s">
        <v>144</v>
      </c>
      <c r="BK622" s="135"/>
      <c r="BL622" s="135"/>
      <c r="BM622" s="144" t="s">
        <v>3592</v>
      </c>
      <c r="BN622" s="143">
        <v>2023</v>
      </c>
      <c r="BO622" s="135" t="s">
        <v>143</v>
      </c>
      <c r="BP622" s="144">
        <v>2023</v>
      </c>
      <c r="BQ622" s="203" t="s">
        <v>144</v>
      </c>
    </row>
    <row r="623" spans="1:69" ht="41.1" customHeight="1">
      <c r="A623" s="219" t="s">
        <v>1705</v>
      </c>
      <c r="B623" s="219" t="s">
        <v>2727</v>
      </c>
      <c r="C623" s="143">
        <f t="shared" ca="1" si="62"/>
        <v>600</v>
      </c>
      <c r="D623" s="135">
        <v>45062</v>
      </c>
      <c r="E623" s="135">
        <v>45069</v>
      </c>
      <c r="F623" s="135">
        <v>45076</v>
      </c>
      <c r="G623" s="135" t="s">
        <v>2080</v>
      </c>
      <c r="H623" s="135">
        <v>45111</v>
      </c>
      <c r="I623" s="135">
        <v>45111</v>
      </c>
      <c r="J623" s="135">
        <v>45112</v>
      </c>
      <c r="K623" s="135"/>
      <c r="L623" s="135"/>
      <c r="M623" s="135"/>
      <c r="N623" s="135"/>
      <c r="O623" s="135"/>
      <c r="P623" s="135"/>
      <c r="Q623" s="135"/>
      <c r="R623" s="135"/>
      <c r="S623" s="135"/>
      <c r="T623" s="135"/>
      <c r="U623" s="144">
        <v>4</v>
      </c>
      <c r="V623" s="143">
        <v>72906</v>
      </c>
      <c r="W623" s="143" t="str">
        <f ca="1">IF(H623="",IF(D623="","",IF(U623+V623&lt;15,"Données Nb pers ou RFR manquantes",IF(COUNTA(INDIRECT("TabRFR["&amp;YEAR(D623)&amp;"]"))&lt;&gt;COUNTA(TabRFR[Recherche RFR]),"Data RFR manquantes", IF(V623&lt;=INDEX(TabRFR[[2023]:[2025]],MATCH(BD!U623&amp;"-Très modestes",TabRFR[Recherche RFR],0),MATCH(TEXT(YEAR(BD!D623),"Standard"),TabRFR[[#Headers],[2023]:[2025]],0)),"Très Modeste",IF(V623&lt;=INDEX(TabRFR[[2023]:[2025]],MATCH(BD!U623&amp;"-modestes",TabRFR[Recherche RFR],0),MATCH(TEXT(YEAR(BD!D623),"Standard"),TabRFR[[#Headers],[2023]:[2025]],0)),"Modeste",IF(V623&lt;=INDEX(TabRFR[[2023]:[2025]],MATCH(BD!U623&amp;"-Intermédiaire",TabRFR[Recherche RFR],0),MATCH(TEXT(YEAR(BD!D623),"Standard"),TabRFR[[#Headers],[2023]:[2025]],0)),"Intermédiaire","Supérieur")))))),IF(D623="","",IF(U623+V623&lt;15,"Données Nb pers ou RFR manquantes",IF(COUNTA(INDIRECT("TabRFR["&amp;YEAR(H623)&amp;"]"))&lt;&gt;COUNTA(TabRFR[Recherche RFR]),"Data RFR manquantes", IF(V623&lt;=INDEX(TabRFR[[2023]:[2025]],MATCH(BD!U623&amp;"-Très modestes",TabRFR[Recherche RFR],0),MATCH(TEXT(YEAR(BD!H623),"Standard"),TabRFR[[#Headers],[2023]:[2025]],0)),"Très Modeste",IF(V623&lt;=INDEX(TabRFR[[2023]:[2025]],MATCH(BD!U623&amp;"-modestes",TabRFR[Recherche RFR],0),MATCH(TEXT(YEAR(BD!H623),"Standard"),TabRFR[[#Headers],[2023]:[2025]],0)),"Modeste",IF(V623&lt;=INDEX(TabRFR[[2023]:[2025]],MATCH(BD!U623&amp;"-Intermédiaire",TabRFR[Recherche RFR],0),MATCH(TEXT(YEAR(BD!H623),"Standard"),TabRFR[[#Headers],[2023]:[2025]],0)),"Intermédiaire","Supérieur")))))))</f>
        <v>Supérieur</v>
      </c>
      <c r="X623" s="144"/>
      <c r="Y623" s="135" t="s">
        <v>158</v>
      </c>
      <c r="Z623" s="144">
        <v>38500</v>
      </c>
      <c r="AA623" s="135" t="s">
        <v>591</v>
      </c>
      <c r="AB623" s="148"/>
      <c r="AC623" s="169"/>
      <c r="AD623" s="135" t="s">
        <v>91</v>
      </c>
      <c r="AE623" s="144"/>
      <c r="AF623" s="144"/>
      <c r="AG623" s="144"/>
      <c r="AH623" s="135"/>
      <c r="AI623" s="135" t="s">
        <v>285</v>
      </c>
      <c r="AJ623" s="135" t="s">
        <v>108</v>
      </c>
      <c r="AK623" s="135" t="s">
        <v>2227</v>
      </c>
      <c r="AL623" s="169" t="s">
        <v>287</v>
      </c>
      <c r="AM623" s="148" t="s">
        <v>2184</v>
      </c>
      <c r="AN623" s="135" t="s">
        <v>76</v>
      </c>
      <c r="AO623" s="193" t="s">
        <v>102</v>
      </c>
      <c r="AP623" s="135">
        <v>45187</v>
      </c>
      <c r="AQ623" s="135" t="s">
        <v>3449</v>
      </c>
      <c r="AR623" s="143">
        <v>1990</v>
      </c>
      <c r="AS623" s="143" t="s">
        <v>3413</v>
      </c>
      <c r="AT623" s="135" t="s">
        <v>3446</v>
      </c>
      <c r="AU623" s="135" t="s">
        <v>2728</v>
      </c>
      <c r="AV623" s="135" t="s">
        <v>2729</v>
      </c>
      <c r="AW623" s="135"/>
      <c r="AX623" s="135"/>
      <c r="AY623" s="135"/>
      <c r="AZ623" s="135"/>
      <c r="BA623" s="135" t="s">
        <v>101</v>
      </c>
      <c r="BB623" s="135"/>
      <c r="BC623" s="151">
        <f>3190+630+275+2802</f>
        <v>6897</v>
      </c>
      <c r="BD623" s="151"/>
      <c r="BE623" s="151">
        <v>330</v>
      </c>
      <c r="BF623" s="151">
        <f>BC623+BE623</f>
        <v>7227</v>
      </c>
      <c r="BG623" s="151">
        <f t="shared" si="56"/>
        <v>397.48500000000001</v>
      </c>
      <c r="BH623" s="151">
        <f t="shared" si="57"/>
        <v>7624.4849999999997</v>
      </c>
      <c r="BI623" s="151"/>
      <c r="BJ623" s="135" t="s">
        <v>144</v>
      </c>
      <c r="BK623" s="135"/>
      <c r="BL623" s="135"/>
      <c r="BM623" s="144" t="s">
        <v>3592</v>
      </c>
      <c r="BN623" s="143">
        <v>2023</v>
      </c>
      <c r="BO623" s="135" t="s">
        <v>143</v>
      </c>
      <c r="BP623" s="144">
        <v>2023</v>
      </c>
      <c r="BQ623" s="203"/>
    </row>
    <row r="624" spans="1:69" ht="41.1" customHeight="1">
      <c r="A624" s="219" t="s">
        <v>1705</v>
      </c>
      <c r="B624" s="219" t="s">
        <v>2730</v>
      </c>
      <c r="C624" s="143">
        <f t="shared" ca="1" si="62"/>
        <v>600</v>
      </c>
      <c r="D624" s="135">
        <v>45063</v>
      </c>
      <c r="E624" s="135">
        <v>45069</v>
      </c>
      <c r="F624" s="135">
        <v>45076</v>
      </c>
      <c r="G624" s="135" t="s">
        <v>2731</v>
      </c>
      <c r="H624" s="135">
        <v>45078</v>
      </c>
      <c r="I624" s="135">
        <v>45047</v>
      </c>
      <c r="J624" s="135">
        <v>45079</v>
      </c>
      <c r="K624" s="135"/>
      <c r="L624" s="135"/>
      <c r="M624" s="135"/>
      <c r="N624" s="135"/>
      <c r="O624" s="135"/>
      <c r="P624" s="135"/>
      <c r="Q624" s="135"/>
      <c r="R624" s="135"/>
      <c r="S624" s="135"/>
      <c r="T624" s="135"/>
      <c r="U624" s="144">
        <v>2</v>
      </c>
      <c r="V624" s="143">
        <v>45041</v>
      </c>
      <c r="W624" s="143" t="str">
        <f ca="1">IF(H624="",IF(D624="","",IF(U624+V624&lt;15,"Données Nb pers ou RFR manquantes",IF(COUNTA(INDIRECT("TabRFR["&amp;YEAR(D624)&amp;"]"))&lt;&gt;COUNTA(TabRFR[Recherche RFR]),"Data RFR manquantes", IF(V624&lt;=INDEX(TabRFR[[2023]:[2025]],MATCH(BD!U624&amp;"-Très modestes",TabRFR[Recherche RFR],0),MATCH(TEXT(YEAR(BD!D624),"Standard"),TabRFR[[#Headers],[2023]:[2025]],0)),"Très Modeste",IF(V624&lt;=INDEX(TabRFR[[2023]:[2025]],MATCH(BD!U624&amp;"-modestes",TabRFR[Recherche RFR],0),MATCH(TEXT(YEAR(BD!D624),"Standard"),TabRFR[[#Headers],[2023]:[2025]],0)),"Modeste",IF(V624&lt;=INDEX(TabRFR[[2023]:[2025]],MATCH(BD!U624&amp;"-Intermédiaire",TabRFR[Recherche RFR],0),MATCH(TEXT(YEAR(BD!D624),"Standard"),TabRFR[[#Headers],[2023]:[2025]],0)),"Intermédiaire","Supérieur")))))),IF(D624="","",IF(U624+V624&lt;15,"Données Nb pers ou RFR manquantes",IF(COUNTA(INDIRECT("TabRFR["&amp;YEAR(H624)&amp;"]"))&lt;&gt;COUNTA(TabRFR[Recherche RFR]),"Data RFR manquantes", IF(V624&lt;=INDEX(TabRFR[[2023]:[2025]],MATCH(BD!U624&amp;"-Très modestes",TabRFR[Recherche RFR],0),MATCH(TEXT(YEAR(BD!H624),"Standard"),TabRFR[[#Headers],[2023]:[2025]],0)),"Très Modeste",IF(V624&lt;=INDEX(TabRFR[[2023]:[2025]],MATCH(BD!U624&amp;"-modestes",TabRFR[Recherche RFR],0),MATCH(TEXT(YEAR(BD!H624),"Standard"),TabRFR[[#Headers],[2023]:[2025]],0)),"Modeste",IF(V624&lt;=INDEX(TabRFR[[2023]:[2025]],MATCH(BD!U624&amp;"-Intermédiaire",TabRFR[Recherche RFR],0),MATCH(TEXT(YEAR(BD!H624),"Standard"),TabRFR[[#Headers],[2023]:[2025]],0)),"Intermédiaire","Supérieur")))))))</f>
        <v>Supérieur</v>
      </c>
      <c r="X624" s="144"/>
      <c r="Y624" s="135" t="s">
        <v>2732</v>
      </c>
      <c r="Z624" s="144">
        <v>38430</v>
      </c>
      <c r="AA624" s="135" t="s">
        <v>119</v>
      </c>
      <c r="AB624" s="148"/>
      <c r="AC624" s="169"/>
      <c r="AD624" s="135" t="s">
        <v>91</v>
      </c>
      <c r="AE624" s="144"/>
      <c r="AF624" s="135"/>
      <c r="AG624" s="144"/>
      <c r="AH624" s="135"/>
      <c r="AI624" s="135" t="s">
        <v>1988</v>
      </c>
      <c r="AJ624" s="135" t="s">
        <v>93</v>
      </c>
      <c r="AK624" s="135" t="str">
        <f t="shared" ref="AK624:AP624" si="67">AK602</f>
        <v>Mr CARRE</v>
      </c>
      <c r="AL624" s="192" t="str">
        <f t="shared" si="67"/>
        <v>marketing@carre-f.com</v>
      </c>
      <c r="AM624" s="148" t="str">
        <f t="shared" si="67"/>
        <v>04 76 37 03 50</v>
      </c>
      <c r="AN624" s="135" t="str">
        <f t="shared" si="67"/>
        <v>-</v>
      </c>
      <c r="AO624" s="193" t="str">
        <f t="shared" si="67"/>
        <v>oui</v>
      </c>
      <c r="AP624" s="135">
        <f t="shared" si="67"/>
        <v>45186</v>
      </c>
      <c r="AQ624" s="135" t="s">
        <v>3496</v>
      </c>
      <c r="AR624" s="143">
        <v>1990</v>
      </c>
      <c r="AS624" s="143" t="s">
        <v>3413</v>
      </c>
      <c r="AT624" s="143" t="s">
        <v>98</v>
      </c>
      <c r="AU624" s="135" t="s">
        <v>1670</v>
      </c>
      <c r="AV624" s="135" t="s">
        <v>2154</v>
      </c>
      <c r="AW624" s="135"/>
      <c r="AX624" s="135"/>
      <c r="AY624" s="135"/>
      <c r="AZ624" s="135"/>
      <c r="BA624" s="135" t="s">
        <v>101</v>
      </c>
      <c r="BB624" s="135"/>
      <c r="BC624" s="151">
        <f>3144.75+404+505.54+299</f>
        <v>4353.29</v>
      </c>
      <c r="BD624" s="151"/>
      <c r="BE624" s="151">
        <v>690</v>
      </c>
      <c r="BF624" s="151">
        <f>BC624+BE624</f>
        <v>5043.29</v>
      </c>
      <c r="BG624" s="151">
        <f t="shared" si="56"/>
        <v>277.38094999999998</v>
      </c>
      <c r="BH624" s="151">
        <f t="shared" si="57"/>
        <v>5320.6709499999997</v>
      </c>
      <c r="BI624" s="151"/>
      <c r="BJ624" s="135" t="s">
        <v>144</v>
      </c>
      <c r="BK624" s="135"/>
      <c r="BL624" s="135"/>
      <c r="BM624" s="144" t="s">
        <v>3592</v>
      </c>
      <c r="BN624" s="143">
        <v>2023</v>
      </c>
      <c r="BO624" s="135" t="s">
        <v>143</v>
      </c>
      <c r="BP624" s="143" t="s">
        <v>3583</v>
      </c>
      <c r="BQ624" s="203"/>
    </row>
    <row r="625" spans="1:69" ht="41.1" customHeight="1">
      <c r="A625" s="218" t="s">
        <v>1705</v>
      </c>
      <c r="B625" s="218" t="s">
        <v>2733</v>
      </c>
      <c r="C625" s="143">
        <f t="shared" ca="1" si="62"/>
        <v>600</v>
      </c>
      <c r="D625" s="135">
        <v>45063</v>
      </c>
      <c r="E625" s="135">
        <v>45069</v>
      </c>
      <c r="F625" s="135" t="s">
        <v>76</v>
      </c>
      <c r="G625" s="135" t="s">
        <v>76</v>
      </c>
      <c r="H625" s="135">
        <v>45078</v>
      </c>
      <c r="I625" s="135">
        <v>45047</v>
      </c>
      <c r="J625" s="135">
        <v>45079</v>
      </c>
      <c r="K625" s="135">
        <v>45126</v>
      </c>
      <c r="L625" s="135">
        <v>45103</v>
      </c>
      <c r="M625" s="135" t="s">
        <v>76</v>
      </c>
      <c r="N625" s="135">
        <v>45145</v>
      </c>
      <c r="O625" s="135">
        <v>45145</v>
      </c>
      <c r="P625" s="135">
        <v>45146</v>
      </c>
      <c r="Q625" s="135"/>
      <c r="R625" s="135"/>
      <c r="S625" s="135"/>
      <c r="T625" s="135"/>
      <c r="U625" s="144">
        <v>2</v>
      </c>
      <c r="V625" s="143">
        <v>56097</v>
      </c>
      <c r="W625" s="143" t="str">
        <f ca="1">IF(H625="",IF(D625="","",IF(U625+V625&lt;15,"Données Nb pers ou RFR manquantes",IF(COUNTA(INDIRECT("TabRFR["&amp;YEAR(D625)&amp;"]"))&lt;&gt;COUNTA(TabRFR[Recherche RFR]),"Data RFR manquantes", IF(V625&lt;=INDEX(TabRFR[[2023]:[2025]],MATCH(BD!U625&amp;"-Très modestes",TabRFR[Recherche RFR],0),MATCH(TEXT(YEAR(BD!D625),"Standard"),TabRFR[[#Headers],[2023]:[2025]],0)),"Très Modeste",IF(V625&lt;=INDEX(TabRFR[[2023]:[2025]],MATCH(BD!U625&amp;"-modestes",TabRFR[Recherche RFR],0),MATCH(TEXT(YEAR(BD!D625),"Standard"),TabRFR[[#Headers],[2023]:[2025]],0)),"Modeste",IF(V625&lt;=INDEX(TabRFR[[2023]:[2025]],MATCH(BD!U625&amp;"-Intermédiaire",TabRFR[Recherche RFR],0),MATCH(TEXT(YEAR(BD!D625),"Standard"),TabRFR[[#Headers],[2023]:[2025]],0)),"Intermédiaire","Supérieur")))))),IF(D625="","",IF(U625+V625&lt;15,"Données Nb pers ou RFR manquantes",IF(COUNTA(INDIRECT("TabRFR["&amp;YEAR(H625)&amp;"]"))&lt;&gt;COUNTA(TabRFR[Recherche RFR]),"Data RFR manquantes", IF(V625&lt;=INDEX(TabRFR[[2023]:[2025]],MATCH(BD!U625&amp;"-Très modestes",TabRFR[Recherche RFR],0),MATCH(TEXT(YEAR(BD!H625),"Standard"),TabRFR[[#Headers],[2023]:[2025]],0)),"Très Modeste",IF(V625&lt;=INDEX(TabRFR[[2023]:[2025]],MATCH(BD!U625&amp;"-modestes",TabRFR[Recherche RFR],0),MATCH(TEXT(YEAR(BD!H625),"Standard"),TabRFR[[#Headers],[2023]:[2025]],0)),"Modeste",IF(V625&lt;=INDEX(TabRFR[[2023]:[2025]],MATCH(BD!U625&amp;"-Intermédiaire",TabRFR[Recherche RFR],0),MATCH(TEXT(YEAR(BD!H625),"Standard"),TabRFR[[#Headers],[2023]:[2025]],0)),"Intermédiaire","Supérieur")))))))</f>
        <v>Supérieur</v>
      </c>
      <c r="X625" s="144"/>
      <c r="Y625" s="135" t="s">
        <v>2734</v>
      </c>
      <c r="Z625" s="144">
        <v>38140</v>
      </c>
      <c r="AA625" s="135" t="s">
        <v>504</v>
      </c>
      <c r="AB625" s="148"/>
      <c r="AC625" s="169"/>
      <c r="AD625" s="135" t="s">
        <v>91</v>
      </c>
      <c r="AE625" s="135"/>
      <c r="AF625" s="135"/>
      <c r="AG625" s="135"/>
      <c r="AH625" s="135"/>
      <c r="AI625" s="135" t="s">
        <v>905</v>
      </c>
      <c r="AJ625" s="135" t="s">
        <v>136</v>
      </c>
      <c r="AK625" s="135" t="s">
        <v>1897</v>
      </c>
      <c r="AL625" s="169" t="s">
        <v>1898</v>
      </c>
      <c r="AM625" s="148">
        <v>660022505</v>
      </c>
      <c r="AN625" s="135" t="s">
        <v>76</v>
      </c>
      <c r="AO625" s="193" t="str">
        <f>AO603</f>
        <v>Oui</v>
      </c>
      <c r="AP625" s="135">
        <v>45399</v>
      </c>
      <c r="AQ625" s="143" t="s">
        <v>3413</v>
      </c>
      <c r="AR625" s="143">
        <v>1985</v>
      </c>
      <c r="AS625" s="143" t="s">
        <v>3413</v>
      </c>
      <c r="AT625" s="135" t="s">
        <v>3446</v>
      </c>
      <c r="AU625" s="135" t="s">
        <v>369</v>
      </c>
      <c r="AV625" s="135" t="s">
        <v>2735</v>
      </c>
      <c r="AW625" s="135"/>
      <c r="AX625" s="135"/>
      <c r="AY625" s="135"/>
      <c r="AZ625" s="135"/>
      <c r="BA625" s="135" t="s">
        <v>101</v>
      </c>
      <c r="BB625" s="135"/>
      <c r="BC625" s="151">
        <f>654+3389+411+130+848+136</f>
        <v>5568</v>
      </c>
      <c r="BD625" s="151"/>
      <c r="BE625" s="151">
        <f>205+58</f>
        <v>263</v>
      </c>
      <c r="BF625" s="151">
        <f>BC625+BE625-158.02</f>
        <v>5672.98</v>
      </c>
      <c r="BG625" s="151">
        <f t="shared" si="56"/>
        <v>312.01389999999998</v>
      </c>
      <c r="BH625" s="151">
        <f t="shared" si="57"/>
        <v>5984.9938999999995</v>
      </c>
      <c r="BI625" s="151">
        <v>5985</v>
      </c>
      <c r="BJ625" s="135" t="s">
        <v>1391</v>
      </c>
      <c r="BK625" s="135"/>
      <c r="BL625" s="135"/>
      <c r="BM625" s="144" t="s">
        <v>3592</v>
      </c>
      <c r="BN625" s="143">
        <v>2023</v>
      </c>
      <c r="BO625" s="135" t="s">
        <v>143</v>
      </c>
      <c r="BP625" s="144">
        <v>2023</v>
      </c>
      <c r="BQ625" s="203" t="s">
        <v>3274</v>
      </c>
    </row>
    <row r="626" spans="1:69" ht="41.1" customHeight="1">
      <c r="A626" s="219" t="s">
        <v>1705</v>
      </c>
      <c r="B626" s="219" t="s">
        <v>2736</v>
      </c>
      <c r="C626" s="143">
        <f t="shared" ca="1" si="62"/>
        <v>600</v>
      </c>
      <c r="D626" s="135">
        <v>45064</v>
      </c>
      <c r="E626" s="135">
        <v>45069</v>
      </c>
      <c r="F626" s="135">
        <v>45076</v>
      </c>
      <c r="G626" s="135" t="s">
        <v>3276</v>
      </c>
      <c r="H626" s="135">
        <v>45118</v>
      </c>
      <c r="I626" s="135">
        <v>45118</v>
      </c>
      <c r="J626" s="135">
        <v>45127</v>
      </c>
      <c r="K626" s="135"/>
      <c r="L626" s="135"/>
      <c r="M626" s="135"/>
      <c r="N626" s="135"/>
      <c r="O626" s="135"/>
      <c r="P626" s="135"/>
      <c r="Q626" s="135"/>
      <c r="R626" s="135"/>
      <c r="S626" s="135"/>
      <c r="T626" s="135"/>
      <c r="U626" s="144">
        <v>2</v>
      </c>
      <c r="V626" s="143">
        <v>70255</v>
      </c>
      <c r="W626" s="143" t="str">
        <f ca="1">IF(H626="",IF(D626="","",IF(U626+V626&lt;15,"Données Nb pers ou RFR manquantes",IF(COUNTA(INDIRECT("TabRFR["&amp;YEAR(D626)&amp;"]"))&lt;&gt;COUNTA(TabRFR[Recherche RFR]),"Data RFR manquantes", IF(V626&lt;=INDEX(TabRFR[[2023]:[2025]],MATCH(BD!U626&amp;"-Très modestes",TabRFR[Recherche RFR],0),MATCH(TEXT(YEAR(BD!D626),"Standard"),TabRFR[[#Headers],[2023]:[2025]],0)),"Très Modeste",IF(V626&lt;=INDEX(TabRFR[[2023]:[2025]],MATCH(BD!U626&amp;"-modestes",TabRFR[Recherche RFR],0),MATCH(TEXT(YEAR(BD!D626),"Standard"),TabRFR[[#Headers],[2023]:[2025]],0)),"Modeste",IF(V626&lt;=INDEX(TabRFR[[2023]:[2025]],MATCH(BD!U626&amp;"-Intermédiaire",TabRFR[Recherche RFR],0),MATCH(TEXT(YEAR(BD!D626),"Standard"),TabRFR[[#Headers],[2023]:[2025]],0)),"Intermédiaire","Supérieur")))))),IF(D626="","",IF(U626+V626&lt;15,"Données Nb pers ou RFR manquantes",IF(COUNTA(INDIRECT("TabRFR["&amp;YEAR(H626)&amp;"]"))&lt;&gt;COUNTA(TabRFR[Recherche RFR]),"Data RFR manquantes", IF(V626&lt;=INDEX(TabRFR[[2023]:[2025]],MATCH(BD!U626&amp;"-Très modestes",TabRFR[Recherche RFR],0),MATCH(TEXT(YEAR(BD!H626),"Standard"),TabRFR[[#Headers],[2023]:[2025]],0)),"Très Modeste",IF(V626&lt;=INDEX(TabRFR[[2023]:[2025]],MATCH(BD!U626&amp;"-modestes",TabRFR[Recherche RFR],0),MATCH(TEXT(YEAR(BD!H626),"Standard"),TabRFR[[#Headers],[2023]:[2025]],0)),"Modeste",IF(V626&lt;=INDEX(TabRFR[[2023]:[2025]],MATCH(BD!U626&amp;"-Intermédiaire",TabRFR[Recherche RFR],0),MATCH(TEXT(YEAR(BD!H626),"Standard"),TabRFR[[#Headers],[2023]:[2025]],0)),"Intermédiaire","Supérieur")))))))</f>
        <v>Supérieur</v>
      </c>
      <c r="X626" s="144"/>
      <c r="Y626" s="135" t="s">
        <v>2737</v>
      </c>
      <c r="Z626" s="144">
        <v>38210</v>
      </c>
      <c r="AA626" s="135" t="s">
        <v>202</v>
      </c>
      <c r="AB626" s="148"/>
      <c r="AC626" s="169"/>
      <c r="AD626" s="135" t="s">
        <v>91</v>
      </c>
      <c r="AE626" s="135"/>
      <c r="AF626" s="135"/>
      <c r="AG626" s="135"/>
      <c r="AH626" s="135"/>
      <c r="AI626" s="135" t="str">
        <f>AI620</f>
        <v>SARL PASSION FLAMME</v>
      </c>
      <c r="AJ626" s="135" t="s">
        <v>1437</v>
      </c>
      <c r="AK626" s="135" t="str">
        <f>AK620</f>
        <v>M. DURANTON</v>
      </c>
      <c r="AL626" s="169" t="s">
        <v>2738</v>
      </c>
      <c r="AM626" s="148">
        <f>AM620</f>
        <v>631077133</v>
      </c>
      <c r="AN626" s="135" t="str">
        <f>AN620</f>
        <v>-</v>
      </c>
      <c r="AO626" s="193" t="str">
        <f>AO620</f>
        <v>oui</v>
      </c>
      <c r="AP626" s="135">
        <f>AP620</f>
        <v>45418</v>
      </c>
      <c r="AQ626" s="135" t="s">
        <v>3496</v>
      </c>
      <c r="AR626" s="143">
        <v>1990</v>
      </c>
      <c r="AS626" s="143" t="s">
        <v>3413</v>
      </c>
      <c r="AT626" s="135" t="s">
        <v>3446</v>
      </c>
      <c r="AU626" s="135" t="s">
        <v>381</v>
      </c>
      <c r="AV626" s="135" t="s">
        <v>3514</v>
      </c>
      <c r="AW626" s="135">
        <v>15</v>
      </c>
      <c r="AX626" s="135" t="s">
        <v>3511</v>
      </c>
      <c r="AY626" s="135">
        <v>82</v>
      </c>
      <c r="AZ626" s="135" t="s">
        <v>3515</v>
      </c>
      <c r="BA626" s="135" t="s">
        <v>1401</v>
      </c>
      <c r="BB626" s="151">
        <v>4091</v>
      </c>
      <c r="BC626" s="151">
        <f>274+1798+216</f>
        <v>2288</v>
      </c>
      <c r="BD626" s="151" t="s">
        <v>76</v>
      </c>
      <c r="BE626" s="151">
        <v>730</v>
      </c>
      <c r="BF626" s="151">
        <f>BB626+BC626+BE626</f>
        <v>7109</v>
      </c>
      <c r="BG626" s="151">
        <f>BF626*0.055</f>
        <v>390.995</v>
      </c>
      <c r="BH626" s="151">
        <f>BF626+BG626</f>
        <v>7499.9949999999999</v>
      </c>
      <c r="BI626" s="135"/>
      <c r="BJ626" s="135" t="s">
        <v>103</v>
      </c>
      <c r="BK626" s="135"/>
      <c r="BL626" s="135"/>
      <c r="BM626" s="144" t="s">
        <v>3592</v>
      </c>
      <c r="BN626" s="144">
        <v>2023</v>
      </c>
      <c r="BO626" s="135" t="s">
        <v>143</v>
      </c>
      <c r="BP626" s="144">
        <v>2023</v>
      </c>
      <c r="BQ626" s="203"/>
    </row>
    <row r="627" spans="1:69" ht="41.1" customHeight="1">
      <c r="A627" s="218" t="s">
        <v>1705</v>
      </c>
      <c r="B627" s="218" t="s">
        <v>2739</v>
      </c>
      <c r="C627" s="143">
        <f t="shared" ca="1" si="62"/>
        <v>1000</v>
      </c>
      <c r="D627" s="135">
        <v>45067</v>
      </c>
      <c r="E627" s="135">
        <v>45069</v>
      </c>
      <c r="F627" s="135">
        <v>45076</v>
      </c>
      <c r="G627" s="135" t="s">
        <v>3312</v>
      </c>
      <c r="H627" s="135">
        <v>45265</v>
      </c>
      <c r="I627" s="135">
        <v>45265</v>
      </c>
      <c r="J627" s="135">
        <v>45272</v>
      </c>
      <c r="K627" s="135">
        <v>45341</v>
      </c>
      <c r="L627" s="135">
        <v>45322</v>
      </c>
      <c r="M627" s="135" t="s">
        <v>3557</v>
      </c>
      <c r="N627" s="135">
        <v>45364</v>
      </c>
      <c r="O627" s="135">
        <v>45364</v>
      </c>
      <c r="P627" s="135">
        <v>45369</v>
      </c>
      <c r="Q627" s="135"/>
      <c r="R627" s="135"/>
      <c r="S627" s="135"/>
      <c r="T627" s="135"/>
      <c r="U627" s="144">
        <v>1</v>
      </c>
      <c r="V627" s="143">
        <v>16558</v>
      </c>
      <c r="W627" s="143" t="str">
        <f ca="1">IF(H627="",IF(D627="","",IF(U627+V627&lt;15,"Données Nb pers ou RFR manquantes",IF(COUNTA(INDIRECT("TabRFR["&amp;YEAR(D627)&amp;"]"))&lt;&gt;COUNTA(TabRFR[Recherche RFR]),"Data RFR manquantes", IF(V627&lt;=INDEX(TabRFR[[2023]:[2025]],MATCH(BD!U627&amp;"-Très modestes",TabRFR[Recherche RFR],0),MATCH(TEXT(YEAR(BD!D627),"Standard"),TabRFR[[#Headers],[2023]:[2025]],0)),"Très Modeste",IF(V627&lt;=INDEX(TabRFR[[2023]:[2025]],MATCH(BD!U627&amp;"-modestes",TabRFR[Recherche RFR],0),MATCH(TEXT(YEAR(BD!D627),"Standard"),TabRFR[[#Headers],[2023]:[2025]],0)),"Modeste",IF(V627&lt;=INDEX(TabRFR[[2023]:[2025]],MATCH(BD!U627&amp;"-Intermédiaire",TabRFR[Recherche RFR],0),MATCH(TEXT(YEAR(BD!D627),"Standard"),TabRFR[[#Headers],[2023]:[2025]],0)),"Intermédiaire","Supérieur")))))),IF(D627="","",IF(U627+V627&lt;15,"Données Nb pers ou RFR manquantes",IF(COUNTA(INDIRECT("TabRFR["&amp;YEAR(H627)&amp;"]"))&lt;&gt;COUNTA(TabRFR[Recherche RFR]),"Data RFR manquantes", IF(V627&lt;=INDEX(TabRFR[[2023]:[2025]],MATCH(BD!U627&amp;"-Très modestes",TabRFR[Recherche RFR],0),MATCH(TEXT(YEAR(BD!H627),"Standard"),TabRFR[[#Headers],[2023]:[2025]],0)),"Très Modeste",IF(V627&lt;=INDEX(TabRFR[[2023]:[2025]],MATCH(BD!U627&amp;"-modestes",TabRFR[Recherche RFR],0),MATCH(TEXT(YEAR(BD!H627),"Standard"),TabRFR[[#Headers],[2023]:[2025]],0)),"Modeste",IF(V627&lt;=INDEX(TabRFR[[2023]:[2025]],MATCH(BD!U627&amp;"-Intermédiaire",TabRFR[Recherche RFR],0),MATCH(TEXT(YEAR(BD!H627),"Standard"),TabRFR[[#Headers],[2023]:[2025]],0)),"Intermédiaire","Supérieur")))))))</f>
        <v>Modeste</v>
      </c>
      <c r="X627" s="144"/>
      <c r="Y627" s="135" t="s">
        <v>647</v>
      </c>
      <c r="Z627" s="144">
        <v>38850</v>
      </c>
      <c r="AA627" s="135" t="s">
        <v>1568</v>
      </c>
      <c r="AB627" s="148"/>
      <c r="AC627" s="169"/>
      <c r="AD627" s="135" t="s">
        <v>91</v>
      </c>
      <c r="AE627" s="144">
        <v>2632</v>
      </c>
      <c r="AF627" s="135" t="s">
        <v>1041</v>
      </c>
      <c r="AG627" s="144">
        <v>38850</v>
      </c>
      <c r="AH627" s="135" t="s">
        <v>1568</v>
      </c>
      <c r="AI627" s="135" t="s">
        <v>2740</v>
      </c>
      <c r="AJ627" s="135" t="s">
        <v>1132</v>
      </c>
      <c r="AK627" s="135" t="s">
        <v>2741</v>
      </c>
      <c r="AL627" s="169" t="s">
        <v>2742</v>
      </c>
      <c r="AM627" s="148">
        <v>476042368</v>
      </c>
      <c r="AN627" s="135" t="s">
        <v>76</v>
      </c>
      <c r="AO627" s="193" t="s">
        <v>102</v>
      </c>
      <c r="AP627" s="135">
        <v>45346</v>
      </c>
      <c r="AQ627" s="135" t="s">
        <v>3449</v>
      </c>
      <c r="AR627" s="143">
        <v>1990</v>
      </c>
      <c r="AS627" s="143" t="s">
        <v>3413</v>
      </c>
      <c r="AT627" s="135" t="s">
        <v>3446</v>
      </c>
      <c r="AU627" s="135" t="s">
        <v>1177</v>
      </c>
      <c r="AV627" s="135" t="s">
        <v>1178</v>
      </c>
      <c r="AW627" s="135"/>
      <c r="AX627" s="135"/>
      <c r="AY627" s="135"/>
      <c r="AZ627" s="135"/>
      <c r="BA627" s="135" t="s">
        <v>101</v>
      </c>
      <c r="BB627" s="135"/>
      <c r="BC627" s="151">
        <f>(18.42+18.42+72.09+88.76+514.32+123.31+94.26+215.4+72.8+76.84+94+280.71+42.28+38.55+16.08+100+73.85+799.52)/1.055</f>
        <v>2596.7867298578199</v>
      </c>
      <c r="BD627" s="151"/>
      <c r="BE627" s="151">
        <f>(940)/1.055</f>
        <v>890.99526066350711</v>
      </c>
      <c r="BF627" s="151">
        <f>BC627+BE627</f>
        <v>3487.7819905213269</v>
      </c>
      <c r="BG627" s="151">
        <f t="shared" si="56"/>
        <v>191.82800947867298</v>
      </c>
      <c r="BH627" s="151">
        <f t="shared" si="57"/>
        <v>3679.6099999999997</v>
      </c>
      <c r="BI627" s="151">
        <v>3215.08</v>
      </c>
      <c r="BJ627" s="135" t="s">
        <v>1391</v>
      </c>
      <c r="BK627" s="135"/>
      <c r="BL627" s="135"/>
      <c r="BM627" s="144" t="s">
        <v>3592</v>
      </c>
      <c r="BN627" s="144">
        <v>2023</v>
      </c>
      <c r="BO627" s="135" t="s">
        <v>155</v>
      </c>
      <c r="BP627" s="135"/>
      <c r="BQ627" s="203" t="s">
        <v>3274</v>
      </c>
    </row>
    <row r="628" spans="1:69" ht="41.1" customHeight="1">
      <c r="A628" s="219" t="s">
        <v>1705</v>
      </c>
      <c r="B628" s="219" t="s">
        <v>2743</v>
      </c>
      <c r="C628" s="143">
        <f t="shared" ca="1" si="62"/>
        <v>1000</v>
      </c>
      <c r="D628" s="135">
        <v>45069</v>
      </c>
      <c r="E628" s="135">
        <v>45069</v>
      </c>
      <c r="F628" s="135">
        <v>45076</v>
      </c>
      <c r="G628" s="135" t="s">
        <v>2722</v>
      </c>
      <c r="H628" s="135">
        <v>45078</v>
      </c>
      <c r="I628" s="135">
        <v>45078</v>
      </c>
      <c r="J628" s="135">
        <v>45079</v>
      </c>
      <c r="K628" s="135"/>
      <c r="L628" s="135"/>
      <c r="M628" s="135"/>
      <c r="N628" s="135"/>
      <c r="O628" s="135"/>
      <c r="P628" s="135"/>
      <c r="Q628" s="135"/>
      <c r="R628" s="135"/>
      <c r="S628" s="135"/>
      <c r="T628" s="135"/>
      <c r="U628" s="144">
        <v>4</v>
      </c>
      <c r="V628" s="143">
        <v>41207</v>
      </c>
      <c r="W628" s="143" t="str">
        <f ca="1">IF(H628="",IF(D628="","",IF(U628+V628&lt;15,"Données Nb pers ou RFR manquantes",IF(COUNTA(INDIRECT("TabRFR["&amp;YEAR(D628)&amp;"]"))&lt;&gt;COUNTA(TabRFR[Recherche RFR]),"Data RFR manquantes", IF(V628&lt;=INDEX(TabRFR[[2023]:[2025]],MATCH(BD!U628&amp;"-Très modestes",TabRFR[Recherche RFR],0),MATCH(TEXT(YEAR(BD!D628),"Standard"),TabRFR[[#Headers],[2023]:[2025]],0)),"Très Modeste",IF(V628&lt;=INDEX(TabRFR[[2023]:[2025]],MATCH(BD!U628&amp;"-modestes",TabRFR[Recherche RFR],0),MATCH(TEXT(YEAR(BD!D628),"Standard"),TabRFR[[#Headers],[2023]:[2025]],0)),"Modeste",IF(V628&lt;=INDEX(TabRFR[[2023]:[2025]],MATCH(BD!U628&amp;"-Intermédiaire",TabRFR[Recherche RFR],0),MATCH(TEXT(YEAR(BD!D628),"Standard"),TabRFR[[#Headers],[2023]:[2025]],0)),"Intermédiaire","Supérieur")))))),IF(D628="","",IF(U628+V628&lt;15,"Données Nb pers ou RFR manquantes",IF(COUNTA(INDIRECT("TabRFR["&amp;YEAR(H628)&amp;"]"))&lt;&gt;COUNTA(TabRFR[Recherche RFR]),"Data RFR manquantes", IF(V628&lt;=INDEX(TabRFR[[2023]:[2025]],MATCH(BD!U628&amp;"-Très modestes",TabRFR[Recherche RFR],0),MATCH(TEXT(YEAR(BD!H628),"Standard"),TabRFR[[#Headers],[2023]:[2025]],0)),"Très Modeste",IF(V628&lt;=INDEX(TabRFR[[2023]:[2025]],MATCH(BD!U628&amp;"-modestes",TabRFR[Recherche RFR],0),MATCH(TEXT(YEAR(BD!H628),"Standard"),TabRFR[[#Headers],[2023]:[2025]],0)),"Modeste",IF(V628&lt;=INDEX(TabRFR[[2023]:[2025]],MATCH(BD!U628&amp;"-Intermédiaire",TabRFR[Recherche RFR],0),MATCH(TEXT(YEAR(BD!H628),"Standard"),TabRFR[[#Headers],[2023]:[2025]],0)),"Intermédiaire","Supérieur")))))))</f>
        <v>Modeste</v>
      </c>
      <c r="X628" s="144"/>
      <c r="Y628" s="135" t="s">
        <v>2744</v>
      </c>
      <c r="Z628" s="144">
        <v>38500</v>
      </c>
      <c r="AA628" s="135" t="s">
        <v>219</v>
      </c>
      <c r="AB628" s="148"/>
      <c r="AC628" s="169"/>
      <c r="AD628" s="135" t="s">
        <v>91</v>
      </c>
      <c r="AE628" s="144"/>
      <c r="AF628" s="135"/>
      <c r="AG628" s="135"/>
      <c r="AH628" s="135"/>
      <c r="AI628" s="135" t="s">
        <v>220</v>
      </c>
      <c r="AJ628" s="135" t="s">
        <v>108</v>
      </c>
      <c r="AK628" s="135" t="s">
        <v>2059</v>
      </c>
      <c r="AL628" s="169" t="s">
        <v>1947</v>
      </c>
      <c r="AM628" s="148">
        <v>476323235</v>
      </c>
      <c r="AN628" s="135" t="s">
        <v>76</v>
      </c>
      <c r="AO628" s="193" t="s">
        <v>102</v>
      </c>
      <c r="AP628" s="135">
        <v>45159</v>
      </c>
      <c r="AQ628" s="135" t="s">
        <v>3449</v>
      </c>
      <c r="AR628" s="143" t="s">
        <v>213</v>
      </c>
      <c r="AS628" s="143" t="s">
        <v>3413</v>
      </c>
      <c r="AT628" s="135" t="s">
        <v>3446</v>
      </c>
      <c r="AU628" s="135" t="s">
        <v>369</v>
      </c>
      <c r="AV628" s="135" t="s">
        <v>2745</v>
      </c>
      <c r="AW628" s="135"/>
      <c r="AX628" s="135"/>
      <c r="AY628" s="135"/>
      <c r="AZ628" s="135"/>
      <c r="BA628" s="135" t="s">
        <v>101</v>
      </c>
      <c r="BB628" s="135"/>
      <c r="BC628" s="151">
        <f>(46+2140.6+71.5+66+844.8+2758.83+109.72+79.13+36.93+30.6+400.9+121.33+73.85)/1.055</f>
        <v>6426.7203791469201</v>
      </c>
      <c r="BD628" s="151"/>
      <c r="BE628" s="151">
        <f>(50.64+195.18+300.68)/1.055</f>
        <v>518.00947867298578</v>
      </c>
      <c r="BF628" s="151">
        <f>BC628+BE628</f>
        <v>6944.7298578199061</v>
      </c>
      <c r="BG628" s="151">
        <f t="shared" si="56"/>
        <v>381.96014218009486</v>
      </c>
      <c r="BH628" s="151">
        <f t="shared" si="57"/>
        <v>7326.6900000000005</v>
      </c>
      <c r="BI628" s="151"/>
      <c r="BJ628" s="135" t="s">
        <v>102</v>
      </c>
      <c r="BK628" s="135"/>
      <c r="BL628" s="135"/>
      <c r="BM628" s="144" t="s">
        <v>3592</v>
      </c>
      <c r="BN628" s="143">
        <v>2023</v>
      </c>
      <c r="BO628" s="135" t="s">
        <v>155</v>
      </c>
      <c r="BP628" s="144">
        <v>2023</v>
      </c>
      <c r="BQ628" s="203"/>
    </row>
    <row r="629" spans="1:69" ht="41.1" customHeight="1">
      <c r="A629" s="218" t="s">
        <v>1705</v>
      </c>
      <c r="B629" s="218" t="s">
        <v>2746</v>
      </c>
      <c r="C629" s="143">
        <f t="shared" ca="1" si="62"/>
        <v>600</v>
      </c>
      <c r="D629" s="135">
        <v>45070</v>
      </c>
      <c r="E629" s="135">
        <v>45078</v>
      </c>
      <c r="F629" s="135" t="s">
        <v>76</v>
      </c>
      <c r="G629" s="135" t="s">
        <v>76</v>
      </c>
      <c r="H629" s="135">
        <v>45085</v>
      </c>
      <c r="I629" s="135">
        <v>45090</v>
      </c>
      <c r="J629" s="135">
        <v>45090</v>
      </c>
      <c r="K629" s="135">
        <v>45175</v>
      </c>
      <c r="L629" s="135">
        <v>45135</v>
      </c>
      <c r="M629" s="135" t="s">
        <v>76</v>
      </c>
      <c r="N629" s="135">
        <v>45176</v>
      </c>
      <c r="O629" s="135">
        <v>45176</v>
      </c>
      <c r="P629" s="135">
        <v>45197</v>
      </c>
      <c r="Q629" s="135"/>
      <c r="R629" s="135"/>
      <c r="S629" s="135"/>
      <c r="T629" s="135"/>
      <c r="U629" s="144">
        <v>2</v>
      </c>
      <c r="V629" s="143">
        <v>35593</v>
      </c>
      <c r="W629" s="143" t="str">
        <f ca="1">IF(H629="",IF(D629="","",IF(U629+V629&lt;15,"Données Nb pers ou RFR manquantes",IF(COUNTA(INDIRECT("TabRFR["&amp;YEAR(D629)&amp;"]"))&lt;&gt;COUNTA(TabRFR[Recherche RFR]),"Data RFR manquantes", IF(V629&lt;=INDEX(TabRFR[[2023]:[2025]],MATCH(BD!U629&amp;"-Très modestes",TabRFR[Recherche RFR],0),MATCH(TEXT(YEAR(BD!D629),"Standard"),TabRFR[[#Headers],[2023]:[2025]],0)),"Très Modeste",IF(V629&lt;=INDEX(TabRFR[[2023]:[2025]],MATCH(BD!U629&amp;"-modestes",TabRFR[Recherche RFR],0),MATCH(TEXT(YEAR(BD!D629),"Standard"),TabRFR[[#Headers],[2023]:[2025]],0)),"Modeste",IF(V629&lt;=INDEX(TabRFR[[2023]:[2025]],MATCH(BD!U629&amp;"-Intermédiaire",TabRFR[Recherche RFR],0),MATCH(TEXT(YEAR(BD!D629),"Standard"),TabRFR[[#Headers],[2023]:[2025]],0)),"Intermédiaire","Supérieur")))))),IF(D629="","",IF(U629+V629&lt;15,"Données Nb pers ou RFR manquantes",IF(COUNTA(INDIRECT("TabRFR["&amp;YEAR(H629)&amp;"]"))&lt;&gt;COUNTA(TabRFR[Recherche RFR]),"Data RFR manquantes", IF(V629&lt;=INDEX(TabRFR[[2023]:[2025]],MATCH(BD!U629&amp;"-Très modestes",TabRFR[Recherche RFR],0),MATCH(TEXT(YEAR(BD!H629),"Standard"),TabRFR[[#Headers],[2023]:[2025]],0)),"Très Modeste",IF(V629&lt;=INDEX(TabRFR[[2023]:[2025]],MATCH(BD!U629&amp;"-modestes",TabRFR[Recherche RFR],0),MATCH(TEXT(YEAR(BD!H629),"Standard"),TabRFR[[#Headers],[2023]:[2025]],0)),"Modeste",IF(V629&lt;=INDEX(TabRFR[[2023]:[2025]],MATCH(BD!U629&amp;"-Intermédiaire",TabRFR[Recherche RFR],0),MATCH(TEXT(YEAR(BD!H629),"Standard"),TabRFR[[#Headers],[2023]:[2025]],0)),"Intermédiaire","Supérieur")))))))</f>
        <v>Intermédiaire</v>
      </c>
      <c r="X629" s="144"/>
      <c r="Y629" s="135" t="s">
        <v>2747</v>
      </c>
      <c r="Z629" s="144">
        <v>38960</v>
      </c>
      <c r="AA629" s="135" t="s">
        <v>209</v>
      </c>
      <c r="AB629" s="148"/>
      <c r="AC629" s="169"/>
      <c r="AD629" s="135" t="s">
        <v>91</v>
      </c>
      <c r="AE629" s="144"/>
      <c r="AF629" s="135"/>
      <c r="AG629" s="135"/>
      <c r="AH629" s="135"/>
      <c r="AI629" s="135" t="s">
        <v>2748</v>
      </c>
      <c r="AJ629" s="135" t="s">
        <v>108</v>
      </c>
      <c r="AK629" s="135" t="s">
        <v>2749</v>
      </c>
      <c r="AL629" s="169" t="s">
        <v>275</v>
      </c>
      <c r="AM629" s="148">
        <v>476059444</v>
      </c>
      <c r="AN629" s="135" t="s">
        <v>76</v>
      </c>
      <c r="AO629" s="193" t="s">
        <v>102</v>
      </c>
      <c r="AP629" s="135">
        <v>45520</v>
      </c>
      <c r="AQ629" s="143" t="s">
        <v>3413</v>
      </c>
      <c r="AR629" s="143" t="s">
        <v>699</v>
      </c>
      <c r="AS629" s="143" t="s">
        <v>3413</v>
      </c>
      <c r="AT629" s="135" t="s">
        <v>3446</v>
      </c>
      <c r="AU629" s="135" t="s">
        <v>276</v>
      </c>
      <c r="AV629" s="135" t="s">
        <v>2750</v>
      </c>
      <c r="AW629" s="135"/>
      <c r="AX629" s="135"/>
      <c r="AY629" s="135"/>
      <c r="AZ629" s="135"/>
      <c r="BA629" s="135" t="s">
        <v>1401</v>
      </c>
      <c r="BB629" s="135"/>
      <c r="BC629" s="151">
        <f>3570+1596+45</f>
        <v>5211</v>
      </c>
      <c r="BD629" s="151"/>
      <c r="BE629" s="151">
        <v>976</v>
      </c>
      <c r="BF629" s="151">
        <f>BC629+BE629</f>
        <v>6187</v>
      </c>
      <c r="BG629" s="151">
        <f t="shared" si="56"/>
        <v>340.28500000000003</v>
      </c>
      <c r="BH629" s="151">
        <f t="shared" si="57"/>
        <v>6527.2849999999999</v>
      </c>
      <c r="BI629" s="151">
        <v>6527.29</v>
      </c>
      <c r="BJ629" s="135" t="s">
        <v>1391</v>
      </c>
      <c r="BK629" s="135"/>
      <c r="BL629" s="135"/>
      <c r="BM629" s="144" t="s">
        <v>3592</v>
      </c>
      <c r="BN629" s="143">
        <v>2023</v>
      </c>
      <c r="BO629" s="135" t="s">
        <v>143</v>
      </c>
      <c r="BP629" s="144">
        <v>2023</v>
      </c>
      <c r="BQ629" s="203" t="s">
        <v>3274</v>
      </c>
    </row>
    <row r="630" spans="1:69" ht="41.1" customHeight="1">
      <c r="A630" s="218" t="s">
        <v>1705</v>
      </c>
      <c r="B630" s="218" t="s">
        <v>2751</v>
      </c>
      <c r="C630" s="143">
        <f t="shared" ca="1" si="62"/>
        <v>600</v>
      </c>
      <c r="D630" s="135">
        <v>45070</v>
      </c>
      <c r="E630" s="135">
        <v>45078</v>
      </c>
      <c r="F630" s="135" t="s">
        <v>76</v>
      </c>
      <c r="G630" s="135" t="s">
        <v>76</v>
      </c>
      <c r="H630" s="135">
        <v>45085</v>
      </c>
      <c r="I630" s="135">
        <v>45090</v>
      </c>
      <c r="J630" s="135">
        <v>45090</v>
      </c>
      <c r="K630" s="135">
        <v>45237</v>
      </c>
      <c r="L630" s="135">
        <v>45199</v>
      </c>
      <c r="M630" s="135" t="s">
        <v>76</v>
      </c>
      <c r="N630" s="135">
        <v>45244</v>
      </c>
      <c r="O630" s="135">
        <v>45244</v>
      </c>
      <c r="P630" s="135">
        <v>45266</v>
      </c>
      <c r="Q630" s="135"/>
      <c r="R630" s="135"/>
      <c r="S630" s="135"/>
      <c r="T630" s="135"/>
      <c r="U630" s="144">
        <v>3</v>
      </c>
      <c r="V630" s="143">
        <v>39545</v>
      </c>
      <c r="W630" s="143" t="str">
        <f ca="1">IF(H630="",IF(D630="","",IF(U630+V630&lt;15,"Données Nb pers ou RFR manquantes",IF(COUNTA(INDIRECT("TabRFR["&amp;YEAR(D630)&amp;"]"))&lt;&gt;COUNTA(TabRFR[Recherche RFR]),"Data RFR manquantes", IF(V630&lt;=INDEX(TabRFR[[2023]:[2025]],MATCH(BD!U630&amp;"-Très modestes",TabRFR[Recherche RFR],0),MATCH(TEXT(YEAR(BD!D630),"Standard"),TabRFR[[#Headers],[2023]:[2025]],0)),"Très Modeste",IF(V630&lt;=INDEX(TabRFR[[2023]:[2025]],MATCH(BD!U630&amp;"-modestes",TabRFR[Recherche RFR],0),MATCH(TEXT(YEAR(BD!D630),"Standard"),TabRFR[[#Headers],[2023]:[2025]],0)),"Modeste",IF(V630&lt;=INDEX(TabRFR[[2023]:[2025]],MATCH(BD!U630&amp;"-Intermédiaire",TabRFR[Recherche RFR],0),MATCH(TEXT(YEAR(BD!D630),"Standard"),TabRFR[[#Headers],[2023]:[2025]],0)),"Intermédiaire","Supérieur")))))),IF(D630="","",IF(U630+V630&lt;15,"Données Nb pers ou RFR manquantes",IF(COUNTA(INDIRECT("TabRFR["&amp;YEAR(H630)&amp;"]"))&lt;&gt;COUNTA(TabRFR[Recherche RFR]),"Data RFR manquantes", IF(V630&lt;=INDEX(TabRFR[[2023]:[2025]],MATCH(BD!U630&amp;"-Très modestes",TabRFR[Recherche RFR],0),MATCH(TEXT(YEAR(BD!H630),"Standard"),TabRFR[[#Headers],[2023]:[2025]],0)),"Très Modeste",IF(V630&lt;=INDEX(TabRFR[[2023]:[2025]],MATCH(BD!U630&amp;"-modestes",TabRFR[Recherche RFR],0),MATCH(TEXT(YEAR(BD!H630),"Standard"),TabRFR[[#Headers],[2023]:[2025]],0)),"Modeste",IF(V630&lt;=INDEX(TabRFR[[2023]:[2025]],MATCH(BD!U630&amp;"-Intermédiaire",TabRFR[Recherche RFR],0),MATCH(TEXT(YEAR(BD!H630),"Standard"),TabRFR[[#Headers],[2023]:[2025]],0)),"Intermédiaire","Supérieur")))))))</f>
        <v>Intermédiaire</v>
      </c>
      <c r="X630" s="144"/>
      <c r="Y630" s="135" t="s">
        <v>2331</v>
      </c>
      <c r="Z630" s="144">
        <v>38500</v>
      </c>
      <c r="AA630" s="135" t="s">
        <v>591</v>
      </c>
      <c r="AB630" s="148"/>
      <c r="AC630" s="169"/>
      <c r="AD630" s="135" t="s">
        <v>91</v>
      </c>
      <c r="AE630" s="144"/>
      <c r="AF630" s="135"/>
      <c r="AG630" s="135"/>
      <c r="AH630" s="135"/>
      <c r="AI630" s="135" t="s">
        <v>220</v>
      </c>
      <c r="AJ630" s="135" t="s">
        <v>108</v>
      </c>
      <c r="AK630" s="135" t="s">
        <v>2059</v>
      </c>
      <c r="AL630" s="169" t="s">
        <v>1947</v>
      </c>
      <c r="AM630" s="148">
        <v>476323235</v>
      </c>
      <c r="AN630" s="135" t="s">
        <v>76</v>
      </c>
      <c r="AO630" s="193" t="s">
        <v>102</v>
      </c>
      <c r="AP630" s="135">
        <v>45159</v>
      </c>
      <c r="AQ630" s="143" t="s">
        <v>3413</v>
      </c>
      <c r="AR630" s="143">
        <v>1990</v>
      </c>
      <c r="AS630" s="143" t="s">
        <v>3413</v>
      </c>
      <c r="AT630" s="135" t="s">
        <v>3446</v>
      </c>
      <c r="AU630" s="135" t="s">
        <v>369</v>
      </c>
      <c r="AV630" s="135" t="s">
        <v>2752</v>
      </c>
      <c r="AW630" s="135"/>
      <c r="AX630" s="135"/>
      <c r="AY630" s="135"/>
      <c r="AZ630" s="135"/>
      <c r="BA630" s="135" t="s">
        <v>101</v>
      </c>
      <c r="BB630" s="135"/>
      <c r="BC630" s="151">
        <f>(49.5+528+363+308+6635.95+109.72+147.7+39.04+31.65)/1.055</f>
        <v>7784.4170616113743</v>
      </c>
      <c r="BD630" s="151"/>
      <c r="BE630" s="151">
        <f>(42.2+405.12+15.83)/1.055</f>
        <v>439.00473933649289</v>
      </c>
      <c r="BF630" s="151">
        <f>BC630+BE630</f>
        <v>8223.4218009478664</v>
      </c>
      <c r="BG630" s="151">
        <f t="shared" si="56"/>
        <v>452.28819905213265</v>
      </c>
      <c r="BH630" s="151">
        <f>BF630+BG630-1688</f>
        <v>6987.7099999999991</v>
      </c>
      <c r="BI630" s="151">
        <f>5739.2+1248.5</f>
        <v>6987.7</v>
      </c>
      <c r="BJ630" s="135" t="s">
        <v>1391</v>
      </c>
      <c r="BK630" s="135"/>
      <c r="BL630" s="135"/>
      <c r="BM630" s="144" t="s">
        <v>3592</v>
      </c>
      <c r="BN630" s="143">
        <v>2023</v>
      </c>
      <c r="BO630" s="135" t="s">
        <v>143</v>
      </c>
      <c r="BP630" s="144">
        <v>2023</v>
      </c>
      <c r="BQ630" s="203" t="s">
        <v>3274</v>
      </c>
    </row>
    <row r="631" spans="1:69" ht="41.1" customHeight="1">
      <c r="A631" s="145" t="s">
        <v>1705</v>
      </c>
      <c r="B631" s="145" t="s">
        <v>2753</v>
      </c>
      <c r="C631" s="143"/>
      <c r="D631" s="135">
        <v>45076</v>
      </c>
      <c r="E631" s="135">
        <v>45078</v>
      </c>
      <c r="F631" s="135"/>
      <c r="G631" s="135"/>
      <c r="H631" s="135"/>
      <c r="I631" s="135"/>
      <c r="J631" s="135"/>
      <c r="K631" s="135"/>
      <c r="L631" s="135"/>
      <c r="M631" s="135"/>
      <c r="N631" s="135"/>
      <c r="O631" s="135"/>
      <c r="P631" s="135"/>
      <c r="Q631" s="135">
        <v>45078</v>
      </c>
      <c r="R631" s="135" t="s">
        <v>2754</v>
      </c>
      <c r="S631" s="135"/>
      <c r="T631" s="135"/>
      <c r="U631" s="144">
        <v>4</v>
      </c>
      <c r="V631" s="143">
        <v>58538</v>
      </c>
      <c r="W631" s="143" t="str">
        <f ca="1">IF(H631="",IF(D631="","",IF(U631+V631&lt;15,"Données Nb pers ou RFR manquantes",IF(COUNTA(INDIRECT("TabRFR["&amp;YEAR(D631)&amp;"]"))&lt;&gt;COUNTA(TabRFR[Recherche RFR]),"Data RFR manquantes", IF(V631&lt;=INDEX(TabRFR[[2023]:[2025]],MATCH(BD!U631&amp;"-Très modestes",TabRFR[Recherche RFR],0),MATCH(TEXT(YEAR(BD!D631),"Standard"),TabRFR[[#Headers],[2023]:[2025]],0)),"Très Modeste",IF(V631&lt;=INDEX(TabRFR[[2023]:[2025]],MATCH(BD!U631&amp;"-modestes",TabRFR[Recherche RFR],0),MATCH(TEXT(YEAR(BD!D631),"Standard"),TabRFR[[#Headers],[2023]:[2025]],0)),"Modeste",IF(V631&lt;=INDEX(TabRFR[[2023]:[2025]],MATCH(BD!U631&amp;"-Intermédiaire",TabRFR[Recherche RFR],0),MATCH(TEXT(YEAR(BD!D631),"Standard"),TabRFR[[#Headers],[2023]:[2025]],0)),"Intermédiaire","Supérieur")))))),IF(D631="","",IF(U631+V631&lt;15,"Données Nb pers ou RFR manquantes",IF(COUNTA(INDIRECT("TabRFR["&amp;YEAR(H631)&amp;"]"))&lt;&gt;COUNTA(TabRFR[Recherche RFR]),"Data RFR manquantes", IF(V631&lt;=INDEX(TabRFR[[2023]:[2025]],MATCH(BD!U631&amp;"-Très modestes",TabRFR[Recherche RFR],0),MATCH(TEXT(YEAR(BD!H631),"Standard"),TabRFR[[#Headers],[2023]:[2025]],0)),"Très Modeste",IF(V631&lt;=INDEX(TabRFR[[2023]:[2025]],MATCH(BD!U631&amp;"-modestes",TabRFR[Recherche RFR],0),MATCH(TEXT(YEAR(BD!H631),"Standard"),TabRFR[[#Headers],[2023]:[2025]],0)),"Modeste",IF(V631&lt;=INDEX(TabRFR[[2023]:[2025]],MATCH(BD!U631&amp;"-Intermédiaire",TabRFR[Recherche RFR],0),MATCH(TEXT(YEAR(BD!H631),"Standard"),TabRFR[[#Headers],[2023]:[2025]],0)),"Intermédiaire","Supérieur")))))))</f>
        <v>Intermédiaire</v>
      </c>
      <c r="X631" s="144"/>
      <c r="Y631" s="135" t="s">
        <v>2755</v>
      </c>
      <c r="Z631" s="144">
        <v>38140</v>
      </c>
      <c r="AA631" s="135" t="s">
        <v>2756</v>
      </c>
      <c r="AB631" s="148"/>
      <c r="AC631" s="170"/>
      <c r="AD631" s="135"/>
      <c r="AE631" s="144"/>
      <c r="AF631" s="135"/>
      <c r="AG631" s="135"/>
      <c r="AH631" s="135"/>
      <c r="AI631" s="135"/>
      <c r="AJ631" s="135"/>
      <c r="AK631" s="135"/>
      <c r="AL631" s="135"/>
      <c r="AM631" s="148"/>
      <c r="AN631" s="135"/>
      <c r="AO631" s="193"/>
      <c r="AP631" s="135"/>
      <c r="AQ631" s="135"/>
      <c r="AR631" s="143"/>
      <c r="AS631" s="135"/>
      <c r="AT631" s="135"/>
      <c r="AU631" s="135"/>
      <c r="AV631" s="135"/>
      <c r="AW631" s="135"/>
      <c r="AX631" s="135"/>
      <c r="AY631" s="135"/>
      <c r="AZ631" s="135"/>
      <c r="BA631" s="135"/>
      <c r="BB631" s="135"/>
      <c r="BC631" s="151"/>
      <c r="BD631" s="151"/>
      <c r="BE631" s="151"/>
      <c r="BF631" s="151"/>
      <c r="BG631" s="151"/>
      <c r="BH631" s="151"/>
      <c r="BI631" s="135"/>
      <c r="BJ631" s="135"/>
      <c r="BK631" s="135"/>
      <c r="BL631" s="135"/>
      <c r="BM631" s="144">
        <v>0</v>
      </c>
      <c r="BN631" s="153" t="s">
        <v>1496</v>
      </c>
      <c r="BO631" s="144" t="s">
        <v>103</v>
      </c>
      <c r="BP631" s="203" t="s">
        <v>3582</v>
      </c>
      <c r="BQ631" s="203" t="s">
        <v>3273</v>
      </c>
    </row>
    <row r="632" spans="1:69" ht="41.1" customHeight="1">
      <c r="A632" s="218" t="s">
        <v>1705</v>
      </c>
      <c r="B632" s="218" t="s">
        <v>2757</v>
      </c>
      <c r="C632" s="143">
        <f t="shared" ref="C632:C663" ca="1" si="68">IF(W632="Très modeste",1000,IF(W632="Modeste",1000,IF(W632="Intermédiaire",600,IF(W632="Supérieur",600,"Non calculé"))))</f>
        <v>600</v>
      </c>
      <c r="D632" s="135">
        <v>45077</v>
      </c>
      <c r="E632" s="135">
        <v>45078</v>
      </c>
      <c r="F632" s="135" t="s">
        <v>76</v>
      </c>
      <c r="G632" s="135" t="s">
        <v>76</v>
      </c>
      <c r="H632" s="135">
        <v>45085</v>
      </c>
      <c r="I632" s="135">
        <v>45090</v>
      </c>
      <c r="J632" s="135">
        <v>45090</v>
      </c>
      <c r="K632" s="135">
        <v>45112</v>
      </c>
      <c r="L632" s="135">
        <v>45104</v>
      </c>
      <c r="M632" s="135" t="s">
        <v>76</v>
      </c>
      <c r="N632" s="135">
        <v>45120</v>
      </c>
      <c r="O632" s="135">
        <v>45120</v>
      </c>
      <c r="P632" s="135">
        <v>45126</v>
      </c>
      <c r="Q632" s="135"/>
      <c r="R632" s="135"/>
      <c r="S632" s="135"/>
      <c r="T632" s="135"/>
      <c r="U632" s="144">
        <v>2</v>
      </c>
      <c r="V632" s="143">
        <v>45614</v>
      </c>
      <c r="W632" s="143" t="str">
        <f ca="1">IF(H632="",IF(D632="","",IF(U632+V632&lt;15,"Données Nb pers ou RFR manquantes",IF(COUNTA(INDIRECT("TabRFR["&amp;YEAR(D632)&amp;"]"))&lt;&gt;COUNTA(TabRFR[Recherche RFR]),"Data RFR manquantes", IF(V632&lt;=INDEX(TabRFR[[2023]:[2025]],MATCH(BD!U632&amp;"-Très modestes",TabRFR[Recherche RFR],0),MATCH(TEXT(YEAR(BD!D632),"Standard"),TabRFR[[#Headers],[2023]:[2025]],0)),"Très Modeste",IF(V632&lt;=INDEX(TabRFR[[2023]:[2025]],MATCH(BD!U632&amp;"-modestes",TabRFR[Recherche RFR],0),MATCH(TEXT(YEAR(BD!D632),"Standard"),TabRFR[[#Headers],[2023]:[2025]],0)),"Modeste",IF(V632&lt;=INDEX(TabRFR[[2023]:[2025]],MATCH(BD!U632&amp;"-Intermédiaire",TabRFR[Recherche RFR],0),MATCH(TEXT(YEAR(BD!D632),"Standard"),TabRFR[[#Headers],[2023]:[2025]],0)),"Intermédiaire","Supérieur")))))),IF(D632="","",IF(U632+V632&lt;15,"Données Nb pers ou RFR manquantes",IF(COUNTA(INDIRECT("TabRFR["&amp;YEAR(H632)&amp;"]"))&lt;&gt;COUNTA(TabRFR[Recherche RFR]),"Data RFR manquantes", IF(V632&lt;=INDEX(TabRFR[[2023]:[2025]],MATCH(BD!U632&amp;"-Très modestes",TabRFR[Recherche RFR],0),MATCH(TEXT(YEAR(BD!H632),"Standard"),TabRFR[[#Headers],[2023]:[2025]],0)),"Très Modeste",IF(V632&lt;=INDEX(TabRFR[[2023]:[2025]],MATCH(BD!U632&amp;"-modestes",TabRFR[Recherche RFR],0),MATCH(TEXT(YEAR(BD!H632),"Standard"),TabRFR[[#Headers],[2023]:[2025]],0)),"Modeste",IF(V632&lt;=INDEX(TabRFR[[2023]:[2025]],MATCH(BD!U632&amp;"-Intermédiaire",TabRFR[Recherche RFR],0),MATCH(TEXT(YEAR(BD!H632),"Standard"),TabRFR[[#Headers],[2023]:[2025]],0)),"Intermédiaire","Supérieur")))))))</f>
        <v>Supérieur</v>
      </c>
      <c r="X632" s="144"/>
      <c r="Y632" s="135" t="s">
        <v>2639</v>
      </c>
      <c r="Z632" s="144">
        <v>38500</v>
      </c>
      <c r="AA632" s="135" t="s">
        <v>134</v>
      </c>
      <c r="AB632" s="148"/>
      <c r="AC632" s="169"/>
      <c r="AD632" s="135" t="s">
        <v>91</v>
      </c>
      <c r="AE632" s="144"/>
      <c r="AF632" s="135"/>
      <c r="AG632" s="135"/>
      <c r="AH632" s="135"/>
      <c r="AI632" s="135" t="str">
        <f t="shared" ref="AI632:AP632" si="69">AI604</f>
        <v>JACQU'CHEMINEES</v>
      </c>
      <c r="AJ632" s="135" t="s">
        <v>119</v>
      </c>
      <c r="AK632" s="135" t="str">
        <f t="shared" si="69"/>
        <v>Mr FAURE</v>
      </c>
      <c r="AL632" s="169" t="str">
        <f t="shared" si="69"/>
        <v>jacques.faure24@wanadoo.fr</v>
      </c>
      <c r="AM632" s="148" t="str">
        <f t="shared" si="69"/>
        <v>04 76 35 56 05</v>
      </c>
      <c r="AN632" s="135" t="str">
        <f t="shared" si="69"/>
        <v>-</v>
      </c>
      <c r="AO632" s="193" t="str">
        <f t="shared" si="69"/>
        <v>oui</v>
      </c>
      <c r="AP632" s="135">
        <f t="shared" si="69"/>
        <v>45248</v>
      </c>
      <c r="AQ632" s="135" t="s">
        <v>3496</v>
      </c>
      <c r="AR632" s="143">
        <v>1987</v>
      </c>
      <c r="AS632" s="135" t="s">
        <v>3496</v>
      </c>
      <c r="AT632" s="135" t="s">
        <v>3446</v>
      </c>
      <c r="AU632" s="135" t="s">
        <v>2595</v>
      </c>
      <c r="AV632" s="135" t="s">
        <v>2758</v>
      </c>
      <c r="AW632" s="135"/>
      <c r="AX632" s="135"/>
      <c r="AY632" s="135"/>
      <c r="AZ632" s="135"/>
      <c r="BA632" s="135" t="s">
        <v>101</v>
      </c>
      <c r="BB632" s="135"/>
      <c r="BC632" s="151">
        <f>465.75+520+38.8+77.35+99.09+114+3100+565+266.4+579+65.35+118.25</f>
        <v>6008.99</v>
      </c>
      <c r="BD632" s="151"/>
      <c r="BE632" s="151">
        <v>1150</v>
      </c>
      <c r="BF632" s="151">
        <f t="shared" ref="BF632:BF640" si="70">BC632+BE632</f>
        <v>7158.99</v>
      </c>
      <c r="BG632" s="151">
        <f t="shared" ref="BG632:BG643" si="71">BF632*0.055</f>
        <v>393.74444999999997</v>
      </c>
      <c r="BH632" s="151">
        <f t="shared" ref="BH632:BH663" si="72">BF632+BG632</f>
        <v>7552.7344499999999</v>
      </c>
      <c r="BI632" s="151">
        <v>7552.73</v>
      </c>
      <c r="BJ632" s="135" t="s">
        <v>1391</v>
      </c>
      <c r="BK632" s="135"/>
      <c r="BL632" s="135"/>
      <c r="BM632" s="144" t="s">
        <v>3592</v>
      </c>
      <c r="BN632" s="143">
        <v>2023</v>
      </c>
      <c r="BO632" s="135" t="s">
        <v>143</v>
      </c>
      <c r="BP632" s="144">
        <v>2023</v>
      </c>
      <c r="BQ632" s="203" t="s">
        <v>3274</v>
      </c>
    </row>
    <row r="633" spans="1:69" ht="41.1" customHeight="1">
      <c r="A633" s="218" t="s">
        <v>1705</v>
      </c>
      <c r="B633" s="218" t="s">
        <v>2759</v>
      </c>
      <c r="C633" s="143">
        <f t="shared" ca="1" si="68"/>
        <v>600</v>
      </c>
      <c r="D633" s="135">
        <v>45061</v>
      </c>
      <c r="E633" s="135" t="s">
        <v>76</v>
      </c>
      <c r="F633" s="135" t="s">
        <v>76</v>
      </c>
      <c r="G633" s="135" t="s">
        <v>76</v>
      </c>
      <c r="H633" s="135">
        <v>45085</v>
      </c>
      <c r="I633" s="135">
        <v>45090</v>
      </c>
      <c r="J633" s="135">
        <v>45090</v>
      </c>
      <c r="K633" s="135">
        <v>45293</v>
      </c>
      <c r="L633" s="135">
        <v>45231</v>
      </c>
      <c r="M633" s="135" t="s">
        <v>76</v>
      </c>
      <c r="N633" s="135">
        <v>45316</v>
      </c>
      <c r="O633" s="135">
        <v>45316</v>
      </c>
      <c r="P633" s="135">
        <v>45317</v>
      </c>
      <c r="Q633" s="135"/>
      <c r="R633" s="135"/>
      <c r="S633" s="135"/>
      <c r="T633" s="135"/>
      <c r="U633" s="144">
        <v>2</v>
      </c>
      <c r="V633" s="143">
        <v>39102</v>
      </c>
      <c r="W633" s="143" t="str">
        <f ca="1">IF(H633="",IF(D633="","",IF(U633+V633&lt;15,"Données Nb pers ou RFR manquantes",IF(COUNTA(INDIRECT("TabRFR["&amp;YEAR(D633)&amp;"]"))&lt;&gt;COUNTA(TabRFR[Recherche RFR]),"Data RFR manquantes", IF(V633&lt;=INDEX(TabRFR[[2023]:[2025]],MATCH(BD!U633&amp;"-Très modestes",TabRFR[Recherche RFR],0),MATCH(TEXT(YEAR(BD!D633),"Standard"),TabRFR[[#Headers],[2023]:[2025]],0)),"Très Modeste",IF(V633&lt;=INDEX(TabRFR[[2023]:[2025]],MATCH(BD!U633&amp;"-modestes",TabRFR[Recherche RFR],0),MATCH(TEXT(YEAR(BD!D633),"Standard"),TabRFR[[#Headers],[2023]:[2025]],0)),"Modeste",IF(V633&lt;=INDEX(TabRFR[[2023]:[2025]],MATCH(BD!U633&amp;"-Intermédiaire",TabRFR[Recherche RFR],0),MATCH(TEXT(YEAR(BD!D633),"Standard"),TabRFR[[#Headers],[2023]:[2025]],0)),"Intermédiaire","Supérieur")))))),IF(D633="","",IF(U633+V633&lt;15,"Données Nb pers ou RFR manquantes",IF(COUNTA(INDIRECT("TabRFR["&amp;YEAR(H633)&amp;"]"))&lt;&gt;COUNTA(TabRFR[Recherche RFR]),"Data RFR manquantes", IF(V633&lt;=INDEX(TabRFR[[2023]:[2025]],MATCH(BD!U633&amp;"-Très modestes",TabRFR[Recherche RFR],0),MATCH(TEXT(YEAR(BD!H633),"Standard"),TabRFR[[#Headers],[2023]:[2025]],0)),"Très Modeste",IF(V633&lt;=INDEX(TabRFR[[2023]:[2025]],MATCH(BD!U633&amp;"-modestes",TabRFR[Recherche RFR],0),MATCH(TEXT(YEAR(BD!H633),"Standard"),TabRFR[[#Headers],[2023]:[2025]],0)),"Modeste",IF(V633&lt;=INDEX(TabRFR[[2023]:[2025]],MATCH(BD!U633&amp;"-Intermédiaire",TabRFR[Recherche RFR],0),MATCH(TEXT(YEAR(BD!H633),"Standard"),TabRFR[[#Headers],[2023]:[2025]],0)),"Intermédiaire","Supérieur")))))))</f>
        <v>Intermédiaire</v>
      </c>
      <c r="X633" s="144"/>
      <c r="Y633" s="135" t="s">
        <v>2760</v>
      </c>
      <c r="Z633" s="144">
        <v>38500</v>
      </c>
      <c r="AA633" s="135" t="s">
        <v>284</v>
      </c>
      <c r="AB633" s="148"/>
      <c r="AC633" s="169"/>
      <c r="AD633" s="135" t="s">
        <v>91</v>
      </c>
      <c r="AE633" s="144"/>
      <c r="AF633" s="135"/>
      <c r="AG633" s="135"/>
      <c r="AH633" s="135"/>
      <c r="AI633" s="135" t="str">
        <f t="shared" ref="AI633:AP633" si="73">AI617</f>
        <v>TECHNI NATURE</v>
      </c>
      <c r="AJ633" s="135" t="s">
        <v>108</v>
      </c>
      <c r="AK633" s="135" t="str">
        <f t="shared" si="73"/>
        <v>PIERRE Emmanuel</v>
      </c>
      <c r="AL633" s="169" t="str">
        <f t="shared" si="73"/>
        <v>voiron@techni-nature.com</v>
      </c>
      <c r="AM633" s="148" t="str">
        <f t="shared" si="73"/>
        <v>09 72 17 98 56</v>
      </c>
      <c r="AN633" s="135" t="str">
        <f t="shared" si="73"/>
        <v>-</v>
      </c>
      <c r="AO633" s="193" t="str">
        <f t="shared" si="73"/>
        <v>oui</v>
      </c>
      <c r="AP633" s="135">
        <f t="shared" si="73"/>
        <v>45163</v>
      </c>
      <c r="AQ633" s="135" t="s">
        <v>3496</v>
      </c>
      <c r="AR633" s="143">
        <v>1998</v>
      </c>
      <c r="AS633" s="143" t="s">
        <v>3413</v>
      </c>
      <c r="AT633" s="135" t="s">
        <v>3446</v>
      </c>
      <c r="AU633" s="135" t="s">
        <v>2761</v>
      </c>
      <c r="AV633" s="135" t="s">
        <v>2762</v>
      </c>
      <c r="AW633" s="135"/>
      <c r="AX633" s="135"/>
      <c r="AY633" s="135"/>
      <c r="AZ633" s="135"/>
      <c r="BA633" s="135" t="s">
        <v>101</v>
      </c>
      <c r="BB633" s="135"/>
      <c r="BC633" s="151">
        <f>3791.34+388.75+415+509+774+133.04</f>
        <v>6011.13</v>
      </c>
      <c r="BD633" s="151"/>
      <c r="BE633" s="151">
        <v>890</v>
      </c>
      <c r="BF633" s="151">
        <f t="shared" si="70"/>
        <v>6901.13</v>
      </c>
      <c r="BG633" s="151">
        <f t="shared" si="71"/>
        <v>379.56215000000003</v>
      </c>
      <c r="BH633" s="151">
        <f t="shared" si="72"/>
        <v>7280.6921499999999</v>
      </c>
      <c r="BI633" s="151">
        <v>6858.69</v>
      </c>
      <c r="BJ633" s="135" t="s">
        <v>144</v>
      </c>
      <c r="BK633" s="135"/>
      <c r="BL633" s="135"/>
      <c r="BM633" s="144" t="s">
        <v>3592</v>
      </c>
      <c r="BN633" s="143">
        <v>2023</v>
      </c>
      <c r="BO633" s="135" t="s">
        <v>143</v>
      </c>
      <c r="BP633" s="144">
        <v>2023</v>
      </c>
      <c r="BQ633" s="203"/>
    </row>
    <row r="634" spans="1:69" ht="41.1" customHeight="1">
      <c r="A634" s="218" t="s">
        <v>1705</v>
      </c>
      <c r="B634" s="218" t="s">
        <v>2763</v>
      </c>
      <c r="C634" s="143">
        <f t="shared" ca="1" si="68"/>
        <v>600</v>
      </c>
      <c r="D634" s="135">
        <v>45079</v>
      </c>
      <c r="E634" s="135" t="s">
        <v>76</v>
      </c>
      <c r="F634" s="135" t="s">
        <v>76</v>
      </c>
      <c r="G634" s="135" t="s">
        <v>76</v>
      </c>
      <c r="H634" s="135">
        <v>45090</v>
      </c>
      <c r="I634" s="135">
        <v>45090</v>
      </c>
      <c r="J634" s="135">
        <v>45090</v>
      </c>
      <c r="K634" s="135">
        <v>45149</v>
      </c>
      <c r="L634" s="135">
        <v>45147</v>
      </c>
      <c r="M634" s="135" t="s">
        <v>76</v>
      </c>
      <c r="N634" s="135">
        <v>45154</v>
      </c>
      <c r="O634" s="135">
        <v>45154</v>
      </c>
      <c r="P634" s="135">
        <v>45156</v>
      </c>
      <c r="Q634" s="135"/>
      <c r="R634" s="135"/>
      <c r="S634" s="135"/>
      <c r="T634" s="135"/>
      <c r="U634" s="144">
        <v>2</v>
      </c>
      <c r="V634" s="143">
        <v>74494</v>
      </c>
      <c r="W634" s="143" t="str">
        <f ca="1">IF(H634="",IF(D634="","",IF(U634+V634&lt;15,"Données Nb pers ou RFR manquantes",IF(COUNTA(INDIRECT("TabRFR["&amp;YEAR(D634)&amp;"]"))&lt;&gt;COUNTA(TabRFR[Recherche RFR]),"Data RFR manquantes", IF(V634&lt;=INDEX(TabRFR[[2023]:[2025]],MATCH(BD!U634&amp;"-Très modestes",TabRFR[Recherche RFR],0),MATCH(TEXT(YEAR(BD!D634),"Standard"),TabRFR[[#Headers],[2023]:[2025]],0)),"Très Modeste",IF(V634&lt;=INDEX(TabRFR[[2023]:[2025]],MATCH(BD!U634&amp;"-modestes",TabRFR[Recherche RFR],0),MATCH(TEXT(YEAR(BD!D634),"Standard"),TabRFR[[#Headers],[2023]:[2025]],0)),"Modeste",IF(V634&lt;=INDEX(TabRFR[[2023]:[2025]],MATCH(BD!U634&amp;"-Intermédiaire",TabRFR[Recherche RFR],0),MATCH(TEXT(YEAR(BD!D634),"Standard"),TabRFR[[#Headers],[2023]:[2025]],0)),"Intermédiaire","Supérieur")))))),IF(D634="","",IF(U634+V634&lt;15,"Données Nb pers ou RFR manquantes",IF(COUNTA(INDIRECT("TabRFR["&amp;YEAR(H634)&amp;"]"))&lt;&gt;COUNTA(TabRFR[Recherche RFR]),"Data RFR manquantes", IF(V634&lt;=INDEX(TabRFR[[2023]:[2025]],MATCH(BD!U634&amp;"-Très modestes",TabRFR[Recherche RFR],0),MATCH(TEXT(YEAR(BD!H634),"Standard"),TabRFR[[#Headers],[2023]:[2025]],0)),"Très Modeste",IF(V634&lt;=INDEX(TabRFR[[2023]:[2025]],MATCH(BD!U634&amp;"-modestes",TabRFR[Recherche RFR],0),MATCH(TEXT(YEAR(BD!H634),"Standard"),TabRFR[[#Headers],[2023]:[2025]],0)),"Modeste",IF(V634&lt;=INDEX(TabRFR[[2023]:[2025]],MATCH(BD!U634&amp;"-Intermédiaire",TabRFR[Recherche RFR],0),MATCH(TEXT(YEAR(BD!H634),"Standard"),TabRFR[[#Headers],[2023]:[2025]],0)),"Intermédiaire","Supérieur")))))))</f>
        <v>Supérieur</v>
      </c>
      <c r="X634" s="144"/>
      <c r="Y634" s="135" t="s">
        <v>2764</v>
      </c>
      <c r="Z634" s="144">
        <v>38500</v>
      </c>
      <c r="AA634" s="135" t="s">
        <v>108</v>
      </c>
      <c r="AB634" s="148"/>
      <c r="AC634" s="169"/>
      <c r="AD634" s="135" t="s">
        <v>91</v>
      </c>
      <c r="AE634" s="144"/>
      <c r="AF634" s="135"/>
      <c r="AG634" s="135"/>
      <c r="AH634" s="135"/>
      <c r="AI634" s="135" t="s">
        <v>285</v>
      </c>
      <c r="AJ634" s="135" t="s">
        <v>108</v>
      </c>
      <c r="AK634" s="135" t="s">
        <v>2227</v>
      </c>
      <c r="AL634" s="169" t="s">
        <v>287</v>
      </c>
      <c r="AM634" s="148" t="s">
        <v>2184</v>
      </c>
      <c r="AN634" s="135" t="s">
        <v>76</v>
      </c>
      <c r="AO634" s="193" t="s">
        <v>102</v>
      </c>
      <c r="AP634" s="135">
        <v>45187</v>
      </c>
      <c r="AQ634" s="135" t="s">
        <v>3496</v>
      </c>
      <c r="AR634" s="143">
        <v>1980</v>
      </c>
      <c r="AS634" s="135" t="s">
        <v>3496</v>
      </c>
      <c r="AT634" s="135" t="s">
        <v>3446</v>
      </c>
      <c r="AU634" s="135" t="s">
        <v>381</v>
      </c>
      <c r="AV634" s="135" t="s">
        <v>2765</v>
      </c>
      <c r="AW634" s="135"/>
      <c r="AX634" s="135"/>
      <c r="AY634" s="135"/>
      <c r="AZ634" s="135"/>
      <c r="BA634" s="135" t="s">
        <v>101</v>
      </c>
      <c r="BB634" s="135"/>
      <c r="BC634" s="151">
        <f>3100+490+675+720+89+1380+590+460+350</f>
        <v>7854</v>
      </c>
      <c r="BD634" s="151"/>
      <c r="BE634" s="151">
        <v>840</v>
      </c>
      <c r="BF634" s="151">
        <f t="shared" si="70"/>
        <v>8694</v>
      </c>
      <c r="BG634" s="151">
        <f t="shared" si="71"/>
        <v>478.17</v>
      </c>
      <c r="BH634" s="151">
        <f t="shared" si="72"/>
        <v>9172.17</v>
      </c>
      <c r="BI634" s="151">
        <v>9583.6299999999992</v>
      </c>
      <c r="BJ634" s="135" t="s">
        <v>144</v>
      </c>
      <c r="BK634" s="135" t="s">
        <v>2766</v>
      </c>
      <c r="BL634" s="135"/>
      <c r="BM634" s="144" t="s">
        <v>3592</v>
      </c>
      <c r="BN634" s="143">
        <v>2023</v>
      </c>
      <c r="BO634" s="135" t="s">
        <v>143</v>
      </c>
      <c r="BP634" s="144">
        <v>2023</v>
      </c>
      <c r="BQ634" s="203" t="s">
        <v>144</v>
      </c>
    </row>
    <row r="635" spans="1:69" ht="41.1" customHeight="1">
      <c r="A635" s="219" t="s">
        <v>1705</v>
      </c>
      <c r="B635" s="219" t="s">
        <v>2767</v>
      </c>
      <c r="C635" s="143">
        <f t="shared" ca="1" si="68"/>
        <v>600</v>
      </c>
      <c r="D635" s="135">
        <v>45079</v>
      </c>
      <c r="E635" s="135">
        <v>45090</v>
      </c>
      <c r="F635" s="135">
        <v>45090</v>
      </c>
      <c r="G635" s="135" t="s">
        <v>2768</v>
      </c>
      <c r="H635" s="135">
        <v>45093</v>
      </c>
      <c r="I635" s="135">
        <v>45093</v>
      </c>
      <c r="J635" s="135">
        <v>45097</v>
      </c>
      <c r="K635" s="135"/>
      <c r="L635" s="135"/>
      <c r="M635" s="135"/>
      <c r="N635" s="135"/>
      <c r="O635" s="135"/>
      <c r="P635" s="135"/>
      <c r="Q635" s="135"/>
      <c r="R635" s="135"/>
      <c r="S635" s="135"/>
      <c r="T635" s="135"/>
      <c r="U635" s="144">
        <v>2</v>
      </c>
      <c r="V635" s="143">
        <f>16948+17105</f>
        <v>34053</v>
      </c>
      <c r="W635" s="143" t="str">
        <f ca="1">IF(H635="",IF(D635="","",IF(U635+V635&lt;15,"Données Nb pers ou RFR manquantes",IF(COUNTA(INDIRECT("TabRFR["&amp;YEAR(D635)&amp;"]"))&lt;&gt;COUNTA(TabRFR[Recherche RFR]),"Data RFR manquantes", IF(V635&lt;=INDEX(TabRFR[[2023]:[2025]],MATCH(BD!U635&amp;"-Très modestes",TabRFR[Recherche RFR],0),MATCH(TEXT(YEAR(BD!D635),"Standard"),TabRFR[[#Headers],[2023]:[2025]],0)),"Très Modeste",IF(V635&lt;=INDEX(TabRFR[[2023]:[2025]],MATCH(BD!U635&amp;"-modestes",TabRFR[Recherche RFR],0),MATCH(TEXT(YEAR(BD!D635),"Standard"),TabRFR[[#Headers],[2023]:[2025]],0)),"Modeste",IF(V635&lt;=INDEX(TabRFR[[2023]:[2025]],MATCH(BD!U635&amp;"-Intermédiaire",TabRFR[Recherche RFR],0),MATCH(TEXT(YEAR(BD!D635),"Standard"),TabRFR[[#Headers],[2023]:[2025]],0)),"Intermédiaire","Supérieur")))))),IF(D635="","",IF(U635+V635&lt;15,"Données Nb pers ou RFR manquantes",IF(COUNTA(INDIRECT("TabRFR["&amp;YEAR(H635)&amp;"]"))&lt;&gt;COUNTA(TabRFR[Recherche RFR]),"Data RFR manquantes", IF(V635&lt;=INDEX(TabRFR[[2023]:[2025]],MATCH(BD!U635&amp;"-Très modestes",TabRFR[Recherche RFR],0),MATCH(TEXT(YEAR(BD!H635),"Standard"),TabRFR[[#Headers],[2023]:[2025]],0)),"Très Modeste",IF(V635&lt;=INDEX(TabRFR[[2023]:[2025]],MATCH(BD!U635&amp;"-modestes",TabRFR[Recherche RFR],0),MATCH(TEXT(YEAR(BD!H635),"Standard"),TabRFR[[#Headers],[2023]:[2025]],0)),"Modeste",IF(V635&lt;=INDEX(TabRFR[[2023]:[2025]],MATCH(BD!U635&amp;"-Intermédiaire",TabRFR[Recherche RFR],0),MATCH(TEXT(YEAR(BD!H635),"Standard"),TabRFR[[#Headers],[2023]:[2025]],0)),"Intermédiaire","Supérieur")))))))</f>
        <v>Intermédiaire</v>
      </c>
      <c r="X635" s="144"/>
      <c r="Y635" s="135" t="s">
        <v>2769</v>
      </c>
      <c r="Z635" s="144">
        <v>38210</v>
      </c>
      <c r="AA635" s="135" t="s">
        <v>202</v>
      </c>
      <c r="AB635" s="148"/>
      <c r="AC635" s="169"/>
      <c r="AD635" s="135" t="s">
        <v>91</v>
      </c>
      <c r="AE635" s="144"/>
      <c r="AF635" s="135"/>
      <c r="AG635" s="135"/>
      <c r="AH635" s="135"/>
      <c r="AI635" s="135" t="str">
        <f t="shared" ref="AI635:AP635" si="74">AI632</f>
        <v>JACQU'CHEMINEES</v>
      </c>
      <c r="AJ635" s="135" t="s">
        <v>119</v>
      </c>
      <c r="AK635" s="135" t="str">
        <f t="shared" si="74"/>
        <v>Mr FAURE</v>
      </c>
      <c r="AL635" s="169" t="str">
        <f t="shared" si="74"/>
        <v>jacques.faure24@wanadoo.fr</v>
      </c>
      <c r="AM635" s="148" t="str">
        <f t="shared" si="74"/>
        <v>04 76 35 56 05</v>
      </c>
      <c r="AN635" s="135" t="str">
        <f t="shared" si="74"/>
        <v>-</v>
      </c>
      <c r="AO635" s="193" t="str">
        <f t="shared" si="74"/>
        <v>oui</v>
      </c>
      <c r="AP635" s="135">
        <f t="shared" si="74"/>
        <v>45248</v>
      </c>
      <c r="AQ635" s="135" t="s">
        <v>3449</v>
      </c>
      <c r="AR635" s="143" t="s">
        <v>699</v>
      </c>
      <c r="AS635" s="143" t="s">
        <v>3413</v>
      </c>
      <c r="AT635" s="135" t="s">
        <v>3446</v>
      </c>
      <c r="AU635" s="135" t="s">
        <v>319</v>
      </c>
      <c r="AV635" s="135" t="s">
        <v>2332</v>
      </c>
      <c r="AW635" s="135"/>
      <c r="AX635" s="135"/>
      <c r="AY635" s="135"/>
      <c r="AZ635" s="135"/>
      <c r="BA635" s="135" t="s">
        <v>101</v>
      </c>
      <c r="BB635" s="135"/>
      <c r="BC635" s="151">
        <f>355.2+64.9+182.02+4000+225.2</f>
        <v>4827.32</v>
      </c>
      <c r="BD635" s="151"/>
      <c r="BE635" s="151">
        <f>650-161.44</f>
        <v>488.56</v>
      </c>
      <c r="BF635" s="151">
        <f t="shared" si="70"/>
        <v>5315.88</v>
      </c>
      <c r="BG635" s="151">
        <f t="shared" si="71"/>
        <v>292.3734</v>
      </c>
      <c r="BH635" s="151">
        <f t="shared" si="72"/>
        <v>5608.2534000000005</v>
      </c>
      <c r="BI635" s="135"/>
      <c r="BJ635" s="135" t="s">
        <v>144</v>
      </c>
      <c r="BK635" s="135"/>
      <c r="BL635" s="135"/>
      <c r="BM635" s="144" t="s">
        <v>3592</v>
      </c>
      <c r="BN635" s="143">
        <v>2023</v>
      </c>
      <c r="BO635" s="135" t="s">
        <v>143</v>
      </c>
      <c r="BP635" s="144">
        <v>2023</v>
      </c>
      <c r="BQ635" s="203"/>
    </row>
    <row r="636" spans="1:69" ht="41.1" customHeight="1">
      <c r="A636" s="218" t="s">
        <v>1705</v>
      </c>
      <c r="B636" s="218" t="s">
        <v>2770</v>
      </c>
      <c r="C636" s="143">
        <f t="shared" ca="1" si="68"/>
        <v>1000</v>
      </c>
      <c r="D636" s="135">
        <v>45084</v>
      </c>
      <c r="E636" s="135" t="s">
        <v>76</v>
      </c>
      <c r="F636" s="135" t="s">
        <v>76</v>
      </c>
      <c r="G636" s="135" t="s">
        <v>76</v>
      </c>
      <c r="H636" s="135">
        <v>45090</v>
      </c>
      <c r="I636" s="135">
        <v>45090</v>
      </c>
      <c r="J636" s="135">
        <v>45091</v>
      </c>
      <c r="K636" s="135">
        <v>45209</v>
      </c>
      <c r="L636" s="135">
        <v>45156</v>
      </c>
      <c r="M636" s="135" t="s">
        <v>76</v>
      </c>
      <c r="N636" s="135">
        <v>45232</v>
      </c>
      <c r="O636" s="135">
        <v>45232</v>
      </c>
      <c r="P636" s="135">
        <v>45258</v>
      </c>
      <c r="Q636" s="135"/>
      <c r="R636" s="135"/>
      <c r="S636" s="135"/>
      <c r="T636" s="135"/>
      <c r="U636" s="144">
        <v>2</v>
      </c>
      <c r="V636" s="143">
        <v>21599</v>
      </c>
      <c r="W636" s="143" t="str">
        <f ca="1">IF(H636="",IF(D636="","",IF(U636+V636&lt;15,"Données Nb pers ou RFR manquantes",IF(COUNTA(INDIRECT("TabRFR["&amp;YEAR(D636)&amp;"]"))&lt;&gt;COUNTA(TabRFR[Recherche RFR]),"Data RFR manquantes", IF(V636&lt;=INDEX(TabRFR[[2023]:[2025]],MATCH(BD!U636&amp;"-Très modestes",TabRFR[Recherche RFR],0),MATCH(TEXT(YEAR(BD!D636),"Standard"),TabRFR[[#Headers],[2023]:[2025]],0)),"Très Modeste",IF(V636&lt;=INDEX(TabRFR[[2023]:[2025]],MATCH(BD!U636&amp;"-modestes",TabRFR[Recherche RFR],0),MATCH(TEXT(YEAR(BD!D636),"Standard"),TabRFR[[#Headers],[2023]:[2025]],0)),"Modeste",IF(V636&lt;=INDEX(TabRFR[[2023]:[2025]],MATCH(BD!U636&amp;"-Intermédiaire",TabRFR[Recherche RFR],0),MATCH(TEXT(YEAR(BD!D636),"Standard"),TabRFR[[#Headers],[2023]:[2025]],0)),"Intermédiaire","Supérieur")))))),IF(D636="","",IF(U636+V636&lt;15,"Données Nb pers ou RFR manquantes",IF(COUNTA(INDIRECT("TabRFR["&amp;YEAR(H636)&amp;"]"))&lt;&gt;COUNTA(TabRFR[Recherche RFR]),"Data RFR manquantes", IF(V636&lt;=INDEX(TabRFR[[2023]:[2025]],MATCH(BD!U636&amp;"-Très modestes",TabRFR[Recherche RFR],0),MATCH(TEXT(YEAR(BD!H636),"Standard"),TabRFR[[#Headers],[2023]:[2025]],0)),"Très Modeste",IF(V636&lt;=INDEX(TabRFR[[2023]:[2025]],MATCH(BD!U636&amp;"-modestes",TabRFR[Recherche RFR],0),MATCH(TEXT(YEAR(BD!H636),"Standard"),TabRFR[[#Headers],[2023]:[2025]],0)),"Modeste",IF(V636&lt;=INDEX(TabRFR[[2023]:[2025]],MATCH(BD!U636&amp;"-Intermédiaire",TabRFR[Recherche RFR],0),MATCH(TEXT(YEAR(BD!H636),"Standard"),TabRFR[[#Headers],[2023]:[2025]],0)),"Intermédiaire","Supérieur")))))))</f>
        <v>Très Modeste</v>
      </c>
      <c r="X636" s="144"/>
      <c r="Y636" s="135" t="s">
        <v>2771</v>
      </c>
      <c r="Z636" s="144">
        <v>38850</v>
      </c>
      <c r="AA636" s="135" t="s">
        <v>148</v>
      </c>
      <c r="AB636" s="148"/>
      <c r="AC636" s="169"/>
      <c r="AD636" s="135" t="s">
        <v>414</v>
      </c>
      <c r="AE636" s="144">
        <v>99</v>
      </c>
      <c r="AF636" s="135" t="s">
        <v>2772</v>
      </c>
      <c r="AG636" s="144">
        <v>38850</v>
      </c>
      <c r="AH636" s="135" t="s">
        <v>148</v>
      </c>
      <c r="AI636" s="135" t="s">
        <v>1988</v>
      </c>
      <c r="AJ636" s="135" t="s">
        <v>93</v>
      </c>
      <c r="AK636" s="135" t="str">
        <f t="shared" ref="AK636:AP636" si="75">AK624</f>
        <v>Mr CARRE</v>
      </c>
      <c r="AL636" s="169" t="str">
        <f t="shared" si="75"/>
        <v>marketing@carre-f.com</v>
      </c>
      <c r="AM636" s="148" t="str">
        <f t="shared" si="75"/>
        <v>04 76 37 03 50</v>
      </c>
      <c r="AN636" s="135" t="str">
        <f t="shared" si="75"/>
        <v>-</v>
      </c>
      <c r="AO636" s="193" t="str">
        <f t="shared" si="75"/>
        <v>oui</v>
      </c>
      <c r="AP636" s="135">
        <f t="shared" si="75"/>
        <v>45186</v>
      </c>
      <c r="AQ636" s="143" t="s">
        <v>3413</v>
      </c>
      <c r="AR636" s="143">
        <v>1995</v>
      </c>
      <c r="AS636" s="143" t="s">
        <v>3413</v>
      </c>
      <c r="AT636" s="143" t="s">
        <v>98</v>
      </c>
      <c r="AU636" s="135" t="s">
        <v>99</v>
      </c>
      <c r="AV636" s="135" t="s">
        <v>2773</v>
      </c>
      <c r="AW636" s="135"/>
      <c r="AX636" s="135"/>
      <c r="AY636" s="135"/>
      <c r="AZ636" s="135"/>
      <c r="BA636" s="135" t="s">
        <v>101</v>
      </c>
      <c r="BB636" s="135"/>
      <c r="BC636" s="151">
        <f>3200+185+625+331.52+263</f>
        <v>4604.5200000000004</v>
      </c>
      <c r="BD636" s="151"/>
      <c r="BE636" s="151">
        <v>890</v>
      </c>
      <c r="BF636" s="151">
        <f t="shared" si="70"/>
        <v>5494.52</v>
      </c>
      <c r="BG636" s="151">
        <f t="shared" si="71"/>
        <v>302.1986</v>
      </c>
      <c r="BH636" s="151">
        <f t="shared" si="72"/>
        <v>5796.7186000000002</v>
      </c>
      <c r="BI636" s="151">
        <v>5796.72</v>
      </c>
      <c r="BJ636" s="135" t="s">
        <v>144</v>
      </c>
      <c r="BK636" s="135"/>
      <c r="BL636" s="135"/>
      <c r="BM636" s="144" t="s">
        <v>3592</v>
      </c>
      <c r="BN636" s="143">
        <v>2023</v>
      </c>
      <c r="BO636" s="135" t="s">
        <v>155</v>
      </c>
      <c r="BP636" s="143" t="s">
        <v>3583</v>
      </c>
      <c r="BQ636" s="203" t="s">
        <v>144</v>
      </c>
    </row>
    <row r="637" spans="1:69" ht="41.1" customHeight="1">
      <c r="A637" s="218" t="s">
        <v>1705</v>
      </c>
      <c r="B637" s="218" t="s">
        <v>2774</v>
      </c>
      <c r="C637" s="143">
        <f t="shared" ca="1" si="68"/>
        <v>1000</v>
      </c>
      <c r="D637" s="135">
        <v>45085</v>
      </c>
      <c r="E637" s="135" t="s">
        <v>76</v>
      </c>
      <c r="F637" s="135">
        <v>45090</v>
      </c>
      <c r="G637" s="135" t="s">
        <v>2775</v>
      </c>
      <c r="H637" s="135">
        <v>45097</v>
      </c>
      <c r="I637" s="135">
        <v>45097</v>
      </c>
      <c r="J637" s="135">
        <v>45097</v>
      </c>
      <c r="K637" s="135">
        <v>45143</v>
      </c>
      <c r="L637" s="135">
        <v>45124</v>
      </c>
      <c r="M637" s="135" t="s">
        <v>76</v>
      </c>
      <c r="N637" s="135">
        <v>45146</v>
      </c>
      <c r="O637" s="135">
        <v>45146</v>
      </c>
      <c r="P637" s="135">
        <v>45147</v>
      </c>
      <c r="Q637" s="135"/>
      <c r="R637" s="135"/>
      <c r="S637" s="135"/>
      <c r="T637" s="135"/>
      <c r="U637" s="144">
        <v>3</v>
      </c>
      <c r="V637" s="143">
        <v>13034</v>
      </c>
      <c r="W637" s="143" t="str">
        <f ca="1">IF(H637="",IF(D637="","",IF(U637+V637&lt;15,"Données Nb pers ou RFR manquantes",IF(COUNTA(INDIRECT("TabRFR["&amp;YEAR(D637)&amp;"]"))&lt;&gt;COUNTA(TabRFR[Recherche RFR]),"Data RFR manquantes", IF(V637&lt;=INDEX(TabRFR[[2023]:[2025]],MATCH(BD!U637&amp;"-Très modestes",TabRFR[Recherche RFR],0),MATCH(TEXT(YEAR(BD!D637),"Standard"),TabRFR[[#Headers],[2023]:[2025]],0)),"Très Modeste",IF(V637&lt;=INDEX(TabRFR[[2023]:[2025]],MATCH(BD!U637&amp;"-modestes",TabRFR[Recherche RFR],0),MATCH(TEXT(YEAR(BD!D637),"Standard"),TabRFR[[#Headers],[2023]:[2025]],0)),"Modeste",IF(V637&lt;=INDEX(TabRFR[[2023]:[2025]],MATCH(BD!U637&amp;"-Intermédiaire",TabRFR[Recherche RFR],0),MATCH(TEXT(YEAR(BD!D637),"Standard"),TabRFR[[#Headers],[2023]:[2025]],0)),"Intermédiaire","Supérieur")))))),IF(D637="","",IF(U637+V637&lt;15,"Données Nb pers ou RFR manquantes",IF(COUNTA(INDIRECT("TabRFR["&amp;YEAR(H637)&amp;"]"))&lt;&gt;COUNTA(TabRFR[Recherche RFR]),"Data RFR manquantes", IF(V637&lt;=INDEX(TabRFR[[2023]:[2025]],MATCH(BD!U637&amp;"-Très modestes",TabRFR[Recherche RFR],0),MATCH(TEXT(YEAR(BD!H637),"Standard"),TabRFR[[#Headers],[2023]:[2025]],0)),"Très Modeste",IF(V637&lt;=INDEX(TabRFR[[2023]:[2025]],MATCH(BD!U637&amp;"-modestes",TabRFR[Recherche RFR],0),MATCH(TEXT(YEAR(BD!H637),"Standard"),TabRFR[[#Headers],[2023]:[2025]],0)),"Modeste",IF(V637&lt;=INDEX(TabRFR[[2023]:[2025]],MATCH(BD!U637&amp;"-Intermédiaire",TabRFR[Recherche RFR],0),MATCH(TEXT(YEAR(BD!H637),"Standard"),TabRFR[[#Headers],[2023]:[2025]],0)),"Intermédiaire","Supérieur")))))))</f>
        <v>Très Modeste</v>
      </c>
      <c r="X637" s="144"/>
      <c r="Y637" s="135" t="s">
        <v>2776</v>
      </c>
      <c r="Z637" s="144">
        <v>38430</v>
      </c>
      <c r="AA637" s="135" t="s">
        <v>119</v>
      </c>
      <c r="AB637" s="148"/>
      <c r="AC637" s="169"/>
      <c r="AD637" s="135" t="s">
        <v>91</v>
      </c>
      <c r="AE637" s="144"/>
      <c r="AF637" s="135"/>
      <c r="AG637" s="135"/>
      <c r="AH637" s="135"/>
      <c r="AI637" s="135" t="str">
        <f t="shared" ref="AI637:AP637" si="76">AI638</f>
        <v>JACQU'CHEMINEES</v>
      </c>
      <c r="AJ637" s="135" t="s">
        <v>119</v>
      </c>
      <c r="AK637" s="135" t="str">
        <f t="shared" si="76"/>
        <v>Mr FAURE</v>
      </c>
      <c r="AL637" s="192" t="str">
        <f t="shared" si="76"/>
        <v>jacques.faure24@wanadoo.fr</v>
      </c>
      <c r="AM637" s="148" t="str">
        <f t="shared" si="76"/>
        <v>04 76 35 56 05</v>
      </c>
      <c r="AN637" s="135" t="str">
        <f t="shared" si="76"/>
        <v>-</v>
      </c>
      <c r="AO637" s="193" t="str">
        <f t="shared" si="76"/>
        <v>oui</v>
      </c>
      <c r="AP637" s="135">
        <f t="shared" si="76"/>
        <v>45248</v>
      </c>
      <c r="AQ637" s="135" t="s">
        <v>3449</v>
      </c>
      <c r="AR637" s="143">
        <v>1976</v>
      </c>
      <c r="AS637" s="143" t="s">
        <v>3413</v>
      </c>
      <c r="AT637" s="135" t="s">
        <v>3446</v>
      </c>
      <c r="AU637" s="135" t="s">
        <v>173</v>
      </c>
      <c r="AV637" s="135" t="s">
        <v>2777</v>
      </c>
      <c r="AW637" s="135"/>
      <c r="AX637" s="135"/>
      <c r="AY637" s="135"/>
      <c r="AZ637" s="135"/>
      <c r="BA637" s="135" t="s">
        <v>101</v>
      </c>
      <c r="BB637" s="135"/>
      <c r="BC637" s="151">
        <f>360+35.5+74.8+99.09+89.35+98.25+2890+238+110+52.32</f>
        <v>4047.31</v>
      </c>
      <c r="BD637" s="151"/>
      <c r="BE637" s="151">
        <f>350+525</f>
        <v>875</v>
      </c>
      <c r="BF637" s="151">
        <f t="shared" si="70"/>
        <v>4922.3099999999995</v>
      </c>
      <c r="BG637" s="151">
        <f t="shared" si="71"/>
        <v>270.72704999999996</v>
      </c>
      <c r="BH637" s="151">
        <f t="shared" si="72"/>
        <v>5193.037049999999</v>
      </c>
      <c r="BI637" s="151">
        <v>5193.04</v>
      </c>
      <c r="BJ637" s="135" t="s">
        <v>144</v>
      </c>
      <c r="BK637" s="135"/>
      <c r="BL637" s="135"/>
      <c r="BM637" s="144" t="s">
        <v>3592</v>
      </c>
      <c r="BN637" s="143">
        <v>2023</v>
      </c>
      <c r="BO637" s="135" t="s">
        <v>155</v>
      </c>
      <c r="BP637" s="144">
        <v>2023</v>
      </c>
      <c r="BQ637" s="203" t="s">
        <v>144</v>
      </c>
    </row>
    <row r="638" spans="1:69" ht="41.1" customHeight="1">
      <c r="A638" s="218" t="s">
        <v>1705</v>
      </c>
      <c r="B638" s="218" t="s">
        <v>2778</v>
      </c>
      <c r="C638" s="143">
        <f t="shared" ca="1" si="68"/>
        <v>600</v>
      </c>
      <c r="D638" s="135">
        <v>45089</v>
      </c>
      <c r="E638" s="135" t="s">
        <v>76</v>
      </c>
      <c r="F638" s="135">
        <v>45090</v>
      </c>
      <c r="G638" s="135" t="s">
        <v>2779</v>
      </c>
      <c r="H638" s="135">
        <v>45096</v>
      </c>
      <c r="I638" s="135">
        <v>45097</v>
      </c>
      <c r="J638" s="135">
        <v>45097</v>
      </c>
      <c r="K638" s="135">
        <v>45174</v>
      </c>
      <c r="L638" s="135">
        <v>45174</v>
      </c>
      <c r="M638" s="135" t="s">
        <v>76</v>
      </c>
      <c r="N638" s="135">
        <v>45176</v>
      </c>
      <c r="O638" s="135">
        <v>45176</v>
      </c>
      <c r="P638" s="135">
        <v>45197</v>
      </c>
      <c r="Q638" s="135"/>
      <c r="R638" s="135"/>
      <c r="S638" s="135"/>
      <c r="T638" s="135"/>
      <c r="U638" s="144">
        <v>4</v>
      </c>
      <c r="V638" s="143">
        <v>49395</v>
      </c>
      <c r="W638" s="143" t="str">
        <f ca="1">IF(H638="",IF(D638="","",IF(U638+V638&lt;15,"Données Nb pers ou RFR manquantes",IF(COUNTA(INDIRECT("TabRFR["&amp;YEAR(D638)&amp;"]"))&lt;&gt;COUNTA(TabRFR[Recherche RFR]),"Data RFR manquantes", IF(V638&lt;=INDEX(TabRFR[[2023]:[2025]],MATCH(BD!U638&amp;"-Très modestes",TabRFR[Recherche RFR],0),MATCH(TEXT(YEAR(BD!D638),"Standard"),TabRFR[[#Headers],[2023]:[2025]],0)),"Très Modeste",IF(V638&lt;=INDEX(TabRFR[[2023]:[2025]],MATCH(BD!U638&amp;"-modestes",TabRFR[Recherche RFR],0),MATCH(TEXT(YEAR(BD!D638),"Standard"),TabRFR[[#Headers],[2023]:[2025]],0)),"Modeste",IF(V638&lt;=INDEX(TabRFR[[2023]:[2025]],MATCH(BD!U638&amp;"-Intermédiaire",TabRFR[Recherche RFR],0),MATCH(TEXT(YEAR(BD!D638),"Standard"),TabRFR[[#Headers],[2023]:[2025]],0)),"Intermédiaire","Supérieur")))))),IF(D638="","",IF(U638+V638&lt;15,"Données Nb pers ou RFR manquantes",IF(COUNTA(INDIRECT("TabRFR["&amp;YEAR(H638)&amp;"]"))&lt;&gt;COUNTA(TabRFR[Recherche RFR]),"Data RFR manquantes", IF(V638&lt;=INDEX(TabRFR[[2023]:[2025]],MATCH(BD!U638&amp;"-Très modestes",TabRFR[Recherche RFR],0),MATCH(TEXT(YEAR(BD!H638),"Standard"),TabRFR[[#Headers],[2023]:[2025]],0)),"Très Modeste",IF(V638&lt;=INDEX(TabRFR[[2023]:[2025]],MATCH(BD!U638&amp;"-modestes",TabRFR[Recherche RFR],0),MATCH(TEXT(YEAR(BD!H638),"Standard"),TabRFR[[#Headers],[2023]:[2025]],0)),"Modeste",IF(V638&lt;=INDEX(TabRFR[[2023]:[2025]],MATCH(BD!U638&amp;"-Intermédiaire",TabRFR[Recherche RFR],0),MATCH(TEXT(YEAR(BD!H638),"Standard"),TabRFR[[#Headers],[2023]:[2025]],0)),"Intermédiaire","Supérieur")))))))</f>
        <v>Intermédiaire</v>
      </c>
      <c r="X638" s="144"/>
      <c r="Y638" s="135" t="s">
        <v>2776</v>
      </c>
      <c r="Z638" s="144">
        <v>38430</v>
      </c>
      <c r="AA638" s="135" t="s">
        <v>119</v>
      </c>
      <c r="AB638" s="148"/>
      <c r="AC638" s="169"/>
      <c r="AD638" s="135" t="s">
        <v>91</v>
      </c>
      <c r="AE638" s="144"/>
      <c r="AF638" s="135"/>
      <c r="AG638" s="135"/>
      <c r="AH638" s="135"/>
      <c r="AI638" s="135" t="str">
        <f t="shared" ref="AI638:AP638" si="77">AI635</f>
        <v>JACQU'CHEMINEES</v>
      </c>
      <c r="AJ638" s="135" t="s">
        <v>119</v>
      </c>
      <c r="AK638" s="135" t="str">
        <f t="shared" si="77"/>
        <v>Mr FAURE</v>
      </c>
      <c r="AL638" s="169" t="str">
        <f t="shared" si="77"/>
        <v>jacques.faure24@wanadoo.fr</v>
      </c>
      <c r="AM638" s="148" t="str">
        <f t="shared" si="77"/>
        <v>04 76 35 56 05</v>
      </c>
      <c r="AN638" s="135" t="str">
        <f t="shared" si="77"/>
        <v>-</v>
      </c>
      <c r="AO638" s="193" t="str">
        <f t="shared" si="77"/>
        <v>oui</v>
      </c>
      <c r="AP638" s="135">
        <f t="shared" si="77"/>
        <v>45248</v>
      </c>
      <c r="AQ638" s="135" t="s">
        <v>3449</v>
      </c>
      <c r="AR638" s="143">
        <v>1990</v>
      </c>
      <c r="AS638" s="143" t="s">
        <v>3413</v>
      </c>
      <c r="AT638" s="135" t="s">
        <v>3446</v>
      </c>
      <c r="AU638" s="135" t="s">
        <v>2780</v>
      </c>
      <c r="AV638" s="135" t="s">
        <v>2781</v>
      </c>
      <c r="AW638" s="135"/>
      <c r="AX638" s="135"/>
      <c r="AY638" s="135"/>
      <c r="AZ638" s="135"/>
      <c r="BA638" s="135" t="s">
        <v>101</v>
      </c>
      <c r="BB638" s="135"/>
      <c r="BC638" s="151">
        <f>480+35.5+74.8+99.09+94.35+87.36+1900+238+110+58.9</f>
        <v>3178</v>
      </c>
      <c r="BD638" s="151"/>
      <c r="BE638" s="151">
        <f>350+525</f>
        <v>875</v>
      </c>
      <c r="BF638" s="151">
        <f t="shared" si="70"/>
        <v>4053</v>
      </c>
      <c r="BG638" s="151">
        <f t="shared" si="71"/>
        <v>222.91499999999999</v>
      </c>
      <c r="BH638" s="151">
        <f t="shared" si="72"/>
        <v>4275.915</v>
      </c>
      <c r="BI638" s="151">
        <v>4275.92</v>
      </c>
      <c r="BJ638" s="135" t="s">
        <v>1391</v>
      </c>
      <c r="BK638" s="135"/>
      <c r="BL638" s="135"/>
      <c r="BM638" s="144" t="s">
        <v>3592</v>
      </c>
      <c r="BN638" s="143">
        <v>2023</v>
      </c>
      <c r="BO638" s="135" t="s">
        <v>143</v>
      </c>
      <c r="BP638" s="144">
        <v>2023</v>
      </c>
      <c r="BQ638" s="203" t="s">
        <v>3274</v>
      </c>
    </row>
    <row r="639" spans="1:69" ht="41.1" customHeight="1">
      <c r="A639" s="218" t="s">
        <v>1705</v>
      </c>
      <c r="B639" s="218" t="s">
        <v>2782</v>
      </c>
      <c r="C639" s="143">
        <f t="shared" ca="1" si="68"/>
        <v>600</v>
      </c>
      <c r="D639" s="135">
        <v>45090</v>
      </c>
      <c r="E639" s="135">
        <v>45093</v>
      </c>
      <c r="F639" s="135">
        <v>45100</v>
      </c>
      <c r="G639" s="135" t="s">
        <v>2783</v>
      </c>
      <c r="H639" s="135">
        <v>45113</v>
      </c>
      <c r="I639" s="135">
        <v>45113</v>
      </c>
      <c r="J639" s="135">
        <v>45114</v>
      </c>
      <c r="K639" s="135">
        <v>45189</v>
      </c>
      <c r="L639" s="135">
        <v>45181</v>
      </c>
      <c r="M639" s="135" t="s">
        <v>76</v>
      </c>
      <c r="N639" s="135">
        <v>45212</v>
      </c>
      <c r="O639" s="135">
        <v>45212</v>
      </c>
      <c r="P639" s="135">
        <v>45236</v>
      </c>
      <c r="Q639" s="135"/>
      <c r="R639" s="135"/>
      <c r="S639" s="135"/>
      <c r="T639" s="135"/>
      <c r="U639" s="144">
        <v>2</v>
      </c>
      <c r="V639" s="143">
        <v>69846</v>
      </c>
      <c r="W639" s="143" t="str">
        <f ca="1">IF(H639="",IF(D639="","",IF(U639+V639&lt;15,"Données Nb pers ou RFR manquantes",IF(COUNTA(INDIRECT("TabRFR["&amp;YEAR(D639)&amp;"]"))&lt;&gt;COUNTA(TabRFR[Recherche RFR]),"Data RFR manquantes", IF(V639&lt;=INDEX(TabRFR[[2023]:[2025]],MATCH(BD!U639&amp;"-Très modestes",TabRFR[Recherche RFR],0),MATCH(TEXT(YEAR(BD!D639),"Standard"),TabRFR[[#Headers],[2023]:[2025]],0)),"Très Modeste",IF(V639&lt;=INDEX(TabRFR[[2023]:[2025]],MATCH(BD!U639&amp;"-modestes",TabRFR[Recherche RFR],0),MATCH(TEXT(YEAR(BD!D639),"Standard"),TabRFR[[#Headers],[2023]:[2025]],0)),"Modeste",IF(V639&lt;=INDEX(TabRFR[[2023]:[2025]],MATCH(BD!U639&amp;"-Intermédiaire",TabRFR[Recherche RFR],0),MATCH(TEXT(YEAR(BD!D639),"Standard"),TabRFR[[#Headers],[2023]:[2025]],0)),"Intermédiaire","Supérieur")))))),IF(D639="","",IF(U639+V639&lt;15,"Données Nb pers ou RFR manquantes",IF(COUNTA(INDIRECT("TabRFR["&amp;YEAR(H639)&amp;"]"))&lt;&gt;COUNTA(TabRFR[Recherche RFR]),"Data RFR manquantes", IF(V639&lt;=INDEX(TabRFR[[2023]:[2025]],MATCH(BD!U639&amp;"-Très modestes",TabRFR[Recherche RFR],0),MATCH(TEXT(YEAR(BD!H639),"Standard"),TabRFR[[#Headers],[2023]:[2025]],0)),"Très Modeste",IF(V639&lt;=INDEX(TabRFR[[2023]:[2025]],MATCH(BD!U639&amp;"-modestes",TabRFR[Recherche RFR],0),MATCH(TEXT(YEAR(BD!H639),"Standard"),TabRFR[[#Headers],[2023]:[2025]],0)),"Modeste",IF(V639&lt;=INDEX(TabRFR[[2023]:[2025]],MATCH(BD!U639&amp;"-Intermédiaire",TabRFR[Recherche RFR],0),MATCH(TEXT(YEAR(BD!H639),"Standard"),TabRFR[[#Headers],[2023]:[2025]],0)),"Intermédiaire","Supérieur")))))))</f>
        <v>Supérieur</v>
      </c>
      <c r="X639" s="144"/>
      <c r="Y639" s="135" t="s">
        <v>178</v>
      </c>
      <c r="Z639" s="144">
        <v>38210</v>
      </c>
      <c r="AA639" s="135" t="s">
        <v>130</v>
      </c>
      <c r="AB639" s="148"/>
      <c r="AC639" s="169"/>
      <c r="AD639" s="135" t="s">
        <v>91</v>
      </c>
      <c r="AE639" s="144"/>
      <c r="AF639" s="135"/>
      <c r="AG639" s="135"/>
      <c r="AH639" s="135"/>
      <c r="AI639" s="135" t="s">
        <v>285</v>
      </c>
      <c r="AJ639" s="135" t="s">
        <v>108</v>
      </c>
      <c r="AK639" s="135" t="s">
        <v>2227</v>
      </c>
      <c r="AL639" s="169" t="s">
        <v>287</v>
      </c>
      <c r="AM639" s="148" t="s">
        <v>2184</v>
      </c>
      <c r="AN639" s="135" t="s">
        <v>76</v>
      </c>
      <c r="AO639" s="193" t="s">
        <v>102</v>
      </c>
      <c r="AP639" s="135">
        <v>45187</v>
      </c>
      <c r="AQ639" s="135" t="s">
        <v>3496</v>
      </c>
      <c r="AR639" s="143">
        <v>1987</v>
      </c>
      <c r="AS639" s="135" t="s">
        <v>3496</v>
      </c>
      <c r="AT639" s="135" t="s">
        <v>3446</v>
      </c>
      <c r="AU639" s="135" t="s">
        <v>381</v>
      </c>
      <c r="AV639" s="135" t="s">
        <v>2784</v>
      </c>
      <c r="AW639" s="135"/>
      <c r="AX639" s="135"/>
      <c r="AY639" s="135"/>
      <c r="AZ639" s="135"/>
      <c r="BA639" s="135" t="s">
        <v>101</v>
      </c>
      <c r="BB639" s="135"/>
      <c r="BC639" s="151">
        <f>3100+530+390+225+990+1090</f>
        <v>6325</v>
      </c>
      <c r="BD639" s="151"/>
      <c r="BE639" s="151">
        <v>490</v>
      </c>
      <c r="BF639" s="151">
        <f t="shared" si="70"/>
        <v>6815</v>
      </c>
      <c r="BG639" s="151">
        <f t="shared" si="71"/>
        <v>374.82499999999999</v>
      </c>
      <c r="BH639" s="151">
        <f t="shared" si="72"/>
        <v>7189.8249999999998</v>
      </c>
      <c r="BI639" s="151">
        <v>7189.83</v>
      </c>
      <c r="BJ639" s="135" t="s">
        <v>144</v>
      </c>
      <c r="BK639" s="135"/>
      <c r="BL639" s="135"/>
      <c r="BM639" s="144" t="s">
        <v>3592</v>
      </c>
      <c r="BN639" s="144">
        <v>2023</v>
      </c>
      <c r="BO639" s="135" t="s">
        <v>143</v>
      </c>
      <c r="BP639" s="144">
        <v>2023</v>
      </c>
      <c r="BQ639" s="203" t="s">
        <v>144</v>
      </c>
    </row>
    <row r="640" spans="1:69" ht="41.1" customHeight="1">
      <c r="A640" s="218" t="s">
        <v>1705</v>
      </c>
      <c r="B640" s="218" t="s">
        <v>2785</v>
      </c>
      <c r="C640" s="143">
        <f t="shared" ca="1" si="68"/>
        <v>1000</v>
      </c>
      <c r="D640" s="135">
        <v>45093</v>
      </c>
      <c r="E640" s="135">
        <v>45097</v>
      </c>
      <c r="F640" s="135">
        <v>45104</v>
      </c>
      <c r="G640" s="135" t="s">
        <v>1639</v>
      </c>
      <c r="H640" s="135">
        <v>45081</v>
      </c>
      <c r="I640" s="135">
        <v>45081</v>
      </c>
      <c r="J640" s="135">
        <v>45112</v>
      </c>
      <c r="K640" s="135">
        <v>45178</v>
      </c>
      <c r="L640" s="135">
        <v>45202</v>
      </c>
      <c r="M640" s="135" t="s">
        <v>76</v>
      </c>
      <c r="N640" s="135">
        <v>45212</v>
      </c>
      <c r="O640" s="135">
        <v>45212</v>
      </c>
      <c r="P640" s="135">
        <v>45236</v>
      </c>
      <c r="Q640" s="135"/>
      <c r="R640" s="135"/>
      <c r="S640" s="135"/>
      <c r="T640" s="135"/>
      <c r="U640" s="144">
        <v>2</v>
      </c>
      <c r="V640" s="143">
        <v>24052</v>
      </c>
      <c r="W640" s="143" t="str">
        <f ca="1">IF(H640="",IF(D640="","",IF(U640+V640&lt;15,"Données Nb pers ou RFR manquantes",IF(COUNTA(INDIRECT("TabRFR["&amp;YEAR(D640)&amp;"]"))&lt;&gt;COUNTA(TabRFR[Recherche RFR]),"Data RFR manquantes", IF(V640&lt;=INDEX(TabRFR[[2023]:[2025]],MATCH(BD!U640&amp;"-Très modestes",TabRFR[Recherche RFR],0),MATCH(TEXT(YEAR(BD!D640),"Standard"),TabRFR[[#Headers],[2023]:[2025]],0)),"Très Modeste",IF(V640&lt;=INDEX(TabRFR[[2023]:[2025]],MATCH(BD!U640&amp;"-modestes",TabRFR[Recherche RFR],0),MATCH(TEXT(YEAR(BD!D640),"Standard"),TabRFR[[#Headers],[2023]:[2025]],0)),"Modeste",IF(V640&lt;=INDEX(TabRFR[[2023]:[2025]],MATCH(BD!U640&amp;"-Intermédiaire",TabRFR[Recherche RFR],0),MATCH(TEXT(YEAR(BD!D640),"Standard"),TabRFR[[#Headers],[2023]:[2025]],0)),"Intermédiaire","Supérieur")))))),IF(D640="","",IF(U640+V640&lt;15,"Données Nb pers ou RFR manquantes",IF(COUNTA(INDIRECT("TabRFR["&amp;YEAR(H640)&amp;"]"))&lt;&gt;COUNTA(TabRFR[Recherche RFR]),"Data RFR manquantes", IF(V640&lt;=INDEX(TabRFR[[2023]:[2025]],MATCH(BD!U640&amp;"-Très modestes",TabRFR[Recherche RFR],0),MATCH(TEXT(YEAR(BD!H640),"Standard"),TabRFR[[#Headers],[2023]:[2025]],0)),"Très Modeste",IF(V640&lt;=INDEX(TabRFR[[2023]:[2025]],MATCH(BD!U640&amp;"-modestes",TabRFR[Recherche RFR],0),MATCH(TEXT(YEAR(BD!H640),"Standard"),TabRFR[[#Headers],[2023]:[2025]],0)),"Modeste",IF(V640&lt;=INDEX(TabRFR[[2023]:[2025]],MATCH(BD!U640&amp;"-Intermédiaire",TabRFR[Recherche RFR],0),MATCH(TEXT(YEAR(BD!H640),"Standard"),TabRFR[[#Headers],[2023]:[2025]],0)),"Intermédiaire","Supérieur")))))))</f>
        <v>Modeste</v>
      </c>
      <c r="X640" s="144"/>
      <c r="Y640" s="135" t="s">
        <v>2786</v>
      </c>
      <c r="Z640" s="144">
        <v>38210</v>
      </c>
      <c r="AA640" s="135" t="s">
        <v>202</v>
      </c>
      <c r="AB640" s="148"/>
      <c r="AC640" s="169"/>
      <c r="AD640" s="135" t="s">
        <v>91</v>
      </c>
      <c r="AE640" s="144"/>
      <c r="AF640" s="135"/>
      <c r="AG640" s="135"/>
      <c r="AH640" s="135"/>
      <c r="AI640" s="135" t="str">
        <f t="shared" ref="AI640:AP640" si="78">AI637</f>
        <v>JACQU'CHEMINEES</v>
      </c>
      <c r="AJ640" s="135" t="s">
        <v>119</v>
      </c>
      <c r="AK640" s="135" t="str">
        <f t="shared" si="78"/>
        <v>Mr FAURE</v>
      </c>
      <c r="AL640" s="169" t="str">
        <f t="shared" si="78"/>
        <v>jacques.faure24@wanadoo.fr</v>
      </c>
      <c r="AM640" s="148" t="str">
        <f t="shared" si="78"/>
        <v>04 76 35 56 05</v>
      </c>
      <c r="AN640" s="135" t="str">
        <f t="shared" si="78"/>
        <v>-</v>
      </c>
      <c r="AO640" s="193" t="str">
        <f t="shared" si="78"/>
        <v>oui</v>
      </c>
      <c r="AP640" s="135">
        <f t="shared" si="78"/>
        <v>45248</v>
      </c>
      <c r="AQ640" s="135" t="s">
        <v>3496</v>
      </c>
      <c r="AR640" s="143">
        <v>1996</v>
      </c>
      <c r="AS640" s="135" t="s">
        <v>3496</v>
      </c>
      <c r="AT640" s="135" t="s">
        <v>3446</v>
      </c>
      <c r="AU640" s="135" t="s">
        <v>173</v>
      </c>
      <c r="AV640" s="135" t="s">
        <v>400</v>
      </c>
      <c r="AW640" s="135"/>
      <c r="AX640" s="135"/>
      <c r="AY640" s="135"/>
      <c r="AZ640" s="135"/>
      <c r="BA640" s="135" t="s">
        <v>101</v>
      </c>
      <c r="BB640" s="135"/>
      <c r="BC640" s="151">
        <f>382.94+395.6+465.75+579+465+319.5+2245+138.36</f>
        <v>4991.1499999999996</v>
      </c>
      <c r="BD640" s="151"/>
      <c r="BE640" s="151">
        <v>950</v>
      </c>
      <c r="BF640" s="151">
        <f t="shared" si="70"/>
        <v>5941.15</v>
      </c>
      <c r="BG640" s="151">
        <f t="shared" si="71"/>
        <v>326.76324999999997</v>
      </c>
      <c r="BH640" s="151">
        <f t="shared" si="72"/>
        <v>6267.9132499999996</v>
      </c>
      <c r="BI640" s="151">
        <v>6267.91</v>
      </c>
      <c r="BJ640" s="135" t="s">
        <v>144</v>
      </c>
      <c r="BK640" s="135"/>
      <c r="BL640" s="135"/>
      <c r="BM640" s="144" t="s">
        <v>3592</v>
      </c>
      <c r="BN640" s="143">
        <v>2023</v>
      </c>
      <c r="BO640" s="135" t="s">
        <v>155</v>
      </c>
      <c r="BP640" s="144">
        <v>2023</v>
      </c>
      <c r="BQ640" s="203" t="s">
        <v>144</v>
      </c>
    </row>
    <row r="641" spans="1:69" ht="41.1" customHeight="1">
      <c r="A641" s="218" t="s">
        <v>2787</v>
      </c>
      <c r="B641" s="218" t="s">
        <v>2788</v>
      </c>
      <c r="C641" s="143">
        <f t="shared" ca="1" si="68"/>
        <v>1000</v>
      </c>
      <c r="D641" s="135">
        <v>45100</v>
      </c>
      <c r="E641" s="135">
        <v>45104</v>
      </c>
      <c r="F641" s="135">
        <v>45104</v>
      </c>
      <c r="G641" s="135" t="s">
        <v>2789</v>
      </c>
      <c r="H641" s="135">
        <v>45133</v>
      </c>
      <c r="I641" s="135">
        <v>45133</v>
      </c>
      <c r="J641" s="135">
        <v>45133</v>
      </c>
      <c r="K641" s="135">
        <v>45217</v>
      </c>
      <c r="L641" s="135">
        <v>45204</v>
      </c>
      <c r="M641" s="135" t="s">
        <v>3264</v>
      </c>
      <c r="N641" s="135">
        <v>45240</v>
      </c>
      <c r="O641" s="135">
        <v>45240</v>
      </c>
      <c r="P641" s="135">
        <v>45266</v>
      </c>
      <c r="Q641" s="135"/>
      <c r="R641" s="135"/>
      <c r="S641" s="135"/>
      <c r="T641" s="135"/>
      <c r="U641" s="144">
        <v>2</v>
      </c>
      <c r="V641" s="143">
        <v>26414</v>
      </c>
      <c r="W641" s="143" t="str">
        <f ca="1">IF(H641="",IF(D641="","",IF(U641+V641&lt;15,"Données Nb pers ou RFR manquantes",IF(COUNTA(INDIRECT("TabRFR["&amp;YEAR(D641)&amp;"]"))&lt;&gt;COUNTA(TabRFR[Recherche RFR]),"Data RFR manquantes", IF(V641&lt;=INDEX(TabRFR[[2023]:[2025]],MATCH(BD!U641&amp;"-Très modestes",TabRFR[Recherche RFR],0),MATCH(TEXT(YEAR(BD!D641),"Standard"),TabRFR[[#Headers],[2023]:[2025]],0)),"Très Modeste",IF(V641&lt;=INDEX(TabRFR[[2023]:[2025]],MATCH(BD!U641&amp;"-modestes",TabRFR[Recherche RFR],0),MATCH(TEXT(YEAR(BD!D641),"Standard"),TabRFR[[#Headers],[2023]:[2025]],0)),"Modeste",IF(V641&lt;=INDEX(TabRFR[[2023]:[2025]],MATCH(BD!U641&amp;"-Intermédiaire",TabRFR[Recherche RFR],0),MATCH(TEXT(YEAR(BD!D641),"Standard"),TabRFR[[#Headers],[2023]:[2025]],0)),"Intermédiaire","Supérieur")))))),IF(D641="","",IF(U641+V641&lt;15,"Données Nb pers ou RFR manquantes",IF(COUNTA(INDIRECT("TabRFR["&amp;YEAR(H641)&amp;"]"))&lt;&gt;COUNTA(TabRFR[Recherche RFR]),"Data RFR manquantes", IF(V641&lt;=INDEX(TabRFR[[2023]:[2025]],MATCH(BD!U641&amp;"-Très modestes",TabRFR[Recherche RFR],0),MATCH(TEXT(YEAR(BD!H641),"Standard"),TabRFR[[#Headers],[2023]:[2025]],0)),"Très Modeste",IF(V641&lt;=INDEX(TabRFR[[2023]:[2025]],MATCH(BD!U641&amp;"-modestes",TabRFR[Recherche RFR],0),MATCH(TEXT(YEAR(BD!H641),"Standard"),TabRFR[[#Headers],[2023]:[2025]],0)),"Modeste",IF(V641&lt;=INDEX(TabRFR[[2023]:[2025]],MATCH(BD!U641&amp;"-Intermédiaire",TabRFR[Recherche RFR],0),MATCH(TEXT(YEAR(BD!H641),"Standard"),TabRFR[[#Headers],[2023]:[2025]],0)),"Intermédiaire","Supérieur")))))))</f>
        <v>Modeste</v>
      </c>
      <c r="X641" s="144"/>
      <c r="Y641" s="135" t="s">
        <v>2790</v>
      </c>
      <c r="Z641" s="144">
        <v>38940</v>
      </c>
      <c r="AA641" s="135" t="s">
        <v>266</v>
      </c>
      <c r="AB641" s="148"/>
      <c r="AC641" s="169"/>
      <c r="AD641" s="135" t="s">
        <v>91</v>
      </c>
      <c r="AE641" s="144"/>
      <c r="AF641" s="135"/>
      <c r="AG641" s="135"/>
      <c r="AH641" s="135"/>
      <c r="AI641" s="135" t="s">
        <v>2249</v>
      </c>
      <c r="AJ641" s="135" t="s">
        <v>2791</v>
      </c>
      <c r="AK641" s="135" t="s">
        <v>2250</v>
      </c>
      <c r="AL641" s="169" t="s">
        <v>2251</v>
      </c>
      <c r="AM641" s="148" t="s">
        <v>2252</v>
      </c>
      <c r="AN641" s="135" t="s">
        <v>76</v>
      </c>
      <c r="AO641" s="193" t="s">
        <v>102</v>
      </c>
      <c r="AP641" s="135">
        <v>45468</v>
      </c>
      <c r="AQ641" s="135" t="s">
        <v>3496</v>
      </c>
      <c r="AR641" s="143">
        <v>1985</v>
      </c>
      <c r="AS641" s="143" t="s">
        <v>3413</v>
      </c>
      <c r="AT641" s="135" t="s">
        <v>3446</v>
      </c>
      <c r="AU641" s="135" t="s">
        <v>2460</v>
      </c>
      <c r="AV641" s="135" t="s">
        <v>2549</v>
      </c>
      <c r="AW641" s="135"/>
      <c r="AX641" s="135"/>
      <c r="AY641" s="135"/>
      <c r="AZ641" s="135"/>
      <c r="BA641" s="135" t="s">
        <v>101</v>
      </c>
      <c r="BB641" s="135"/>
      <c r="BC641" s="151">
        <f>3403+126.29+62.54+95.1+78.97+128.54+59.49+520.8+25+1096.73</f>
        <v>5596.4599999999991</v>
      </c>
      <c r="BD641" s="151"/>
      <c r="BE641" s="151">
        <f>990+70</f>
        <v>1060</v>
      </c>
      <c r="BF641" s="151">
        <f>+BC641+BE641</f>
        <v>6656.4599999999991</v>
      </c>
      <c r="BG641" s="151">
        <f t="shared" si="71"/>
        <v>366.10529999999994</v>
      </c>
      <c r="BH641" s="151">
        <f t="shared" si="72"/>
        <v>7022.5652999999993</v>
      </c>
      <c r="BI641" s="151">
        <v>2774.51</v>
      </c>
      <c r="BJ641" s="135" t="s">
        <v>144</v>
      </c>
      <c r="BK641" s="135"/>
      <c r="BL641" s="135"/>
      <c r="BM641" s="144" t="s">
        <v>3592</v>
      </c>
      <c r="BN641" s="144">
        <v>2023</v>
      </c>
      <c r="BO641" s="135" t="s">
        <v>155</v>
      </c>
      <c r="BP641" s="144">
        <v>2023</v>
      </c>
      <c r="BQ641" s="203" t="s">
        <v>144</v>
      </c>
    </row>
    <row r="642" spans="1:69" ht="41.1" customHeight="1">
      <c r="A642" s="219" t="s">
        <v>1705</v>
      </c>
      <c r="B642" s="219" t="s">
        <v>2792</v>
      </c>
      <c r="C642" s="143">
        <f t="shared" ca="1" si="68"/>
        <v>1000</v>
      </c>
      <c r="D642" s="135">
        <v>45104</v>
      </c>
      <c r="E642" s="135">
        <v>45111</v>
      </c>
      <c r="F642" s="135" t="s">
        <v>76</v>
      </c>
      <c r="G642" s="135" t="s">
        <v>76</v>
      </c>
      <c r="H642" s="135">
        <v>45113</v>
      </c>
      <c r="I642" s="135">
        <v>45113</v>
      </c>
      <c r="J642" s="135">
        <v>45114</v>
      </c>
      <c r="K642" s="135">
        <v>45414</v>
      </c>
      <c r="L642" s="135">
        <v>45133</v>
      </c>
      <c r="M642" s="135" t="s">
        <v>76</v>
      </c>
      <c r="N642" s="135">
        <v>45429</v>
      </c>
      <c r="O642" s="135">
        <v>45429</v>
      </c>
      <c r="P642" s="135"/>
      <c r="Q642" s="135"/>
      <c r="R642" s="135"/>
      <c r="S642" s="135"/>
      <c r="T642" s="135"/>
      <c r="U642" s="144">
        <v>3</v>
      </c>
      <c r="V642" s="143">
        <v>30492</v>
      </c>
      <c r="W642" s="143" t="str">
        <f ca="1">IF(H642="",IF(D642="","",IF(U642+V642&lt;15,"Données Nb pers ou RFR manquantes",IF(COUNTA(INDIRECT("TabRFR["&amp;YEAR(D642)&amp;"]"))&lt;&gt;COUNTA(TabRFR[Recherche RFR]),"Data RFR manquantes", IF(V642&lt;=INDEX(TabRFR[[2023]:[2025]],MATCH(BD!U642&amp;"-Très modestes",TabRFR[Recherche RFR],0),MATCH(TEXT(YEAR(BD!D642),"Standard"),TabRFR[[#Headers],[2023]:[2025]],0)),"Très Modeste",IF(V642&lt;=INDEX(TabRFR[[2023]:[2025]],MATCH(BD!U642&amp;"-modestes",TabRFR[Recherche RFR],0),MATCH(TEXT(YEAR(BD!D642),"Standard"),TabRFR[[#Headers],[2023]:[2025]],0)),"Modeste",IF(V642&lt;=INDEX(TabRFR[[2023]:[2025]],MATCH(BD!U642&amp;"-Intermédiaire",TabRFR[Recherche RFR],0),MATCH(TEXT(YEAR(BD!D642),"Standard"),TabRFR[[#Headers],[2023]:[2025]],0)),"Intermédiaire","Supérieur")))))),IF(D642="","",IF(U642+V642&lt;15,"Données Nb pers ou RFR manquantes",IF(COUNTA(INDIRECT("TabRFR["&amp;YEAR(H642)&amp;"]"))&lt;&gt;COUNTA(TabRFR[Recherche RFR]),"Data RFR manquantes", IF(V642&lt;=INDEX(TabRFR[[2023]:[2025]],MATCH(BD!U642&amp;"-Très modestes",TabRFR[Recherche RFR],0),MATCH(TEXT(YEAR(BD!H642),"Standard"),TabRFR[[#Headers],[2023]:[2025]],0)),"Très Modeste",IF(V642&lt;=INDEX(TabRFR[[2023]:[2025]],MATCH(BD!U642&amp;"-modestes",TabRFR[Recherche RFR],0),MATCH(TEXT(YEAR(BD!H642),"Standard"),TabRFR[[#Headers],[2023]:[2025]],0)),"Modeste",IF(V642&lt;=INDEX(TabRFR[[2023]:[2025]],MATCH(BD!U642&amp;"-Intermédiaire",TabRFR[Recherche RFR],0),MATCH(TEXT(YEAR(BD!H642),"Standard"),TabRFR[[#Headers],[2023]:[2025]],0)),"Intermédiaire","Supérieur")))))))</f>
        <v>Modeste</v>
      </c>
      <c r="X642" s="144"/>
      <c r="Y642" s="135" t="s">
        <v>2793</v>
      </c>
      <c r="Z642" s="144">
        <v>38210</v>
      </c>
      <c r="AA642" s="135" t="s">
        <v>202</v>
      </c>
      <c r="AB642" s="148"/>
      <c r="AC642" s="169"/>
      <c r="AD642" s="135" t="s">
        <v>91</v>
      </c>
      <c r="AE642" s="144"/>
      <c r="AF642" s="135"/>
      <c r="AG642" s="135"/>
      <c r="AH642" s="135"/>
      <c r="AI642" s="135" t="s">
        <v>905</v>
      </c>
      <c r="AJ642" s="135" t="s">
        <v>136</v>
      </c>
      <c r="AK642" s="135" t="s">
        <v>1897</v>
      </c>
      <c r="AL642" s="169" t="s">
        <v>2794</v>
      </c>
      <c r="AM642" s="148">
        <v>660022505</v>
      </c>
      <c r="AN642" s="135" t="s">
        <v>76</v>
      </c>
      <c r="AO642" s="193" t="str">
        <f>AO620</f>
        <v>oui</v>
      </c>
      <c r="AP642" s="135">
        <v>45399</v>
      </c>
      <c r="AQ642" s="135" t="s">
        <v>3496</v>
      </c>
      <c r="AR642" s="143">
        <v>1990</v>
      </c>
      <c r="AS642" s="135" t="s">
        <v>3496</v>
      </c>
      <c r="AT642" s="135" t="s">
        <v>3446</v>
      </c>
      <c r="AU642" s="135" t="s">
        <v>1948</v>
      </c>
      <c r="AV642" s="135" t="s">
        <v>2795</v>
      </c>
      <c r="AW642" s="135"/>
      <c r="AX642" s="135"/>
      <c r="AY642" s="135"/>
      <c r="AZ642" s="135"/>
      <c r="BA642" s="135" t="s">
        <v>101</v>
      </c>
      <c r="BB642" s="135"/>
      <c r="BC642" s="151">
        <f>4214.22+304+132+896+294+167+724+718+237+51+864</f>
        <v>8601.2200000000012</v>
      </c>
      <c r="BD642" s="151"/>
      <c r="BE642" s="151">
        <v>2289</v>
      </c>
      <c r="BF642" s="151">
        <f>BC642+BE642-1221.97</f>
        <v>9668.2500000000018</v>
      </c>
      <c r="BG642" s="151">
        <f t="shared" si="71"/>
        <v>531.75375000000008</v>
      </c>
      <c r="BH642" s="151">
        <f t="shared" si="72"/>
        <v>10200.003750000002</v>
      </c>
      <c r="BI642" s="151">
        <v>10200</v>
      </c>
      <c r="BJ642" s="135" t="s">
        <v>144</v>
      </c>
      <c r="BK642" s="135"/>
      <c r="BL642" s="135"/>
      <c r="BM642" s="144" t="s">
        <v>3592</v>
      </c>
      <c r="BN642" s="144">
        <v>2023</v>
      </c>
      <c r="BO642" s="135" t="s">
        <v>155</v>
      </c>
      <c r="BP642" s="144">
        <v>2023</v>
      </c>
      <c r="BQ642" s="203"/>
    </row>
    <row r="643" spans="1:69" ht="41.1" customHeight="1">
      <c r="A643" s="218" t="s">
        <v>1705</v>
      </c>
      <c r="B643" s="218" t="s">
        <v>2796</v>
      </c>
      <c r="C643" s="143">
        <f t="shared" ca="1" si="68"/>
        <v>600</v>
      </c>
      <c r="D643" s="135">
        <v>45110</v>
      </c>
      <c r="E643" s="135">
        <v>45111</v>
      </c>
      <c r="F643" s="135" t="s">
        <v>76</v>
      </c>
      <c r="G643" s="135" t="s">
        <v>76</v>
      </c>
      <c r="H643" s="135">
        <v>45113</v>
      </c>
      <c r="I643" s="135">
        <v>45113</v>
      </c>
      <c r="J643" s="135">
        <v>45114</v>
      </c>
      <c r="K643" s="135">
        <v>45260</v>
      </c>
      <c r="L643" s="135">
        <v>45229</v>
      </c>
      <c r="M643" s="135" t="s">
        <v>76</v>
      </c>
      <c r="N643" s="135">
        <v>45264</v>
      </c>
      <c r="O643" s="135">
        <v>45264</v>
      </c>
      <c r="P643" s="135">
        <v>45271</v>
      </c>
      <c r="Q643" s="135"/>
      <c r="R643" s="135"/>
      <c r="S643" s="135"/>
      <c r="T643" s="135"/>
      <c r="U643" s="144">
        <v>2</v>
      </c>
      <c r="V643" s="143">
        <v>36376</v>
      </c>
      <c r="W643" s="143" t="str">
        <f ca="1">IF(H643="",IF(D643="","",IF(U643+V643&lt;15,"Données Nb pers ou RFR manquantes",IF(COUNTA(INDIRECT("TabRFR["&amp;YEAR(D643)&amp;"]"))&lt;&gt;COUNTA(TabRFR[Recherche RFR]),"Data RFR manquantes", IF(V643&lt;=INDEX(TabRFR[[2023]:[2025]],MATCH(BD!U643&amp;"-Très modestes",TabRFR[Recherche RFR],0),MATCH(TEXT(YEAR(BD!D643),"Standard"),TabRFR[[#Headers],[2023]:[2025]],0)),"Très Modeste",IF(V643&lt;=INDEX(TabRFR[[2023]:[2025]],MATCH(BD!U643&amp;"-modestes",TabRFR[Recherche RFR],0),MATCH(TEXT(YEAR(BD!D643),"Standard"),TabRFR[[#Headers],[2023]:[2025]],0)),"Modeste",IF(V643&lt;=INDEX(TabRFR[[2023]:[2025]],MATCH(BD!U643&amp;"-Intermédiaire",TabRFR[Recherche RFR],0),MATCH(TEXT(YEAR(BD!D643),"Standard"),TabRFR[[#Headers],[2023]:[2025]],0)),"Intermédiaire","Supérieur")))))),IF(D643="","",IF(U643+V643&lt;15,"Données Nb pers ou RFR manquantes",IF(COUNTA(INDIRECT("TabRFR["&amp;YEAR(H643)&amp;"]"))&lt;&gt;COUNTA(TabRFR[Recherche RFR]),"Data RFR manquantes", IF(V643&lt;=INDEX(TabRFR[[2023]:[2025]],MATCH(BD!U643&amp;"-Très modestes",TabRFR[Recherche RFR],0),MATCH(TEXT(YEAR(BD!H643),"Standard"),TabRFR[[#Headers],[2023]:[2025]],0)),"Très Modeste",IF(V643&lt;=INDEX(TabRFR[[2023]:[2025]],MATCH(BD!U643&amp;"-modestes",TabRFR[Recherche RFR],0),MATCH(TEXT(YEAR(BD!H643),"Standard"),TabRFR[[#Headers],[2023]:[2025]],0)),"Modeste",IF(V643&lt;=INDEX(TabRFR[[2023]:[2025]],MATCH(BD!U643&amp;"-Intermédiaire",TabRFR[Recherche RFR],0),MATCH(TEXT(YEAR(BD!H643),"Standard"),TabRFR[[#Headers],[2023]:[2025]],0)),"Intermédiaire","Supérieur")))))))</f>
        <v>Intermédiaire</v>
      </c>
      <c r="X643" s="144"/>
      <c r="Y643" s="135" t="s">
        <v>2797</v>
      </c>
      <c r="Z643" s="144">
        <v>38140</v>
      </c>
      <c r="AA643" s="135" t="s">
        <v>159</v>
      </c>
      <c r="AB643" s="148"/>
      <c r="AC643" s="169"/>
      <c r="AD643" s="135" t="s">
        <v>91</v>
      </c>
      <c r="AE643" s="144"/>
      <c r="AF643" s="135"/>
      <c r="AG643" s="135"/>
      <c r="AH643" s="135"/>
      <c r="AI643" s="135" t="s">
        <v>220</v>
      </c>
      <c r="AJ643" s="135" t="s">
        <v>108</v>
      </c>
      <c r="AK643" s="135" t="s">
        <v>2059</v>
      </c>
      <c r="AL643" s="169" t="s">
        <v>1947</v>
      </c>
      <c r="AM643" s="148">
        <v>476323235</v>
      </c>
      <c r="AN643" s="135" t="s">
        <v>76</v>
      </c>
      <c r="AO643" s="193" t="s">
        <v>102</v>
      </c>
      <c r="AP643" s="135">
        <v>45159</v>
      </c>
      <c r="AQ643" s="135" t="s">
        <v>3496</v>
      </c>
      <c r="AR643" s="143">
        <v>1993</v>
      </c>
      <c r="AS643" s="143" t="s">
        <v>3413</v>
      </c>
      <c r="AT643" s="135" t="s">
        <v>3446</v>
      </c>
      <c r="AU643" s="135" t="s">
        <v>2060</v>
      </c>
      <c r="AV643" s="135" t="s">
        <v>2798</v>
      </c>
      <c r="AW643" s="135"/>
      <c r="AX643" s="135"/>
      <c r="AY643" s="135"/>
      <c r="AZ643" s="135"/>
      <c r="BA643" s="135" t="s">
        <v>101</v>
      </c>
      <c r="BB643" s="135"/>
      <c r="BC643" s="151">
        <f>3129+112+75+35+30+85+35+48+285+30+2423+95+465+30+235+180</f>
        <v>7292</v>
      </c>
      <c r="BD643" s="151"/>
      <c r="BE643" s="151">
        <f>460+40</f>
        <v>500</v>
      </c>
      <c r="BF643" s="151">
        <f>BC643+BE643</f>
        <v>7792</v>
      </c>
      <c r="BG643" s="151">
        <f t="shared" si="71"/>
        <v>428.56</v>
      </c>
      <c r="BH643" s="151">
        <f t="shared" si="72"/>
        <v>8220.56</v>
      </c>
      <c r="BI643" s="151">
        <f>3958.36+1474</f>
        <v>5432.3600000000006</v>
      </c>
      <c r="BJ643" s="135" t="s">
        <v>144</v>
      </c>
      <c r="BK643" s="135"/>
      <c r="BL643" s="135"/>
      <c r="BM643" s="144" t="s">
        <v>3592</v>
      </c>
      <c r="BN643" s="144">
        <v>2023</v>
      </c>
      <c r="BO643" s="135" t="s">
        <v>143</v>
      </c>
      <c r="BP643" s="144">
        <v>2023</v>
      </c>
      <c r="BQ643" s="203" t="s">
        <v>144</v>
      </c>
    </row>
    <row r="644" spans="1:69" ht="41.1" customHeight="1">
      <c r="A644" s="219" t="s">
        <v>1705</v>
      </c>
      <c r="B644" s="219" t="s">
        <v>2799</v>
      </c>
      <c r="C644" s="143">
        <f t="shared" ca="1" si="68"/>
        <v>1000</v>
      </c>
      <c r="D644" s="135">
        <v>45110</v>
      </c>
      <c r="E644" s="135">
        <v>45111</v>
      </c>
      <c r="F644" s="135">
        <v>45113</v>
      </c>
      <c r="G644" s="135" t="s">
        <v>2800</v>
      </c>
      <c r="H644" s="135">
        <v>45118</v>
      </c>
      <c r="I644" s="135">
        <v>45118</v>
      </c>
      <c r="J644" s="135">
        <v>45127</v>
      </c>
      <c r="K644" s="135">
        <v>45369</v>
      </c>
      <c r="L644" s="135">
        <v>45243</v>
      </c>
      <c r="M644" s="135" t="s">
        <v>3575</v>
      </c>
      <c r="N644" s="135">
        <v>45391</v>
      </c>
      <c r="O644" s="135">
        <v>45391</v>
      </c>
      <c r="P644" s="135">
        <v>45398</v>
      </c>
      <c r="Q644" s="135"/>
      <c r="R644" s="135"/>
      <c r="S644" s="135"/>
      <c r="T644" s="172"/>
      <c r="U644" s="144">
        <v>3</v>
      </c>
      <c r="V644" s="143">
        <v>36198</v>
      </c>
      <c r="W644" s="143" t="str">
        <f ca="1">IF(H644="",IF(D644="","",IF(U644+V644&lt;15,"Données Nb pers ou RFR manquantes",IF(COUNTA(INDIRECT("TabRFR["&amp;YEAR(D644)&amp;"]"))&lt;&gt;COUNTA(TabRFR[Recherche RFR]),"Data RFR manquantes", IF(V644&lt;=INDEX(TabRFR[[2023]:[2025]],MATCH(BD!U644&amp;"-Très modestes",TabRFR[Recherche RFR],0),MATCH(TEXT(YEAR(BD!D644),"Standard"),TabRFR[[#Headers],[2023]:[2025]],0)),"Très Modeste",IF(V644&lt;=INDEX(TabRFR[[2023]:[2025]],MATCH(BD!U644&amp;"-modestes",TabRFR[Recherche RFR],0),MATCH(TEXT(YEAR(BD!D644),"Standard"),TabRFR[[#Headers],[2023]:[2025]],0)),"Modeste",IF(V644&lt;=INDEX(TabRFR[[2023]:[2025]],MATCH(BD!U644&amp;"-Intermédiaire",TabRFR[Recherche RFR],0),MATCH(TEXT(YEAR(BD!D644),"Standard"),TabRFR[[#Headers],[2023]:[2025]],0)),"Intermédiaire","Supérieur")))))),IF(D644="","",IF(U644+V644&lt;15,"Données Nb pers ou RFR manquantes",IF(COUNTA(INDIRECT("TabRFR["&amp;YEAR(H644)&amp;"]"))&lt;&gt;COUNTA(TabRFR[Recherche RFR]),"Data RFR manquantes", IF(V644&lt;=INDEX(TabRFR[[2023]:[2025]],MATCH(BD!U644&amp;"-Très modestes",TabRFR[Recherche RFR],0),MATCH(TEXT(YEAR(BD!H644),"Standard"),TabRFR[[#Headers],[2023]:[2025]],0)),"Très Modeste",IF(V644&lt;=INDEX(TabRFR[[2023]:[2025]],MATCH(BD!U644&amp;"-modestes",TabRFR[Recherche RFR],0),MATCH(TEXT(YEAR(BD!H644),"Standard"),TabRFR[[#Headers],[2023]:[2025]],0)),"Modeste",IF(V644&lt;=INDEX(TabRFR[[2023]:[2025]],MATCH(BD!U644&amp;"-Intermédiaire",TabRFR[Recherche RFR],0),MATCH(TEXT(YEAR(BD!H644),"Standard"),TabRFR[[#Headers],[2023]:[2025]],0)),"Intermédiaire","Supérieur")))))))</f>
        <v>Modeste</v>
      </c>
      <c r="X644" s="144"/>
      <c r="Y644" s="135" t="s">
        <v>1386</v>
      </c>
      <c r="Z644" s="144">
        <v>38340</v>
      </c>
      <c r="AA644" s="135" t="s">
        <v>266</v>
      </c>
      <c r="AB644" s="148"/>
      <c r="AC644" s="169"/>
      <c r="AD644" s="135" t="s">
        <v>91</v>
      </c>
      <c r="AE644" s="144"/>
      <c r="AF644" s="135"/>
      <c r="AG644" s="135"/>
      <c r="AH644" s="135"/>
      <c r="AI644" s="135" t="s">
        <v>220</v>
      </c>
      <c r="AJ644" s="135" t="s">
        <v>108</v>
      </c>
      <c r="AK644" s="135" t="s">
        <v>2059</v>
      </c>
      <c r="AL644" s="169" t="s">
        <v>1947</v>
      </c>
      <c r="AM644" s="148">
        <v>476323235</v>
      </c>
      <c r="AN644" s="135" t="s">
        <v>76</v>
      </c>
      <c r="AO644" s="193" t="s">
        <v>102</v>
      </c>
      <c r="AP644" s="135">
        <v>45159</v>
      </c>
      <c r="AQ644" s="135" t="s">
        <v>3496</v>
      </c>
      <c r="AR644" s="143">
        <v>1975</v>
      </c>
      <c r="AS644" s="143" t="s">
        <v>3413</v>
      </c>
      <c r="AT644" s="135" t="s">
        <v>3446</v>
      </c>
      <c r="AU644" s="135" t="s">
        <v>2060</v>
      </c>
      <c r="AV644" s="135" t="s">
        <v>835</v>
      </c>
      <c r="AW644" s="135"/>
      <c r="AX644" s="135"/>
      <c r="AY644" s="135"/>
      <c r="AZ644" s="135"/>
      <c r="BA644" s="135" t="s">
        <v>101</v>
      </c>
      <c r="BB644" s="135"/>
      <c r="BC644" s="151">
        <f>30+1505+65+3129+58*2+75+35+30+30+280+162</f>
        <v>5457</v>
      </c>
      <c r="BD644" s="151" t="s">
        <v>76</v>
      </c>
      <c r="BE644" s="151">
        <f>435+65</f>
        <v>500</v>
      </c>
      <c r="BF644" s="151">
        <f>BC644+BE644</f>
        <v>5957</v>
      </c>
      <c r="BG644" s="151">
        <v>419.21</v>
      </c>
      <c r="BH644" s="151">
        <f t="shared" si="72"/>
        <v>6376.21</v>
      </c>
      <c r="BI644" s="151">
        <f>2238.5+4137.71</f>
        <v>6376.21</v>
      </c>
      <c r="BJ644" s="135" t="s">
        <v>144</v>
      </c>
      <c r="BK644" s="135"/>
      <c r="BL644" s="135"/>
      <c r="BM644" s="144" t="s">
        <v>3592</v>
      </c>
      <c r="BN644" s="144">
        <v>2023</v>
      </c>
      <c r="BO644" s="135" t="s">
        <v>155</v>
      </c>
      <c r="BP644" s="144">
        <v>2023</v>
      </c>
      <c r="BQ644" s="203"/>
    </row>
    <row r="645" spans="1:69" ht="41.1" customHeight="1">
      <c r="A645" s="218" t="s">
        <v>1705</v>
      </c>
      <c r="B645" s="218" t="s">
        <v>2801</v>
      </c>
      <c r="C645" s="143">
        <f t="shared" ca="1" si="68"/>
        <v>600</v>
      </c>
      <c r="D645" s="135">
        <v>45111</v>
      </c>
      <c r="E645" s="135">
        <v>45117</v>
      </c>
      <c r="F645" s="135">
        <v>45118</v>
      </c>
      <c r="G645" s="135" t="s">
        <v>2802</v>
      </c>
      <c r="H645" s="135">
        <v>45120</v>
      </c>
      <c r="I645" s="135">
        <v>45120</v>
      </c>
      <c r="J645" s="135">
        <v>45127</v>
      </c>
      <c r="K645" s="135">
        <v>45252</v>
      </c>
      <c r="L645" s="135">
        <v>45237</v>
      </c>
      <c r="M645" s="135" t="s">
        <v>76</v>
      </c>
      <c r="N645" s="135">
        <v>45264</v>
      </c>
      <c r="O645" s="135">
        <v>45264</v>
      </c>
      <c r="P645" s="135">
        <v>45271</v>
      </c>
      <c r="Q645" s="135"/>
      <c r="R645" s="135"/>
      <c r="S645" s="135"/>
      <c r="T645" s="135"/>
      <c r="U645" s="144">
        <v>4</v>
      </c>
      <c r="V645" s="143">
        <v>93499</v>
      </c>
      <c r="W645" s="143" t="str">
        <f ca="1">IF(H645="",IF(D645="","",IF(U645+V645&lt;15,"Données Nb pers ou RFR manquantes",IF(COUNTA(INDIRECT("TabRFR["&amp;YEAR(D645)&amp;"]"))&lt;&gt;COUNTA(TabRFR[Recherche RFR]),"Data RFR manquantes", IF(V645&lt;=INDEX(TabRFR[[2023]:[2025]],MATCH(BD!U645&amp;"-Très modestes",TabRFR[Recherche RFR],0),MATCH(TEXT(YEAR(BD!D645),"Standard"),TabRFR[[#Headers],[2023]:[2025]],0)),"Très Modeste",IF(V645&lt;=INDEX(TabRFR[[2023]:[2025]],MATCH(BD!U645&amp;"-modestes",TabRFR[Recherche RFR],0),MATCH(TEXT(YEAR(BD!D645),"Standard"),TabRFR[[#Headers],[2023]:[2025]],0)),"Modeste",IF(V645&lt;=INDEX(TabRFR[[2023]:[2025]],MATCH(BD!U645&amp;"-Intermédiaire",TabRFR[Recherche RFR],0),MATCH(TEXT(YEAR(BD!D645),"Standard"),TabRFR[[#Headers],[2023]:[2025]],0)),"Intermédiaire","Supérieur")))))),IF(D645="","",IF(U645+V645&lt;15,"Données Nb pers ou RFR manquantes",IF(COUNTA(INDIRECT("TabRFR["&amp;YEAR(H645)&amp;"]"))&lt;&gt;COUNTA(TabRFR[Recherche RFR]),"Data RFR manquantes", IF(V645&lt;=INDEX(TabRFR[[2023]:[2025]],MATCH(BD!U645&amp;"-Très modestes",TabRFR[Recherche RFR],0),MATCH(TEXT(YEAR(BD!H645),"Standard"),TabRFR[[#Headers],[2023]:[2025]],0)),"Très Modeste",IF(V645&lt;=INDEX(TabRFR[[2023]:[2025]],MATCH(BD!U645&amp;"-modestes",TabRFR[Recherche RFR],0),MATCH(TEXT(YEAR(BD!H645),"Standard"),TabRFR[[#Headers],[2023]:[2025]],0)),"Modeste",IF(V645&lt;=INDEX(TabRFR[[2023]:[2025]],MATCH(BD!U645&amp;"-Intermédiaire",TabRFR[Recherche RFR],0),MATCH(TEXT(YEAR(BD!H645),"Standard"),TabRFR[[#Headers],[2023]:[2025]],0)),"Intermédiaire","Supérieur")))))))</f>
        <v>Supérieur</v>
      </c>
      <c r="X645" s="144"/>
      <c r="Y645" s="135" t="s">
        <v>2803</v>
      </c>
      <c r="Z645" s="144">
        <v>38500</v>
      </c>
      <c r="AA645" s="135" t="s">
        <v>108</v>
      </c>
      <c r="AB645" s="148"/>
      <c r="AC645" s="169"/>
      <c r="AD645" s="135" t="s">
        <v>91</v>
      </c>
      <c r="AE645" s="144"/>
      <c r="AF645" s="135"/>
      <c r="AG645" s="135"/>
      <c r="AH645" s="135"/>
      <c r="AI645" s="135" t="s">
        <v>285</v>
      </c>
      <c r="AJ645" s="135" t="s">
        <v>108</v>
      </c>
      <c r="AK645" s="135" t="s">
        <v>2227</v>
      </c>
      <c r="AL645" s="169" t="s">
        <v>287</v>
      </c>
      <c r="AM645" s="148" t="s">
        <v>2184</v>
      </c>
      <c r="AN645" s="135" t="s">
        <v>76</v>
      </c>
      <c r="AO645" s="193" t="s">
        <v>102</v>
      </c>
      <c r="AP645" s="135">
        <v>45187</v>
      </c>
      <c r="AQ645" s="135" t="s">
        <v>3496</v>
      </c>
      <c r="AR645" s="143">
        <v>1993</v>
      </c>
      <c r="AS645" s="135" t="s">
        <v>3496</v>
      </c>
      <c r="AT645" s="135" t="s">
        <v>3446</v>
      </c>
      <c r="AU645" s="135" t="s">
        <v>381</v>
      </c>
      <c r="AV645" s="135" t="s">
        <v>2804</v>
      </c>
      <c r="AW645" s="135"/>
      <c r="AX645" s="135"/>
      <c r="AY645" s="135"/>
      <c r="AZ645" s="135"/>
      <c r="BA645" s="135" t="s">
        <v>101</v>
      </c>
      <c r="BB645" s="135"/>
      <c r="BC645" s="151">
        <f>690+759+6568+990+490</f>
        <v>9497</v>
      </c>
      <c r="BD645" s="151"/>
      <c r="BE645" s="151">
        <v>840</v>
      </c>
      <c r="BF645" s="151">
        <f>BC645+BE645</f>
        <v>10337</v>
      </c>
      <c r="BG645" s="151">
        <f t="shared" ref="BG645:BG682" si="79">BF645*0.055</f>
        <v>568.53499999999997</v>
      </c>
      <c r="BH645" s="151">
        <f t="shared" si="72"/>
        <v>10905.535</v>
      </c>
      <c r="BI645" s="151">
        <v>12560.84</v>
      </c>
      <c r="BJ645" s="135" t="s">
        <v>1391</v>
      </c>
      <c r="BK645" s="135"/>
      <c r="BL645" s="135"/>
      <c r="BM645" s="144" t="s">
        <v>3592</v>
      </c>
      <c r="BN645" s="144">
        <v>2023</v>
      </c>
      <c r="BO645" s="135" t="s">
        <v>143</v>
      </c>
      <c r="BP645" s="144">
        <v>2023</v>
      </c>
      <c r="BQ645" s="203" t="s">
        <v>3274</v>
      </c>
    </row>
    <row r="646" spans="1:69" ht="41.1" customHeight="1">
      <c r="A646" s="218" t="s">
        <v>1705</v>
      </c>
      <c r="B646" s="218" t="s">
        <v>2805</v>
      </c>
      <c r="C646" s="143">
        <f t="shared" ca="1" si="68"/>
        <v>600</v>
      </c>
      <c r="D646" s="135">
        <v>45112</v>
      </c>
      <c r="E646" s="135">
        <v>45117</v>
      </c>
      <c r="F646" s="135" t="s">
        <v>76</v>
      </c>
      <c r="G646" s="135" t="s">
        <v>76</v>
      </c>
      <c r="H646" s="135">
        <v>45120</v>
      </c>
      <c r="I646" s="135">
        <v>45120</v>
      </c>
      <c r="J646" s="135">
        <v>45127</v>
      </c>
      <c r="K646" s="135">
        <v>45210</v>
      </c>
      <c r="L646" s="135">
        <v>45204</v>
      </c>
      <c r="M646" s="135" t="s">
        <v>76</v>
      </c>
      <c r="N646" s="135">
        <v>45212</v>
      </c>
      <c r="O646" s="135">
        <v>45212</v>
      </c>
      <c r="P646" s="135">
        <v>45236</v>
      </c>
      <c r="Q646" s="135"/>
      <c r="R646" s="135"/>
      <c r="S646" s="135"/>
      <c r="T646" s="135"/>
      <c r="U646" s="144">
        <v>2</v>
      </c>
      <c r="V646" s="143">
        <v>39393</v>
      </c>
      <c r="W646" s="143" t="str">
        <f ca="1">IF(H646="",IF(D646="","",IF(U646+V646&lt;15,"Données Nb pers ou RFR manquantes",IF(COUNTA(INDIRECT("TabRFR["&amp;YEAR(D646)&amp;"]"))&lt;&gt;COUNTA(TabRFR[Recherche RFR]),"Data RFR manquantes", IF(V646&lt;=INDEX(TabRFR[[2023]:[2025]],MATCH(BD!U646&amp;"-Très modestes",TabRFR[Recherche RFR],0),MATCH(TEXT(YEAR(BD!D646),"Standard"),TabRFR[[#Headers],[2023]:[2025]],0)),"Très Modeste",IF(V646&lt;=INDEX(TabRFR[[2023]:[2025]],MATCH(BD!U646&amp;"-modestes",TabRFR[Recherche RFR],0),MATCH(TEXT(YEAR(BD!D646),"Standard"),TabRFR[[#Headers],[2023]:[2025]],0)),"Modeste",IF(V646&lt;=INDEX(TabRFR[[2023]:[2025]],MATCH(BD!U646&amp;"-Intermédiaire",TabRFR[Recherche RFR],0),MATCH(TEXT(YEAR(BD!D646),"Standard"),TabRFR[[#Headers],[2023]:[2025]],0)),"Intermédiaire","Supérieur")))))),IF(D646="","",IF(U646+V646&lt;15,"Données Nb pers ou RFR manquantes",IF(COUNTA(INDIRECT("TabRFR["&amp;YEAR(H646)&amp;"]"))&lt;&gt;COUNTA(TabRFR[Recherche RFR]),"Data RFR manquantes", IF(V646&lt;=INDEX(TabRFR[[2023]:[2025]],MATCH(BD!U646&amp;"-Très modestes",TabRFR[Recherche RFR],0),MATCH(TEXT(YEAR(BD!H646),"Standard"),TabRFR[[#Headers],[2023]:[2025]],0)),"Très Modeste",IF(V646&lt;=INDEX(TabRFR[[2023]:[2025]],MATCH(BD!U646&amp;"-modestes",TabRFR[Recherche RFR],0),MATCH(TEXT(YEAR(BD!H646),"Standard"),TabRFR[[#Headers],[2023]:[2025]],0)),"Modeste",IF(V646&lt;=INDEX(TabRFR[[2023]:[2025]],MATCH(BD!U646&amp;"-Intermédiaire",TabRFR[Recherche RFR],0),MATCH(TEXT(YEAR(BD!H646),"Standard"),TabRFR[[#Headers],[2023]:[2025]],0)),"Intermédiaire","Supérieur")))))))</f>
        <v>Intermédiaire</v>
      </c>
      <c r="X646" s="144"/>
      <c r="Y646" s="135" t="s">
        <v>2806</v>
      </c>
      <c r="Z646" s="144">
        <v>38500</v>
      </c>
      <c r="AA646" s="135" t="s">
        <v>219</v>
      </c>
      <c r="AB646" s="148"/>
      <c r="AC646" s="169"/>
      <c r="AD646" s="135" t="s">
        <v>91</v>
      </c>
      <c r="AE646" s="144"/>
      <c r="AF646" s="135"/>
      <c r="AG646" s="135"/>
      <c r="AH646" s="135"/>
      <c r="AI646" s="135" t="s">
        <v>2703</v>
      </c>
      <c r="AJ646" s="135" t="s">
        <v>266</v>
      </c>
      <c r="AK646" s="135" t="s">
        <v>2704</v>
      </c>
      <c r="AL646" s="169" t="s">
        <v>318</v>
      </c>
      <c r="AM646" s="148">
        <v>476500550</v>
      </c>
      <c r="AN646" s="135" t="s">
        <v>76</v>
      </c>
      <c r="AO646" s="193" t="s">
        <v>102</v>
      </c>
      <c r="AP646" s="135">
        <v>45137</v>
      </c>
      <c r="AQ646" s="135" t="s">
        <v>3496</v>
      </c>
      <c r="AR646" s="143">
        <v>1989</v>
      </c>
      <c r="AS646" s="135" t="s">
        <v>3496</v>
      </c>
      <c r="AT646" s="135" t="s">
        <v>3446</v>
      </c>
      <c r="AU646" s="135" t="s">
        <v>319</v>
      </c>
      <c r="AV646" s="135" t="s">
        <v>1237</v>
      </c>
      <c r="AW646" s="135"/>
      <c r="AX646" s="135"/>
      <c r="AY646" s="135"/>
      <c r="AZ646" s="135"/>
      <c r="BA646" s="135" t="s">
        <v>101</v>
      </c>
      <c r="BB646" s="135"/>
      <c r="BC646" s="151">
        <f>(425.2+756.84+71.9+2350+205+249.2+138.4+48.38+273.2)/1.055</f>
        <v>4282.5781990521327</v>
      </c>
      <c r="BD646" s="151"/>
      <c r="BE646" s="151">
        <f>(1800)/1.055</f>
        <v>1706.1611374407585</v>
      </c>
      <c r="BF646" s="151">
        <f>BC646+BE646</f>
        <v>5988.7393364928912</v>
      </c>
      <c r="BG646" s="151">
        <f t="shared" si="79"/>
        <v>329.38066350710903</v>
      </c>
      <c r="BH646" s="151">
        <f t="shared" si="72"/>
        <v>6318.12</v>
      </c>
      <c r="BI646" s="151">
        <v>6665.53</v>
      </c>
      <c r="BJ646" s="135" t="s">
        <v>144</v>
      </c>
      <c r="BK646" s="135"/>
      <c r="BL646" s="135"/>
      <c r="BM646" s="144" t="s">
        <v>3592</v>
      </c>
      <c r="BN646" s="144">
        <v>2023</v>
      </c>
      <c r="BO646" s="135" t="s">
        <v>143</v>
      </c>
      <c r="BP646" s="144">
        <v>2023</v>
      </c>
      <c r="BQ646" s="203" t="s">
        <v>144</v>
      </c>
    </row>
    <row r="647" spans="1:69" ht="41.1" customHeight="1">
      <c r="A647" s="219" t="s">
        <v>1705</v>
      </c>
      <c r="B647" s="219" t="s">
        <v>2807</v>
      </c>
      <c r="C647" s="143">
        <f t="shared" ca="1" si="68"/>
        <v>600</v>
      </c>
      <c r="D647" s="135">
        <v>45117</v>
      </c>
      <c r="E647" s="135">
        <v>45118</v>
      </c>
      <c r="F647" s="135">
        <v>45118</v>
      </c>
      <c r="G647" s="135" t="s">
        <v>2808</v>
      </c>
      <c r="H647" s="135">
        <v>45119</v>
      </c>
      <c r="I647" s="135">
        <v>45119</v>
      </c>
      <c r="J647" s="135">
        <v>45127</v>
      </c>
      <c r="K647" s="135"/>
      <c r="L647" s="135"/>
      <c r="M647" s="135"/>
      <c r="N647" s="135"/>
      <c r="O647" s="135"/>
      <c r="P647" s="135"/>
      <c r="Q647" s="135"/>
      <c r="R647" s="135"/>
      <c r="S647" s="135"/>
      <c r="T647" s="135"/>
      <c r="U647" s="144">
        <v>3</v>
      </c>
      <c r="V647" s="143">
        <v>90202</v>
      </c>
      <c r="W647" s="143" t="str">
        <f ca="1">IF(H647="",IF(D647="","",IF(U647+V647&lt;15,"Données Nb pers ou RFR manquantes",IF(COUNTA(INDIRECT("TabRFR["&amp;YEAR(D647)&amp;"]"))&lt;&gt;COUNTA(TabRFR[Recherche RFR]),"Data RFR manquantes", IF(V647&lt;=INDEX(TabRFR[[2023]:[2025]],MATCH(BD!U647&amp;"-Très modestes",TabRFR[Recherche RFR],0),MATCH(TEXT(YEAR(BD!D647),"Standard"),TabRFR[[#Headers],[2023]:[2025]],0)),"Très Modeste",IF(V647&lt;=INDEX(TabRFR[[2023]:[2025]],MATCH(BD!U647&amp;"-modestes",TabRFR[Recherche RFR],0),MATCH(TEXT(YEAR(BD!D647),"Standard"),TabRFR[[#Headers],[2023]:[2025]],0)),"Modeste",IF(V647&lt;=INDEX(TabRFR[[2023]:[2025]],MATCH(BD!U647&amp;"-Intermédiaire",TabRFR[Recherche RFR],0),MATCH(TEXT(YEAR(BD!D647),"Standard"),TabRFR[[#Headers],[2023]:[2025]],0)),"Intermédiaire","Supérieur")))))),IF(D647="","",IF(U647+V647&lt;15,"Données Nb pers ou RFR manquantes",IF(COUNTA(INDIRECT("TabRFR["&amp;YEAR(H647)&amp;"]"))&lt;&gt;COUNTA(TabRFR[Recherche RFR]),"Data RFR manquantes", IF(V647&lt;=INDEX(TabRFR[[2023]:[2025]],MATCH(BD!U647&amp;"-Très modestes",TabRFR[Recherche RFR],0),MATCH(TEXT(YEAR(BD!H647),"Standard"),TabRFR[[#Headers],[2023]:[2025]],0)),"Très Modeste",IF(V647&lt;=INDEX(TabRFR[[2023]:[2025]],MATCH(BD!U647&amp;"-modestes",TabRFR[Recherche RFR],0),MATCH(TEXT(YEAR(BD!H647),"Standard"),TabRFR[[#Headers],[2023]:[2025]],0)),"Modeste",IF(V647&lt;=INDEX(TabRFR[[2023]:[2025]],MATCH(BD!U647&amp;"-Intermédiaire",TabRFR[Recherche RFR],0),MATCH(TEXT(YEAR(BD!H647),"Standard"),TabRFR[[#Headers],[2023]:[2025]],0)),"Intermédiaire","Supérieur")))))))</f>
        <v>Supérieur</v>
      </c>
      <c r="X647" s="144"/>
      <c r="Y647" s="135" t="s">
        <v>2809</v>
      </c>
      <c r="Z647" s="144">
        <v>38140</v>
      </c>
      <c r="AA647" s="135" t="s">
        <v>504</v>
      </c>
      <c r="AB647" s="148"/>
      <c r="AC647" s="169"/>
      <c r="AD647" s="135" t="s">
        <v>91</v>
      </c>
      <c r="AE647" s="144"/>
      <c r="AF647" s="135"/>
      <c r="AG647" s="135"/>
      <c r="AH647" s="135"/>
      <c r="AI647" s="143" t="s">
        <v>109</v>
      </c>
      <c r="AJ647" s="135" t="s">
        <v>108</v>
      </c>
      <c r="AK647" s="135" t="s">
        <v>110</v>
      </c>
      <c r="AL647" s="170" t="s">
        <v>1701</v>
      </c>
      <c r="AM647" s="148" t="s">
        <v>112</v>
      </c>
      <c r="AN647" s="135"/>
      <c r="AO647" s="135" t="s">
        <v>102</v>
      </c>
      <c r="AP647" s="135">
        <v>44868</v>
      </c>
      <c r="AQ647" s="135" t="s">
        <v>3449</v>
      </c>
      <c r="AR647" s="143">
        <v>1992</v>
      </c>
      <c r="AS647" s="143" t="s">
        <v>3413</v>
      </c>
      <c r="AT647" s="135" t="s">
        <v>3446</v>
      </c>
      <c r="AU647" s="135" t="s">
        <v>173</v>
      </c>
      <c r="AV647" s="135" t="s">
        <v>473</v>
      </c>
      <c r="AW647" s="135"/>
      <c r="AX647" s="135"/>
      <c r="AY647" s="135"/>
      <c r="AZ647" s="135"/>
      <c r="BA647" s="135" t="s">
        <v>101</v>
      </c>
      <c r="BB647" s="135"/>
      <c r="BC647" s="151">
        <f>3423.16+280+111+68+102+104+90+31+47+120+45+128</f>
        <v>4549.16</v>
      </c>
      <c r="BD647" s="151"/>
      <c r="BE647" s="151">
        <f>15+35+420+30</f>
        <v>500</v>
      </c>
      <c r="BF647" s="151">
        <f>BC647+BE647-123.16</f>
        <v>4926</v>
      </c>
      <c r="BG647" s="151">
        <f t="shared" si="79"/>
        <v>270.93</v>
      </c>
      <c r="BH647" s="151">
        <f t="shared" si="72"/>
        <v>5196.93</v>
      </c>
      <c r="BI647" s="135"/>
      <c r="BJ647" s="135" t="s">
        <v>1391</v>
      </c>
      <c r="BK647" s="135"/>
      <c r="BL647" s="135"/>
      <c r="BM647" s="144" t="s">
        <v>3592</v>
      </c>
      <c r="BN647" s="144">
        <v>2023</v>
      </c>
      <c r="BO647" s="135" t="s">
        <v>143</v>
      </c>
      <c r="BP647" s="144">
        <v>2023</v>
      </c>
      <c r="BQ647" s="203" t="s">
        <v>3274</v>
      </c>
    </row>
    <row r="648" spans="1:69" ht="41.1" customHeight="1">
      <c r="A648" s="218" t="s">
        <v>1705</v>
      </c>
      <c r="B648" s="218" t="s">
        <v>2810</v>
      </c>
      <c r="C648" s="143">
        <f t="shared" ca="1" si="68"/>
        <v>1000</v>
      </c>
      <c r="D648" s="135">
        <v>45118</v>
      </c>
      <c r="E648" s="135" t="s">
        <v>76</v>
      </c>
      <c r="F648" s="135">
        <v>45119</v>
      </c>
      <c r="G648" s="135" t="s">
        <v>2811</v>
      </c>
      <c r="H648" s="135">
        <v>45120</v>
      </c>
      <c r="I648" s="135">
        <v>45120</v>
      </c>
      <c r="J648" s="135">
        <v>45127</v>
      </c>
      <c r="K648" s="135">
        <v>45219</v>
      </c>
      <c r="L648" s="135">
        <v>45175</v>
      </c>
      <c r="M648" s="135" t="s">
        <v>76</v>
      </c>
      <c r="N648" s="135">
        <v>45257</v>
      </c>
      <c r="O648" s="135">
        <v>45257</v>
      </c>
      <c r="P648" s="135">
        <v>45267</v>
      </c>
      <c r="Q648" s="135"/>
      <c r="R648" s="135"/>
      <c r="S648" s="135"/>
      <c r="T648" s="135"/>
      <c r="U648" s="144">
        <v>3</v>
      </c>
      <c r="V648" s="143">
        <v>32372</v>
      </c>
      <c r="W648" s="143" t="str">
        <f ca="1">IF(H648="",IF(D648="","",IF(U648+V648&lt;15,"Données Nb pers ou RFR manquantes",IF(COUNTA(INDIRECT("TabRFR["&amp;YEAR(D648)&amp;"]"))&lt;&gt;COUNTA(TabRFR[Recherche RFR]),"Data RFR manquantes", IF(V648&lt;=INDEX(TabRFR[[2023]:[2025]],MATCH(BD!U648&amp;"-Très modestes",TabRFR[Recherche RFR],0),MATCH(TEXT(YEAR(BD!D648),"Standard"),TabRFR[[#Headers],[2023]:[2025]],0)),"Très Modeste",IF(V648&lt;=INDEX(TabRFR[[2023]:[2025]],MATCH(BD!U648&amp;"-modestes",TabRFR[Recherche RFR],0),MATCH(TEXT(YEAR(BD!D648),"Standard"),TabRFR[[#Headers],[2023]:[2025]],0)),"Modeste",IF(V648&lt;=INDEX(TabRFR[[2023]:[2025]],MATCH(BD!U648&amp;"-Intermédiaire",TabRFR[Recherche RFR],0),MATCH(TEXT(YEAR(BD!D648),"Standard"),TabRFR[[#Headers],[2023]:[2025]],0)),"Intermédiaire","Supérieur")))))),IF(D648="","",IF(U648+V648&lt;15,"Données Nb pers ou RFR manquantes",IF(COUNTA(INDIRECT("TabRFR["&amp;YEAR(H648)&amp;"]"))&lt;&gt;COUNTA(TabRFR[Recherche RFR]),"Data RFR manquantes", IF(V648&lt;=INDEX(TabRFR[[2023]:[2025]],MATCH(BD!U648&amp;"-Très modestes",TabRFR[Recherche RFR],0),MATCH(TEXT(YEAR(BD!H648),"Standard"),TabRFR[[#Headers],[2023]:[2025]],0)),"Très Modeste",IF(V648&lt;=INDEX(TabRFR[[2023]:[2025]],MATCH(BD!U648&amp;"-modestes",TabRFR[Recherche RFR],0),MATCH(TEXT(YEAR(BD!H648),"Standard"),TabRFR[[#Headers],[2023]:[2025]],0)),"Modeste",IF(V648&lt;=INDEX(TabRFR[[2023]:[2025]],MATCH(BD!U648&amp;"-Intermédiaire",TabRFR[Recherche RFR],0),MATCH(TEXT(YEAR(BD!H648),"Standard"),TabRFR[[#Headers],[2023]:[2025]],0)),"Intermédiaire","Supérieur")))))))</f>
        <v>Modeste</v>
      </c>
      <c r="X648" s="144"/>
      <c r="Y648" s="135" t="s">
        <v>911</v>
      </c>
      <c r="Z648" s="144">
        <v>38500</v>
      </c>
      <c r="AA648" s="135" t="s">
        <v>108</v>
      </c>
      <c r="AB648" s="148"/>
      <c r="AC648" s="170"/>
      <c r="AD648" s="135" t="s">
        <v>91</v>
      </c>
      <c r="AE648" s="144"/>
      <c r="AF648" s="135"/>
      <c r="AG648" s="135"/>
      <c r="AH648" s="135"/>
      <c r="AI648" s="135" t="s">
        <v>285</v>
      </c>
      <c r="AJ648" s="135" t="s">
        <v>108</v>
      </c>
      <c r="AK648" s="135" t="s">
        <v>2227</v>
      </c>
      <c r="AL648" s="169" t="s">
        <v>287</v>
      </c>
      <c r="AM648" s="148" t="s">
        <v>2184</v>
      </c>
      <c r="AN648" s="135" t="s">
        <v>76</v>
      </c>
      <c r="AO648" s="193" t="s">
        <v>102</v>
      </c>
      <c r="AP648" s="135">
        <v>45187</v>
      </c>
      <c r="AQ648" s="143" t="s">
        <v>3413</v>
      </c>
      <c r="AR648" s="143">
        <v>1998</v>
      </c>
      <c r="AS648" s="143" t="s">
        <v>3413</v>
      </c>
      <c r="AT648" s="143" t="s">
        <v>98</v>
      </c>
      <c r="AU648" s="135" t="s">
        <v>214</v>
      </c>
      <c r="AV648" s="135" t="s">
        <v>2812</v>
      </c>
      <c r="AW648" s="135"/>
      <c r="AX648" s="135"/>
      <c r="AY648" s="135"/>
      <c r="AZ648" s="135"/>
      <c r="BA648" s="135" t="s">
        <v>101</v>
      </c>
      <c r="BB648" s="135"/>
      <c r="BC648" s="151">
        <f>690+430+1859+630+4555</f>
        <v>8164</v>
      </c>
      <c r="BD648" s="151"/>
      <c r="BE648" s="151">
        <v>420</v>
      </c>
      <c r="BF648" s="151">
        <f>BC648+BE648</f>
        <v>8584</v>
      </c>
      <c r="BG648" s="151">
        <f t="shared" si="79"/>
        <v>472.12</v>
      </c>
      <c r="BH648" s="151">
        <f t="shared" si="72"/>
        <v>9056.1200000000008</v>
      </c>
      <c r="BI648" s="151">
        <v>9056.1299999999992</v>
      </c>
      <c r="BJ648" s="135" t="s">
        <v>144</v>
      </c>
      <c r="BK648" s="135"/>
      <c r="BL648" s="135"/>
      <c r="BM648" s="144" t="s">
        <v>3592</v>
      </c>
      <c r="BN648" s="144">
        <v>2023</v>
      </c>
      <c r="BO648" s="135" t="s">
        <v>155</v>
      </c>
      <c r="BP648" s="143" t="s">
        <v>3583</v>
      </c>
      <c r="BQ648" s="203" t="s">
        <v>144</v>
      </c>
    </row>
    <row r="649" spans="1:69" ht="41.1" customHeight="1">
      <c r="A649" s="218" t="s">
        <v>1705</v>
      </c>
      <c r="B649" s="218" t="s">
        <v>2813</v>
      </c>
      <c r="C649" s="143">
        <f t="shared" ca="1" si="68"/>
        <v>600</v>
      </c>
      <c r="D649" s="135">
        <v>45112</v>
      </c>
      <c r="E649" s="135">
        <v>45119</v>
      </c>
      <c r="F649" s="135">
        <v>45120</v>
      </c>
      <c r="G649" s="135" t="s">
        <v>2814</v>
      </c>
      <c r="H649" s="135">
        <v>45184</v>
      </c>
      <c r="I649" s="135">
        <v>45184</v>
      </c>
      <c r="J649" s="135">
        <v>45232</v>
      </c>
      <c r="K649" s="135">
        <v>45258</v>
      </c>
      <c r="L649" s="209">
        <v>45258</v>
      </c>
      <c r="M649" s="209" t="s">
        <v>76</v>
      </c>
      <c r="N649" s="209">
        <v>45265</v>
      </c>
      <c r="O649" s="209">
        <v>45265</v>
      </c>
      <c r="P649" s="209">
        <v>45271</v>
      </c>
      <c r="Q649" s="209"/>
      <c r="R649" s="209"/>
      <c r="S649" s="135"/>
      <c r="T649" s="135"/>
      <c r="U649" s="144">
        <v>2</v>
      </c>
      <c r="V649" s="143">
        <v>65489</v>
      </c>
      <c r="W649" s="143" t="str">
        <f ca="1">IF(H649="",IF(D649="","",IF(U649+V649&lt;15,"Données Nb pers ou RFR manquantes",IF(COUNTA(INDIRECT("TabRFR["&amp;YEAR(D649)&amp;"]"))&lt;&gt;COUNTA(TabRFR[Recherche RFR]),"Data RFR manquantes", IF(V649&lt;=INDEX(TabRFR[[2023]:[2025]],MATCH(BD!U649&amp;"-Très modestes",TabRFR[Recherche RFR],0),MATCH(TEXT(YEAR(BD!D649),"Standard"),TabRFR[[#Headers],[2023]:[2025]],0)),"Très Modeste",IF(V649&lt;=INDEX(TabRFR[[2023]:[2025]],MATCH(BD!U649&amp;"-modestes",TabRFR[Recherche RFR],0),MATCH(TEXT(YEAR(BD!D649),"Standard"),TabRFR[[#Headers],[2023]:[2025]],0)),"Modeste",IF(V649&lt;=INDEX(TabRFR[[2023]:[2025]],MATCH(BD!U649&amp;"-Intermédiaire",TabRFR[Recherche RFR],0),MATCH(TEXT(YEAR(BD!D649),"Standard"),TabRFR[[#Headers],[2023]:[2025]],0)),"Intermédiaire","Supérieur")))))),IF(D649="","",IF(U649+V649&lt;15,"Données Nb pers ou RFR manquantes",IF(COUNTA(INDIRECT("TabRFR["&amp;YEAR(H649)&amp;"]"))&lt;&gt;COUNTA(TabRFR[Recherche RFR]),"Data RFR manquantes", IF(V649&lt;=INDEX(TabRFR[[2023]:[2025]],MATCH(BD!U649&amp;"-Très modestes",TabRFR[Recherche RFR],0),MATCH(TEXT(YEAR(BD!H649),"Standard"),TabRFR[[#Headers],[2023]:[2025]],0)),"Très Modeste",IF(V649&lt;=INDEX(TabRFR[[2023]:[2025]],MATCH(BD!U649&amp;"-modestes",TabRFR[Recherche RFR],0),MATCH(TEXT(YEAR(BD!H649),"Standard"),TabRFR[[#Headers],[2023]:[2025]],0)),"Modeste",IF(V649&lt;=INDEX(TabRFR[[2023]:[2025]],MATCH(BD!U649&amp;"-Intermédiaire",TabRFR[Recherche RFR],0),MATCH(TEXT(YEAR(BD!H649),"Standard"),TabRFR[[#Headers],[2023]:[2025]],0)),"Intermédiaire","Supérieur")))))))</f>
        <v>Supérieur</v>
      </c>
      <c r="X649" s="144"/>
      <c r="Y649" s="135" t="s">
        <v>2815</v>
      </c>
      <c r="Z649" s="144">
        <v>38430</v>
      </c>
      <c r="AA649" s="135" t="s">
        <v>351</v>
      </c>
      <c r="AB649" s="148"/>
      <c r="AC649" s="169"/>
      <c r="AD649" s="135" t="s">
        <v>91</v>
      </c>
      <c r="AE649" s="144"/>
      <c r="AF649" s="135"/>
      <c r="AG649" s="135"/>
      <c r="AH649" s="135"/>
      <c r="AI649" s="135" t="str">
        <f t="shared" ref="AI649:AP649" si="80">AI633</f>
        <v>TECHNI NATURE</v>
      </c>
      <c r="AJ649" s="135" t="s">
        <v>108</v>
      </c>
      <c r="AK649" s="135" t="str">
        <f t="shared" si="80"/>
        <v>PIERRE Emmanuel</v>
      </c>
      <c r="AL649" s="169" t="str">
        <f t="shared" si="80"/>
        <v>voiron@techni-nature.com</v>
      </c>
      <c r="AM649" s="148" t="str">
        <f t="shared" si="80"/>
        <v>09 72 17 98 56</v>
      </c>
      <c r="AN649" s="135" t="str">
        <f t="shared" si="80"/>
        <v>-</v>
      </c>
      <c r="AO649" s="193" t="str">
        <f t="shared" si="80"/>
        <v>oui</v>
      </c>
      <c r="AP649" s="135">
        <f t="shared" si="80"/>
        <v>45163</v>
      </c>
      <c r="AQ649" s="135" t="s">
        <v>3496</v>
      </c>
      <c r="AR649" s="143">
        <v>1993</v>
      </c>
      <c r="AS649" s="143" t="s">
        <v>3413</v>
      </c>
      <c r="AT649" s="135" t="s">
        <v>3446</v>
      </c>
      <c r="AU649" s="135" t="s">
        <v>459</v>
      </c>
      <c r="AV649" s="135" t="s">
        <v>2816</v>
      </c>
      <c r="AW649" s="135"/>
      <c r="AX649" s="135"/>
      <c r="AY649" s="135"/>
      <c r="AZ649" s="135"/>
      <c r="BA649" s="135" t="s">
        <v>101</v>
      </c>
      <c r="BB649" s="135"/>
      <c r="BC649" s="151">
        <f>4118.25+563+415+409+709.5+269.9</f>
        <v>6484.65</v>
      </c>
      <c r="BD649" s="151"/>
      <c r="BE649" s="151">
        <f>690+450</f>
        <v>1140</v>
      </c>
      <c r="BF649" s="151">
        <f>BC649+BE649-783</f>
        <v>6841.65</v>
      </c>
      <c r="BG649" s="151">
        <f t="shared" si="79"/>
        <v>376.29075</v>
      </c>
      <c r="BH649" s="151">
        <f t="shared" si="72"/>
        <v>7217.9407499999998</v>
      </c>
      <c r="BI649" s="151">
        <v>7217.94</v>
      </c>
      <c r="BJ649" s="135" t="s">
        <v>144</v>
      </c>
      <c r="BK649" s="135"/>
      <c r="BL649" s="135"/>
      <c r="BM649" s="144" t="s">
        <v>3592</v>
      </c>
      <c r="BN649" s="144">
        <v>2023</v>
      </c>
      <c r="BO649" s="135" t="s">
        <v>143</v>
      </c>
      <c r="BP649" s="144">
        <v>2023</v>
      </c>
      <c r="BQ649" s="203" t="s">
        <v>144</v>
      </c>
    </row>
    <row r="650" spans="1:69" ht="41.1" customHeight="1">
      <c r="A650" s="218" t="s">
        <v>1705</v>
      </c>
      <c r="B650" s="218" t="s">
        <v>2817</v>
      </c>
      <c r="C650" s="143">
        <f t="shared" ca="1" si="68"/>
        <v>600</v>
      </c>
      <c r="D650" s="135">
        <v>45118</v>
      </c>
      <c r="E650" s="135">
        <v>45119</v>
      </c>
      <c r="F650" s="135" t="s">
        <v>76</v>
      </c>
      <c r="G650" s="135" t="s">
        <v>76</v>
      </c>
      <c r="H650" s="135">
        <v>45120</v>
      </c>
      <c r="I650" s="135">
        <v>45090</v>
      </c>
      <c r="J650" s="135">
        <v>45142</v>
      </c>
      <c r="K650" s="135">
        <v>45260</v>
      </c>
      <c r="L650" s="135">
        <v>45229</v>
      </c>
      <c r="M650" s="135" t="s">
        <v>76</v>
      </c>
      <c r="N650" s="135">
        <v>45264</v>
      </c>
      <c r="O650" s="135">
        <v>45264</v>
      </c>
      <c r="P650" s="135">
        <v>45271</v>
      </c>
      <c r="Q650" s="135"/>
      <c r="R650" s="135"/>
      <c r="S650" s="135"/>
      <c r="T650" s="135"/>
      <c r="U650" s="144">
        <v>4</v>
      </c>
      <c r="V650" s="143">
        <v>91051</v>
      </c>
      <c r="W650" s="143" t="str">
        <f ca="1">IF(H650="",IF(D650="","",IF(U650+V650&lt;15,"Données Nb pers ou RFR manquantes",IF(COUNTA(INDIRECT("TabRFR["&amp;YEAR(D650)&amp;"]"))&lt;&gt;COUNTA(TabRFR[Recherche RFR]),"Data RFR manquantes", IF(V650&lt;=INDEX(TabRFR[[2023]:[2025]],MATCH(BD!U650&amp;"-Très modestes",TabRFR[Recherche RFR],0),MATCH(TEXT(YEAR(BD!D650),"Standard"),TabRFR[[#Headers],[2023]:[2025]],0)),"Très Modeste",IF(V650&lt;=INDEX(TabRFR[[2023]:[2025]],MATCH(BD!U650&amp;"-modestes",TabRFR[Recherche RFR],0),MATCH(TEXT(YEAR(BD!D650),"Standard"),TabRFR[[#Headers],[2023]:[2025]],0)),"Modeste",IF(V650&lt;=INDEX(TabRFR[[2023]:[2025]],MATCH(BD!U650&amp;"-Intermédiaire",TabRFR[Recherche RFR],0),MATCH(TEXT(YEAR(BD!D650),"Standard"),TabRFR[[#Headers],[2023]:[2025]],0)),"Intermédiaire","Supérieur")))))),IF(D650="","",IF(U650+V650&lt;15,"Données Nb pers ou RFR manquantes",IF(COUNTA(INDIRECT("TabRFR["&amp;YEAR(H650)&amp;"]"))&lt;&gt;COUNTA(TabRFR[Recherche RFR]),"Data RFR manquantes", IF(V650&lt;=INDEX(TabRFR[[2023]:[2025]],MATCH(BD!U650&amp;"-Très modestes",TabRFR[Recherche RFR],0),MATCH(TEXT(YEAR(BD!H650),"Standard"),TabRFR[[#Headers],[2023]:[2025]],0)),"Très Modeste",IF(V650&lt;=INDEX(TabRFR[[2023]:[2025]],MATCH(BD!U650&amp;"-modestes",TabRFR[Recherche RFR],0),MATCH(TEXT(YEAR(BD!H650),"Standard"),TabRFR[[#Headers],[2023]:[2025]],0)),"Modeste",IF(V650&lt;=INDEX(TabRFR[[2023]:[2025]],MATCH(BD!U650&amp;"-Intermédiaire",TabRFR[Recherche RFR],0),MATCH(TEXT(YEAR(BD!H650),"Standard"),TabRFR[[#Headers],[2023]:[2025]],0)),"Intermédiaire","Supérieur")))))))</f>
        <v>Supérieur</v>
      </c>
      <c r="X650" s="144"/>
      <c r="Y650" s="135" t="s">
        <v>2818</v>
      </c>
      <c r="Z650" s="144">
        <v>38500</v>
      </c>
      <c r="AA650" s="135" t="s">
        <v>134</v>
      </c>
      <c r="AB650" s="148"/>
      <c r="AC650" s="169"/>
      <c r="AD650" s="135" t="s">
        <v>91</v>
      </c>
      <c r="AE650" s="144"/>
      <c r="AF650" s="135"/>
      <c r="AG650" s="135"/>
      <c r="AH650" s="135"/>
      <c r="AI650" s="135" t="s">
        <v>220</v>
      </c>
      <c r="AJ650" s="135" t="s">
        <v>108</v>
      </c>
      <c r="AK650" s="135" t="s">
        <v>2059</v>
      </c>
      <c r="AL650" s="169" t="s">
        <v>1947</v>
      </c>
      <c r="AM650" s="148">
        <v>476323235</v>
      </c>
      <c r="AN650" s="135" t="s">
        <v>76</v>
      </c>
      <c r="AO650" s="193" t="s">
        <v>102</v>
      </c>
      <c r="AP650" s="135">
        <v>45159</v>
      </c>
      <c r="AQ650" s="135" t="s">
        <v>3496</v>
      </c>
      <c r="AR650" s="143">
        <v>1996</v>
      </c>
      <c r="AS650" s="143" t="s">
        <v>3413</v>
      </c>
      <c r="AT650" s="135" t="s">
        <v>3446</v>
      </c>
      <c r="AU650" s="135" t="s">
        <v>2060</v>
      </c>
      <c r="AV650" s="135" t="s">
        <v>2798</v>
      </c>
      <c r="AW650" s="135"/>
      <c r="AX650" s="135"/>
      <c r="AY650" s="135"/>
      <c r="AZ650" s="135"/>
      <c r="BA650" s="135" t="s">
        <v>101</v>
      </c>
      <c r="BB650" s="135"/>
      <c r="BC650" s="151">
        <f>(38.5+3380.3+808.5+3523.7+36.93+31.65)/1.055</f>
        <v>7411.9241706161138</v>
      </c>
      <c r="BD650" s="151"/>
      <c r="BE650" s="151">
        <f>(63.3+388.08)/1.055</f>
        <v>427.84834123222748</v>
      </c>
      <c r="BF650" s="151">
        <f t="shared" ref="BF650:BF670" si="81">BC650+BE650</f>
        <v>7839.7725118483413</v>
      </c>
      <c r="BG650" s="151">
        <f t="shared" si="79"/>
        <v>431.18748815165878</v>
      </c>
      <c r="BH650" s="151">
        <f t="shared" si="72"/>
        <v>8270.9600000000009</v>
      </c>
      <c r="BI650" s="151">
        <f>4227.3+4040.65</f>
        <v>8267.9500000000007</v>
      </c>
      <c r="BJ650" s="135" t="s">
        <v>1391</v>
      </c>
      <c r="BK650" s="135"/>
      <c r="BL650" s="135"/>
      <c r="BM650" s="144" t="s">
        <v>3592</v>
      </c>
      <c r="BN650" s="144">
        <v>2023</v>
      </c>
      <c r="BO650" s="135" t="s">
        <v>143</v>
      </c>
      <c r="BP650" s="144">
        <v>2023</v>
      </c>
      <c r="BQ650" s="203" t="s">
        <v>3274</v>
      </c>
    </row>
    <row r="651" spans="1:69" ht="41.1" customHeight="1">
      <c r="A651" s="218" t="s">
        <v>1705</v>
      </c>
      <c r="B651" s="218" t="s">
        <v>2819</v>
      </c>
      <c r="C651" s="143">
        <f t="shared" ca="1" si="68"/>
        <v>1000</v>
      </c>
      <c r="D651" s="135">
        <v>45119</v>
      </c>
      <c r="E651" s="135">
        <v>45119</v>
      </c>
      <c r="F651" s="135">
        <v>45120</v>
      </c>
      <c r="G651" s="135" t="s">
        <v>2820</v>
      </c>
      <c r="H651" s="135">
        <v>45132</v>
      </c>
      <c r="I651" s="135">
        <v>45132</v>
      </c>
      <c r="J651" s="135">
        <v>45132</v>
      </c>
      <c r="K651" s="135">
        <v>45194</v>
      </c>
      <c r="L651" s="135">
        <v>45188</v>
      </c>
      <c r="M651" s="135" t="s">
        <v>76</v>
      </c>
      <c r="N651" s="135">
        <v>45212</v>
      </c>
      <c r="O651" s="135">
        <v>45212</v>
      </c>
      <c r="P651" s="135">
        <v>45236</v>
      </c>
      <c r="Q651" s="135"/>
      <c r="R651" s="135"/>
      <c r="S651" s="135"/>
      <c r="T651" s="135"/>
      <c r="U651" s="144">
        <v>2</v>
      </c>
      <c r="V651" s="143">
        <v>29780</v>
      </c>
      <c r="W651" s="143" t="str">
        <f ca="1">IF(H651="",IF(D651="","",IF(U651+V651&lt;15,"Données Nb pers ou RFR manquantes",IF(COUNTA(INDIRECT("TabRFR["&amp;YEAR(D651)&amp;"]"))&lt;&gt;COUNTA(TabRFR[Recherche RFR]),"Data RFR manquantes", IF(V651&lt;=INDEX(TabRFR[[2023]:[2025]],MATCH(BD!U651&amp;"-Très modestes",TabRFR[Recherche RFR],0),MATCH(TEXT(YEAR(BD!D651),"Standard"),TabRFR[[#Headers],[2023]:[2025]],0)),"Très Modeste",IF(V651&lt;=INDEX(TabRFR[[2023]:[2025]],MATCH(BD!U651&amp;"-modestes",TabRFR[Recherche RFR],0),MATCH(TEXT(YEAR(BD!D651),"Standard"),TabRFR[[#Headers],[2023]:[2025]],0)),"Modeste",IF(V651&lt;=INDEX(TabRFR[[2023]:[2025]],MATCH(BD!U651&amp;"-Intermédiaire",TabRFR[Recherche RFR],0),MATCH(TEXT(YEAR(BD!D651),"Standard"),TabRFR[[#Headers],[2023]:[2025]],0)),"Intermédiaire","Supérieur")))))),IF(D651="","",IF(U651+V651&lt;15,"Données Nb pers ou RFR manquantes",IF(COUNTA(INDIRECT("TabRFR["&amp;YEAR(H651)&amp;"]"))&lt;&gt;COUNTA(TabRFR[Recherche RFR]),"Data RFR manquantes", IF(V651&lt;=INDEX(TabRFR[[2023]:[2025]],MATCH(BD!U651&amp;"-Très modestes",TabRFR[Recherche RFR],0),MATCH(TEXT(YEAR(BD!H651),"Standard"),TabRFR[[#Headers],[2023]:[2025]],0)),"Très Modeste",IF(V651&lt;=INDEX(TabRFR[[2023]:[2025]],MATCH(BD!U651&amp;"-modestes",TabRFR[Recherche RFR],0),MATCH(TEXT(YEAR(BD!H651),"Standard"),TabRFR[[#Headers],[2023]:[2025]],0)),"Modeste",IF(V651&lt;=INDEX(TabRFR[[2023]:[2025]],MATCH(BD!U651&amp;"-Intermédiaire",TabRFR[Recherche RFR],0),MATCH(TEXT(YEAR(BD!H651),"Standard"),TabRFR[[#Headers],[2023]:[2025]],0)),"Intermédiaire","Supérieur")))))))</f>
        <v>Modeste</v>
      </c>
      <c r="X651" s="144"/>
      <c r="Y651" s="135" t="s">
        <v>2821</v>
      </c>
      <c r="Z651" s="144">
        <v>38140</v>
      </c>
      <c r="AA651" s="135" t="s">
        <v>200</v>
      </c>
      <c r="AB651" s="148"/>
      <c r="AC651" s="169"/>
      <c r="AD651" s="135" t="s">
        <v>91</v>
      </c>
      <c r="AE651" s="144"/>
      <c r="AF651" s="135"/>
      <c r="AG651" s="135"/>
      <c r="AH651" s="135"/>
      <c r="AI651" s="135" t="s">
        <v>285</v>
      </c>
      <c r="AJ651" s="135" t="s">
        <v>108</v>
      </c>
      <c r="AK651" s="135" t="s">
        <v>2227</v>
      </c>
      <c r="AL651" s="169" t="s">
        <v>287</v>
      </c>
      <c r="AM651" s="148" t="s">
        <v>2184</v>
      </c>
      <c r="AN651" s="135" t="s">
        <v>76</v>
      </c>
      <c r="AO651" s="193" t="s">
        <v>102</v>
      </c>
      <c r="AP651" s="135">
        <v>45187</v>
      </c>
      <c r="AQ651" s="135" t="s">
        <v>3449</v>
      </c>
      <c r="AR651" s="135" t="s">
        <v>1137</v>
      </c>
      <c r="AS651" s="143" t="s">
        <v>3413</v>
      </c>
      <c r="AT651" s="135" t="s">
        <v>3446</v>
      </c>
      <c r="AU651" s="135" t="s">
        <v>532</v>
      </c>
      <c r="AV651" s="135" t="s">
        <v>1690</v>
      </c>
      <c r="AW651" s="135"/>
      <c r="AX651" s="135"/>
      <c r="AY651" s="135"/>
      <c r="AZ651" s="135"/>
      <c r="BA651" s="135" t="s">
        <v>101</v>
      </c>
      <c r="BB651" s="135"/>
      <c r="BC651" s="151">
        <f>4039+630+430+3810+295+250+89</f>
        <v>9543</v>
      </c>
      <c r="BD651" s="151"/>
      <c r="BE651" s="151">
        <v>330</v>
      </c>
      <c r="BF651" s="151">
        <f t="shared" si="81"/>
        <v>9873</v>
      </c>
      <c r="BG651" s="151">
        <f t="shared" si="79"/>
        <v>543.01499999999999</v>
      </c>
      <c r="BH651" s="151">
        <f t="shared" si="72"/>
        <v>10416.014999999999</v>
      </c>
      <c r="BI651" s="151">
        <v>10416.030000000001</v>
      </c>
      <c r="BJ651" s="135" t="s">
        <v>144</v>
      </c>
      <c r="BK651" s="135"/>
      <c r="BL651" s="135"/>
      <c r="BM651" s="144" t="s">
        <v>3592</v>
      </c>
      <c r="BN651" s="144">
        <v>2023</v>
      </c>
      <c r="BO651" s="135" t="s">
        <v>155</v>
      </c>
      <c r="BP651" s="144">
        <v>2023</v>
      </c>
      <c r="BQ651" s="203" t="s">
        <v>144</v>
      </c>
    </row>
    <row r="652" spans="1:69" ht="41.1" customHeight="1">
      <c r="A652" s="218" t="s">
        <v>1705</v>
      </c>
      <c r="B652" s="218" t="s">
        <v>2822</v>
      </c>
      <c r="C652" s="143">
        <f t="shared" ca="1" si="68"/>
        <v>600</v>
      </c>
      <c r="D652" s="135">
        <v>45119</v>
      </c>
      <c r="E652" s="135" t="s">
        <v>76</v>
      </c>
      <c r="F652" s="135" t="s">
        <v>76</v>
      </c>
      <c r="G652" s="135" t="s">
        <v>76</v>
      </c>
      <c r="H652" s="135">
        <v>45132</v>
      </c>
      <c r="I652" s="135">
        <v>45120</v>
      </c>
      <c r="J652" s="135">
        <v>45142</v>
      </c>
      <c r="K652" s="135">
        <v>45150</v>
      </c>
      <c r="L652" s="135">
        <v>45148</v>
      </c>
      <c r="M652" s="135" t="s">
        <v>2823</v>
      </c>
      <c r="N652" s="135">
        <v>45166</v>
      </c>
      <c r="O652" s="135">
        <v>45166</v>
      </c>
      <c r="P652" s="135">
        <v>45194</v>
      </c>
      <c r="Q652" s="135"/>
      <c r="R652" s="135"/>
      <c r="S652" s="135"/>
      <c r="T652" s="135"/>
      <c r="U652" s="144">
        <v>3</v>
      </c>
      <c r="V652" s="143">
        <v>74675</v>
      </c>
      <c r="W652" s="143" t="str">
        <f ca="1">IF(H652="",IF(D652="","",IF(U652+V652&lt;15,"Données Nb pers ou RFR manquantes",IF(COUNTA(INDIRECT("TabRFR["&amp;YEAR(D652)&amp;"]"))&lt;&gt;COUNTA(TabRFR[Recherche RFR]),"Data RFR manquantes", IF(V652&lt;=INDEX(TabRFR[[2023]:[2025]],MATCH(BD!U652&amp;"-Très modestes",TabRFR[Recherche RFR],0),MATCH(TEXT(YEAR(BD!D652),"Standard"),TabRFR[[#Headers],[2023]:[2025]],0)),"Très Modeste",IF(V652&lt;=INDEX(TabRFR[[2023]:[2025]],MATCH(BD!U652&amp;"-modestes",TabRFR[Recherche RFR],0),MATCH(TEXT(YEAR(BD!D652),"Standard"),TabRFR[[#Headers],[2023]:[2025]],0)),"Modeste",IF(V652&lt;=INDEX(TabRFR[[2023]:[2025]],MATCH(BD!U652&amp;"-Intermédiaire",TabRFR[Recherche RFR],0),MATCH(TEXT(YEAR(BD!D652),"Standard"),TabRFR[[#Headers],[2023]:[2025]],0)),"Intermédiaire","Supérieur")))))),IF(D652="","",IF(U652+V652&lt;15,"Données Nb pers ou RFR manquantes",IF(COUNTA(INDIRECT("TabRFR["&amp;YEAR(H652)&amp;"]"))&lt;&gt;COUNTA(TabRFR[Recherche RFR]),"Data RFR manquantes", IF(V652&lt;=INDEX(TabRFR[[2023]:[2025]],MATCH(BD!U652&amp;"-Très modestes",TabRFR[Recherche RFR],0),MATCH(TEXT(YEAR(BD!H652),"Standard"),TabRFR[[#Headers],[2023]:[2025]],0)),"Très Modeste",IF(V652&lt;=INDEX(TabRFR[[2023]:[2025]],MATCH(BD!U652&amp;"-modestes",TabRFR[Recherche RFR],0),MATCH(TEXT(YEAR(BD!H652),"Standard"),TabRFR[[#Headers],[2023]:[2025]],0)),"Modeste",IF(V652&lt;=INDEX(TabRFR[[2023]:[2025]],MATCH(BD!U652&amp;"-Intermédiaire",TabRFR[Recherche RFR],0),MATCH(TEXT(YEAR(BD!H652),"Standard"),TabRFR[[#Headers],[2023]:[2025]],0)),"Intermédiaire","Supérieur")))))))</f>
        <v>Supérieur</v>
      </c>
      <c r="X652" s="144"/>
      <c r="Y652" s="135" t="s">
        <v>2824</v>
      </c>
      <c r="Z652" s="144">
        <v>38340</v>
      </c>
      <c r="AA652" s="135" t="s">
        <v>266</v>
      </c>
      <c r="AB652" s="148"/>
      <c r="AC652" s="169"/>
      <c r="AD652" s="135" t="s">
        <v>91</v>
      </c>
      <c r="AE652" s="144"/>
      <c r="AF652" s="135"/>
      <c r="AG652" s="135"/>
      <c r="AH652" s="135"/>
      <c r="AI652" s="135" t="s">
        <v>2249</v>
      </c>
      <c r="AJ652" s="135" t="s">
        <v>2791</v>
      </c>
      <c r="AK652" s="135" t="s">
        <v>2250</v>
      </c>
      <c r="AL652" s="169" t="s">
        <v>2251</v>
      </c>
      <c r="AM652" s="148" t="s">
        <v>2252</v>
      </c>
      <c r="AN652" s="135" t="s">
        <v>76</v>
      </c>
      <c r="AO652" s="193" t="s">
        <v>102</v>
      </c>
      <c r="AP652" s="135">
        <v>45468</v>
      </c>
      <c r="AQ652" s="135" t="s">
        <v>3496</v>
      </c>
      <c r="AR652" s="143">
        <v>1990</v>
      </c>
      <c r="AS652" s="143" t="s">
        <v>3413</v>
      </c>
      <c r="AT652" s="143" t="s">
        <v>98</v>
      </c>
      <c r="AU652" s="135" t="s">
        <v>2825</v>
      </c>
      <c r="AV652" s="135" t="s">
        <v>2461</v>
      </c>
      <c r="AW652" s="135"/>
      <c r="AX652" s="135"/>
      <c r="AY652" s="135"/>
      <c r="AZ652" s="135"/>
      <c r="BA652" s="135" t="s">
        <v>101</v>
      </c>
      <c r="BB652" s="135"/>
      <c r="BC652" s="151">
        <f>3308+118+180+77+342+128+22+972</f>
        <v>5147</v>
      </c>
      <c r="BD652" s="151"/>
      <c r="BE652" s="151">
        <v>1120</v>
      </c>
      <c r="BF652" s="151">
        <f t="shared" si="81"/>
        <v>6267</v>
      </c>
      <c r="BG652" s="151">
        <f t="shared" si="79"/>
        <v>344.685</v>
      </c>
      <c r="BH652" s="151">
        <f t="shared" si="72"/>
        <v>6611.6850000000004</v>
      </c>
      <c r="BI652" s="151">
        <v>3914.86</v>
      </c>
      <c r="BJ652" s="135" t="s">
        <v>144</v>
      </c>
      <c r="BK652" s="135"/>
      <c r="BL652" s="135"/>
      <c r="BM652" s="144" t="s">
        <v>3592</v>
      </c>
      <c r="BN652" s="144">
        <v>2023</v>
      </c>
      <c r="BO652" s="135" t="s">
        <v>143</v>
      </c>
      <c r="BP652" s="143" t="s">
        <v>3583</v>
      </c>
      <c r="BQ652" s="203" t="s">
        <v>144</v>
      </c>
    </row>
    <row r="653" spans="1:69" ht="41.1" customHeight="1">
      <c r="A653" s="218" t="s">
        <v>2391</v>
      </c>
      <c r="B653" s="218" t="s">
        <v>2826</v>
      </c>
      <c r="C653" s="143">
        <v>1000</v>
      </c>
      <c r="D653" s="135">
        <v>45124</v>
      </c>
      <c r="E653" s="135" t="s">
        <v>76</v>
      </c>
      <c r="F653" s="135">
        <v>45132</v>
      </c>
      <c r="G653" s="135" t="s">
        <v>1498</v>
      </c>
      <c r="H653" s="135">
        <v>45154</v>
      </c>
      <c r="I653" s="135">
        <v>45154</v>
      </c>
      <c r="J653" s="135">
        <v>45159</v>
      </c>
      <c r="K653" s="135">
        <v>45239</v>
      </c>
      <c r="L653" s="135">
        <v>45233</v>
      </c>
      <c r="M653" s="135" t="s">
        <v>76</v>
      </c>
      <c r="N653" s="135">
        <v>45244</v>
      </c>
      <c r="O653" s="135">
        <v>45244</v>
      </c>
      <c r="P653" s="135">
        <v>45266</v>
      </c>
      <c r="Q653" s="135"/>
      <c r="R653" s="135"/>
      <c r="S653" s="135"/>
      <c r="T653" s="135"/>
      <c r="U653" s="144">
        <v>1</v>
      </c>
      <c r="V653" s="143">
        <v>0</v>
      </c>
      <c r="W653" s="143" t="str">
        <f ca="1">IF(H653="",IF(D653="","",IF(U653+V653&lt;15,"Données Nb pers ou RFR manquantes",IF(COUNTA(INDIRECT("TabRFR["&amp;YEAR(D653)&amp;"]"))&lt;&gt;COUNTA(TabRFR[Recherche RFR]),"Data RFR manquantes", IF(V653&lt;=INDEX(TabRFR[[2023]:[2025]],MATCH(BD!U653&amp;"-Très modestes",TabRFR[Recherche RFR],0),MATCH(TEXT(YEAR(BD!D653),"Standard"),TabRFR[[#Headers],[2023]:[2025]],0)),"Très Modeste",IF(V653&lt;=INDEX(TabRFR[[2023]:[2025]],MATCH(BD!U653&amp;"-modestes",TabRFR[Recherche RFR],0),MATCH(TEXT(YEAR(BD!D653),"Standard"),TabRFR[[#Headers],[2023]:[2025]],0)),"Modeste",IF(V653&lt;=INDEX(TabRFR[[2023]:[2025]],MATCH(BD!U653&amp;"-Intermédiaire",TabRFR[Recherche RFR],0),MATCH(TEXT(YEAR(BD!D653),"Standard"),TabRFR[[#Headers],[2023]:[2025]],0)),"Intermédiaire","Supérieur")))))),IF(D653="","",IF(U653+V653&lt;15,"Données Nb pers ou RFR manquantes",IF(COUNTA(INDIRECT("TabRFR["&amp;YEAR(H653)&amp;"]"))&lt;&gt;COUNTA(TabRFR[Recherche RFR]),"Data RFR manquantes", IF(V653&lt;=INDEX(TabRFR[[2023]:[2025]],MATCH(BD!U653&amp;"-Très modestes",TabRFR[Recherche RFR],0),MATCH(TEXT(YEAR(BD!H653),"Standard"),TabRFR[[#Headers],[2023]:[2025]],0)),"Très Modeste",IF(V653&lt;=INDEX(TabRFR[[2023]:[2025]],MATCH(BD!U653&amp;"-modestes",TabRFR[Recherche RFR],0),MATCH(TEXT(YEAR(BD!H653),"Standard"),TabRFR[[#Headers],[2023]:[2025]],0)),"Modeste",IF(V653&lt;=INDEX(TabRFR[[2023]:[2025]],MATCH(BD!U653&amp;"-Intermédiaire",TabRFR[Recherche RFR],0),MATCH(TEXT(YEAR(BD!H653),"Standard"),TabRFR[[#Headers],[2023]:[2025]],0)),"Intermédiaire","Supérieur")))))))</f>
        <v>Données Nb pers ou RFR manquantes</v>
      </c>
      <c r="X653" s="144"/>
      <c r="Y653" s="143" t="s">
        <v>2827</v>
      </c>
      <c r="Z653" s="144">
        <v>38620</v>
      </c>
      <c r="AA653" s="135" t="s">
        <v>863</v>
      </c>
      <c r="AB653" s="148"/>
      <c r="AC653" s="170"/>
      <c r="AD653" s="135" t="s">
        <v>91</v>
      </c>
      <c r="AE653" s="144"/>
      <c r="AF653" s="135"/>
      <c r="AG653" s="135"/>
      <c r="AH653" s="135"/>
      <c r="AI653" s="143" t="s">
        <v>1106</v>
      </c>
      <c r="AJ653" s="135" t="s">
        <v>1075</v>
      </c>
      <c r="AK653" s="135" t="s">
        <v>2203</v>
      </c>
      <c r="AL653" s="169" t="s">
        <v>1108</v>
      </c>
      <c r="AM653" s="148" t="s">
        <v>2204</v>
      </c>
      <c r="AN653" s="135" t="s">
        <v>76</v>
      </c>
      <c r="AO653" s="193" t="s">
        <v>102</v>
      </c>
      <c r="AP653" s="135">
        <v>45462</v>
      </c>
      <c r="AQ653" s="143" t="s">
        <v>3413</v>
      </c>
      <c r="AR653" s="143" t="s">
        <v>2828</v>
      </c>
      <c r="AS653" s="143" t="s">
        <v>3413</v>
      </c>
      <c r="AT653" s="135" t="s">
        <v>3446</v>
      </c>
      <c r="AU653" s="135" t="s">
        <v>587</v>
      </c>
      <c r="AV653" s="135" t="s">
        <v>2829</v>
      </c>
      <c r="AW653" s="135"/>
      <c r="AX653" s="135"/>
      <c r="AY653" s="135"/>
      <c r="AZ653" s="135"/>
      <c r="BA653" s="135" t="s">
        <v>101</v>
      </c>
      <c r="BB653" s="135"/>
      <c r="BC653" s="151">
        <v>5549</v>
      </c>
      <c r="BD653" s="151"/>
      <c r="BE653" s="151">
        <v>600</v>
      </c>
      <c r="BF653" s="151">
        <f t="shared" si="81"/>
        <v>6149</v>
      </c>
      <c r="BG653" s="151">
        <f t="shared" si="79"/>
        <v>338.19499999999999</v>
      </c>
      <c r="BH653" s="151">
        <f t="shared" si="72"/>
        <v>6487.1949999999997</v>
      </c>
      <c r="BI653" s="151">
        <v>6487.2</v>
      </c>
      <c r="BJ653" s="135" t="s">
        <v>144</v>
      </c>
      <c r="BK653" s="135"/>
      <c r="BL653" s="135"/>
      <c r="BM653" s="144" t="s">
        <v>3592</v>
      </c>
      <c r="BN653" s="144">
        <v>2023</v>
      </c>
      <c r="BO653" s="135" t="s">
        <v>155</v>
      </c>
      <c r="BP653" s="144">
        <v>2023</v>
      </c>
      <c r="BQ653" s="203" t="s">
        <v>144</v>
      </c>
    </row>
    <row r="654" spans="1:69" ht="41.1" customHeight="1">
      <c r="A654" s="218" t="s">
        <v>2377</v>
      </c>
      <c r="B654" s="218" t="s">
        <v>2830</v>
      </c>
      <c r="C654" s="143">
        <f t="shared" ca="1" si="68"/>
        <v>600</v>
      </c>
      <c r="D654" s="135">
        <v>45126</v>
      </c>
      <c r="E654" s="135" t="s">
        <v>76</v>
      </c>
      <c r="F654" s="135" t="s">
        <v>76</v>
      </c>
      <c r="G654" s="135" t="s">
        <v>76</v>
      </c>
      <c r="H654" s="135">
        <v>45132</v>
      </c>
      <c r="I654" s="135">
        <v>45132</v>
      </c>
      <c r="J654" s="135">
        <v>45132</v>
      </c>
      <c r="K654" s="135">
        <v>45260</v>
      </c>
      <c r="L654" s="135">
        <v>45253</v>
      </c>
      <c r="M654" s="135" t="s">
        <v>76</v>
      </c>
      <c r="N654" s="135">
        <v>45265</v>
      </c>
      <c r="O654" s="135">
        <v>45265</v>
      </c>
      <c r="P654" s="135">
        <v>45271</v>
      </c>
      <c r="Q654" s="135"/>
      <c r="R654" s="135"/>
      <c r="S654" s="135"/>
      <c r="T654" s="135"/>
      <c r="U654" s="144">
        <v>2</v>
      </c>
      <c r="V654" s="143">
        <v>50220</v>
      </c>
      <c r="W654" s="143" t="str">
        <f ca="1">IF(H654="",IF(D654="","",IF(U654+V654&lt;15,"Données Nb pers ou RFR manquantes",IF(COUNTA(INDIRECT("TabRFR["&amp;YEAR(D654)&amp;"]"))&lt;&gt;COUNTA(TabRFR[Recherche RFR]),"Data RFR manquantes", IF(V654&lt;=INDEX(TabRFR[[2023]:[2025]],MATCH(BD!U654&amp;"-Très modestes",TabRFR[Recherche RFR],0),MATCH(TEXT(YEAR(BD!D654),"Standard"),TabRFR[[#Headers],[2023]:[2025]],0)),"Très Modeste",IF(V654&lt;=INDEX(TabRFR[[2023]:[2025]],MATCH(BD!U654&amp;"-modestes",TabRFR[Recherche RFR],0),MATCH(TEXT(YEAR(BD!D654),"Standard"),TabRFR[[#Headers],[2023]:[2025]],0)),"Modeste",IF(V654&lt;=INDEX(TabRFR[[2023]:[2025]],MATCH(BD!U654&amp;"-Intermédiaire",TabRFR[Recherche RFR],0),MATCH(TEXT(YEAR(BD!D654),"Standard"),TabRFR[[#Headers],[2023]:[2025]],0)),"Intermédiaire","Supérieur")))))),IF(D654="","",IF(U654+V654&lt;15,"Données Nb pers ou RFR manquantes",IF(COUNTA(INDIRECT("TabRFR["&amp;YEAR(H654)&amp;"]"))&lt;&gt;COUNTA(TabRFR[Recherche RFR]),"Data RFR manquantes", IF(V654&lt;=INDEX(TabRFR[[2023]:[2025]],MATCH(BD!U654&amp;"-Très modestes",TabRFR[Recherche RFR],0),MATCH(TEXT(YEAR(BD!H654),"Standard"),TabRFR[[#Headers],[2023]:[2025]],0)),"Très Modeste",IF(V654&lt;=INDEX(TabRFR[[2023]:[2025]],MATCH(BD!U654&amp;"-modestes",TabRFR[Recherche RFR],0),MATCH(TEXT(YEAR(BD!H654),"Standard"),TabRFR[[#Headers],[2023]:[2025]],0)),"Modeste",IF(V654&lt;=INDEX(TabRFR[[2023]:[2025]],MATCH(BD!U654&amp;"-Intermédiaire",TabRFR[Recherche RFR],0),MATCH(TEXT(YEAR(BD!H654),"Standard"),TabRFR[[#Headers],[2023]:[2025]],0)),"Intermédiaire","Supérieur")))))))</f>
        <v>Supérieur</v>
      </c>
      <c r="X654" s="144"/>
      <c r="Y654" s="135" t="s">
        <v>2831</v>
      </c>
      <c r="Z654" s="144">
        <v>38620</v>
      </c>
      <c r="AA654" s="135" t="s">
        <v>518</v>
      </c>
      <c r="AB654" s="148"/>
      <c r="AC654" s="170"/>
      <c r="AD654" s="135" t="s">
        <v>91</v>
      </c>
      <c r="AE654" s="144"/>
      <c r="AF654" s="135"/>
      <c r="AG654" s="135"/>
      <c r="AH654" s="135"/>
      <c r="AI654" s="143" t="s">
        <v>1106</v>
      </c>
      <c r="AJ654" s="135" t="s">
        <v>1075</v>
      </c>
      <c r="AK654" s="135" t="s">
        <v>2203</v>
      </c>
      <c r="AL654" s="169" t="s">
        <v>1108</v>
      </c>
      <c r="AM654" s="148" t="s">
        <v>2204</v>
      </c>
      <c r="AN654" s="135" t="s">
        <v>76</v>
      </c>
      <c r="AO654" s="193" t="s">
        <v>102</v>
      </c>
      <c r="AP654" s="135">
        <v>45462</v>
      </c>
      <c r="AQ654" s="135" t="s">
        <v>3496</v>
      </c>
      <c r="AR654" s="143" t="s">
        <v>2339</v>
      </c>
      <c r="AS654" s="143" t="s">
        <v>3413</v>
      </c>
      <c r="AT654" s="135" t="s">
        <v>3446</v>
      </c>
      <c r="AU654" s="135" t="s">
        <v>1878</v>
      </c>
      <c r="AV654" s="135" t="s">
        <v>2832</v>
      </c>
      <c r="AW654" s="135"/>
      <c r="AX654" s="135"/>
      <c r="AY654" s="135"/>
      <c r="AZ654" s="135"/>
      <c r="BA654" s="135" t="s">
        <v>101</v>
      </c>
      <c r="BB654" s="135"/>
      <c r="BC654" s="151">
        <v>8483.89</v>
      </c>
      <c r="BD654" s="151"/>
      <c r="BE654" s="151">
        <v>750</v>
      </c>
      <c r="BF654" s="151">
        <f t="shared" si="81"/>
        <v>9233.89</v>
      </c>
      <c r="BG654" s="151">
        <f t="shared" si="79"/>
        <v>507.86394999999999</v>
      </c>
      <c r="BH654" s="151">
        <f t="shared" si="72"/>
        <v>9741.7539500000003</v>
      </c>
      <c r="BI654" s="135"/>
      <c r="BJ654" s="135" t="s">
        <v>144</v>
      </c>
      <c r="BK654" s="135"/>
      <c r="BL654" s="135"/>
      <c r="BM654" s="144" t="s">
        <v>3592</v>
      </c>
      <c r="BN654" s="144">
        <v>2023</v>
      </c>
      <c r="BO654" s="135" t="s">
        <v>143</v>
      </c>
      <c r="BP654" s="144">
        <v>2023</v>
      </c>
      <c r="BQ654" s="203" t="s">
        <v>144</v>
      </c>
    </row>
    <row r="655" spans="1:69" ht="41.1" customHeight="1">
      <c r="A655" s="218" t="s">
        <v>2377</v>
      </c>
      <c r="B655" s="218" t="s">
        <v>2833</v>
      </c>
      <c r="C655" s="143">
        <f t="shared" ca="1" si="68"/>
        <v>600</v>
      </c>
      <c r="D655" s="135">
        <v>45126</v>
      </c>
      <c r="E655" s="135" t="s">
        <v>76</v>
      </c>
      <c r="F655" s="135">
        <v>45132</v>
      </c>
      <c r="G655" s="135" t="s">
        <v>2834</v>
      </c>
      <c r="H655" s="135">
        <v>45175</v>
      </c>
      <c r="I655" s="135">
        <v>45175</v>
      </c>
      <c r="J655" s="135">
        <v>45195</v>
      </c>
      <c r="K655" s="135">
        <v>45222</v>
      </c>
      <c r="L655" s="135">
        <v>45134</v>
      </c>
      <c r="M655" s="135" t="s">
        <v>76</v>
      </c>
      <c r="N655" s="135">
        <v>45265</v>
      </c>
      <c r="O655" s="135">
        <v>45265</v>
      </c>
      <c r="P655" s="135">
        <v>45268</v>
      </c>
      <c r="Q655" s="135"/>
      <c r="R655" s="135" t="s">
        <v>3307</v>
      </c>
      <c r="S655" s="135"/>
      <c r="T655" s="135"/>
      <c r="U655" s="144">
        <v>3</v>
      </c>
      <c r="V655" s="143">
        <v>47747</v>
      </c>
      <c r="W655" s="143" t="str">
        <f ca="1">IF(H655="",IF(D655="","",IF(U655+V655&lt;15,"Données Nb pers ou RFR manquantes",IF(COUNTA(INDIRECT("TabRFR["&amp;YEAR(D655)&amp;"]"))&lt;&gt;COUNTA(TabRFR[Recherche RFR]),"Data RFR manquantes", IF(V655&lt;=INDEX(TabRFR[[2023]:[2025]],MATCH(BD!U655&amp;"-Très modestes",TabRFR[Recherche RFR],0),MATCH(TEXT(YEAR(BD!D655),"Standard"),TabRFR[[#Headers],[2023]:[2025]],0)),"Très Modeste",IF(V655&lt;=INDEX(TabRFR[[2023]:[2025]],MATCH(BD!U655&amp;"-modestes",TabRFR[Recherche RFR],0),MATCH(TEXT(YEAR(BD!D655),"Standard"),TabRFR[[#Headers],[2023]:[2025]],0)),"Modeste",IF(V655&lt;=INDEX(TabRFR[[2023]:[2025]],MATCH(BD!U655&amp;"-Intermédiaire",TabRFR[Recherche RFR],0),MATCH(TEXT(YEAR(BD!D655),"Standard"),TabRFR[[#Headers],[2023]:[2025]],0)),"Intermédiaire","Supérieur")))))),IF(D655="","",IF(U655+V655&lt;15,"Données Nb pers ou RFR manquantes",IF(COUNTA(INDIRECT("TabRFR["&amp;YEAR(H655)&amp;"]"))&lt;&gt;COUNTA(TabRFR[Recherche RFR]),"Data RFR manquantes", IF(V655&lt;=INDEX(TabRFR[[2023]:[2025]],MATCH(BD!U655&amp;"-Très modestes",TabRFR[Recherche RFR],0),MATCH(TEXT(YEAR(BD!H655),"Standard"),TabRFR[[#Headers],[2023]:[2025]],0)),"Très Modeste",IF(V655&lt;=INDEX(TabRFR[[2023]:[2025]],MATCH(BD!U655&amp;"-modestes",TabRFR[Recherche RFR],0),MATCH(TEXT(YEAR(BD!H655),"Standard"),TabRFR[[#Headers],[2023]:[2025]],0)),"Modeste",IF(V655&lt;=INDEX(TabRFR[[2023]:[2025]],MATCH(BD!U655&amp;"-Intermédiaire",TabRFR[Recherche RFR],0),MATCH(TEXT(YEAR(BD!H655),"Standard"),TabRFR[[#Headers],[2023]:[2025]],0)),"Intermédiaire","Supérieur")))))))</f>
        <v>Intermédiaire</v>
      </c>
      <c r="X655" s="144"/>
      <c r="Y655" s="135" t="s">
        <v>2237</v>
      </c>
      <c r="Z655" s="144">
        <v>38960</v>
      </c>
      <c r="AA655" s="135" t="s">
        <v>360</v>
      </c>
      <c r="AB655" s="148"/>
      <c r="AC655" s="170"/>
      <c r="AD655" s="135" t="s">
        <v>91</v>
      </c>
      <c r="AE655" s="144"/>
      <c r="AF655" s="135"/>
      <c r="AG655" s="135"/>
      <c r="AH655" s="135"/>
      <c r="AI655" s="135" t="s">
        <v>160</v>
      </c>
      <c r="AJ655" s="135" t="s">
        <v>161</v>
      </c>
      <c r="AK655" s="135" t="s">
        <v>2238</v>
      </c>
      <c r="AL655" s="150" t="s">
        <v>228</v>
      </c>
      <c r="AM655" s="135" t="s">
        <v>2239</v>
      </c>
      <c r="AN655" s="135" t="s">
        <v>76</v>
      </c>
      <c r="AO655" s="150" t="s">
        <v>102</v>
      </c>
      <c r="AP655" s="135">
        <v>45372</v>
      </c>
      <c r="AQ655" s="135" t="s">
        <v>3496</v>
      </c>
      <c r="AR655" s="143" t="s">
        <v>2835</v>
      </c>
      <c r="AS655" s="135" t="s">
        <v>3496</v>
      </c>
      <c r="AT655" s="135" t="s">
        <v>3446</v>
      </c>
      <c r="AU655" s="135" t="s">
        <v>2467</v>
      </c>
      <c r="AV655" s="143">
        <v>757</v>
      </c>
      <c r="AW655" s="135"/>
      <c r="AX655" s="135"/>
      <c r="AY655" s="135"/>
      <c r="AZ655" s="135"/>
      <c r="BA655" s="135" t="s">
        <v>101</v>
      </c>
      <c r="BB655" s="135"/>
      <c r="BC655" s="151">
        <v>9788</v>
      </c>
      <c r="BD655" s="151"/>
      <c r="BE655" s="151">
        <v>1988</v>
      </c>
      <c r="BF655" s="151">
        <f t="shared" si="81"/>
        <v>11776</v>
      </c>
      <c r="BG655" s="151">
        <f t="shared" si="79"/>
        <v>647.67999999999995</v>
      </c>
      <c r="BH655" s="151">
        <f t="shared" si="72"/>
        <v>12423.68</v>
      </c>
      <c r="BI655" s="151">
        <v>11568.01</v>
      </c>
      <c r="BJ655" s="135" t="s">
        <v>144</v>
      </c>
      <c r="BK655" s="135"/>
      <c r="BL655" s="135"/>
      <c r="BM655" s="144" t="s">
        <v>3592</v>
      </c>
      <c r="BN655" s="135" t="s">
        <v>103</v>
      </c>
      <c r="BO655" s="135" t="s">
        <v>143</v>
      </c>
      <c r="BP655" s="144">
        <v>2023</v>
      </c>
      <c r="BQ655" s="203" t="s">
        <v>144</v>
      </c>
    </row>
    <row r="656" spans="1:69" ht="41.1" customHeight="1">
      <c r="A656" s="218" t="s">
        <v>2377</v>
      </c>
      <c r="B656" s="218" t="s">
        <v>2836</v>
      </c>
      <c r="C656" s="143">
        <f t="shared" ca="1" si="68"/>
        <v>1000</v>
      </c>
      <c r="D656" s="135">
        <v>45126</v>
      </c>
      <c r="E656" s="135" t="s">
        <v>76</v>
      </c>
      <c r="F656" s="135" t="s">
        <v>76</v>
      </c>
      <c r="G656" s="135" t="s">
        <v>76</v>
      </c>
      <c r="H656" s="135">
        <v>45133</v>
      </c>
      <c r="I656" s="135">
        <v>45133</v>
      </c>
      <c r="J656" s="135">
        <v>45133</v>
      </c>
      <c r="K656" s="135">
        <v>45299</v>
      </c>
      <c r="L656" s="135">
        <v>45287</v>
      </c>
      <c r="M656" s="135" t="s">
        <v>76</v>
      </c>
      <c r="N656" s="135">
        <v>45307</v>
      </c>
      <c r="O656" s="135">
        <v>45307</v>
      </c>
      <c r="P656" s="135">
        <v>45307</v>
      </c>
      <c r="Q656" s="135"/>
      <c r="R656" s="135"/>
      <c r="S656" s="135"/>
      <c r="T656" s="135"/>
      <c r="U656" s="144">
        <v>1</v>
      </c>
      <c r="V656" s="143">
        <v>13840</v>
      </c>
      <c r="W656" s="143" t="str">
        <f ca="1">IF(H656="",IF(D656="","",IF(U656+V656&lt;15,"Données Nb pers ou RFR manquantes",IF(COUNTA(INDIRECT("TabRFR["&amp;YEAR(D656)&amp;"]"))&lt;&gt;COUNTA(TabRFR[Recherche RFR]),"Data RFR manquantes", IF(V656&lt;=INDEX(TabRFR[[2023]:[2025]],MATCH(BD!U656&amp;"-Très modestes",TabRFR[Recherche RFR],0),MATCH(TEXT(YEAR(BD!D656),"Standard"),TabRFR[[#Headers],[2023]:[2025]],0)),"Très Modeste",IF(V656&lt;=INDEX(TabRFR[[2023]:[2025]],MATCH(BD!U656&amp;"-modestes",TabRFR[Recherche RFR],0),MATCH(TEXT(YEAR(BD!D656),"Standard"),TabRFR[[#Headers],[2023]:[2025]],0)),"Modeste",IF(V656&lt;=INDEX(TabRFR[[2023]:[2025]],MATCH(BD!U656&amp;"-Intermédiaire",TabRFR[Recherche RFR],0),MATCH(TEXT(YEAR(BD!D656),"Standard"),TabRFR[[#Headers],[2023]:[2025]],0)),"Intermédiaire","Supérieur")))))),IF(D656="","",IF(U656+V656&lt;15,"Données Nb pers ou RFR manquantes",IF(COUNTA(INDIRECT("TabRFR["&amp;YEAR(H656)&amp;"]"))&lt;&gt;COUNTA(TabRFR[Recherche RFR]),"Data RFR manquantes", IF(V656&lt;=INDEX(TabRFR[[2023]:[2025]],MATCH(BD!U656&amp;"-Très modestes",TabRFR[Recherche RFR],0),MATCH(TEXT(YEAR(BD!H656),"Standard"),TabRFR[[#Headers],[2023]:[2025]],0)),"Très Modeste",IF(V656&lt;=INDEX(TabRFR[[2023]:[2025]],MATCH(BD!U656&amp;"-modestes",TabRFR[Recherche RFR],0),MATCH(TEXT(YEAR(BD!H656),"Standard"),TabRFR[[#Headers],[2023]:[2025]],0)),"Modeste",IF(V656&lt;=INDEX(TabRFR[[2023]:[2025]],MATCH(BD!U656&amp;"-Intermédiaire",TabRFR[Recherche RFR],0),MATCH(TEXT(YEAR(BD!H656),"Standard"),TabRFR[[#Headers],[2023]:[2025]],0)),"Intermédiaire","Supérieur")))))))</f>
        <v>Très Modeste</v>
      </c>
      <c r="X656" s="144"/>
      <c r="Y656" s="135" t="s">
        <v>2837</v>
      </c>
      <c r="Z656" s="144">
        <v>38620</v>
      </c>
      <c r="AA656" s="135" t="s">
        <v>680</v>
      </c>
      <c r="AB656" s="148"/>
      <c r="AC656" s="197"/>
      <c r="AD656" s="135" t="s">
        <v>91</v>
      </c>
      <c r="AE656" s="144"/>
      <c r="AF656" s="135"/>
      <c r="AG656" s="135"/>
      <c r="AH656" s="135"/>
      <c r="AI656" s="135" t="s">
        <v>1988</v>
      </c>
      <c r="AJ656" s="143" t="s">
        <v>93</v>
      </c>
      <c r="AK656" s="143" t="s">
        <v>1519</v>
      </c>
      <c r="AL656" s="150" t="s">
        <v>2198</v>
      </c>
      <c r="AM656" s="148" t="s">
        <v>96</v>
      </c>
      <c r="AN656" s="143"/>
      <c r="AO656" s="150" t="s">
        <v>144</v>
      </c>
      <c r="AP656" s="147">
        <v>45186</v>
      </c>
      <c r="AQ656" s="143" t="s">
        <v>3413</v>
      </c>
      <c r="AR656" s="143">
        <v>1995</v>
      </c>
      <c r="AS656" s="143" t="s">
        <v>2862</v>
      </c>
      <c r="AT656" s="135" t="s">
        <v>3446</v>
      </c>
      <c r="AU656" s="135" t="s">
        <v>385</v>
      </c>
      <c r="AV656" s="135" t="s">
        <v>2838</v>
      </c>
      <c r="AW656" s="135"/>
      <c r="AX656" s="135"/>
      <c r="AY656" s="135"/>
      <c r="AZ656" s="135"/>
      <c r="BA656" s="135" t="s">
        <v>101</v>
      </c>
      <c r="BB656" s="135"/>
      <c r="BC656" s="151">
        <v>4148</v>
      </c>
      <c r="BD656" s="151"/>
      <c r="BE656" s="151">
        <v>148</v>
      </c>
      <c r="BF656" s="151">
        <f t="shared" si="81"/>
        <v>4296</v>
      </c>
      <c r="BG656" s="151">
        <f t="shared" si="79"/>
        <v>236.28</v>
      </c>
      <c r="BH656" s="151">
        <f t="shared" si="72"/>
        <v>4532.28</v>
      </c>
      <c r="BI656" s="151">
        <v>4532.28</v>
      </c>
      <c r="BJ656" s="135" t="s">
        <v>144</v>
      </c>
      <c r="BK656" s="135"/>
      <c r="BL656" s="135"/>
      <c r="BM656" s="144" t="s">
        <v>3592</v>
      </c>
      <c r="BN656" s="144">
        <v>2023</v>
      </c>
      <c r="BO656" s="135" t="s">
        <v>155</v>
      </c>
      <c r="BP656" s="144">
        <v>2023</v>
      </c>
      <c r="BQ656" s="203"/>
    </row>
    <row r="657" spans="1:69" ht="41.1" customHeight="1">
      <c r="A657" s="218" t="s">
        <v>1705</v>
      </c>
      <c r="B657" s="218" t="s">
        <v>2839</v>
      </c>
      <c r="C657" s="143">
        <f t="shared" ca="1" si="68"/>
        <v>1000</v>
      </c>
      <c r="D657" s="135">
        <v>45135</v>
      </c>
      <c r="E657" s="135">
        <v>45145</v>
      </c>
      <c r="F657" s="135">
        <v>45146</v>
      </c>
      <c r="G657" s="135" t="s">
        <v>2840</v>
      </c>
      <c r="H657" s="135">
        <v>45146</v>
      </c>
      <c r="I657" s="135">
        <v>45146</v>
      </c>
      <c r="J657" s="135">
        <v>45147</v>
      </c>
      <c r="K657" s="135">
        <v>45237</v>
      </c>
      <c r="L657" s="135">
        <v>45211</v>
      </c>
      <c r="M657" s="135" t="s">
        <v>76</v>
      </c>
      <c r="N657" s="135">
        <v>45240</v>
      </c>
      <c r="O657" s="135">
        <v>45240</v>
      </c>
      <c r="P657" s="135">
        <v>45266</v>
      </c>
      <c r="Q657" s="135"/>
      <c r="R657" s="135"/>
      <c r="S657" s="135"/>
      <c r="T657" s="135"/>
      <c r="U657" s="144">
        <v>2</v>
      </c>
      <c r="V657" s="143">
        <v>30174</v>
      </c>
      <c r="W657" s="143" t="str">
        <f ca="1">IF(H657="",IF(D657="","",IF(U657+V657&lt;15,"Données Nb pers ou RFR manquantes",IF(COUNTA(INDIRECT("TabRFR["&amp;YEAR(D657)&amp;"]"))&lt;&gt;COUNTA(TabRFR[Recherche RFR]),"Data RFR manquantes", IF(V657&lt;=INDEX(TabRFR[[2023]:[2025]],MATCH(BD!U657&amp;"-Très modestes",TabRFR[Recherche RFR],0),MATCH(TEXT(YEAR(BD!D657),"Standard"),TabRFR[[#Headers],[2023]:[2025]],0)),"Très Modeste",IF(V657&lt;=INDEX(TabRFR[[2023]:[2025]],MATCH(BD!U657&amp;"-modestes",TabRFR[Recherche RFR],0),MATCH(TEXT(YEAR(BD!D657),"Standard"),TabRFR[[#Headers],[2023]:[2025]],0)),"Modeste",IF(V657&lt;=INDEX(TabRFR[[2023]:[2025]],MATCH(BD!U657&amp;"-Intermédiaire",TabRFR[Recherche RFR],0),MATCH(TEXT(YEAR(BD!D657),"Standard"),TabRFR[[#Headers],[2023]:[2025]],0)),"Intermédiaire","Supérieur")))))),IF(D657="","",IF(U657+V657&lt;15,"Données Nb pers ou RFR manquantes",IF(COUNTA(INDIRECT("TabRFR["&amp;YEAR(H657)&amp;"]"))&lt;&gt;COUNTA(TabRFR[Recherche RFR]),"Data RFR manquantes", IF(V657&lt;=INDEX(TabRFR[[2023]:[2025]],MATCH(BD!U657&amp;"-Très modestes",TabRFR[Recherche RFR],0),MATCH(TEXT(YEAR(BD!H657),"Standard"),TabRFR[[#Headers],[2023]:[2025]],0)),"Très Modeste",IF(V657&lt;=INDEX(TabRFR[[2023]:[2025]],MATCH(BD!U657&amp;"-modestes",TabRFR[Recherche RFR],0),MATCH(TEXT(YEAR(BD!H657),"Standard"),TabRFR[[#Headers],[2023]:[2025]],0)),"Modeste",IF(V657&lt;=INDEX(TabRFR[[2023]:[2025]],MATCH(BD!U657&amp;"-Intermédiaire",TabRFR[Recherche RFR],0),MATCH(TEXT(YEAR(BD!H657),"Standard"),TabRFR[[#Headers],[2023]:[2025]],0)),"Intermédiaire","Supérieur")))))))</f>
        <v>Modeste</v>
      </c>
      <c r="X657" s="135"/>
      <c r="Y657" s="135" t="s">
        <v>2841</v>
      </c>
      <c r="Z657" s="144">
        <v>38500</v>
      </c>
      <c r="AA657" s="135" t="s">
        <v>108</v>
      </c>
      <c r="AB657" s="148"/>
      <c r="AC657" s="150"/>
      <c r="AD657" s="135" t="s">
        <v>91</v>
      </c>
      <c r="AE657" s="135"/>
      <c r="AF657" s="135"/>
      <c r="AG657" s="135"/>
      <c r="AH657" s="135"/>
      <c r="AI657" s="135" t="s">
        <v>2842</v>
      </c>
      <c r="AJ657" s="135" t="s">
        <v>2843</v>
      </c>
      <c r="AK657" s="135" t="s">
        <v>2844</v>
      </c>
      <c r="AL657" s="169" t="s">
        <v>2845</v>
      </c>
      <c r="AM657" s="148">
        <v>748787704</v>
      </c>
      <c r="AN657" s="135" t="s">
        <v>76</v>
      </c>
      <c r="AO657" s="150" t="s">
        <v>102</v>
      </c>
      <c r="AP657" s="135">
        <v>45212</v>
      </c>
      <c r="AQ657" s="135" t="s">
        <v>3496</v>
      </c>
      <c r="AR657" s="143">
        <v>1988</v>
      </c>
      <c r="AS657" s="143" t="s">
        <v>3413</v>
      </c>
      <c r="AT657" s="135" t="s">
        <v>3446</v>
      </c>
      <c r="AU657" s="135" t="s">
        <v>306</v>
      </c>
      <c r="AV657" s="135" t="s">
        <v>2846</v>
      </c>
      <c r="AW657" s="135"/>
      <c r="AX657" s="135"/>
      <c r="AY657" s="135"/>
      <c r="AZ657" s="135"/>
      <c r="BA657" s="135" t="s">
        <v>101</v>
      </c>
      <c r="BB657" s="135"/>
      <c r="BC657" s="151">
        <f>5614.32+240+184.89+169.9+1180.94+99.9+78+84.9+119.88+60+49.9+125.41</f>
        <v>8008.0399999999981</v>
      </c>
      <c r="BD657" s="151"/>
      <c r="BE657" s="151">
        <f>1160+275</f>
        <v>1435</v>
      </c>
      <c r="BF657" s="151">
        <f t="shared" si="81"/>
        <v>9443.0399999999972</v>
      </c>
      <c r="BG657" s="151">
        <f t="shared" si="79"/>
        <v>519.3671999999998</v>
      </c>
      <c r="BH657" s="151">
        <f t="shared" si="72"/>
        <v>9962.4071999999978</v>
      </c>
      <c r="BI657" s="151">
        <v>9300</v>
      </c>
      <c r="BJ657" s="135" t="s">
        <v>144</v>
      </c>
      <c r="BK657" s="135"/>
      <c r="BL657" s="135"/>
      <c r="BM657" s="144" t="s">
        <v>3592</v>
      </c>
      <c r="BN657" s="144">
        <v>2023</v>
      </c>
      <c r="BO657" s="135" t="s">
        <v>155</v>
      </c>
      <c r="BP657" s="144">
        <v>2023</v>
      </c>
      <c r="BQ657" s="203" t="s">
        <v>144</v>
      </c>
    </row>
    <row r="658" spans="1:69" ht="41.1" customHeight="1">
      <c r="A658" s="218" t="s">
        <v>1705</v>
      </c>
      <c r="B658" s="218" t="s">
        <v>2847</v>
      </c>
      <c r="C658" s="143">
        <f t="shared" ca="1" si="68"/>
        <v>600</v>
      </c>
      <c r="D658" s="135">
        <v>45139</v>
      </c>
      <c r="E658" s="135">
        <v>45145</v>
      </c>
      <c r="F658" s="135" t="s">
        <v>76</v>
      </c>
      <c r="G658" s="135" t="s">
        <v>76</v>
      </c>
      <c r="H658" s="135">
        <v>45146</v>
      </c>
      <c r="I658" s="135">
        <v>45146</v>
      </c>
      <c r="J658" s="135">
        <v>45147</v>
      </c>
      <c r="K658" s="135">
        <v>45271</v>
      </c>
      <c r="L658" s="135">
        <v>45210</v>
      </c>
      <c r="M658" s="135" t="s">
        <v>76</v>
      </c>
      <c r="N658" s="135">
        <v>45272</v>
      </c>
      <c r="O658" s="135">
        <v>45272</v>
      </c>
      <c r="P658" s="135">
        <v>45273</v>
      </c>
      <c r="Q658" s="135"/>
      <c r="R658" s="135"/>
      <c r="S658" s="135"/>
      <c r="T658" s="135"/>
      <c r="U658" s="144">
        <v>1</v>
      </c>
      <c r="V658" s="143">
        <v>24397</v>
      </c>
      <c r="W658" s="143" t="str">
        <f ca="1">IF(H658="",IF(D658="","",IF(U658+V658&lt;15,"Données Nb pers ou RFR manquantes",IF(COUNTA(INDIRECT("TabRFR["&amp;YEAR(D658)&amp;"]"))&lt;&gt;COUNTA(TabRFR[Recherche RFR]),"Data RFR manquantes", IF(V658&lt;=INDEX(TabRFR[[2023]:[2025]],MATCH(BD!U658&amp;"-Très modestes",TabRFR[Recherche RFR],0),MATCH(TEXT(YEAR(BD!D658),"Standard"),TabRFR[[#Headers],[2023]:[2025]],0)),"Très Modeste",IF(V658&lt;=INDEX(TabRFR[[2023]:[2025]],MATCH(BD!U658&amp;"-modestes",TabRFR[Recherche RFR],0),MATCH(TEXT(YEAR(BD!D658),"Standard"),TabRFR[[#Headers],[2023]:[2025]],0)),"Modeste",IF(V658&lt;=INDEX(TabRFR[[2023]:[2025]],MATCH(BD!U658&amp;"-Intermédiaire",TabRFR[Recherche RFR],0),MATCH(TEXT(YEAR(BD!D658),"Standard"),TabRFR[[#Headers],[2023]:[2025]],0)),"Intermédiaire","Supérieur")))))),IF(D658="","",IF(U658+V658&lt;15,"Données Nb pers ou RFR manquantes",IF(COUNTA(INDIRECT("TabRFR["&amp;YEAR(H658)&amp;"]"))&lt;&gt;COUNTA(TabRFR[Recherche RFR]),"Data RFR manquantes", IF(V658&lt;=INDEX(TabRFR[[2023]:[2025]],MATCH(BD!U658&amp;"-Très modestes",TabRFR[Recherche RFR],0),MATCH(TEXT(YEAR(BD!H658),"Standard"),TabRFR[[#Headers],[2023]:[2025]],0)),"Très Modeste",IF(V658&lt;=INDEX(TabRFR[[2023]:[2025]],MATCH(BD!U658&amp;"-modestes",TabRFR[Recherche RFR],0),MATCH(TEXT(YEAR(BD!H658),"Standard"),TabRFR[[#Headers],[2023]:[2025]],0)),"Modeste",IF(V658&lt;=INDEX(TabRFR[[2023]:[2025]],MATCH(BD!U658&amp;"-Intermédiaire",TabRFR[Recherche RFR],0),MATCH(TEXT(YEAR(BD!H658),"Standard"),TabRFR[[#Headers],[2023]:[2025]],0)),"Intermédiaire","Supérieur")))))))</f>
        <v>Intermédiaire</v>
      </c>
      <c r="X658" s="144"/>
      <c r="Y658" s="135" t="s">
        <v>2848</v>
      </c>
      <c r="Z658" s="144">
        <v>38620</v>
      </c>
      <c r="AA658" s="135" t="s">
        <v>863</v>
      </c>
      <c r="AB658" s="148"/>
      <c r="AC658" s="169"/>
      <c r="AD658" s="135" t="s">
        <v>91</v>
      </c>
      <c r="AE658" s="144"/>
      <c r="AF658" s="135"/>
      <c r="AG658" s="135"/>
      <c r="AH658" s="135"/>
      <c r="AI658" s="135" t="str">
        <f t="shared" ref="AI658:AP658" si="82">AI620</f>
        <v>SARL PASSION FLAMME</v>
      </c>
      <c r="AJ658" s="135" t="s">
        <v>1437</v>
      </c>
      <c r="AK658" s="135" t="str">
        <f t="shared" si="82"/>
        <v>M. DURANTON</v>
      </c>
      <c r="AL658" s="169" t="str">
        <f t="shared" si="82"/>
        <v>jeanfrancois@passionflamme.fr</v>
      </c>
      <c r="AM658" s="148">
        <f t="shared" si="82"/>
        <v>631077133</v>
      </c>
      <c r="AN658" s="135" t="str">
        <f t="shared" si="82"/>
        <v>-</v>
      </c>
      <c r="AO658" s="193" t="str">
        <f t="shared" si="82"/>
        <v>oui</v>
      </c>
      <c r="AP658" s="135">
        <f t="shared" si="82"/>
        <v>45418</v>
      </c>
      <c r="AQ658" s="135" t="s">
        <v>3449</v>
      </c>
      <c r="AR658" s="143" t="s">
        <v>699</v>
      </c>
      <c r="AS658" s="143" t="s">
        <v>3413</v>
      </c>
      <c r="AT658" s="143" t="s">
        <v>98</v>
      </c>
      <c r="AU658" s="135" t="s">
        <v>214</v>
      </c>
      <c r="AV658" s="135" t="s">
        <v>2849</v>
      </c>
      <c r="AW658" s="135"/>
      <c r="AX658" s="135"/>
      <c r="AY658" s="135"/>
      <c r="AZ658" s="135"/>
      <c r="BA658" s="135" t="s">
        <v>101</v>
      </c>
      <c r="BB658" s="135"/>
      <c r="BC658" s="151">
        <f>3840+180+320+296+668+120</f>
        <v>5424</v>
      </c>
      <c r="BD658" s="151"/>
      <c r="BE658" s="151">
        <f>98+800</f>
        <v>898</v>
      </c>
      <c r="BF658" s="151">
        <f t="shared" si="81"/>
        <v>6322</v>
      </c>
      <c r="BG658" s="151">
        <f t="shared" si="79"/>
        <v>347.71</v>
      </c>
      <c r="BH658" s="151">
        <f t="shared" si="72"/>
        <v>6669.71</v>
      </c>
      <c r="BI658" s="151">
        <v>3875.14</v>
      </c>
      <c r="BJ658" s="135" t="s">
        <v>144</v>
      </c>
      <c r="BK658" s="135"/>
      <c r="BL658" s="135"/>
      <c r="BM658" s="144" t="s">
        <v>3592</v>
      </c>
      <c r="BN658" s="144">
        <v>2023</v>
      </c>
      <c r="BO658" s="135" t="s">
        <v>143</v>
      </c>
      <c r="BP658" s="143" t="s">
        <v>3583</v>
      </c>
      <c r="BQ658" s="203" t="s">
        <v>144</v>
      </c>
    </row>
    <row r="659" spans="1:69" s="135" customFormat="1" ht="41.1" customHeight="1">
      <c r="A659" s="218" t="s">
        <v>1705</v>
      </c>
      <c r="B659" s="218" t="s">
        <v>2850</v>
      </c>
      <c r="C659" s="143">
        <f t="shared" ca="1" si="68"/>
        <v>1000</v>
      </c>
      <c r="D659" s="135">
        <v>45145</v>
      </c>
      <c r="E659" s="135">
        <v>45145</v>
      </c>
      <c r="F659" s="135" t="s">
        <v>76</v>
      </c>
      <c r="G659" s="135" t="s">
        <v>76</v>
      </c>
      <c r="H659" s="135">
        <v>45146</v>
      </c>
      <c r="I659" s="135">
        <v>45146</v>
      </c>
      <c r="J659" s="135">
        <v>45147</v>
      </c>
      <c r="K659" s="135">
        <v>45279</v>
      </c>
      <c r="L659" s="135">
        <v>45229</v>
      </c>
      <c r="M659" s="135" t="s">
        <v>3363</v>
      </c>
      <c r="N659" s="135">
        <v>45337</v>
      </c>
      <c r="O659" s="135">
        <v>45337</v>
      </c>
      <c r="P659" s="135">
        <v>45341</v>
      </c>
      <c r="U659" s="144">
        <v>3</v>
      </c>
      <c r="V659" s="143">
        <v>33455</v>
      </c>
      <c r="W659" s="143" t="str">
        <f ca="1">IF(H659="",IF(D659="","",IF(U659+V659&lt;15,"Données Nb pers ou RFR manquantes",IF(COUNTA(INDIRECT("TabRFR["&amp;YEAR(D659)&amp;"]"))&lt;&gt;COUNTA(TabRFR[Recherche RFR]),"Data RFR manquantes", IF(V659&lt;=INDEX(TabRFR[[2023]:[2025]],MATCH(BD!U659&amp;"-Très modestes",TabRFR[Recherche RFR],0),MATCH(TEXT(YEAR(BD!D659),"Standard"),TabRFR[[#Headers],[2023]:[2025]],0)),"Très Modeste",IF(V659&lt;=INDEX(TabRFR[[2023]:[2025]],MATCH(BD!U659&amp;"-modestes",TabRFR[Recherche RFR],0),MATCH(TEXT(YEAR(BD!D659),"Standard"),TabRFR[[#Headers],[2023]:[2025]],0)),"Modeste",IF(V659&lt;=INDEX(TabRFR[[2023]:[2025]],MATCH(BD!U659&amp;"-Intermédiaire",TabRFR[Recherche RFR],0),MATCH(TEXT(YEAR(BD!D659),"Standard"),TabRFR[[#Headers],[2023]:[2025]],0)),"Intermédiaire","Supérieur")))))),IF(D659="","",IF(U659+V659&lt;15,"Données Nb pers ou RFR manquantes",IF(COUNTA(INDIRECT("TabRFR["&amp;YEAR(H659)&amp;"]"))&lt;&gt;COUNTA(TabRFR[Recherche RFR]),"Data RFR manquantes", IF(V659&lt;=INDEX(TabRFR[[2023]:[2025]],MATCH(BD!U659&amp;"-Très modestes",TabRFR[Recherche RFR],0),MATCH(TEXT(YEAR(BD!H659),"Standard"),TabRFR[[#Headers],[2023]:[2025]],0)),"Très Modeste",IF(V659&lt;=INDEX(TabRFR[[2023]:[2025]],MATCH(BD!U659&amp;"-modestes",TabRFR[Recherche RFR],0),MATCH(TEXT(YEAR(BD!H659),"Standard"),TabRFR[[#Headers],[2023]:[2025]],0)),"Modeste",IF(V659&lt;=INDEX(TabRFR[[2023]:[2025]],MATCH(BD!U659&amp;"-Intermédiaire",TabRFR[Recherche RFR],0),MATCH(TEXT(YEAR(BD!H659),"Standard"),TabRFR[[#Headers],[2023]:[2025]],0)),"Intermédiaire","Supérieur")))))))</f>
        <v>Modeste</v>
      </c>
      <c r="X659" s="144"/>
      <c r="Y659" s="135" t="s">
        <v>770</v>
      </c>
      <c r="Z659" s="144">
        <v>38620</v>
      </c>
      <c r="AA659" s="135" t="s">
        <v>680</v>
      </c>
      <c r="AB659" s="148"/>
      <c r="AC659" s="150"/>
      <c r="AD659" s="135" t="s">
        <v>91</v>
      </c>
      <c r="AI659" s="135" t="s">
        <v>1988</v>
      </c>
      <c r="AJ659" s="135" t="s">
        <v>93</v>
      </c>
      <c r="AK659" s="135" t="s">
        <v>2197</v>
      </c>
      <c r="AL659" s="169" t="s">
        <v>2198</v>
      </c>
      <c r="AM659" s="148" t="s">
        <v>96</v>
      </c>
      <c r="AN659" s="135" t="s">
        <v>76</v>
      </c>
      <c r="AO659" s="193" t="s">
        <v>102</v>
      </c>
      <c r="AP659" s="135">
        <v>45186</v>
      </c>
      <c r="AQ659" s="143" t="s">
        <v>3413</v>
      </c>
      <c r="AR659" s="143">
        <v>1988</v>
      </c>
      <c r="AS659" s="135" t="s">
        <v>3496</v>
      </c>
      <c r="AT659" s="135" t="s">
        <v>3446</v>
      </c>
      <c r="AU659" s="135" t="s">
        <v>385</v>
      </c>
      <c r="AV659" s="135" t="s">
        <v>2851</v>
      </c>
      <c r="BA659" s="135" t="s">
        <v>101</v>
      </c>
      <c r="BC659" s="151">
        <f>2650+3657.9+158.1+290+396.8+295</f>
        <v>7447.8</v>
      </c>
      <c r="BD659" s="151"/>
      <c r="BE659" s="151">
        <v>890</v>
      </c>
      <c r="BF659" s="151">
        <f t="shared" si="81"/>
        <v>8337.7999999999993</v>
      </c>
      <c r="BG659" s="151">
        <f t="shared" si="79"/>
        <v>458.57899999999995</v>
      </c>
      <c r="BH659" s="151">
        <f t="shared" si="72"/>
        <v>8796.378999999999</v>
      </c>
      <c r="BI659" s="151">
        <v>8485.15</v>
      </c>
      <c r="BJ659" s="135" t="s">
        <v>144</v>
      </c>
      <c r="BM659" s="144" t="s">
        <v>3592</v>
      </c>
      <c r="BN659" s="144">
        <v>2023</v>
      </c>
      <c r="BO659" s="135" t="s">
        <v>155</v>
      </c>
      <c r="BP659" s="144">
        <v>2023</v>
      </c>
      <c r="BQ659" s="203"/>
    </row>
    <row r="660" spans="1:69" s="135" customFormat="1" ht="41.1" customHeight="1">
      <c r="A660" s="219" t="s">
        <v>1705</v>
      </c>
      <c r="B660" s="219" t="s">
        <v>2852</v>
      </c>
      <c r="C660" s="143">
        <f t="shared" ca="1" si="68"/>
        <v>1000</v>
      </c>
      <c r="D660" s="135">
        <v>45145</v>
      </c>
      <c r="E660" s="135">
        <v>45145</v>
      </c>
      <c r="F660" s="135">
        <v>45146</v>
      </c>
      <c r="G660" s="135" t="s">
        <v>2853</v>
      </c>
      <c r="H660" s="135">
        <v>45163</v>
      </c>
      <c r="I660" s="135">
        <v>45163</v>
      </c>
      <c r="J660" s="135">
        <v>45194</v>
      </c>
      <c r="U660" s="144">
        <v>3</v>
      </c>
      <c r="V660" s="143">
        <v>28003</v>
      </c>
      <c r="W660" s="143" t="str">
        <f ca="1">IF(H660="",IF(D660="","",IF(U660+V660&lt;15,"Données Nb pers ou RFR manquantes",IF(COUNTA(INDIRECT("TabRFR["&amp;YEAR(D660)&amp;"]"))&lt;&gt;COUNTA(TabRFR[Recherche RFR]),"Data RFR manquantes", IF(V660&lt;=INDEX(TabRFR[[2023]:[2025]],MATCH(BD!U660&amp;"-Très modestes",TabRFR[Recherche RFR],0),MATCH(TEXT(YEAR(BD!D660),"Standard"),TabRFR[[#Headers],[2023]:[2025]],0)),"Très Modeste",IF(V660&lt;=INDEX(TabRFR[[2023]:[2025]],MATCH(BD!U660&amp;"-modestes",TabRFR[Recherche RFR],0),MATCH(TEXT(YEAR(BD!D660),"Standard"),TabRFR[[#Headers],[2023]:[2025]],0)),"Modeste",IF(V660&lt;=INDEX(TabRFR[[2023]:[2025]],MATCH(BD!U660&amp;"-Intermédiaire",TabRFR[Recherche RFR],0),MATCH(TEXT(YEAR(BD!D660),"Standard"),TabRFR[[#Headers],[2023]:[2025]],0)),"Intermédiaire","Supérieur")))))),IF(D660="","",IF(U660+V660&lt;15,"Données Nb pers ou RFR manquantes",IF(COUNTA(INDIRECT("TabRFR["&amp;YEAR(H660)&amp;"]"))&lt;&gt;COUNTA(TabRFR[Recherche RFR]),"Data RFR manquantes", IF(V660&lt;=INDEX(TabRFR[[2023]:[2025]],MATCH(BD!U660&amp;"-Très modestes",TabRFR[Recherche RFR],0),MATCH(TEXT(YEAR(BD!H660),"Standard"),TabRFR[[#Headers],[2023]:[2025]],0)),"Très Modeste",IF(V660&lt;=INDEX(TabRFR[[2023]:[2025]],MATCH(BD!U660&amp;"-modestes",TabRFR[Recherche RFR],0),MATCH(TEXT(YEAR(BD!H660),"Standard"),TabRFR[[#Headers],[2023]:[2025]],0)),"Modeste",IF(V660&lt;=INDEX(TabRFR[[2023]:[2025]],MATCH(BD!U660&amp;"-Intermédiaire",TabRFR[Recherche RFR],0),MATCH(TEXT(YEAR(BD!H660),"Standard"),TabRFR[[#Headers],[2023]:[2025]],0)),"Intermédiaire","Supérieur")))))))</f>
        <v>Modeste</v>
      </c>
      <c r="X660" s="144"/>
      <c r="Y660" s="135" t="s">
        <v>2854</v>
      </c>
      <c r="Z660" s="144">
        <v>38850</v>
      </c>
      <c r="AA660" s="135" t="s">
        <v>168</v>
      </c>
      <c r="AB660" s="148"/>
      <c r="AC660" s="150"/>
      <c r="AD660" s="135" t="s">
        <v>91</v>
      </c>
      <c r="AI660" s="135" t="s">
        <v>285</v>
      </c>
      <c r="AJ660" s="135" t="s">
        <v>108</v>
      </c>
      <c r="AK660" s="135" t="s">
        <v>2227</v>
      </c>
      <c r="AL660" s="169" t="s">
        <v>287</v>
      </c>
      <c r="AM660" s="148" t="s">
        <v>2184</v>
      </c>
      <c r="AN660" s="135" t="s">
        <v>76</v>
      </c>
      <c r="AO660" s="193" t="s">
        <v>102</v>
      </c>
      <c r="AP660" s="135">
        <v>45187</v>
      </c>
      <c r="AQ660" s="135" t="s">
        <v>3496</v>
      </c>
      <c r="AR660" s="143" t="s">
        <v>213</v>
      </c>
      <c r="AS660" s="143" t="s">
        <v>3413</v>
      </c>
      <c r="AT660" s="135" t="s">
        <v>3446</v>
      </c>
      <c r="AU660" s="135" t="s">
        <v>381</v>
      </c>
      <c r="AV660" s="135" t="s">
        <v>2855</v>
      </c>
      <c r="BA660" s="135" t="s">
        <v>101</v>
      </c>
      <c r="BC660" s="151">
        <f>990+490+275+89+150+4324+207</f>
        <v>6525</v>
      </c>
      <c r="BD660" s="151"/>
      <c r="BE660" s="151">
        <v>330</v>
      </c>
      <c r="BF660" s="151">
        <f t="shared" si="81"/>
        <v>6855</v>
      </c>
      <c r="BG660" s="151">
        <f t="shared" si="79"/>
        <v>377.02499999999998</v>
      </c>
      <c r="BH660" s="151">
        <f t="shared" si="72"/>
        <v>7232.0249999999996</v>
      </c>
      <c r="BJ660" s="135" t="s">
        <v>1391</v>
      </c>
      <c r="BM660" s="144" t="s">
        <v>3592</v>
      </c>
      <c r="BN660" s="144">
        <v>2023</v>
      </c>
      <c r="BO660" s="135" t="s">
        <v>155</v>
      </c>
      <c r="BP660" s="144">
        <v>2023</v>
      </c>
      <c r="BQ660" s="203" t="s">
        <v>3274</v>
      </c>
    </row>
    <row r="661" spans="1:69" s="135" customFormat="1" ht="41.1" customHeight="1">
      <c r="A661" s="218" t="s">
        <v>1705</v>
      </c>
      <c r="B661" s="218" t="s">
        <v>2856</v>
      </c>
      <c r="C661" s="143">
        <f t="shared" ca="1" si="68"/>
        <v>600</v>
      </c>
      <c r="D661" s="135">
        <v>45146</v>
      </c>
      <c r="E661" s="135">
        <v>45154</v>
      </c>
      <c r="F661" s="135">
        <v>45156</v>
      </c>
      <c r="G661" s="135" t="s">
        <v>2857</v>
      </c>
      <c r="H661" s="135">
        <v>45163</v>
      </c>
      <c r="I661" s="135">
        <v>45163</v>
      </c>
      <c r="J661" s="135">
        <v>45194</v>
      </c>
      <c r="K661" s="135">
        <v>45322</v>
      </c>
      <c r="L661" s="135">
        <v>45212</v>
      </c>
      <c r="M661" s="135" t="s">
        <v>76</v>
      </c>
      <c r="N661" s="135">
        <v>45349</v>
      </c>
      <c r="O661" s="135">
        <v>45349</v>
      </c>
      <c r="P661" s="135">
        <v>45351</v>
      </c>
      <c r="U661" s="144">
        <v>2</v>
      </c>
      <c r="V661" s="143">
        <v>64421</v>
      </c>
      <c r="W661" s="143" t="str">
        <f ca="1">IF(H661="",IF(D661="","",IF(U661+V661&lt;15,"Données Nb pers ou RFR manquantes",IF(COUNTA(INDIRECT("TabRFR["&amp;YEAR(D661)&amp;"]"))&lt;&gt;COUNTA(TabRFR[Recherche RFR]),"Data RFR manquantes", IF(V661&lt;=INDEX(TabRFR[[2023]:[2025]],MATCH(BD!U661&amp;"-Très modestes",TabRFR[Recherche RFR],0),MATCH(TEXT(YEAR(BD!D661),"Standard"),TabRFR[[#Headers],[2023]:[2025]],0)),"Très Modeste",IF(V661&lt;=INDEX(TabRFR[[2023]:[2025]],MATCH(BD!U661&amp;"-modestes",TabRFR[Recherche RFR],0),MATCH(TEXT(YEAR(BD!D661),"Standard"),TabRFR[[#Headers],[2023]:[2025]],0)),"Modeste",IF(V661&lt;=INDEX(TabRFR[[2023]:[2025]],MATCH(BD!U661&amp;"-Intermédiaire",TabRFR[Recherche RFR],0),MATCH(TEXT(YEAR(BD!D661),"Standard"),TabRFR[[#Headers],[2023]:[2025]],0)),"Intermédiaire","Supérieur")))))),IF(D661="","",IF(U661+V661&lt;15,"Données Nb pers ou RFR manquantes",IF(COUNTA(INDIRECT("TabRFR["&amp;YEAR(H661)&amp;"]"))&lt;&gt;COUNTA(TabRFR[Recherche RFR]),"Data RFR manquantes", IF(V661&lt;=INDEX(TabRFR[[2023]:[2025]],MATCH(BD!U661&amp;"-Très modestes",TabRFR[Recherche RFR],0),MATCH(TEXT(YEAR(BD!H661),"Standard"),TabRFR[[#Headers],[2023]:[2025]],0)),"Très Modeste",IF(V661&lt;=INDEX(TabRFR[[2023]:[2025]],MATCH(BD!U661&amp;"-modestes",TabRFR[Recherche RFR],0),MATCH(TEXT(YEAR(BD!H661),"Standard"),TabRFR[[#Headers],[2023]:[2025]],0)),"Modeste",IF(V661&lt;=INDEX(TabRFR[[2023]:[2025]],MATCH(BD!U661&amp;"-Intermédiaire",TabRFR[Recherche RFR],0),MATCH(TEXT(YEAR(BD!H661),"Standard"),TabRFR[[#Headers],[2023]:[2025]],0)),"Intermédiaire","Supérieur")))))))</f>
        <v>Supérieur</v>
      </c>
      <c r="X661" s="144"/>
      <c r="Y661" s="135" t="s">
        <v>2858</v>
      </c>
      <c r="Z661" s="144">
        <v>38210</v>
      </c>
      <c r="AA661" s="135" t="s">
        <v>202</v>
      </c>
      <c r="AB661" s="148"/>
      <c r="AC661" s="170"/>
      <c r="AD661" s="135" t="s">
        <v>91</v>
      </c>
      <c r="AI661" s="135" t="s">
        <v>285</v>
      </c>
      <c r="AJ661" s="135" t="s">
        <v>108</v>
      </c>
      <c r="AK661" s="135" t="s">
        <v>2227</v>
      </c>
      <c r="AL661" s="169" t="s">
        <v>287</v>
      </c>
      <c r="AM661" s="148" t="s">
        <v>2184</v>
      </c>
      <c r="AN661" s="135" t="s">
        <v>76</v>
      </c>
      <c r="AO661" s="193" t="s">
        <v>102</v>
      </c>
      <c r="AP661" s="135">
        <v>45187</v>
      </c>
      <c r="AQ661" s="135" t="s">
        <v>3496</v>
      </c>
      <c r="AR661" s="143" t="s">
        <v>699</v>
      </c>
      <c r="AS661" s="143" t="s">
        <v>3413</v>
      </c>
      <c r="AT661" s="135" t="s">
        <v>3446</v>
      </c>
      <c r="AU661" s="135" t="s">
        <v>532</v>
      </c>
      <c r="AV661" s="135" t="s">
        <v>2859</v>
      </c>
      <c r="BA661" s="135" t="s">
        <v>101</v>
      </c>
      <c r="BC661" s="151">
        <f>490+1290+275+3210+89</f>
        <v>5354</v>
      </c>
      <c r="BD661" s="151"/>
      <c r="BE661" s="151">
        <v>330</v>
      </c>
      <c r="BF661" s="151">
        <f t="shared" si="81"/>
        <v>5684</v>
      </c>
      <c r="BG661" s="151">
        <f t="shared" si="79"/>
        <v>312.62</v>
      </c>
      <c r="BH661" s="151">
        <f t="shared" si="72"/>
        <v>5996.62</v>
      </c>
      <c r="BI661" s="151">
        <v>5996.63</v>
      </c>
      <c r="BJ661" s="135" t="s">
        <v>1391</v>
      </c>
      <c r="BM661" s="144" t="s">
        <v>3592</v>
      </c>
      <c r="BN661" s="144">
        <v>2023</v>
      </c>
      <c r="BO661" s="135" t="s">
        <v>143</v>
      </c>
      <c r="BP661" s="144">
        <v>2023</v>
      </c>
      <c r="BQ661" s="203" t="s">
        <v>3274</v>
      </c>
    </row>
    <row r="662" spans="1:69" s="135" customFormat="1" ht="41.1" customHeight="1">
      <c r="A662" s="219" t="s">
        <v>1705</v>
      </c>
      <c r="B662" s="219" t="s">
        <v>2860</v>
      </c>
      <c r="C662" s="143">
        <f t="shared" ca="1" si="68"/>
        <v>1000</v>
      </c>
      <c r="D662" s="135">
        <v>45146</v>
      </c>
      <c r="E662" s="135">
        <v>45155</v>
      </c>
      <c r="F662" s="135" t="s">
        <v>76</v>
      </c>
      <c r="G662" s="135" t="s">
        <v>76</v>
      </c>
      <c r="H662" s="135">
        <v>45156</v>
      </c>
      <c r="I662" s="135">
        <v>45159</v>
      </c>
      <c r="J662" s="135">
        <v>45160</v>
      </c>
      <c r="U662" s="144">
        <v>1</v>
      </c>
      <c r="V662" s="143">
        <v>17789</v>
      </c>
      <c r="W662" s="143" t="str">
        <f ca="1">IF(H662="",IF(D662="","",IF(U662+V662&lt;15,"Données Nb pers ou RFR manquantes",IF(COUNTA(INDIRECT("TabRFR["&amp;YEAR(D662)&amp;"]"))&lt;&gt;COUNTA(TabRFR[Recherche RFR]),"Data RFR manquantes", IF(V662&lt;=INDEX(TabRFR[[2023]:[2025]],MATCH(BD!U662&amp;"-Très modestes",TabRFR[Recherche RFR],0),MATCH(TEXT(YEAR(BD!D662),"Standard"),TabRFR[[#Headers],[2023]:[2025]],0)),"Très Modeste",IF(V662&lt;=INDEX(TabRFR[[2023]:[2025]],MATCH(BD!U662&amp;"-modestes",TabRFR[Recherche RFR],0),MATCH(TEXT(YEAR(BD!D662),"Standard"),TabRFR[[#Headers],[2023]:[2025]],0)),"Modeste",IF(V662&lt;=INDEX(TabRFR[[2023]:[2025]],MATCH(BD!U662&amp;"-Intermédiaire",TabRFR[Recherche RFR],0),MATCH(TEXT(YEAR(BD!D662),"Standard"),TabRFR[[#Headers],[2023]:[2025]],0)),"Intermédiaire","Supérieur")))))),IF(D662="","",IF(U662+V662&lt;15,"Données Nb pers ou RFR manquantes",IF(COUNTA(INDIRECT("TabRFR["&amp;YEAR(H662)&amp;"]"))&lt;&gt;COUNTA(TabRFR[Recherche RFR]),"Data RFR manquantes", IF(V662&lt;=INDEX(TabRFR[[2023]:[2025]],MATCH(BD!U662&amp;"-Très modestes",TabRFR[Recherche RFR],0),MATCH(TEXT(YEAR(BD!H662),"Standard"),TabRFR[[#Headers],[2023]:[2025]],0)),"Très Modeste",IF(V662&lt;=INDEX(TabRFR[[2023]:[2025]],MATCH(BD!U662&amp;"-modestes",TabRFR[Recherche RFR],0),MATCH(TEXT(YEAR(BD!H662),"Standard"),TabRFR[[#Headers],[2023]:[2025]],0)),"Modeste",IF(V662&lt;=INDEX(TabRFR[[2023]:[2025]],MATCH(BD!U662&amp;"-Intermédiaire",TabRFR[Recherche RFR],0),MATCH(TEXT(YEAR(BD!H662),"Standard"),TabRFR[[#Headers],[2023]:[2025]],0)),"Intermédiaire","Supérieur")))))))</f>
        <v>Modeste</v>
      </c>
      <c r="X662" s="144"/>
      <c r="Y662" s="135" t="s">
        <v>2719</v>
      </c>
      <c r="Z662" s="144">
        <v>38730</v>
      </c>
      <c r="AA662" s="135" t="s">
        <v>148</v>
      </c>
      <c r="AB662" s="148"/>
      <c r="AC662" s="170"/>
      <c r="AD662" s="135" t="s">
        <v>91</v>
      </c>
      <c r="AI662" s="135" t="s">
        <v>285</v>
      </c>
      <c r="AJ662" s="135" t="s">
        <v>108</v>
      </c>
      <c r="AK662" s="135" t="s">
        <v>2227</v>
      </c>
      <c r="AL662" s="169" t="s">
        <v>287</v>
      </c>
      <c r="AM662" s="148" t="s">
        <v>2184</v>
      </c>
      <c r="AN662" s="135" t="s">
        <v>76</v>
      </c>
      <c r="AO662" s="193" t="s">
        <v>102</v>
      </c>
      <c r="AP662" s="135">
        <v>45187</v>
      </c>
      <c r="AQ662" s="135" t="s">
        <v>3496</v>
      </c>
      <c r="AR662" s="143">
        <v>1998</v>
      </c>
      <c r="AS662" s="135" t="s">
        <v>3496</v>
      </c>
      <c r="AT662" s="135" t="s">
        <v>3446</v>
      </c>
      <c r="AU662" s="135" t="s">
        <v>2052</v>
      </c>
      <c r="AV662" s="135" t="s">
        <v>2765</v>
      </c>
      <c r="BA662" s="135" t="s">
        <v>101</v>
      </c>
      <c r="BC662" s="151">
        <f>690+605+490+290+3100+89+1590</f>
        <v>6854</v>
      </c>
      <c r="BD662" s="151"/>
      <c r="BE662" s="151">
        <v>840</v>
      </c>
      <c r="BF662" s="151">
        <f t="shared" si="81"/>
        <v>7694</v>
      </c>
      <c r="BG662" s="151">
        <f t="shared" si="79"/>
        <v>423.17</v>
      </c>
      <c r="BH662" s="151">
        <f t="shared" si="72"/>
        <v>8117.17</v>
      </c>
      <c r="BJ662" s="135" t="s">
        <v>144</v>
      </c>
      <c r="BM662" s="144" t="s">
        <v>3592</v>
      </c>
      <c r="BN662" s="144">
        <v>2023</v>
      </c>
      <c r="BO662" s="135" t="s">
        <v>155</v>
      </c>
      <c r="BP662" s="144">
        <v>2023</v>
      </c>
      <c r="BQ662" s="203"/>
    </row>
    <row r="663" spans="1:69" s="135" customFormat="1" ht="41.1" customHeight="1">
      <c r="A663" s="218" t="s">
        <v>1705</v>
      </c>
      <c r="B663" s="218" t="s">
        <v>2861</v>
      </c>
      <c r="C663" s="143">
        <f t="shared" ca="1" si="68"/>
        <v>600</v>
      </c>
      <c r="D663" s="135">
        <v>45147</v>
      </c>
      <c r="E663" s="135">
        <v>45154</v>
      </c>
      <c r="F663" s="135" t="s">
        <v>76</v>
      </c>
      <c r="G663" s="135" t="s">
        <v>76</v>
      </c>
      <c r="H663" s="135">
        <v>45156</v>
      </c>
      <c r="I663" s="135">
        <v>45159</v>
      </c>
      <c r="J663" s="135">
        <v>45160</v>
      </c>
      <c r="K663" s="135">
        <v>45260</v>
      </c>
      <c r="L663" s="135">
        <v>45209</v>
      </c>
      <c r="M663" s="135" t="s">
        <v>3309</v>
      </c>
      <c r="N663" s="135">
        <v>45265</v>
      </c>
      <c r="O663" s="135">
        <v>45265</v>
      </c>
      <c r="P663" s="135">
        <v>45271</v>
      </c>
      <c r="U663" s="144">
        <v>2</v>
      </c>
      <c r="V663" s="143">
        <v>99828</v>
      </c>
      <c r="W663" s="143" t="str">
        <f ca="1">IF(H663="",IF(D663="","",IF(U663+V663&lt;15,"Données Nb pers ou RFR manquantes",IF(COUNTA(INDIRECT("TabRFR["&amp;YEAR(D663)&amp;"]"))&lt;&gt;COUNTA(TabRFR[Recherche RFR]),"Data RFR manquantes", IF(V663&lt;=INDEX(TabRFR[[2023]:[2025]],MATCH(BD!U663&amp;"-Très modestes",TabRFR[Recherche RFR],0),MATCH(TEXT(YEAR(BD!D663),"Standard"),TabRFR[[#Headers],[2023]:[2025]],0)),"Très Modeste",IF(V663&lt;=INDEX(TabRFR[[2023]:[2025]],MATCH(BD!U663&amp;"-modestes",TabRFR[Recherche RFR],0),MATCH(TEXT(YEAR(BD!D663),"Standard"),TabRFR[[#Headers],[2023]:[2025]],0)),"Modeste",IF(V663&lt;=INDEX(TabRFR[[2023]:[2025]],MATCH(BD!U663&amp;"-Intermédiaire",TabRFR[Recherche RFR],0),MATCH(TEXT(YEAR(BD!D663),"Standard"),TabRFR[[#Headers],[2023]:[2025]],0)),"Intermédiaire","Supérieur")))))),IF(D663="","",IF(U663+V663&lt;15,"Données Nb pers ou RFR manquantes",IF(COUNTA(INDIRECT("TabRFR["&amp;YEAR(H663)&amp;"]"))&lt;&gt;COUNTA(TabRFR[Recherche RFR]),"Data RFR manquantes", IF(V663&lt;=INDEX(TabRFR[[2023]:[2025]],MATCH(BD!U663&amp;"-Très modestes",TabRFR[Recherche RFR],0),MATCH(TEXT(YEAR(BD!H663),"Standard"),TabRFR[[#Headers],[2023]:[2025]],0)),"Très Modeste",IF(V663&lt;=INDEX(TabRFR[[2023]:[2025]],MATCH(BD!U663&amp;"-modestes",TabRFR[Recherche RFR],0),MATCH(TEXT(YEAR(BD!H663),"Standard"),TabRFR[[#Headers],[2023]:[2025]],0)),"Modeste",IF(V663&lt;=INDEX(TabRFR[[2023]:[2025]],MATCH(BD!U663&amp;"-Intermédiaire",TabRFR[Recherche RFR],0),MATCH(TEXT(YEAR(BD!H663),"Standard"),TabRFR[[#Headers],[2023]:[2025]],0)),"Intermédiaire","Supérieur")))))))</f>
        <v>Supérieur</v>
      </c>
      <c r="X663" s="144"/>
      <c r="Y663" s="135" t="s">
        <v>939</v>
      </c>
      <c r="Z663" s="144">
        <v>38620</v>
      </c>
      <c r="AA663" s="135" t="s">
        <v>90</v>
      </c>
      <c r="AB663" s="148"/>
      <c r="AC663" s="170"/>
      <c r="AD663" s="135" t="s">
        <v>91</v>
      </c>
      <c r="AI663" s="143" t="s">
        <v>1106</v>
      </c>
      <c r="AJ663" s="135" t="s">
        <v>1075</v>
      </c>
      <c r="AK663" s="135" t="s">
        <v>2203</v>
      </c>
      <c r="AL663" s="169" t="s">
        <v>1108</v>
      </c>
      <c r="AM663" s="148" t="s">
        <v>2204</v>
      </c>
      <c r="AN663" s="135" t="s">
        <v>76</v>
      </c>
      <c r="AO663" s="193" t="s">
        <v>102</v>
      </c>
      <c r="AP663" s="135">
        <v>45462</v>
      </c>
      <c r="AQ663" s="135" t="s">
        <v>3323</v>
      </c>
      <c r="AR663" s="143">
        <v>1990</v>
      </c>
      <c r="AS663" s="143" t="s">
        <v>3413</v>
      </c>
      <c r="AT663" s="135" t="s">
        <v>3446</v>
      </c>
      <c r="AU663" s="135" t="s">
        <v>587</v>
      </c>
      <c r="AV663" s="135" t="s">
        <v>2863</v>
      </c>
      <c r="BA663" s="135" t="s">
        <v>101</v>
      </c>
      <c r="BC663" s="151">
        <f>1215+395+997.2+153+218+118+45.9+158+273.25+125.24</f>
        <v>3698.5899999999997</v>
      </c>
      <c r="BD663" s="151"/>
      <c r="BE663" s="151">
        <v>600</v>
      </c>
      <c r="BF663" s="151">
        <f t="shared" si="81"/>
        <v>4298.59</v>
      </c>
      <c r="BG663" s="151">
        <f t="shared" si="79"/>
        <v>236.42245</v>
      </c>
      <c r="BH663" s="151">
        <f t="shared" si="72"/>
        <v>4535.0124500000002</v>
      </c>
      <c r="BI663" s="151">
        <v>4920.01</v>
      </c>
      <c r="BJ663" s="135" t="s">
        <v>1391</v>
      </c>
      <c r="BM663" s="144" t="s">
        <v>3592</v>
      </c>
      <c r="BN663" s="144">
        <v>2023</v>
      </c>
      <c r="BO663" s="135" t="s">
        <v>143</v>
      </c>
      <c r="BP663" s="144">
        <v>2023</v>
      </c>
      <c r="BQ663" s="203" t="s">
        <v>3274</v>
      </c>
    </row>
    <row r="664" spans="1:69" s="135" customFormat="1" ht="41.1" customHeight="1">
      <c r="A664" s="218" t="s">
        <v>1705</v>
      </c>
      <c r="B664" s="218" t="s">
        <v>2864</v>
      </c>
      <c r="C664" s="143">
        <f t="shared" ref="C664:C680" ca="1" si="83">IF(W664="Très modeste",1000,IF(W664="Modeste",1000,IF(W664="Intermédiaire",600,IF(W664="Supérieur",600,"Non calculé"))))</f>
        <v>600</v>
      </c>
      <c r="D664" s="135">
        <v>45159</v>
      </c>
      <c r="E664" s="135" t="s">
        <v>76</v>
      </c>
      <c r="F664" s="135" t="s">
        <v>76</v>
      </c>
      <c r="G664" s="135" t="s">
        <v>2865</v>
      </c>
      <c r="H664" s="135">
        <v>45163</v>
      </c>
      <c r="I664" s="135">
        <v>45163</v>
      </c>
      <c r="J664" s="135">
        <v>45194</v>
      </c>
      <c r="K664" s="135">
        <v>45233</v>
      </c>
      <c r="L664" s="135">
        <v>45222</v>
      </c>
      <c r="M664" s="135" t="s">
        <v>76</v>
      </c>
      <c r="N664" s="135">
        <v>45244</v>
      </c>
      <c r="O664" s="135">
        <v>45244</v>
      </c>
      <c r="P664" s="135">
        <v>45266</v>
      </c>
      <c r="U664" s="144">
        <v>1</v>
      </c>
      <c r="V664" s="143">
        <v>32042</v>
      </c>
      <c r="W664" s="143" t="str">
        <f ca="1">IF(H664="",IF(D664="","",IF(U664+V664&lt;15,"Données Nb pers ou RFR manquantes",IF(COUNTA(INDIRECT("TabRFR["&amp;YEAR(D664)&amp;"]"))&lt;&gt;COUNTA(TabRFR[Recherche RFR]),"Data RFR manquantes", IF(V664&lt;=INDEX(TabRFR[[2023]:[2025]],MATCH(BD!U664&amp;"-Très modestes",TabRFR[Recherche RFR],0),MATCH(TEXT(YEAR(BD!D664),"Standard"),TabRFR[[#Headers],[2023]:[2025]],0)),"Très Modeste",IF(V664&lt;=INDEX(TabRFR[[2023]:[2025]],MATCH(BD!U664&amp;"-modestes",TabRFR[Recherche RFR],0),MATCH(TEXT(YEAR(BD!D664),"Standard"),TabRFR[[#Headers],[2023]:[2025]],0)),"Modeste",IF(V664&lt;=INDEX(TabRFR[[2023]:[2025]],MATCH(BD!U664&amp;"-Intermédiaire",TabRFR[Recherche RFR],0),MATCH(TEXT(YEAR(BD!D664),"Standard"),TabRFR[[#Headers],[2023]:[2025]],0)),"Intermédiaire","Supérieur")))))),IF(D664="","",IF(U664+V664&lt;15,"Données Nb pers ou RFR manquantes",IF(COUNTA(INDIRECT("TabRFR["&amp;YEAR(H664)&amp;"]"))&lt;&gt;COUNTA(TabRFR[Recherche RFR]),"Data RFR manquantes", IF(V664&lt;=INDEX(TabRFR[[2023]:[2025]],MATCH(BD!U664&amp;"-Très modestes",TabRFR[Recherche RFR],0),MATCH(TEXT(YEAR(BD!H664),"Standard"),TabRFR[[#Headers],[2023]:[2025]],0)),"Très Modeste",IF(V664&lt;=INDEX(TabRFR[[2023]:[2025]],MATCH(BD!U664&amp;"-modestes",TabRFR[Recherche RFR],0),MATCH(TEXT(YEAR(BD!H664),"Standard"),TabRFR[[#Headers],[2023]:[2025]],0)),"Modeste",IF(V664&lt;=INDEX(TabRFR[[2023]:[2025]],MATCH(BD!U664&amp;"-Intermédiaire",TabRFR[Recherche RFR],0),MATCH(TEXT(YEAR(BD!H664),"Standard"),TabRFR[[#Headers],[2023]:[2025]],0)),"Intermédiaire","Supérieur")))))))</f>
        <v>Supérieur</v>
      </c>
      <c r="X664" s="144"/>
      <c r="Y664" s="135" t="s">
        <v>1435</v>
      </c>
      <c r="Z664" s="144">
        <v>38620</v>
      </c>
      <c r="AA664" s="135" t="s">
        <v>90</v>
      </c>
      <c r="AB664" s="148"/>
      <c r="AC664" s="204"/>
      <c r="AD664" s="135" t="s">
        <v>91</v>
      </c>
      <c r="AI664" s="135" t="s">
        <v>1988</v>
      </c>
      <c r="AJ664" s="135" t="s">
        <v>93</v>
      </c>
      <c r="AK664" s="135" t="s">
        <v>2197</v>
      </c>
      <c r="AL664" s="169" t="s">
        <v>2198</v>
      </c>
      <c r="AM664" s="148" t="s">
        <v>96</v>
      </c>
      <c r="AN664" s="135" t="s">
        <v>76</v>
      </c>
      <c r="AO664" s="193" t="s">
        <v>102</v>
      </c>
      <c r="AP664" s="135">
        <v>45186</v>
      </c>
      <c r="AQ664" s="143" t="s">
        <v>3413</v>
      </c>
      <c r="AR664" s="143">
        <v>1999</v>
      </c>
      <c r="AS664" s="143" t="s">
        <v>3413</v>
      </c>
      <c r="AT664" s="135" t="s">
        <v>3446</v>
      </c>
      <c r="AU664" s="135" t="s">
        <v>385</v>
      </c>
      <c r="AV664" s="135" t="s">
        <v>2866</v>
      </c>
      <c r="BA664" s="135" t="s">
        <v>101</v>
      </c>
      <c r="BC664" s="151">
        <f>2131.75+136+48</f>
        <v>2315.75</v>
      </c>
      <c r="BD664" s="151"/>
      <c r="BE664" s="151">
        <v>690</v>
      </c>
      <c r="BF664" s="151">
        <f t="shared" si="81"/>
        <v>3005.75</v>
      </c>
      <c r="BG664" s="151">
        <f t="shared" si="79"/>
        <v>165.31625</v>
      </c>
      <c r="BH664" s="151">
        <f t="shared" ref="BH664:BH682" si="84">BF664+BG664</f>
        <v>3171.0662499999999</v>
      </c>
      <c r="BI664" s="151">
        <v>3171.07</v>
      </c>
      <c r="BJ664" s="135" t="s">
        <v>144</v>
      </c>
      <c r="BM664" s="144" t="s">
        <v>3592</v>
      </c>
      <c r="BN664" s="144">
        <v>2023</v>
      </c>
      <c r="BO664" s="135" t="s">
        <v>143</v>
      </c>
      <c r="BP664" s="144">
        <v>2023</v>
      </c>
      <c r="BQ664" s="203" t="s">
        <v>144</v>
      </c>
    </row>
    <row r="665" spans="1:69" s="135" customFormat="1" ht="41.1" customHeight="1">
      <c r="A665" s="145" t="s">
        <v>1705</v>
      </c>
      <c r="B665" s="145" t="s">
        <v>2867</v>
      </c>
      <c r="C665" s="143"/>
      <c r="R665" s="135" t="s">
        <v>3581</v>
      </c>
      <c r="U665" s="144"/>
      <c r="V665" s="143"/>
      <c r="W665" s="143"/>
      <c r="X665" s="144"/>
      <c r="Z665" s="144"/>
      <c r="AB665" s="148"/>
      <c r="AC665" s="202"/>
      <c r="AL665" s="208"/>
      <c r="AM665" s="148"/>
      <c r="AO665" s="193"/>
      <c r="AW665" s="143"/>
      <c r="AX665" s="143"/>
      <c r="AY665" s="143"/>
      <c r="AZ665" s="143"/>
      <c r="BB665" s="151"/>
      <c r="BC665" s="151"/>
      <c r="BD665" s="151"/>
      <c r="BE665" s="151"/>
      <c r="BF665" s="151"/>
      <c r="BG665" s="151"/>
      <c r="BH665" s="151"/>
      <c r="BM665" s="144">
        <v>0</v>
      </c>
      <c r="BN665" s="153" t="s">
        <v>103</v>
      </c>
      <c r="BO665" s="135" t="s">
        <v>103</v>
      </c>
      <c r="BP665" s="135" t="s">
        <v>3584</v>
      </c>
      <c r="BQ665" s="203" t="s">
        <v>3585</v>
      </c>
    </row>
    <row r="666" spans="1:69" s="135" customFormat="1" ht="41.1" customHeight="1">
      <c r="A666" s="218" t="s">
        <v>1705</v>
      </c>
      <c r="B666" s="218" t="s">
        <v>2868</v>
      </c>
      <c r="C666" s="143">
        <f t="shared" ca="1" si="83"/>
        <v>600</v>
      </c>
      <c r="D666" s="135">
        <v>45153</v>
      </c>
      <c r="E666" s="135">
        <v>45160</v>
      </c>
      <c r="F666" s="135">
        <v>45163</v>
      </c>
      <c r="G666" s="135" t="s">
        <v>2869</v>
      </c>
      <c r="H666" s="135">
        <v>45166</v>
      </c>
      <c r="I666" s="135">
        <v>45166</v>
      </c>
      <c r="J666" s="135">
        <v>45194</v>
      </c>
      <c r="K666" s="135">
        <v>45194</v>
      </c>
      <c r="L666" s="135">
        <v>45188</v>
      </c>
      <c r="M666" s="135" t="s">
        <v>3262</v>
      </c>
      <c r="N666" s="135">
        <v>45224</v>
      </c>
      <c r="O666" s="135">
        <v>45232</v>
      </c>
      <c r="P666" s="135">
        <v>45194</v>
      </c>
      <c r="U666" s="144">
        <v>2</v>
      </c>
      <c r="V666" s="143">
        <v>54715</v>
      </c>
      <c r="W666" s="143" t="str">
        <f ca="1">IF(H666="",IF(D666="","",IF(U666+V666&lt;15,"Données Nb pers ou RFR manquantes",IF(COUNTA(INDIRECT("TabRFR["&amp;YEAR(D666)&amp;"]"))&lt;&gt;COUNTA(TabRFR[Recherche RFR]),"Data RFR manquantes", IF(V666&lt;=INDEX(TabRFR[[2023]:[2025]],MATCH(BD!U666&amp;"-Très modestes",TabRFR[Recherche RFR],0),MATCH(TEXT(YEAR(BD!D666),"Standard"),TabRFR[[#Headers],[2023]:[2025]],0)),"Très Modeste",IF(V666&lt;=INDEX(TabRFR[[2023]:[2025]],MATCH(BD!U666&amp;"-modestes",TabRFR[Recherche RFR],0),MATCH(TEXT(YEAR(BD!D666),"Standard"),TabRFR[[#Headers],[2023]:[2025]],0)),"Modeste",IF(V666&lt;=INDEX(TabRFR[[2023]:[2025]],MATCH(BD!U666&amp;"-Intermédiaire",TabRFR[Recherche RFR],0),MATCH(TEXT(YEAR(BD!D666),"Standard"),TabRFR[[#Headers],[2023]:[2025]],0)),"Intermédiaire","Supérieur")))))),IF(D666="","",IF(U666+V666&lt;15,"Données Nb pers ou RFR manquantes",IF(COUNTA(INDIRECT("TabRFR["&amp;YEAR(H666)&amp;"]"))&lt;&gt;COUNTA(TabRFR[Recherche RFR]),"Data RFR manquantes", IF(V666&lt;=INDEX(TabRFR[[2023]:[2025]],MATCH(BD!U666&amp;"-Très modestes",TabRFR[Recherche RFR],0),MATCH(TEXT(YEAR(BD!H666),"Standard"),TabRFR[[#Headers],[2023]:[2025]],0)),"Très Modeste",IF(V666&lt;=INDEX(TabRFR[[2023]:[2025]],MATCH(BD!U666&amp;"-modestes",TabRFR[Recherche RFR],0),MATCH(TEXT(YEAR(BD!H666),"Standard"),TabRFR[[#Headers],[2023]:[2025]],0)),"Modeste",IF(V666&lt;=INDEX(TabRFR[[2023]:[2025]],MATCH(BD!U666&amp;"-Intermédiaire",TabRFR[Recherche RFR],0),MATCH(TEXT(YEAR(BD!H666),"Standard"),TabRFR[[#Headers],[2023]:[2025]],0)),"Intermédiaire","Supérieur")))))))</f>
        <v>Supérieur</v>
      </c>
      <c r="X666" s="144"/>
      <c r="Y666" s="135" t="s">
        <v>2870</v>
      </c>
      <c r="Z666" s="144">
        <v>38140</v>
      </c>
      <c r="AA666" s="135" t="s">
        <v>159</v>
      </c>
      <c r="AB666" s="148"/>
      <c r="AC666" s="169"/>
      <c r="AD666" s="135" t="s">
        <v>91</v>
      </c>
      <c r="AI666" s="135" t="s">
        <v>2748</v>
      </c>
      <c r="AJ666" s="135" t="s">
        <v>108</v>
      </c>
      <c r="AK666" s="135" t="s">
        <v>2749</v>
      </c>
      <c r="AL666" s="169" t="s">
        <v>275</v>
      </c>
      <c r="AM666" s="148">
        <v>476059444</v>
      </c>
      <c r="AN666" s="135" t="s">
        <v>76</v>
      </c>
      <c r="AO666" s="193" t="s">
        <v>102</v>
      </c>
      <c r="AP666" s="135">
        <v>45520</v>
      </c>
      <c r="AQ666" s="135" t="s">
        <v>3496</v>
      </c>
      <c r="AR666" s="143">
        <v>1992</v>
      </c>
      <c r="AS666" s="143" t="s">
        <v>3413</v>
      </c>
      <c r="AT666" s="135" t="s">
        <v>3446</v>
      </c>
      <c r="AU666" s="135" t="s">
        <v>276</v>
      </c>
      <c r="AV666" s="135" t="s">
        <v>1510</v>
      </c>
      <c r="BA666" s="135" t="s">
        <v>1401</v>
      </c>
      <c r="BC666" s="151">
        <f>7985+255+980+685+96+1371</f>
        <v>11372</v>
      </c>
      <c r="BD666" s="151"/>
      <c r="BE666" s="151">
        <f>1040+35</f>
        <v>1075</v>
      </c>
      <c r="BF666" s="151">
        <f t="shared" si="81"/>
        <v>12447</v>
      </c>
      <c r="BG666" s="151">
        <f t="shared" si="79"/>
        <v>684.58500000000004</v>
      </c>
      <c r="BH666" s="151">
        <f t="shared" si="84"/>
        <v>13131.584999999999</v>
      </c>
      <c r="BI666" s="151">
        <v>13131.59</v>
      </c>
      <c r="BJ666" s="135" t="s">
        <v>144</v>
      </c>
      <c r="BM666" s="144" t="s">
        <v>3592</v>
      </c>
      <c r="BN666" s="144">
        <v>2023</v>
      </c>
      <c r="BO666" s="135" t="s">
        <v>143</v>
      </c>
      <c r="BP666" s="144">
        <v>2023</v>
      </c>
      <c r="BQ666" s="203" t="s">
        <v>144</v>
      </c>
    </row>
    <row r="667" spans="1:69" s="135" customFormat="1" ht="41.1" customHeight="1">
      <c r="A667" s="218" t="s">
        <v>1705</v>
      </c>
      <c r="B667" s="218" t="s">
        <v>2871</v>
      </c>
      <c r="C667" s="143">
        <f t="shared" ca="1" si="83"/>
        <v>1000</v>
      </c>
      <c r="D667" s="135">
        <v>45166</v>
      </c>
      <c r="E667" s="135" t="s">
        <v>76</v>
      </c>
      <c r="F667" s="135">
        <v>45166</v>
      </c>
      <c r="G667" s="135" t="s">
        <v>3300</v>
      </c>
      <c r="H667" s="135">
        <v>45268</v>
      </c>
      <c r="I667" s="135">
        <v>45268</v>
      </c>
      <c r="J667" s="135">
        <v>45273</v>
      </c>
      <c r="K667" s="135">
        <v>45405</v>
      </c>
      <c r="L667" s="135">
        <v>45399</v>
      </c>
      <c r="M667" s="135" t="s">
        <v>76</v>
      </c>
      <c r="N667" s="135">
        <v>45418</v>
      </c>
      <c r="O667" s="135">
        <v>45419</v>
      </c>
      <c r="P667" s="135">
        <v>45425</v>
      </c>
      <c r="U667" s="144">
        <v>1</v>
      </c>
      <c r="V667" s="143">
        <v>17023</v>
      </c>
      <c r="W667" s="143" t="str">
        <f ca="1">IF(H667="",IF(D667="","",IF(U667+V667&lt;15,"Données Nb pers ou RFR manquantes",IF(COUNTA(INDIRECT("TabRFR["&amp;YEAR(D667)&amp;"]"))&lt;&gt;COUNTA(TabRFR[Recherche RFR]),"Data RFR manquantes", IF(V667&lt;=INDEX(TabRFR[[2023]:[2025]],MATCH(BD!U667&amp;"-Très modestes",TabRFR[Recherche RFR],0),MATCH(TEXT(YEAR(BD!D667),"Standard"),TabRFR[[#Headers],[2023]:[2025]],0)),"Très Modeste",IF(V667&lt;=INDEX(TabRFR[[2023]:[2025]],MATCH(BD!U667&amp;"-modestes",TabRFR[Recherche RFR],0),MATCH(TEXT(YEAR(BD!D667),"Standard"),TabRFR[[#Headers],[2023]:[2025]],0)),"Modeste",IF(V667&lt;=INDEX(TabRFR[[2023]:[2025]],MATCH(BD!U667&amp;"-Intermédiaire",TabRFR[Recherche RFR],0),MATCH(TEXT(YEAR(BD!D667),"Standard"),TabRFR[[#Headers],[2023]:[2025]],0)),"Intermédiaire","Supérieur")))))),IF(D667="","",IF(U667+V667&lt;15,"Données Nb pers ou RFR manquantes",IF(COUNTA(INDIRECT("TabRFR["&amp;YEAR(H667)&amp;"]"))&lt;&gt;COUNTA(TabRFR[Recherche RFR]),"Data RFR manquantes", IF(V667&lt;=INDEX(TabRFR[[2023]:[2025]],MATCH(BD!U667&amp;"-Très modestes",TabRFR[Recherche RFR],0),MATCH(TEXT(YEAR(BD!H667),"Standard"),TabRFR[[#Headers],[2023]:[2025]],0)),"Très Modeste",IF(V667&lt;=INDEX(TabRFR[[2023]:[2025]],MATCH(BD!U667&amp;"-modestes",TabRFR[Recherche RFR],0),MATCH(TEXT(YEAR(BD!H667),"Standard"),TabRFR[[#Headers],[2023]:[2025]],0)),"Modeste",IF(V667&lt;=INDEX(TabRFR[[2023]:[2025]],MATCH(BD!U667&amp;"-Intermédiaire",TabRFR[Recherche RFR],0),MATCH(TEXT(YEAR(BD!H667),"Standard"),TabRFR[[#Headers],[2023]:[2025]],0)),"Intermédiaire","Supérieur")))))))</f>
        <v>Modeste</v>
      </c>
      <c r="X667" s="144"/>
      <c r="Y667" s="135" t="s">
        <v>1378</v>
      </c>
      <c r="Z667" s="144">
        <v>38620</v>
      </c>
      <c r="AA667" s="135" t="s">
        <v>241</v>
      </c>
      <c r="AB667" s="148"/>
      <c r="AC667" s="169"/>
      <c r="AD667" s="135" t="s">
        <v>91</v>
      </c>
      <c r="AI667" s="135" t="s">
        <v>1988</v>
      </c>
      <c r="AJ667" s="135" t="s">
        <v>93</v>
      </c>
      <c r="AK667" s="135" t="s">
        <v>2197</v>
      </c>
      <c r="AL667" s="169" t="s">
        <v>2198</v>
      </c>
      <c r="AM667" s="148" t="s">
        <v>96</v>
      </c>
      <c r="AN667" s="135" t="s">
        <v>76</v>
      </c>
      <c r="AO667" s="193" t="s">
        <v>102</v>
      </c>
      <c r="AP667" s="135">
        <v>45186</v>
      </c>
      <c r="AQ667" s="135" t="s">
        <v>3496</v>
      </c>
      <c r="AR667" s="143">
        <v>1983</v>
      </c>
      <c r="AS667" s="143" t="s">
        <v>3413</v>
      </c>
      <c r="AT667" s="135" t="s">
        <v>3446</v>
      </c>
      <c r="AU667" s="135" t="s">
        <v>385</v>
      </c>
      <c r="AV667" s="135" t="s">
        <v>2872</v>
      </c>
      <c r="BA667" s="135" t="s">
        <v>101</v>
      </c>
      <c r="BC667" s="151">
        <f>2109+200+350+1795+297+151.57+48+270+265</f>
        <v>5485.57</v>
      </c>
      <c r="BD667" s="151" t="s">
        <v>76</v>
      </c>
      <c r="BE667" s="151">
        <v>890</v>
      </c>
      <c r="BF667" s="151">
        <f t="shared" si="81"/>
        <v>6375.57</v>
      </c>
      <c r="BG667" s="151">
        <f t="shared" si="79"/>
        <v>350.65634999999997</v>
      </c>
      <c r="BH667" s="151">
        <f t="shared" si="84"/>
        <v>6726.2263499999999</v>
      </c>
      <c r="BI667" s="151">
        <v>6726.23</v>
      </c>
      <c r="BJ667" s="135" t="s">
        <v>144</v>
      </c>
      <c r="BM667" s="144" t="s">
        <v>3592</v>
      </c>
      <c r="BN667" s="153">
        <v>2023</v>
      </c>
      <c r="BO667" s="135" t="s">
        <v>155</v>
      </c>
      <c r="BQ667" s="203"/>
    </row>
    <row r="668" spans="1:69" s="135" customFormat="1" ht="41.1" customHeight="1">
      <c r="A668" s="219" t="s">
        <v>1705</v>
      </c>
      <c r="B668" s="219" t="s">
        <v>2873</v>
      </c>
      <c r="C668" s="143">
        <f t="shared" ca="1" si="83"/>
        <v>1000</v>
      </c>
      <c r="D668" s="135">
        <v>45173</v>
      </c>
      <c r="E668" s="135" t="s">
        <v>76</v>
      </c>
      <c r="F668" s="135" t="s">
        <v>76</v>
      </c>
      <c r="G668" s="135" t="s">
        <v>76</v>
      </c>
      <c r="H668" s="135">
        <v>45175</v>
      </c>
      <c r="I668" s="135">
        <v>45175</v>
      </c>
      <c r="J668" s="135">
        <v>45226</v>
      </c>
      <c r="U668" s="144">
        <v>1</v>
      </c>
      <c r="V668" s="143">
        <v>20320</v>
      </c>
      <c r="W668" s="143" t="str">
        <f ca="1">IF(H668="",IF(D668="","",IF(U668+V668&lt;15,"Données Nb pers ou RFR manquantes",IF(COUNTA(INDIRECT("TabRFR["&amp;YEAR(D668)&amp;"]"))&lt;&gt;COUNTA(TabRFR[Recherche RFR]),"Data RFR manquantes", IF(V668&lt;=INDEX(TabRFR[[2023]:[2025]],MATCH(BD!U668&amp;"-Très modestes",TabRFR[Recherche RFR],0),MATCH(TEXT(YEAR(BD!D668),"Standard"),TabRFR[[#Headers],[2023]:[2025]],0)),"Très Modeste",IF(V668&lt;=INDEX(TabRFR[[2023]:[2025]],MATCH(BD!U668&amp;"-modestes",TabRFR[Recherche RFR],0),MATCH(TEXT(YEAR(BD!D668),"Standard"),TabRFR[[#Headers],[2023]:[2025]],0)),"Modeste",IF(V668&lt;=INDEX(TabRFR[[2023]:[2025]],MATCH(BD!U668&amp;"-Intermédiaire",TabRFR[Recherche RFR],0),MATCH(TEXT(YEAR(BD!D668),"Standard"),TabRFR[[#Headers],[2023]:[2025]],0)),"Intermédiaire","Supérieur")))))),IF(D668="","",IF(U668+V668&lt;15,"Données Nb pers ou RFR manquantes",IF(COUNTA(INDIRECT("TabRFR["&amp;YEAR(H668)&amp;"]"))&lt;&gt;COUNTA(TabRFR[Recherche RFR]),"Data RFR manquantes", IF(V668&lt;=INDEX(TabRFR[[2023]:[2025]],MATCH(BD!U668&amp;"-Très modestes",TabRFR[Recherche RFR],0),MATCH(TEXT(YEAR(BD!H668),"Standard"),TabRFR[[#Headers],[2023]:[2025]],0)),"Très Modeste",IF(V668&lt;=INDEX(TabRFR[[2023]:[2025]],MATCH(BD!U668&amp;"-modestes",TabRFR[Recherche RFR],0),MATCH(TEXT(YEAR(BD!H668),"Standard"),TabRFR[[#Headers],[2023]:[2025]],0)),"Modeste",IF(V668&lt;=INDEX(TabRFR[[2023]:[2025]],MATCH(BD!U668&amp;"-Intermédiaire",TabRFR[Recherche RFR],0),MATCH(TEXT(YEAR(BD!H668),"Standard"),TabRFR[[#Headers],[2023]:[2025]],0)),"Intermédiaire","Supérieur")))))))</f>
        <v>Modeste</v>
      </c>
      <c r="X668" s="144"/>
      <c r="Y668" s="135" t="s">
        <v>2874</v>
      </c>
      <c r="Z668" s="144">
        <v>38340</v>
      </c>
      <c r="AA668" s="135" t="s">
        <v>266</v>
      </c>
      <c r="AB668" s="148"/>
      <c r="AC668" s="169"/>
      <c r="AD668" s="135" t="s">
        <v>91</v>
      </c>
      <c r="AI668" s="135" t="s">
        <v>2703</v>
      </c>
      <c r="AJ668" s="135" t="s">
        <v>266</v>
      </c>
      <c r="AK668" s="135" t="s">
        <v>2704</v>
      </c>
      <c r="AL668" s="169" t="s">
        <v>318</v>
      </c>
      <c r="AM668" s="148">
        <v>476500550</v>
      </c>
      <c r="AN668" s="135" t="s">
        <v>76</v>
      </c>
      <c r="AO668" s="193" t="s">
        <v>102</v>
      </c>
      <c r="AP668" s="135">
        <v>45503</v>
      </c>
      <c r="AQ668" s="135" t="s">
        <v>3449</v>
      </c>
      <c r="AR668" s="143">
        <v>1978</v>
      </c>
      <c r="AS668" s="143" t="s">
        <v>3413</v>
      </c>
      <c r="AT668" s="135" t="s">
        <v>3446</v>
      </c>
      <c r="AU668" s="135" t="s">
        <v>319</v>
      </c>
      <c r="AV668" s="135" t="s">
        <v>2875</v>
      </c>
      <c r="BA668" s="135" t="s">
        <v>101</v>
      </c>
      <c r="BC668" s="151">
        <f>785.1+107.6+485.32+71.1+225.1+3675+245.2+35.2</f>
        <v>5629.619999999999</v>
      </c>
      <c r="BD668" s="151"/>
      <c r="BE668" s="151">
        <v>900</v>
      </c>
      <c r="BF668" s="151">
        <f t="shared" si="81"/>
        <v>6529.619999999999</v>
      </c>
      <c r="BG668" s="151">
        <f t="shared" si="79"/>
        <v>359.12909999999994</v>
      </c>
      <c r="BH668" s="151">
        <f t="shared" si="84"/>
        <v>6888.7490999999991</v>
      </c>
      <c r="BJ668" s="135" t="s">
        <v>144</v>
      </c>
      <c r="BM668" s="144" t="s">
        <v>3592</v>
      </c>
      <c r="BN668" s="144">
        <v>2023</v>
      </c>
      <c r="BO668" s="135" t="s">
        <v>155</v>
      </c>
      <c r="BP668" s="144">
        <v>2023</v>
      </c>
      <c r="BQ668" s="203"/>
    </row>
    <row r="669" spans="1:69" s="135" customFormat="1" ht="41.1" customHeight="1">
      <c r="A669" s="218" t="s">
        <v>1705</v>
      </c>
      <c r="B669" s="218" t="s">
        <v>2876</v>
      </c>
      <c r="C669" s="143">
        <f t="shared" ca="1" si="83"/>
        <v>600</v>
      </c>
      <c r="D669" s="135">
        <v>45175</v>
      </c>
      <c r="E669" s="135" t="s">
        <v>76</v>
      </c>
      <c r="F669" s="135">
        <v>45176</v>
      </c>
      <c r="G669" s="135" t="s">
        <v>2877</v>
      </c>
      <c r="H669" s="135">
        <v>45212</v>
      </c>
      <c r="I669" s="135">
        <v>45212</v>
      </c>
      <c r="J669" s="135">
        <v>45238</v>
      </c>
      <c r="K669" s="135">
        <v>45267</v>
      </c>
      <c r="L669" s="135">
        <v>45260</v>
      </c>
      <c r="M669" s="135" t="s">
        <v>76</v>
      </c>
      <c r="N669" s="135">
        <v>45268</v>
      </c>
      <c r="O669" s="135">
        <v>45268</v>
      </c>
      <c r="P669" s="135">
        <v>45272</v>
      </c>
      <c r="U669" s="144">
        <v>2</v>
      </c>
      <c r="V669" s="143">
        <v>37942</v>
      </c>
      <c r="W669" s="143" t="str">
        <f ca="1">IF(H669="",IF(D669="","",IF(U669+V669&lt;15,"Données Nb pers ou RFR manquantes",IF(COUNTA(INDIRECT("TabRFR["&amp;YEAR(D669)&amp;"]"))&lt;&gt;COUNTA(TabRFR[Recherche RFR]),"Data RFR manquantes", IF(V669&lt;=INDEX(TabRFR[[2023]:[2025]],MATCH(BD!U669&amp;"-Très modestes",TabRFR[Recherche RFR],0),MATCH(TEXT(YEAR(BD!D669),"Standard"),TabRFR[[#Headers],[2023]:[2025]],0)),"Très Modeste",IF(V669&lt;=INDEX(TabRFR[[2023]:[2025]],MATCH(BD!U669&amp;"-modestes",TabRFR[Recherche RFR],0),MATCH(TEXT(YEAR(BD!D669),"Standard"),TabRFR[[#Headers],[2023]:[2025]],0)),"Modeste",IF(V669&lt;=INDEX(TabRFR[[2023]:[2025]],MATCH(BD!U669&amp;"-Intermédiaire",TabRFR[Recherche RFR],0),MATCH(TEXT(YEAR(BD!D669),"Standard"),TabRFR[[#Headers],[2023]:[2025]],0)),"Intermédiaire","Supérieur")))))),IF(D669="","",IF(U669+V669&lt;15,"Données Nb pers ou RFR manquantes",IF(COUNTA(INDIRECT("TabRFR["&amp;YEAR(H669)&amp;"]"))&lt;&gt;COUNTA(TabRFR[Recherche RFR]),"Data RFR manquantes", IF(V669&lt;=INDEX(TabRFR[[2023]:[2025]],MATCH(BD!U669&amp;"-Très modestes",TabRFR[Recherche RFR],0),MATCH(TEXT(YEAR(BD!H669),"Standard"),TabRFR[[#Headers],[2023]:[2025]],0)),"Très Modeste",IF(V669&lt;=INDEX(TabRFR[[2023]:[2025]],MATCH(BD!U669&amp;"-modestes",TabRFR[Recherche RFR],0),MATCH(TEXT(YEAR(BD!H669),"Standard"),TabRFR[[#Headers],[2023]:[2025]],0)),"Modeste",IF(V669&lt;=INDEX(TabRFR[[2023]:[2025]],MATCH(BD!U669&amp;"-Intermédiaire",TabRFR[Recherche RFR],0),MATCH(TEXT(YEAR(BD!H669),"Standard"),TabRFR[[#Headers],[2023]:[2025]],0)),"Intermédiaire","Supérieur")))))))</f>
        <v>Intermédiaire</v>
      </c>
      <c r="X669" s="144"/>
      <c r="Y669" s="135" t="s">
        <v>2878</v>
      </c>
      <c r="Z669" s="144">
        <v>38340</v>
      </c>
      <c r="AA669" s="135" t="s">
        <v>266</v>
      </c>
      <c r="AB669" s="148"/>
      <c r="AC669" s="169"/>
      <c r="AD669" s="135" t="s">
        <v>91</v>
      </c>
      <c r="AI669" s="135" t="s">
        <v>2703</v>
      </c>
      <c r="AJ669" s="135" t="s">
        <v>266</v>
      </c>
      <c r="AK669" s="135" t="s">
        <v>2704</v>
      </c>
      <c r="AL669" s="169" t="s">
        <v>318</v>
      </c>
      <c r="AM669" s="148">
        <v>476500550</v>
      </c>
      <c r="AN669" s="135" t="s">
        <v>76</v>
      </c>
      <c r="AO669" s="193" t="s">
        <v>102</v>
      </c>
      <c r="AP669" s="135">
        <v>45503</v>
      </c>
      <c r="AQ669" s="135" t="s">
        <v>3449</v>
      </c>
      <c r="AR669" s="143">
        <v>1940</v>
      </c>
      <c r="AS669" s="143" t="s">
        <v>3413</v>
      </c>
      <c r="AT669" s="135" t="s">
        <v>3446</v>
      </c>
      <c r="AU669" s="135" t="s">
        <v>852</v>
      </c>
      <c r="AV669" s="143">
        <v>760</v>
      </c>
      <c r="BA669" s="135" t="s">
        <v>101</v>
      </c>
      <c r="BC669" s="151">
        <f>662.55+71.1+2587.5+202.2+245.2</f>
        <v>3768.5499999999997</v>
      </c>
      <c r="BD669" s="151"/>
      <c r="BE669" s="151">
        <v>750</v>
      </c>
      <c r="BF669" s="151">
        <f t="shared" si="81"/>
        <v>4518.5499999999993</v>
      </c>
      <c r="BG669" s="151">
        <f t="shared" si="79"/>
        <v>248.52024999999995</v>
      </c>
      <c r="BH669" s="151">
        <f t="shared" si="84"/>
        <v>4767.0702499999989</v>
      </c>
      <c r="BI669" s="151">
        <v>4767.18</v>
      </c>
      <c r="BJ669" s="135" t="s">
        <v>144</v>
      </c>
      <c r="BM669" s="144" t="s">
        <v>3592</v>
      </c>
      <c r="BN669" s="144">
        <v>2023</v>
      </c>
      <c r="BO669" s="135" t="s">
        <v>143</v>
      </c>
      <c r="BP669" s="144">
        <v>2023</v>
      </c>
      <c r="BQ669" s="203" t="s">
        <v>144</v>
      </c>
    </row>
    <row r="670" spans="1:69" ht="41.1" customHeight="1">
      <c r="A670" s="218" t="s">
        <v>1705</v>
      </c>
      <c r="B670" s="218" t="s">
        <v>2879</v>
      </c>
      <c r="C670" s="143">
        <f t="shared" ca="1" si="83"/>
        <v>600</v>
      </c>
      <c r="D670" s="135">
        <v>45181</v>
      </c>
      <c r="E670" s="135" t="s">
        <v>76</v>
      </c>
      <c r="F670" s="135">
        <v>45181</v>
      </c>
      <c r="G670" s="135" t="s">
        <v>3301</v>
      </c>
      <c r="H670" s="135">
        <v>45268</v>
      </c>
      <c r="I670" s="135">
        <v>45268</v>
      </c>
      <c r="J670" s="135">
        <v>45273</v>
      </c>
      <c r="K670" s="135">
        <v>45278</v>
      </c>
      <c r="L670" s="135">
        <v>45282</v>
      </c>
      <c r="M670" s="135" t="s">
        <v>3407</v>
      </c>
      <c r="N670" s="135">
        <v>45322</v>
      </c>
      <c r="O670" s="135">
        <v>45322</v>
      </c>
      <c r="P670" s="135">
        <v>45323</v>
      </c>
      <c r="Q670" s="135"/>
      <c r="R670" s="135"/>
      <c r="S670" s="135"/>
      <c r="T670" s="135"/>
      <c r="U670" s="144">
        <v>2</v>
      </c>
      <c r="V670" s="143">
        <v>69680</v>
      </c>
      <c r="W670" s="143" t="str">
        <f ca="1">IF(H670="",IF(D670="","",IF(U670+V670&lt;15,"Données Nb pers ou RFR manquantes",IF(COUNTA(INDIRECT("TabRFR["&amp;YEAR(D670)&amp;"]"))&lt;&gt;COUNTA(TabRFR[Recherche RFR]),"Data RFR manquantes", IF(V670&lt;=INDEX(TabRFR[[2023]:[2025]],MATCH(BD!U670&amp;"-Très modestes",TabRFR[Recherche RFR],0),MATCH(TEXT(YEAR(BD!D670),"Standard"),TabRFR[[#Headers],[2023]:[2025]],0)),"Très Modeste",IF(V670&lt;=INDEX(TabRFR[[2023]:[2025]],MATCH(BD!U670&amp;"-modestes",TabRFR[Recherche RFR],0),MATCH(TEXT(YEAR(BD!D670),"Standard"),TabRFR[[#Headers],[2023]:[2025]],0)),"Modeste",IF(V670&lt;=INDEX(TabRFR[[2023]:[2025]],MATCH(BD!U670&amp;"-Intermédiaire",TabRFR[Recherche RFR],0),MATCH(TEXT(YEAR(BD!D670),"Standard"),TabRFR[[#Headers],[2023]:[2025]],0)),"Intermédiaire","Supérieur")))))),IF(D670="","",IF(U670+V670&lt;15,"Données Nb pers ou RFR manquantes",IF(COUNTA(INDIRECT("TabRFR["&amp;YEAR(H670)&amp;"]"))&lt;&gt;COUNTA(TabRFR[Recherche RFR]),"Data RFR manquantes", IF(V670&lt;=INDEX(TabRFR[[2023]:[2025]],MATCH(BD!U670&amp;"-Très modestes",TabRFR[Recherche RFR],0),MATCH(TEXT(YEAR(BD!H670),"Standard"),TabRFR[[#Headers],[2023]:[2025]],0)),"Très Modeste",IF(V670&lt;=INDEX(TabRFR[[2023]:[2025]],MATCH(BD!U670&amp;"-modestes",TabRFR[Recherche RFR],0),MATCH(TEXT(YEAR(BD!H670),"Standard"),TabRFR[[#Headers],[2023]:[2025]],0)),"Modeste",IF(V670&lt;=INDEX(TabRFR[[2023]:[2025]],MATCH(BD!U670&amp;"-Intermédiaire",TabRFR[Recherche RFR],0),MATCH(TEXT(YEAR(BD!H670),"Standard"),TabRFR[[#Headers],[2023]:[2025]],0)),"Intermédiaire","Supérieur")))))))</f>
        <v>Supérieur</v>
      </c>
      <c r="X670" s="144"/>
      <c r="Y670" s="135" t="s">
        <v>2431</v>
      </c>
      <c r="Z670" s="144">
        <v>38620</v>
      </c>
      <c r="AA670" s="135" t="s">
        <v>518</v>
      </c>
      <c r="AB670" s="148"/>
      <c r="AC670" s="169"/>
      <c r="AD670" s="135" t="s">
        <v>91</v>
      </c>
      <c r="AE670" s="144"/>
      <c r="AF670" s="135"/>
      <c r="AG670" s="135"/>
      <c r="AH670" s="135"/>
      <c r="AI670" s="135" t="s">
        <v>1988</v>
      </c>
      <c r="AJ670" s="135" t="s">
        <v>93</v>
      </c>
      <c r="AK670" s="135" t="s">
        <v>2197</v>
      </c>
      <c r="AL670" s="169" t="s">
        <v>2198</v>
      </c>
      <c r="AM670" s="148" t="s">
        <v>96</v>
      </c>
      <c r="AN670" s="135" t="s">
        <v>76</v>
      </c>
      <c r="AO670" s="193" t="s">
        <v>102</v>
      </c>
      <c r="AP670" s="135">
        <v>45186</v>
      </c>
      <c r="AQ670" s="135" t="s">
        <v>3413</v>
      </c>
      <c r="AR670" s="143">
        <v>1990</v>
      </c>
      <c r="AS670" s="143" t="s">
        <v>3413</v>
      </c>
      <c r="AT670" s="143" t="s">
        <v>98</v>
      </c>
      <c r="AU670" s="135" t="s">
        <v>99</v>
      </c>
      <c r="AV670" s="135" t="s">
        <v>1521</v>
      </c>
      <c r="AW670" s="135"/>
      <c r="AX670" s="135"/>
      <c r="AY670" s="135"/>
      <c r="AZ670" s="135"/>
      <c r="BA670" s="135" t="s">
        <v>101</v>
      </c>
      <c r="BB670" s="135"/>
      <c r="BC670" s="151">
        <f>4995+1495+349+395+193+184.17+19.9+185</f>
        <v>7816.07</v>
      </c>
      <c r="BD670" s="151"/>
      <c r="BE670" s="151">
        <v>890</v>
      </c>
      <c r="BF670" s="151">
        <f t="shared" si="81"/>
        <v>8706.07</v>
      </c>
      <c r="BG670" s="151">
        <f t="shared" si="79"/>
        <v>478.83384999999998</v>
      </c>
      <c r="BH670" s="151">
        <f t="shared" si="84"/>
        <v>9184.9038499999988</v>
      </c>
      <c r="BI670" s="151">
        <v>8969.61</v>
      </c>
      <c r="BJ670" s="135" t="s">
        <v>144</v>
      </c>
      <c r="BK670" s="135"/>
      <c r="BL670" s="135"/>
      <c r="BM670" s="144" t="s">
        <v>3592</v>
      </c>
      <c r="BN670" s="144">
        <v>2023</v>
      </c>
      <c r="BO670" s="135" t="s">
        <v>143</v>
      </c>
      <c r="BP670" s="143" t="s">
        <v>3583</v>
      </c>
      <c r="BQ670" s="203"/>
    </row>
    <row r="671" spans="1:69" s="135" customFormat="1" ht="41.1" customHeight="1">
      <c r="A671" s="218" t="s">
        <v>1705</v>
      </c>
      <c r="B671" s="218" t="s">
        <v>2880</v>
      </c>
      <c r="C671" s="143">
        <f t="shared" ca="1" si="83"/>
        <v>1000</v>
      </c>
      <c r="D671" s="135">
        <v>45182</v>
      </c>
      <c r="E671" s="135" t="s">
        <v>76</v>
      </c>
      <c r="F671" s="135">
        <v>45184</v>
      </c>
      <c r="G671" s="135" t="s">
        <v>2881</v>
      </c>
      <c r="H671" s="135">
        <v>45184</v>
      </c>
      <c r="I671" s="135">
        <v>45184</v>
      </c>
      <c r="J671" s="135">
        <v>45232</v>
      </c>
      <c r="K671" s="135">
        <v>45209</v>
      </c>
      <c r="L671" s="135">
        <v>45208</v>
      </c>
      <c r="M671" s="135" t="s">
        <v>3286</v>
      </c>
      <c r="N671" s="135">
        <v>45257</v>
      </c>
      <c r="O671" s="135">
        <v>45257</v>
      </c>
      <c r="P671" s="135">
        <v>45267</v>
      </c>
      <c r="U671" s="144">
        <v>1</v>
      </c>
      <c r="V671" s="143">
        <v>13843</v>
      </c>
      <c r="W671" s="143" t="str">
        <f ca="1">IF(H671="",IF(D671="","",IF(U671+V671&lt;15,"Données Nb pers ou RFR manquantes",IF(COUNTA(INDIRECT("TabRFR["&amp;YEAR(D671)&amp;"]"))&lt;&gt;COUNTA(TabRFR[Recherche RFR]),"Data RFR manquantes", IF(V671&lt;=INDEX(TabRFR[[2023]:[2025]],MATCH(BD!U671&amp;"-Très modestes",TabRFR[Recherche RFR],0),MATCH(TEXT(YEAR(BD!D671),"Standard"),TabRFR[[#Headers],[2023]:[2025]],0)),"Très Modeste",IF(V671&lt;=INDEX(TabRFR[[2023]:[2025]],MATCH(BD!U671&amp;"-modestes",TabRFR[Recherche RFR],0),MATCH(TEXT(YEAR(BD!D671),"Standard"),TabRFR[[#Headers],[2023]:[2025]],0)),"Modeste",IF(V671&lt;=INDEX(TabRFR[[2023]:[2025]],MATCH(BD!U671&amp;"-Intermédiaire",TabRFR[Recherche RFR],0),MATCH(TEXT(YEAR(BD!D671),"Standard"),TabRFR[[#Headers],[2023]:[2025]],0)),"Intermédiaire","Supérieur")))))),IF(D671="","",IF(U671+V671&lt;15,"Données Nb pers ou RFR manquantes",IF(COUNTA(INDIRECT("TabRFR["&amp;YEAR(H671)&amp;"]"))&lt;&gt;COUNTA(TabRFR[Recherche RFR]),"Data RFR manquantes", IF(V671&lt;=INDEX(TabRFR[[2023]:[2025]],MATCH(BD!U671&amp;"-Très modestes",TabRFR[Recherche RFR],0),MATCH(TEXT(YEAR(BD!H671),"Standard"),TabRFR[[#Headers],[2023]:[2025]],0)),"Très Modeste",IF(V671&lt;=INDEX(TabRFR[[2023]:[2025]],MATCH(BD!U671&amp;"-modestes",TabRFR[Recherche RFR],0),MATCH(TEXT(YEAR(BD!H671),"Standard"),TabRFR[[#Headers],[2023]:[2025]],0)),"Modeste",IF(V671&lt;=INDEX(TabRFR[[2023]:[2025]],MATCH(BD!U671&amp;"-Intermédiaire",TabRFR[Recherche RFR],0),MATCH(TEXT(YEAR(BD!H671),"Standard"),TabRFR[[#Headers],[2023]:[2025]],0)),"Intermédiaire","Supérieur")))))))</f>
        <v>Très Modeste</v>
      </c>
      <c r="X671" s="144"/>
      <c r="Y671" s="135" t="s">
        <v>647</v>
      </c>
      <c r="Z671" s="144">
        <v>38850</v>
      </c>
      <c r="AA671" s="135" t="s">
        <v>148</v>
      </c>
      <c r="AB671" s="148"/>
      <c r="AC671" s="169"/>
      <c r="AD671" s="135" t="s">
        <v>91</v>
      </c>
      <c r="AI671" s="143" t="s">
        <v>1106</v>
      </c>
      <c r="AJ671" s="135" t="s">
        <v>1075</v>
      </c>
      <c r="AK671" s="135" t="s">
        <v>2203</v>
      </c>
      <c r="AL671" s="169" t="s">
        <v>1454</v>
      </c>
      <c r="AM671" s="148" t="s">
        <v>2204</v>
      </c>
      <c r="AN671" s="135" t="s">
        <v>76</v>
      </c>
      <c r="AO671" s="193" t="s">
        <v>102</v>
      </c>
      <c r="AP671" s="135">
        <v>45462</v>
      </c>
      <c r="AQ671" s="143" t="s">
        <v>3413</v>
      </c>
      <c r="AR671" s="143">
        <v>2000</v>
      </c>
      <c r="AS671" s="143" t="s">
        <v>3413</v>
      </c>
      <c r="AT671" s="135" t="s">
        <v>3446</v>
      </c>
      <c r="AU671" s="135" t="s">
        <v>1878</v>
      </c>
      <c r="AV671" s="135" t="s">
        <v>2522</v>
      </c>
      <c r="BA671" s="135" t="s">
        <v>101</v>
      </c>
      <c r="BC671" s="151">
        <f>3185.52+355+120+124+160+175+734+80</f>
        <v>4933.5200000000004</v>
      </c>
      <c r="BD671" s="151"/>
      <c r="BE671" s="151">
        <v>300</v>
      </c>
      <c r="BF671" s="151">
        <f>BC671+BE671-683.76</f>
        <v>4549.76</v>
      </c>
      <c r="BG671" s="151">
        <f t="shared" si="79"/>
        <v>250.23680000000002</v>
      </c>
      <c r="BH671" s="151">
        <f t="shared" si="84"/>
        <v>4799.9967999999999</v>
      </c>
      <c r="BJ671" s="135" t="s">
        <v>144</v>
      </c>
      <c r="BM671" s="144" t="s">
        <v>3592</v>
      </c>
      <c r="BN671" s="144">
        <v>2023</v>
      </c>
      <c r="BO671" s="135" t="s">
        <v>155</v>
      </c>
      <c r="BP671" s="144">
        <v>2023</v>
      </c>
      <c r="BQ671" s="203" t="s">
        <v>144</v>
      </c>
    </row>
    <row r="672" spans="1:69" s="135" customFormat="1" ht="41.1" customHeight="1">
      <c r="A672" s="219" t="s">
        <v>1705</v>
      </c>
      <c r="B672" s="219" t="s">
        <v>2882</v>
      </c>
      <c r="C672" s="143">
        <f t="shared" ca="1" si="83"/>
        <v>600</v>
      </c>
      <c r="D672" s="135">
        <v>45182</v>
      </c>
      <c r="E672" s="135" t="s">
        <v>76</v>
      </c>
      <c r="F672" s="135">
        <v>45184</v>
      </c>
      <c r="G672" s="135" t="s">
        <v>2311</v>
      </c>
      <c r="H672" s="135">
        <v>45190</v>
      </c>
      <c r="I672" s="135">
        <v>45190</v>
      </c>
      <c r="J672" s="135">
        <v>45203</v>
      </c>
      <c r="K672" s="135">
        <v>45366</v>
      </c>
      <c r="L672" s="135">
        <v>45240</v>
      </c>
      <c r="M672" s="135" t="s">
        <v>76</v>
      </c>
      <c r="N672" s="135">
        <v>45373</v>
      </c>
      <c r="O672" s="135">
        <v>45373</v>
      </c>
      <c r="P672" s="135">
        <v>45376</v>
      </c>
      <c r="U672" s="144">
        <v>4</v>
      </c>
      <c r="V672" s="143">
        <v>63626</v>
      </c>
      <c r="W672" s="143" t="str">
        <f ca="1">IF(H672="",IF(D672="","",IF(U672+V672&lt;15,"Données Nb pers ou RFR manquantes",IF(COUNTA(INDIRECT("TabRFR["&amp;YEAR(D672)&amp;"]"))&lt;&gt;COUNTA(TabRFR[Recherche RFR]),"Data RFR manquantes", IF(V672&lt;=INDEX(TabRFR[[2023]:[2025]],MATCH(BD!U672&amp;"-Très modestes",TabRFR[Recherche RFR],0),MATCH(TEXT(YEAR(BD!D672),"Standard"),TabRFR[[#Headers],[2023]:[2025]],0)),"Très Modeste",IF(V672&lt;=INDEX(TabRFR[[2023]:[2025]],MATCH(BD!U672&amp;"-modestes",TabRFR[Recherche RFR],0),MATCH(TEXT(YEAR(BD!D672),"Standard"),TabRFR[[#Headers],[2023]:[2025]],0)),"Modeste",IF(V672&lt;=INDEX(TabRFR[[2023]:[2025]],MATCH(BD!U672&amp;"-Intermédiaire",TabRFR[Recherche RFR],0),MATCH(TEXT(YEAR(BD!D672),"Standard"),TabRFR[[#Headers],[2023]:[2025]],0)),"Intermédiaire","Supérieur")))))),IF(D672="","",IF(U672+V672&lt;15,"Données Nb pers ou RFR manquantes",IF(COUNTA(INDIRECT("TabRFR["&amp;YEAR(H672)&amp;"]"))&lt;&gt;COUNTA(TabRFR[Recherche RFR]),"Data RFR manquantes", IF(V672&lt;=INDEX(TabRFR[[2023]:[2025]],MATCH(BD!U672&amp;"-Très modestes",TabRFR[Recherche RFR],0),MATCH(TEXT(YEAR(BD!H672),"Standard"),TabRFR[[#Headers],[2023]:[2025]],0)),"Très Modeste",IF(V672&lt;=INDEX(TabRFR[[2023]:[2025]],MATCH(BD!U672&amp;"-modestes",TabRFR[Recherche RFR],0),MATCH(TEXT(YEAR(BD!H672),"Standard"),TabRFR[[#Headers],[2023]:[2025]],0)),"Modeste",IF(V672&lt;=INDEX(TabRFR[[2023]:[2025]],MATCH(BD!U672&amp;"-Intermédiaire",TabRFR[Recherche RFR],0),MATCH(TEXT(YEAR(BD!H672),"Standard"),TabRFR[[#Headers],[2023]:[2025]],0)),"Intermédiaire","Supérieur")))))))</f>
        <v>Supérieur</v>
      </c>
      <c r="X672" s="144"/>
      <c r="Y672" s="135" t="s">
        <v>2883</v>
      </c>
      <c r="Z672" s="144">
        <v>38430</v>
      </c>
      <c r="AA672" s="135" t="s">
        <v>351</v>
      </c>
      <c r="AB672" s="148"/>
      <c r="AC672" s="169"/>
      <c r="AD672" s="135" t="s">
        <v>91</v>
      </c>
      <c r="AI672" s="135" t="s">
        <v>120</v>
      </c>
      <c r="AJ672" s="135" t="s">
        <v>121</v>
      </c>
      <c r="AK672" s="135" t="s">
        <v>2232</v>
      </c>
      <c r="AL672" s="150" t="s">
        <v>123</v>
      </c>
      <c r="AM672" s="135" t="s">
        <v>1469</v>
      </c>
      <c r="AN672" s="135" t="s">
        <v>2233</v>
      </c>
      <c r="AO672" s="193" t="s">
        <v>102</v>
      </c>
      <c r="AP672" s="135">
        <v>45513</v>
      </c>
      <c r="AQ672" s="135" t="s">
        <v>3496</v>
      </c>
      <c r="AR672" s="143">
        <v>1987</v>
      </c>
      <c r="AS672" s="143" t="s">
        <v>3413</v>
      </c>
      <c r="AT672" s="135" t="s">
        <v>3446</v>
      </c>
      <c r="AU672" s="135" t="s">
        <v>852</v>
      </c>
      <c r="AV672" s="135" t="s">
        <v>2884</v>
      </c>
      <c r="BA672" s="135" t="s">
        <v>101</v>
      </c>
      <c r="BC672" s="151">
        <f>(2980+320+180+300+280+40+440+180)/1.055</f>
        <v>4473.9336492890998</v>
      </c>
      <c r="BD672" s="151"/>
      <c r="BE672" s="151">
        <f>(600)/1.055</f>
        <v>568.72037914691941</v>
      </c>
      <c r="BF672" s="151">
        <v>4549.76</v>
      </c>
      <c r="BG672" s="151">
        <f t="shared" si="79"/>
        <v>250.23680000000002</v>
      </c>
      <c r="BH672" s="151">
        <f t="shared" si="84"/>
        <v>4799.9967999999999</v>
      </c>
      <c r="BI672" s="151">
        <v>4800</v>
      </c>
      <c r="BJ672" s="135" t="s">
        <v>144</v>
      </c>
      <c r="BM672" s="144" t="s">
        <v>3592</v>
      </c>
      <c r="BN672" s="144">
        <v>2023</v>
      </c>
      <c r="BO672" s="135" t="s">
        <v>143</v>
      </c>
      <c r="BP672" s="144">
        <v>2023</v>
      </c>
      <c r="BQ672" s="203"/>
    </row>
    <row r="673" spans="1:69" s="135" customFormat="1" ht="41.1" customHeight="1">
      <c r="A673" s="218" t="s">
        <v>1705</v>
      </c>
      <c r="B673" s="218" t="s">
        <v>2885</v>
      </c>
      <c r="C673" s="143">
        <f t="shared" ca="1" si="83"/>
        <v>600</v>
      </c>
      <c r="D673" s="135">
        <v>45188</v>
      </c>
      <c r="E673" s="135" t="s">
        <v>76</v>
      </c>
      <c r="F673" s="135" t="s">
        <v>76</v>
      </c>
      <c r="G673" s="135" t="s">
        <v>76</v>
      </c>
      <c r="H673" s="135">
        <v>45190</v>
      </c>
      <c r="I673" s="135">
        <v>45190</v>
      </c>
      <c r="J673" s="135">
        <v>45203</v>
      </c>
      <c r="K673" s="135">
        <v>45254</v>
      </c>
      <c r="L673" s="135">
        <v>45238</v>
      </c>
      <c r="M673" s="135" t="s">
        <v>3311</v>
      </c>
      <c r="N673" s="135">
        <v>45272</v>
      </c>
      <c r="O673" s="135">
        <v>45272</v>
      </c>
      <c r="P673" s="135">
        <v>45273</v>
      </c>
      <c r="U673" s="144">
        <v>3</v>
      </c>
      <c r="V673" s="143">
        <v>43824</v>
      </c>
      <c r="W673" s="143" t="str">
        <f ca="1">IF(H673="",IF(D673="","",IF(U673+V673&lt;15,"Données Nb pers ou RFR manquantes",IF(COUNTA(INDIRECT("TabRFR["&amp;YEAR(D673)&amp;"]"))&lt;&gt;COUNTA(TabRFR[Recherche RFR]),"Data RFR manquantes", IF(V673&lt;=INDEX(TabRFR[[2023]:[2025]],MATCH(BD!U673&amp;"-Très modestes",TabRFR[Recherche RFR],0),MATCH(TEXT(YEAR(BD!D673),"Standard"),TabRFR[[#Headers],[2023]:[2025]],0)),"Très Modeste",IF(V673&lt;=INDEX(TabRFR[[2023]:[2025]],MATCH(BD!U673&amp;"-modestes",TabRFR[Recherche RFR],0),MATCH(TEXT(YEAR(BD!D673),"Standard"),TabRFR[[#Headers],[2023]:[2025]],0)),"Modeste",IF(V673&lt;=INDEX(TabRFR[[2023]:[2025]],MATCH(BD!U673&amp;"-Intermédiaire",TabRFR[Recherche RFR],0),MATCH(TEXT(YEAR(BD!D673),"Standard"),TabRFR[[#Headers],[2023]:[2025]],0)),"Intermédiaire","Supérieur")))))),IF(D673="","",IF(U673+V673&lt;15,"Données Nb pers ou RFR manquantes",IF(COUNTA(INDIRECT("TabRFR["&amp;YEAR(H673)&amp;"]"))&lt;&gt;COUNTA(TabRFR[Recherche RFR]),"Data RFR manquantes", IF(V673&lt;=INDEX(TabRFR[[2023]:[2025]],MATCH(BD!U673&amp;"-Très modestes",TabRFR[Recherche RFR],0),MATCH(TEXT(YEAR(BD!H673),"Standard"),TabRFR[[#Headers],[2023]:[2025]],0)),"Très Modeste",IF(V673&lt;=INDEX(TabRFR[[2023]:[2025]],MATCH(BD!U673&amp;"-modestes",TabRFR[Recherche RFR],0),MATCH(TEXT(YEAR(BD!H673),"Standard"),TabRFR[[#Headers],[2023]:[2025]],0)),"Modeste",IF(V673&lt;=INDEX(TabRFR[[2023]:[2025]],MATCH(BD!U673&amp;"-Intermédiaire",TabRFR[Recherche RFR],0),MATCH(TEXT(YEAR(BD!H673),"Standard"),TabRFR[[#Headers],[2023]:[2025]],0)),"Intermédiaire","Supérieur")))))))</f>
        <v>Intermédiaire</v>
      </c>
      <c r="X673" s="144"/>
      <c r="Y673" s="135" t="s">
        <v>3137</v>
      </c>
      <c r="Z673" s="144">
        <v>38210</v>
      </c>
      <c r="AA673" s="135" t="s">
        <v>202</v>
      </c>
      <c r="AB673" s="148"/>
      <c r="AC673" s="197"/>
      <c r="AD673" s="135" t="s">
        <v>91</v>
      </c>
      <c r="AI673" s="135" t="s">
        <v>120</v>
      </c>
      <c r="AJ673" s="135" t="s">
        <v>121</v>
      </c>
      <c r="AK673" s="135" t="s">
        <v>2232</v>
      </c>
      <c r="AL673" s="150" t="s">
        <v>123</v>
      </c>
      <c r="AM673" s="135" t="s">
        <v>1469</v>
      </c>
      <c r="AN673" s="135" t="s">
        <v>2233</v>
      </c>
      <c r="AO673" s="193" t="s">
        <v>102</v>
      </c>
      <c r="AP673" s="135">
        <v>45513</v>
      </c>
      <c r="AQ673" s="143" t="s">
        <v>3413</v>
      </c>
      <c r="AR673" s="143">
        <v>1999</v>
      </c>
      <c r="AS673" s="143" t="s">
        <v>3413</v>
      </c>
      <c r="AT673" s="135" t="s">
        <v>3446</v>
      </c>
      <c r="AU673" s="135" t="s">
        <v>852</v>
      </c>
      <c r="AV673" s="135" t="s">
        <v>3138</v>
      </c>
      <c r="BA673" s="135" t="s">
        <v>101</v>
      </c>
      <c r="BC673" s="151">
        <v>1840</v>
      </c>
      <c r="BD673" s="151"/>
      <c r="BE673" s="151">
        <v>550</v>
      </c>
      <c r="BF673" s="151">
        <f t="shared" ref="BF673:BF682" si="85">BC673+BE673</f>
        <v>2390</v>
      </c>
      <c r="BG673" s="151">
        <f t="shared" si="79"/>
        <v>131.44999999999999</v>
      </c>
      <c r="BH673" s="151">
        <f t="shared" si="84"/>
        <v>2521.4499999999998</v>
      </c>
      <c r="BI673" s="151">
        <v>2421.4499999999998</v>
      </c>
      <c r="BJ673" s="135" t="s">
        <v>144</v>
      </c>
      <c r="BM673" s="144" t="s">
        <v>3592</v>
      </c>
      <c r="BN673" s="144">
        <v>2023</v>
      </c>
      <c r="BO673" s="135" t="s">
        <v>143</v>
      </c>
      <c r="BP673" s="144">
        <v>2023</v>
      </c>
      <c r="BQ673" s="203" t="s">
        <v>144</v>
      </c>
    </row>
    <row r="674" spans="1:69" s="135" customFormat="1" ht="41.1" customHeight="1">
      <c r="A674" s="218" t="s">
        <v>1705</v>
      </c>
      <c r="B674" s="218" t="s">
        <v>2886</v>
      </c>
      <c r="C674" s="143">
        <f t="shared" ca="1" si="83"/>
        <v>600</v>
      </c>
      <c r="D674" s="135">
        <v>45189</v>
      </c>
      <c r="E674" s="135" t="s">
        <v>76</v>
      </c>
      <c r="F674" s="135" t="s">
        <v>76</v>
      </c>
      <c r="G674" s="135" t="s">
        <v>76</v>
      </c>
      <c r="H674" s="135">
        <v>45190</v>
      </c>
      <c r="I674" s="135">
        <v>45190</v>
      </c>
      <c r="J674" s="135">
        <v>45203</v>
      </c>
      <c r="K674" s="135">
        <v>45250</v>
      </c>
      <c r="L674" s="135">
        <v>45222</v>
      </c>
      <c r="M674" s="135" t="s">
        <v>76</v>
      </c>
      <c r="N674" s="135">
        <v>45264</v>
      </c>
      <c r="O674" s="135">
        <v>45264</v>
      </c>
      <c r="P674" s="135">
        <v>45271</v>
      </c>
      <c r="U674" s="144">
        <v>2</v>
      </c>
      <c r="V674" s="143">
        <v>58851</v>
      </c>
      <c r="W674" s="143" t="str">
        <f ca="1">IF(H674="",IF(D674="","",IF(U674+V674&lt;15,"Données Nb pers ou RFR manquantes",IF(COUNTA(INDIRECT("TabRFR["&amp;YEAR(D674)&amp;"]"))&lt;&gt;COUNTA(TabRFR[Recherche RFR]),"Data RFR manquantes", IF(V674&lt;=INDEX(TabRFR[[2023]:[2025]],MATCH(BD!U674&amp;"-Très modestes",TabRFR[Recherche RFR],0),MATCH(TEXT(YEAR(BD!D674),"Standard"),TabRFR[[#Headers],[2023]:[2025]],0)),"Très Modeste",IF(V674&lt;=INDEX(TabRFR[[2023]:[2025]],MATCH(BD!U674&amp;"-modestes",TabRFR[Recherche RFR],0),MATCH(TEXT(YEAR(BD!D674),"Standard"),TabRFR[[#Headers],[2023]:[2025]],0)),"Modeste",IF(V674&lt;=INDEX(TabRFR[[2023]:[2025]],MATCH(BD!U674&amp;"-Intermédiaire",TabRFR[Recherche RFR],0),MATCH(TEXT(YEAR(BD!D674),"Standard"),TabRFR[[#Headers],[2023]:[2025]],0)),"Intermédiaire","Supérieur")))))),IF(D674="","",IF(U674+V674&lt;15,"Données Nb pers ou RFR manquantes",IF(COUNTA(INDIRECT("TabRFR["&amp;YEAR(H674)&amp;"]"))&lt;&gt;COUNTA(TabRFR[Recherche RFR]),"Data RFR manquantes", IF(V674&lt;=INDEX(TabRFR[[2023]:[2025]],MATCH(BD!U674&amp;"-Très modestes",TabRFR[Recherche RFR],0),MATCH(TEXT(YEAR(BD!H674),"Standard"),TabRFR[[#Headers],[2023]:[2025]],0)),"Très Modeste",IF(V674&lt;=INDEX(TabRFR[[2023]:[2025]],MATCH(BD!U674&amp;"-modestes",TabRFR[Recherche RFR],0),MATCH(TEXT(YEAR(BD!H674),"Standard"),TabRFR[[#Headers],[2023]:[2025]],0)),"Modeste",IF(V674&lt;=INDEX(TabRFR[[2023]:[2025]],MATCH(BD!U674&amp;"-Intermédiaire",TabRFR[Recherche RFR],0),MATCH(TEXT(YEAR(BD!H674),"Standard"),TabRFR[[#Headers],[2023]:[2025]],0)),"Intermédiaire","Supérieur")))))))</f>
        <v>Supérieur</v>
      </c>
      <c r="X674" s="144"/>
      <c r="Y674" s="135" t="s">
        <v>3139</v>
      </c>
      <c r="Z674" s="144">
        <v>38430</v>
      </c>
      <c r="AA674" s="135" t="s">
        <v>351</v>
      </c>
      <c r="AB674" s="148"/>
      <c r="AC674" s="197"/>
      <c r="AD674" s="135" t="s">
        <v>91</v>
      </c>
      <c r="AI674" s="135" t="s">
        <v>220</v>
      </c>
      <c r="AJ674" s="135" t="s">
        <v>108</v>
      </c>
      <c r="AK674" s="135" t="s">
        <v>2059</v>
      </c>
      <c r="AL674" s="169" t="s">
        <v>1947</v>
      </c>
      <c r="AM674" s="148">
        <v>476323235</v>
      </c>
      <c r="AN674" s="135" t="s">
        <v>76</v>
      </c>
      <c r="AO674" s="193" t="s">
        <v>102</v>
      </c>
      <c r="AP674" s="135">
        <v>45525</v>
      </c>
      <c r="AQ674" s="135" t="s">
        <v>3449</v>
      </c>
      <c r="AR674" s="143">
        <v>1970</v>
      </c>
      <c r="AS674" s="143" t="s">
        <v>3413</v>
      </c>
      <c r="AT674" s="135" t="s">
        <v>3446</v>
      </c>
      <c r="AU674" s="135" t="s">
        <v>488</v>
      </c>
      <c r="AV674" s="135" t="s">
        <v>3269</v>
      </c>
      <c r="BA674" s="135" t="s">
        <v>101</v>
      </c>
      <c r="BC674" s="151">
        <f>(33+1815)/1.055</f>
        <v>1751.658767772512</v>
      </c>
      <c r="BD674" s="151"/>
      <c r="BE674" s="151">
        <f>(44+33+528)/1.055</f>
        <v>573.4597156398105</v>
      </c>
      <c r="BF674" s="151">
        <f t="shared" si="85"/>
        <v>2325.1184834123223</v>
      </c>
      <c r="BG674" s="151">
        <f t="shared" si="79"/>
        <v>127.88151658767772</v>
      </c>
      <c r="BH674" s="151">
        <f t="shared" si="84"/>
        <v>2453</v>
      </c>
      <c r="BI674" s="151">
        <v>2453</v>
      </c>
      <c r="BJ674" s="135" t="s">
        <v>144</v>
      </c>
      <c r="BM674" s="144" t="s">
        <v>3592</v>
      </c>
      <c r="BN674" s="144">
        <v>2023</v>
      </c>
      <c r="BO674" s="135" t="s">
        <v>143</v>
      </c>
      <c r="BP674" s="144">
        <v>2023</v>
      </c>
      <c r="BQ674" s="203" t="s">
        <v>144</v>
      </c>
    </row>
    <row r="675" spans="1:69" s="135" customFormat="1" ht="41.1" customHeight="1">
      <c r="A675" s="145" t="s">
        <v>1705</v>
      </c>
      <c r="B675" s="145" t="s">
        <v>3134</v>
      </c>
      <c r="C675" s="143"/>
      <c r="R675" s="135" t="s">
        <v>3581</v>
      </c>
      <c r="U675" s="144"/>
      <c r="V675" s="143"/>
      <c r="W675" s="143"/>
      <c r="X675" s="144"/>
      <c r="Z675" s="144"/>
      <c r="AB675" s="148"/>
      <c r="AC675" s="202"/>
      <c r="AL675" s="208"/>
      <c r="AM675" s="148"/>
      <c r="AO675" s="193"/>
      <c r="AW675" s="143"/>
      <c r="AX675" s="143"/>
      <c r="AY675" s="143"/>
      <c r="AZ675" s="143"/>
      <c r="BB675" s="151"/>
      <c r="BC675" s="151"/>
      <c r="BD675" s="151"/>
      <c r="BE675" s="151"/>
      <c r="BF675" s="151"/>
      <c r="BG675" s="151"/>
      <c r="BH675" s="151"/>
      <c r="BM675" s="144">
        <v>0</v>
      </c>
      <c r="BN675" s="153" t="s">
        <v>103</v>
      </c>
      <c r="BO675" s="135" t="s">
        <v>103</v>
      </c>
      <c r="BP675" s="135" t="s">
        <v>3584</v>
      </c>
      <c r="BQ675" s="203" t="s">
        <v>3585</v>
      </c>
    </row>
    <row r="676" spans="1:69" ht="41.1" customHeight="1">
      <c r="A676" s="219" t="s">
        <v>1705</v>
      </c>
      <c r="B676" s="219" t="s">
        <v>3135</v>
      </c>
      <c r="C676" s="143">
        <f t="shared" ca="1" si="83"/>
        <v>600</v>
      </c>
      <c r="D676" s="135">
        <v>45190</v>
      </c>
      <c r="E676" s="135" t="s">
        <v>76</v>
      </c>
      <c r="F676" s="135">
        <v>45194</v>
      </c>
      <c r="G676" s="135" t="s">
        <v>3219</v>
      </c>
      <c r="H676" s="135">
        <v>45210</v>
      </c>
      <c r="I676" s="135">
        <v>45211</v>
      </c>
      <c r="J676" s="135">
        <v>45236</v>
      </c>
      <c r="K676" s="135"/>
      <c r="L676" s="135"/>
      <c r="M676" s="135"/>
      <c r="N676" s="135"/>
      <c r="O676" s="135"/>
      <c r="P676" s="135"/>
      <c r="Q676" s="135"/>
      <c r="R676" s="135"/>
      <c r="S676" s="135"/>
      <c r="T676" s="135"/>
      <c r="U676" s="144">
        <v>2</v>
      </c>
      <c r="V676" s="143">
        <v>38194</v>
      </c>
      <c r="W676" s="143" t="str">
        <f ca="1">IF(H676="",IF(D676="","",IF(U676+V676&lt;15,"Données Nb pers ou RFR manquantes",IF(COUNTA(INDIRECT("TabRFR["&amp;YEAR(D676)&amp;"]"))&lt;&gt;COUNTA(TabRFR[Recherche RFR]),"Data RFR manquantes", IF(V676&lt;=INDEX(TabRFR[[2023]:[2025]],MATCH(BD!U676&amp;"-Très modestes",TabRFR[Recherche RFR],0),MATCH(TEXT(YEAR(BD!D676),"Standard"),TabRFR[[#Headers],[2023]:[2025]],0)),"Très Modeste",IF(V676&lt;=INDEX(TabRFR[[2023]:[2025]],MATCH(BD!U676&amp;"-modestes",TabRFR[Recherche RFR],0),MATCH(TEXT(YEAR(BD!D676),"Standard"),TabRFR[[#Headers],[2023]:[2025]],0)),"Modeste",IF(V676&lt;=INDEX(TabRFR[[2023]:[2025]],MATCH(BD!U676&amp;"-Intermédiaire",TabRFR[Recherche RFR],0),MATCH(TEXT(YEAR(BD!D676),"Standard"),TabRFR[[#Headers],[2023]:[2025]],0)),"Intermédiaire","Supérieur")))))),IF(D676="","",IF(U676+V676&lt;15,"Données Nb pers ou RFR manquantes",IF(COUNTA(INDIRECT("TabRFR["&amp;YEAR(H676)&amp;"]"))&lt;&gt;COUNTA(TabRFR[Recherche RFR]),"Data RFR manquantes", IF(V676&lt;=INDEX(TabRFR[[2023]:[2025]],MATCH(BD!U676&amp;"-Très modestes",TabRFR[Recherche RFR],0),MATCH(TEXT(YEAR(BD!H676),"Standard"),TabRFR[[#Headers],[2023]:[2025]],0)),"Très Modeste",IF(V676&lt;=INDEX(TabRFR[[2023]:[2025]],MATCH(BD!U676&amp;"-modestes",TabRFR[Recherche RFR],0),MATCH(TEXT(YEAR(BD!H676),"Standard"),TabRFR[[#Headers],[2023]:[2025]],0)),"Modeste",IF(V676&lt;=INDEX(TabRFR[[2023]:[2025]],MATCH(BD!U676&amp;"-Intermédiaire",TabRFR[Recherche RFR],0),MATCH(TEXT(YEAR(BD!H676),"Standard"),TabRFR[[#Headers],[2023]:[2025]],0)),"Intermédiaire","Supérieur")))))))</f>
        <v>Intermédiaire</v>
      </c>
      <c r="X676" s="144"/>
      <c r="Y676" s="135" t="s">
        <v>3217</v>
      </c>
      <c r="Z676" s="144">
        <v>38210</v>
      </c>
      <c r="AA676" s="135" t="s">
        <v>202</v>
      </c>
      <c r="AB676" s="148"/>
      <c r="AC676" s="197"/>
      <c r="AD676" s="135" t="s">
        <v>91</v>
      </c>
      <c r="AE676" s="135"/>
      <c r="AF676" s="135"/>
      <c r="AG676" s="135"/>
      <c r="AH676" s="135"/>
      <c r="AI676" s="135" t="s">
        <v>285</v>
      </c>
      <c r="AJ676" s="135" t="s">
        <v>108</v>
      </c>
      <c r="AK676" s="135" t="s">
        <v>2227</v>
      </c>
      <c r="AL676" s="169" t="s">
        <v>287</v>
      </c>
      <c r="AM676" s="148" t="s">
        <v>2184</v>
      </c>
      <c r="AN676" s="135" t="s">
        <v>76</v>
      </c>
      <c r="AO676" s="193" t="s">
        <v>102</v>
      </c>
      <c r="AP676" s="135">
        <v>45553</v>
      </c>
      <c r="AQ676" s="135" t="s">
        <v>3496</v>
      </c>
      <c r="AR676" s="143">
        <v>1999</v>
      </c>
      <c r="AS676" s="143" t="s">
        <v>3413</v>
      </c>
      <c r="AT676" s="135" t="s">
        <v>3446</v>
      </c>
      <c r="AU676" s="135" t="s">
        <v>532</v>
      </c>
      <c r="AV676" s="135" t="s">
        <v>3218</v>
      </c>
      <c r="AW676" s="135"/>
      <c r="AX676" s="135"/>
      <c r="AY676" s="135"/>
      <c r="AZ676" s="135"/>
      <c r="BA676" s="135" t="s">
        <v>101</v>
      </c>
      <c r="BB676" s="135"/>
      <c r="BC676" s="151">
        <f>605+275+89+3610</f>
        <v>4579</v>
      </c>
      <c r="BD676" s="135"/>
      <c r="BE676" s="151">
        <f>490+330</f>
        <v>820</v>
      </c>
      <c r="BF676" s="151">
        <f t="shared" si="85"/>
        <v>5399</v>
      </c>
      <c r="BG676" s="151">
        <f t="shared" si="79"/>
        <v>296.94499999999999</v>
      </c>
      <c r="BH676" s="151">
        <f t="shared" si="84"/>
        <v>5695.9449999999997</v>
      </c>
      <c r="BI676" s="135"/>
      <c r="BJ676" s="135" t="s">
        <v>103</v>
      </c>
      <c r="BK676" s="135"/>
      <c r="BL676" s="135"/>
      <c r="BM676" s="144" t="s">
        <v>3592</v>
      </c>
      <c r="BN676" s="144">
        <v>2023</v>
      </c>
      <c r="BO676" s="135" t="s">
        <v>143</v>
      </c>
      <c r="BP676" s="144">
        <v>2023</v>
      </c>
      <c r="BQ676" s="203"/>
    </row>
    <row r="677" spans="1:69" ht="41.1" customHeight="1">
      <c r="A677" s="218" t="s">
        <v>1705</v>
      </c>
      <c r="B677" s="218" t="s">
        <v>3136</v>
      </c>
      <c r="C677" s="143">
        <f t="shared" ca="1" si="83"/>
        <v>600</v>
      </c>
      <c r="D677" s="135">
        <v>45190</v>
      </c>
      <c r="E677" s="135" t="s">
        <v>76</v>
      </c>
      <c r="F677" s="135" t="s">
        <v>76</v>
      </c>
      <c r="G677" s="135" t="s">
        <v>76</v>
      </c>
      <c r="H677" s="135">
        <v>45198</v>
      </c>
      <c r="I677" s="135">
        <v>45194</v>
      </c>
      <c r="J677" s="135">
        <v>45232</v>
      </c>
      <c r="K677" s="135">
        <v>45260</v>
      </c>
      <c r="L677" s="135">
        <v>45245</v>
      </c>
      <c r="M677" s="135" t="s">
        <v>76</v>
      </c>
      <c r="N677" s="135">
        <v>45264</v>
      </c>
      <c r="O677" s="135">
        <v>45264</v>
      </c>
      <c r="P677" s="135">
        <v>45271</v>
      </c>
      <c r="Q677" s="135"/>
      <c r="R677" s="135"/>
      <c r="S677" s="135"/>
      <c r="T677" s="135"/>
      <c r="U677" s="144">
        <v>5</v>
      </c>
      <c r="V677" s="143">
        <v>205308</v>
      </c>
      <c r="W677" s="143" t="str">
        <f ca="1">IF(H677="",IF(D677="","",IF(U677+V677&lt;15,"Données Nb pers ou RFR manquantes",IF(COUNTA(INDIRECT("TabRFR["&amp;YEAR(D677)&amp;"]"))&lt;&gt;COUNTA(TabRFR[Recherche RFR]),"Data RFR manquantes", IF(V677&lt;=INDEX(TabRFR[[2023]:[2025]],MATCH(BD!U677&amp;"-Très modestes",TabRFR[Recherche RFR],0),MATCH(TEXT(YEAR(BD!D677),"Standard"),TabRFR[[#Headers],[2023]:[2025]],0)),"Très Modeste",IF(V677&lt;=INDEX(TabRFR[[2023]:[2025]],MATCH(BD!U677&amp;"-modestes",TabRFR[Recherche RFR],0),MATCH(TEXT(YEAR(BD!D677),"Standard"),TabRFR[[#Headers],[2023]:[2025]],0)),"Modeste",IF(V677&lt;=INDEX(TabRFR[[2023]:[2025]],MATCH(BD!U677&amp;"-Intermédiaire",TabRFR[Recherche RFR],0),MATCH(TEXT(YEAR(BD!D677),"Standard"),TabRFR[[#Headers],[2023]:[2025]],0)),"Intermédiaire","Supérieur")))))),IF(D677="","",IF(U677+V677&lt;15,"Données Nb pers ou RFR manquantes",IF(COUNTA(INDIRECT("TabRFR["&amp;YEAR(H677)&amp;"]"))&lt;&gt;COUNTA(TabRFR[Recherche RFR]),"Data RFR manquantes", IF(V677&lt;=INDEX(TabRFR[[2023]:[2025]],MATCH(BD!U677&amp;"-Très modestes",TabRFR[Recherche RFR],0),MATCH(TEXT(YEAR(BD!H677),"Standard"),TabRFR[[#Headers],[2023]:[2025]],0)),"Très Modeste",IF(V677&lt;=INDEX(TabRFR[[2023]:[2025]],MATCH(BD!U677&amp;"-modestes",TabRFR[Recherche RFR],0),MATCH(TEXT(YEAR(BD!H677),"Standard"),TabRFR[[#Headers],[2023]:[2025]],0)),"Modeste",IF(V677&lt;=INDEX(TabRFR[[2023]:[2025]],MATCH(BD!U677&amp;"-Intermédiaire",TabRFR[Recherche RFR],0),MATCH(TEXT(YEAR(BD!H677),"Standard"),TabRFR[[#Headers],[2023]:[2025]],0)),"Intermédiaire","Supérieur")))))))</f>
        <v>Supérieur</v>
      </c>
      <c r="X677" s="144"/>
      <c r="Y677" s="135" t="s">
        <v>1264</v>
      </c>
      <c r="Z677" s="144">
        <v>38140</v>
      </c>
      <c r="AA677" s="135" t="s">
        <v>184</v>
      </c>
      <c r="AB677" s="148"/>
      <c r="AC677" s="197"/>
      <c r="AD677" s="135" t="s">
        <v>91</v>
      </c>
      <c r="AE677" s="135"/>
      <c r="AF677" s="135"/>
      <c r="AG677" s="135"/>
      <c r="AH677" s="135"/>
      <c r="AI677" s="135" t="str">
        <f t="shared" ref="AI677:AP677" si="86">AI640</f>
        <v>JACQU'CHEMINEES</v>
      </c>
      <c r="AJ677" s="135" t="s">
        <v>119</v>
      </c>
      <c r="AK677" s="135" t="str">
        <f t="shared" si="86"/>
        <v>Mr FAURE</v>
      </c>
      <c r="AL677" s="169" t="str">
        <f t="shared" si="86"/>
        <v>jacques.faure24@wanadoo.fr</v>
      </c>
      <c r="AM677" s="135" t="str">
        <f t="shared" si="86"/>
        <v>04 76 35 56 05</v>
      </c>
      <c r="AN677" s="135" t="str">
        <f t="shared" si="86"/>
        <v>-</v>
      </c>
      <c r="AO677" s="135" t="str">
        <f t="shared" si="86"/>
        <v>oui</v>
      </c>
      <c r="AP677" s="135">
        <f t="shared" si="86"/>
        <v>45248</v>
      </c>
      <c r="AQ677" s="135" t="s">
        <v>3449</v>
      </c>
      <c r="AR677" s="143">
        <v>1977</v>
      </c>
      <c r="AS677" s="135" t="s">
        <v>3496</v>
      </c>
      <c r="AT677" s="135" t="s">
        <v>3446</v>
      </c>
      <c r="AU677" s="135" t="s">
        <v>1634</v>
      </c>
      <c r="AV677" s="135" t="s">
        <v>3220</v>
      </c>
      <c r="AW677" s="135"/>
      <c r="AX677" s="135"/>
      <c r="AY677" s="135"/>
      <c r="AZ677" s="135"/>
      <c r="BA677" s="135" t="s">
        <v>101</v>
      </c>
      <c r="BB677" s="135"/>
      <c r="BC677" s="151">
        <f>960+45.5+74.8+165+465.75+6000+1250+274+266.4+78+760+99.09+400</f>
        <v>10838.539999999999</v>
      </c>
      <c r="BD677" s="135"/>
      <c r="BE677" s="151">
        <v>1150</v>
      </c>
      <c r="BF677" s="151">
        <f t="shared" si="85"/>
        <v>11988.539999999999</v>
      </c>
      <c r="BG677" s="151">
        <f t="shared" si="79"/>
        <v>659.36969999999997</v>
      </c>
      <c r="BH677" s="151">
        <f t="shared" si="84"/>
        <v>12647.909699999998</v>
      </c>
      <c r="BI677" s="151">
        <v>12648.33</v>
      </c>
      <c r="BJ677" s="135" t="s">
        <v>1391</v>
      </c>
      <c r="BK677" s="135"/>
      <c r="BL677" s="135"/>
      <c r="BM677" s="144" t="s">
        <v>3592</v>
      </c>
      <c r="BN677" s="144">
        <v>2023</v>
      </c>
      <c r="BO677" s="135" t="s">
        <v>143</v>
      </c>
      <c r="BP677" s="144">
        <v>2023</v>
      </c>
      <c r="BQ677" s="203" t="s">
        <v>3274</v>
      </c>
    </row>
    <row r="678" spans="1:69" ht="41.1" customHeight="1">
      <c r="A678" s="219" t="s">
        <v>1705</v>
      </c>
      <c r="B678" s="219" t="s">
        <v>3140</v>
      </c>
      <c r="C678" s="143">
        <f t="shared" ca="1" si="83"/>
        <v>600</v>
      </c>
      <c r="D678" s="135">
        <v>45192</v>
      </c>
      <c r="E678" s="135" t="s">
        <v>76</v>
      </c>
      <c r="F678" s="135" t="s">
        <v>76</v>
      </c>
      <c r="G678" s="135" t="s">
        <v>76</v>
      </c>
      <c r="H678" s="135">
        <v>45194</v>
      </c>
      <c r="I678" s="135">
        <v>45194</v>
      </c>
      <c r="J678" s="135">
        <v>45232</v>
      </c>
      <c r="K678" s="135"/>
      <c r="L678" s="135"/>
      <c r="M678" s="135"/>
      <c r="N678" s="135"/>
      <c r="O678" s="135"/>
      <c r="P678" s="135"/>
      <c r="Q678" s="135"/>
      <c r="R678" s="135"/>
      <c r="S678" s="135"/>
      <c r="T678" s="135"/>
      <c r="U678" s="144">
        <v>5</v>
      </c>
      <c r="V678" s="143">
        <v>64167</v>
      </c>
      <c r="W678" s="143" t="str">
        <f ca="1">IF(H678="",IF(D678="","",IF(U678+V678&lt;15,"Données Nb pers ou RFR manquantes",IF(COUNTA(INDIRECT("TabRFR["&amp;YEAR(D678)&amp;"]"))&lt;&gt;COUNTA(TabRFR[Recherche RFR]),"Data RFR manquantes", IF(V678&lt;=INDEX(TabRFR[[2023]:[2025]],MATCH(BD!U678&amp;"-Très modestes",TabRFR[Recherche RFR],0),MATCH(TEXT(YEAR(BD!D678),"Standard"),TabRFR[[#Headers],[2023]:[2025]],0)),"Très Modeste",IF(V678&lt;=INDEX(TabRFR[[2023]:[2025]],MATCH(BD!U678&amp;"-modestes",TabRFR[Recherche RFR],0),MATCH(TEXT(YEAR(BD!D678),"Standard"),TabRFR[[#Headers],[2023]:[2025]],0)),"Modeste",IF(V678&lt;=INDEX(TabRFR[[2023]:[2025]],MATCH(BD!U678&amp;"-Intermédiaire",TabRFR[Recherche RFR],0),MATCH(TEXT(YEAR(BD!D678),"Standard"),TabRFR[[#Headers],[2023]:[2025]],0)),"Intermédiaire","Supérieur")))))),IF(D678="","",IF(U678+V678&lt;15,"Données Nb pers ou RFR manquantes",IF(COUNTA(INDIRECT("TabRFR["&amp;YEAR(H678)&amp;"]"))&lt;&gt;COUNTA(TabRFR[Recherche RFR]),"Data RFR manquantes", IF(V678&lt;=INDEX(TabRFR[[2023]:[2025]],MATCH(BD!U678&amp;"-Très modestes",TabRFR[Recherche RFR],0),MATCH(TEXT(YEAR(BD!H678),"Standard"),TabRFR[[#Headers],[2023]:[2025]],0)),"Très Modeste",IF(V678&lt;=INDEX(TabRFR[[2023]:[2025]],MATCH(BD!U678&amp;"-modestes",TabRFR[Recherche RFR],0),MATCH(TEXT(YEAR(BD!H678),"Standard"),TabRFR[[#Headers],[2023]:[2025]],0)),"Modeste",IF(V678&lt;=INDEX(TabRFR[[2023]:[2025]],MATCH(BD!U678&amp;"-Intermédiaire",TabRFR[Recherche RFR],0),MATCH(TEXT(YEAR(BD!H678),"Standard"),TabRFR[[#Headers],[2023]:[2025]],0)),"Intermédiaire","Supérieur")))))))</f>
        <v>Intermédiaire</v>
      </c>
      <c r="X678" s="144"/>
      <c r="Y678" s="135" t="s">
        <v>2135</v>
      </c>
      <c r="Z678" s="144">
        <v>38850</v>
      </c>
      <c r="AA678" s="135" t="s">
        <v>168</v>
      </c>
      <c r="AB678" s="148"/>
      <c r="AC678" s="197"/>
      <c r="AD678" s="135" t="s">
        <v>91</v>
      </c>
      <c r="AE678" s="135"/>
      <c r="AF678" s="135"/>
      <c r="AG678" s="135"/>
      <c r="AH678" s="135"/>
      <c r="AI678" s="135" t="s">
        <v>285</v>
      </c>
      <c r="AJ678" s="135" t="s">
        <v>108</v>
      </c>
      <c r="AK678" s="135" t="s">
        <v>2227</v>
      </c>
      <c r="AL678" s="169" t="s">
        <v>287</v>
      </c>
      <c r="AM678" s="148" t="s">
        <v>2184</v>
      </c>
      <c r="AN678" s="135" t="s">
        <v>76</v>
      </c>
      <c r="AO678" s="193" t="s">
        <v>102</v>
      </c>
      <c r="AP678" s="135">
        <v>45553</v>
      </c>
      <c r="AQ678" s="143" t="s">
        <v>3413</v>
      </c>
      <c r="AR678" s="143">
        <v>2000</v>
      </c>
      <c r="AS678" s="143" t="s">
        <v>3413</v>
      </c>
      <c r="AT678" s="143" t="s">
        <v>98</v>
      </c>
      <c r="AU678" s="135" t="s">
        <v>381</v>
      </c>
      <c r="AV678" s="135" t="s">
        <v>3221</v>
      </c>
      <c r="AW678" s="135"/>
      <c r="AX678" s="135"/>
      <c r="AY678" s="135"/>
      <c r="AZ678" s="135"/>
      <c r="BA678" s="135" t="s">
        <v>101</v>
      </c>
      <c r="BB678" s="135"/>
      <c r="BC678" s="151">
        <f>1311+5325+319</f>
        <v>6955</v>
      </c>
      <c r="BD678" s="135"/>
      <c r="BE678" s="151">
        <f>450+420</f>
        <v>870</v>
      </c>
      <c r="BF678" s="151">
        <f t="shared" si="85"/>
        <v>7825</v>
      </c>
      <c r="BG678" s="151">
        <f t="shared" si="79"/>
        <v>430.375</v>
      </c>
      <c r="BH678" s="151">
        <f t="shared" si="84"/>
        <v>8255.375</v>
      </c>
      <c r="BI678" s="135"/>
      <c r="BJ678" s="135" t="s">
        <v>1391</v>
      </c>
      <c r="BK678" s="135"/>
      <c r="BL678" s="135"/>
      <c r="BM678" s="144" t="s">
        <v>3592</v>
      </c>
      <c r="BN678" s="144">
        <v>2023</v>
      </c>
      <c r="BO678" s="135" t="s">
        <v>143</v>
      </c>
      <c r="BP678" s="143" t="s">
        <v>3583</v>
      </c>
      <c r="BQ678" s="203" t="s">
        <v>3274</v>
      </c>
    </row>
    <row r="679" spans="1:69" ht="41.1" customHeight="1">
      <c r="A679" s="218" t="s">
        <v>1705</v>
      </c>
      <c r="B679" s="218" t="s">
        <v>3141</v>
      </c>
      <c r="C679" s="143">
        <f t="shared" ca="1" si="83"/>
        <v>1000</v>
      </c>
      <c r="D679" s="135">
        <v>45193</v>
      </c>
      <c r="E679" s="135" t="s">
        <v>76</v>
      </c>
      <c r="F679" s="135">
        <v>45194</v>
      </c>
      <c r="G679" s="135" t="s">
        <v>3224</v>
      </c>
      <c r="H679" s="135">
        <v>45232</v>
      </c>
      <c r="I679" s="135">
        <v>45232</v>
      </c>
      <c r="J679" s="135">
        <v>45258</v>
      </c>
      <c r="K679" s="135">
        <v>45278</v>
      </c>
      <c r="L679" s="135">
        <v>45275</v>
      </c>
      <c r="M679" s="135" t="s">
        <v>76</v>
      </c>
      <c r="N679" s="135">
        <v>45281</v>
      </c>
      <c r="O679" s="135">
        <v>45281</v>
      </c>
      <c r="P679" s="135">
        <v>45288</v>
      </c>
      <c r="Q679" s="135"/>
      <c r="R679" s="135"/>
      <c r="S679" s="135"/>
      <c r="T679" s="135"/>
      <c r="U679" s="144">
        <v>1</v>
      </c>
      <c r="V679" s="143">
        <v>13940</v>
      </c>
      <c r="W679" s="143" t="str">
        <f ca="1">IF(H679="",IF(D679="","",IF(U679+V679&lt;15,"Données Nb pers ou RFR manquantes",IF(COUNTA(INDIRECT("TabRFR["&amp;YEAR(D679)&amp;"]"))&lt;&gt;COUNTA(TabRFR[Recherche RFR]),"Data RFR manquantes", IF(V679&lt;=INDEX(TabRFR[[2023]:[2025]],MATCH(BD!U679&amp;"-Très modestes",TabRFR[Recherche RFR],0),MATCH(TEXT(YEAR(BD!D679),"Standard"),TabRFR[[#Headers],[2023]:[2025]],0)),"Très Modeste",IF(V679&lt;=INDEX(TabRFR[[2023]:[2025]],MATCH(BD!U679&amp;"-modestes",TabRFR[Recherche RFR],0),MATCH(TEXT(YEAR(BD!D679),"Standard"),TabRFR[[#Headers],[2023]:[2025]],0)),"Modeste",IF(V679&lt;=INDEX(TabRFR[[2023]:[2025]],MATCH(BD!U679&amp;"-Intermédiaire",TabRFR[Recherche RFR],0),MATCH(TEXT(YEAR(BD!D679),"Standard"),TabRFR[[#Headers],[2023]:[2025]],0)),"Intermédiaire","Supérieur")))))),IF(D679="","",IF(U679+V679&lt;15,"Données Nb pers ou RFR manquantes",IF(COUNTA(INDIRECT("TabRFR["&amp;YEAR(H679)&amp;"]"))&lt;&gt;COUNTA(TabRFR[Recherche RFR]),"Data RFR manquantes", IF(V679&lt;=INDEX(TabRFR[[2023]:[2025]],MATCH(BD!U679&amp;"-Très modestes",TabRFR[Recherche RFR],0),MATCH(TEXT(YEAR(BD!H679),"Standard"),TabRFR[[#Headers],[2023]:[2025]],0)),"Très Modeste",IF(V679&lt;=INDEX(TabRFR[[2023]:[2025]],MATCH(BD!U679&amp;"-modestes",TabRFR[Recherche RFR],0),MATCH(TEXT(YEAR(BD!H679),"Standard"),TabRFR[[#Headers],[2023]:[2025]],0)),"Modeste",IF(V679&lt;=INDEX(TabRFR[[2023]:[2025]],MATCH(BD!U679&amp;"-Intermédiaire",TabRFR[Recherche RFR],0),MATCH(TEXT(YEAR(BD!H679),"Standard"),TabRFR[[#Headers],[2023]:[2025]],0)),"Intermédiaire","Supérieur")))))))</f>
        <v>Très Modeste</v>
      </c>
      <c r="X679" s="144"/>
      <c r="Y679" s="135" t="s">
        <v>3222</v>
      </c>
      <c r="Z679" s="144">
        <v>38580</v>
      </c>
      <c r="AA679" s="135" t="s">
        <v>435</v>
      </c>
      <c r="AB679" s="148"/>
      <c r="AC679" s="212"/>
      <c r="AD679" s="135" t="s">
        <v>91</v>
      </c>
      <c r="AE679" s="135"/>
      <c r="AF679" s="135"/>
      <c r="AG679" s="135"/>
      <c r="AH679" s="135"/>
      <c r="AI679" s="135" t="s">
        <v>905</v>
      </c>
      <c r="AJ679" s="135" t="s">
        <v>136</v>
      </c>
      <c r="AK679" s="135" t="s">
        <v>1897</v>
      </c>
      <c r="AL679" s="169" t="s">
        <v>2794</v>
      </c>
      <c r="AM679" s="148">
        <v>660022505</v>
      </c>
      <c r="AN679" s="135" t="s">
        <v>76</v>
      </c>
      <c r="AO679" s="193" t="str">
        <f>AO657</f>
        <v>oui</v>
      </c>
      <c r="AP679" s="135">
        <v>45399</v>
      </c>
      <c r="AQ679" s="135" t="s">
        <v>3449</v>
      </c>
      <c r="AR679" s="143" t="s">
        <v>3223</v>
      </c>
      <c r="AS679" s="143" t="s">
        <v>3413</v>
      </c>
      <c r="AT679" s="135" t="s">
        <v>3446</v>
      </c>
      <c r="AU679" s="135" t="s">
        <v>2060</v>
      </c>
      <c r="AV679" s="135" t="s">
        <v>835</v>
      </c>
      <c r="AW679" s="135"/>
      <c r="AX679" s="135"/>
      <c r="AY679" s="135"/>
      <c r="AZ679" s="135"/>
      <c r="BA679" s="135" t="s">
        <v>101</v>
      </c>
      <c r="BB679" s="135"/>
      <c r="BC679" s="151">
        <f>1500+894+444+1756+241+76</f>
        <v>4911</v>
      </c>
      <c r="BD679" s="135"/>
      <c r="BE679" s="151">
        <f>237+72</f>
        <v>309</v>
      </c>
      <c r="BF679" s="151">
        <f t="shared" si="85"/>
        <v>5220</v>
      </c>
      <c r="BG679" s="151">
        <f t="shared" si="79"/>
        <v>287.10000000000002</v>
      </c>
      <c r="BH679" s="151">
        <f t="shared" si="84"/>
        <v>5507.1</v>
      </c>
      <c r="BI679" s="151">
        <v>5507.01</v>
      </c>
      <c r="BJ679" s="135" t="s">
        <v>144</v>
      </c>
      <c r="BK679" s="135"/>
      <c r="BL679" s="135"/>
      <c r="BM679" s="144" t="s">
        <v>3592</v>
      </c>
      <c r="BN679" s="144">
        <v>2023</v>
      </c>
      <c r="BO679" s="135" t="s">
        <v>155</v>
      </c>
      <c r="BP679" s="144">
        <v>2023</v>
      </c>
      <c r="BQ679" s="203" t="s">
        <v>144</v>
      </c>
    </row>
    <row r="680" spans="1:69" ht="41.1" customHeight="1">
      <c r="A680" s="218" t="s">
        <v>1705</v>
      </c>
      <c r="B680" s="218" t="s">
        <v>3142</v>
      </c>
      <c r="C680" s="143">
        <f t="shared" ca="1" si="83"/>
        <v>600</v>
      </c>
      <c r="D680" s="135">
        <v>45189</v>
      </c>
      <c r="E680" s="135" t="s">
        <v>76</v>
      </c>
      <c r="F680" s="135">
        <v>45201</v>
      </c>
      <c r="G680" s="135" t="s">
        <v>3259</v>
      </c>
      <c r="H680" s="135">
        <v>45210</v>
      </c>
      <c r="I680" s="135">
        <v>45211</v>
      </c>
      <c r="J680" s="135">
        <v>45236</v>
      </c>
      <c r="K680" s="135">
        <v>45259</v>
      </c>
      <c r="L680" s="135">
        <v>45256</v>
      </c>
      <c r="M680" s="135" t="s">
        <v>1844</v>
      </c>
      <c r="N680" s="135">
        <v>45316</v>
      </c>
      <c r="O680" s="135">
        <v>45316</v>
      </c>
      <c r="P680" s="135">
        <v>45317</v>
      </c>
      <c r="Q680" s="135"/>
      <c r="R680" s="135"/>
      <c r="S680" s="135"/>
      <c r="T680" s="135"/>
      <c r="U680" s="144">
        <v>2</v>
      </c>
      <c r="V680" s="143">
        <v>65469</v>
      </c>
      <c r="W680" s="143" t="str">
        <f ca="1">IF(H680="",IF(D680="","",IF(U680+V680&lt;15,"Données Nb pers ou RFR manquantes",IF(COUNTA(INDIRECT("TabRFR["&amp;YEAR(D680)&amp;"]"))&lt;&gt;COUNTA(TabRFR[Recherche RFR]),"Data RFR manquantes", IF(V680&lt;=INDEX(TabRFR[[2023]:[2025]],MATCH(BD!U680&amp;"-Très modestes",TabRFR[Recherche RFR],0),MATCH(TEXT(YEAR(BD!D680),"Standard"),TabRFR[[#Headers],[2023]:[2025]],0)),"Très Modeste",IF(V680&lt;=INDEX(TabRFR[[2023]:[2025]],MATCH(BD!U680&amp;"-modestes",TabRFR[Recherche RFR],0),MATCH(TEXT(YEAR(BD!D680),"Standard"),TabRFR[[#Headers],[2023]:[2025]],0)),"Modeste",IF(V680&lt;=INDEX(TabRFR[[2023]:[2025]],MATCH(BD!U680&amp;"-Intermédiaire",TabRFR[Recherche RFR],0),MATCH(TEXT(YEAR(BD!D680),"Standard"),TabRFR[[#Headers],[2023]:[2025]],0)),"Intermédiaire","Supérieur")))))),IF(D680="","",IF(U680+V680&lt;15,"Données Nb pers ou RFR manquantes",IF(COUNTA(INDIRECT("TabRFR["&amp;YEAR(H680)&amp;"]"))&lt;&gt;COUNTA(TabRFR[Recherche RFR]),"Data RFR manquantes", IF(V680&lt;=INDEX(TabRFR[[2023]:[2025]],MATCH(BD!U680&amp;"-Très modestes",TabRFR[Recherche RFR],0),MATCH(TEXT(YEAR(BD!H680),"Standard"),TabRFR[[#Headers],[2023]:[2025]],0)),"Très Modeste",IF(V680&lt;=INDEX(TabRFR[[2023]:[2025]],MATCH(BD!U680&amp;"-modestes",TabRFR[Recherche RFR],0),MATCH(TEXT(YEAR(BD!H680),"Standard"),TabRFR[[#Headers],[2023]:[2025]],0)),"Modeste",IF(V680&lt;=INDEX(TabRFR[[2023]:[2025]],MATCH(BD!U680&amp;"-Intermédiaire",TabRFR[Recherche RFR],0),MATCH(TEXT(YEAR(BD!H680),"Standard"),TabRFR[[#Headers],[2023]:[2025]],0)),"Intermédiaire","Supérieur")))))))</f>
        <v>Supérieur</v>
      </c>
      <c r="X680" s="144"/>
      <c r="Y680" s="135" t="s">
        <v>3225</v>
      </c>
      <c r="Z680" s="144">
        <v>38500</v>
      </c>
      <c r="AA680" s="135" t="s">
        <v>108</v>
      </c>
      <c r="AB680" s="148"/>
      <c r="AC680" s="197"/>
      <c r="AD680" s="135" t="s">
        <v>91</v>
      </c>
      <c r="AE680" s="135"/>
      <c r="AF680" s="135"/>
      <c r="AG680" s="135"/>
      <c r="AH680" s="135"/>
      <c r="AI680" s="135" t="s">
        <v>2259</v>
      </c>
      <c r="AJ680" s="135" t="s">
        <v>2260</v>
      </c>
      <c r="AK680" s="135" t="s">
        <v>2261</v>
      </c>
      <c r="AL680" s="170" t="s">
        <v>2262</v>
      </c>
      <c r="AM680" s="135" t="s">
        <v>2263</v>
      </c>
      <c r="AN680" s="135" t="s">
        <v>76</v>
      </c>
      <c r="AO680" s="135" t="s">
        <v>102</v>
      </c>
      <c r="AP680" s="135">
        <v>45209</v>
      </c>
      <c r="AQ680" s="143" t="s">
        <v>3413</v>
      </c>
      <c r="AR680" s="143">
        <v>2000</v>
      </c>
      <c r="AS680" s="143" t="s">
        <v>3413</v>
      </c>
      <c r="AT680" s="135" t="s">
        <v>3446</v>
      </c>
      <c r="AU680" s="135" t="s">
        <v>3242</v>
      </c>
      <c r="AV680" s="135" t="s">
        <v>3243</v>
      </c>
      <c r="AW680" s="135"/>
      <c r="AX680" s="135"/>
      <c r="AY680" s="135"/>
      <c r="AZ680" s="135"/>
      <c r="BA680" s="135" t="s">
        <v>1401</v>
      </c>
      <c r="BB680" s="135"/>
      <c r="BC680" s="151">
        <f>2890.99+284.36</f>
        <v>3175.35</v>
      </c>
      <c r="BD680" s="135"/>
      <c r="BE680" s="151">
        <v>473.93</v>
      </c>
      <c r="BF680" s="151">
        <f t="shared" si="85"/>
        <v>3649.2799999999997</v>
      </c>
      <c r="BG680" s="151">
        <f t="shared" si="79"/>
        <v>200.71039999999999</v>
      </c>
      <c r="BH680" s="151">
        <f t="shared" si="84"/>
        <v>3849.9903999999997</v>
      </c>
      <c r="BI680" s="151">
        <v>3850</v>
      </c>
      <c r="BJ680" s="135" t="s">
        <v>144</v>
      </c>
      <c r="BK680" s="135"/>
      <c r="BL680" s="135"/>
      <c r="BM680" s="144" t="s">
        <v>3592</v>
      </c>
      <c r="BN680" s="144">
        <v>2023</v>
      </c>
      <c r="BO680" s="135" t="s">
        <v>143</v>
      </c>
      <c r="BP680" s="144">
        <v>2023</v>
      </c>
      <c r="BQ680" s="203"/>
    </row>
    <row r="681" spans="1:69" ht="41.1" customHeight="1">
      <c r="A681" s="218" t="s">
        <v>1705</v>
      </c>
      <c r="B681" s="218" t="s">
        <v>3143</v>
      </c>
      <c r="C681" s="143">
        <v>600</v>
      </c>
      <c r="D681" s="135">
        <v>45195</v>
      </c>
      <c r="E681" s="135" t="s">
        <v>76</v>
      </c>
      <c r="F681" s="135">
        <v>45201</v>
      </c>
      <c r="G681" s="135" t="s">
        <v>3226</v>
      </c>
      <c r="H681" s="135">
        <v>45211</v>
      </c>
      <c r="I681" s="135">
        <v>45211</v>
      </c>
      <c r="J681" s="135">
        <v>45236</v>
      </c>
      <c r="K681" s="135">
        <v>45260</v>
      </c>
      <c r="L681" s="135">
        <v>45248</v>
      </c>
      <c r="M681" s="135" t="s">
        <v>76</v>
      </c>
      <c r="N681" s="135">
        <v>45264</v>
      </c>
      <c r="O681" s="135">
        <v>45264</v>
      </c>
      <c r="P681" s="135">
        <v>45271</v>
      </c>
      <c r="Q681" s="135"/>
      <c r="R681" s="135"/>
      <c r="S681" s="135"/>
      <c r="T681" s="135"/>
      <c r="U681" s="144">
        <v>2</v>
      </c>
      <c r="V681" s="143">
        <v>37424</v>
      </c>
      <c r="W681" s="143" t="str">
        <f ca="1">IF(H681="",IF(D681="","",IF(U681+V681&lt;15,"Données Nb pers ou RFR manquantes",IF(COUNTA(INDIRECT("TabRFR["&amp;YEAR(D681)&amp;"]"))&lt;&gt;COUNTA(TabRFR[Recherche RFR]),"Data RFR manquantes", IF(V681&lt;=INDEX(TabRFR[[2023]:[2025]],MATCH(BD!U681&amp;"-Très modestes",TabRFR[Recherche RFR],0),MATCH(TEXT(YEAR(BD!D681),"Standard"),TabRFR[[#Headers],[2023]:[2025]],0)),"Très Modeste",IF(V681&lt;=INDEX(TabRFR[[2023]:[2025]],MATCH(BD!U681&amp;"-modestes",TabRFR[Recherche RFR],0),MATCH(TEXT(YEAR(BD!D681),"Standard"),TabRFR[[#Headers],[2023]:[2025]],0)),"Modeste",IF(V681&lt;=INDEX(TabRFR[[2023]:[2025]],MATCH(BD!U681&amp;"-Intermédiaire",TabRFR[Recherche RFR],0),MATCH(TEXT(YEAR(BD!D681),"Standard"),TabRFR[[#Headers],[2023]:[2025]],0)),"Intermédiaire","Supérieur")))))),IF(D681="","",IF(U681+V681&lt;15,"Données Nb pers ou RFR manquantes",IF(COUNTA(INDIRECT("TabRFR["&amp;YEAR(H681)&amp;"]"))&lt;&gt;COUNTA(TabRFR[Recherche RFR]),"Data RFR manquantes", IF(V681&lt;=INDEX(TabRFR[[2023]:[2025]],MATCH(BD!U681&amp;"-Très modestes",TabRFR[Recherche RFR],0),MATCH(TEXT(YEAR(BD!H681),"Standard"),TabRFR[[#Headers],[2023]:[2025]],0)),"Très Modeste",IF(V681&lt;=INDEX(TabRFR[[2023]:[2025]],MATCH(BD!U681&amp;"-modestes",TabRFR[Recherche RFR],0),MATCH(TEXT(YEAR(BD!H681),"Standard"),TabRFR[[#Headers],[2023]:[2025]],0)),"Modeste",IF(V681&lt;=INDEX(TabRFR[[2023]:[2025]],MATCH(BD!U681&amp;"-Intermédiaire",TabRFR[Recherche RFR],0),MATCH(TEXT(YEAR(BD!H681),"Standard"),TabRFR[[#Headers],[2023]:[2025]],0)),"Intermédiaire","Supérieur")))))))</f>
        <v>Intermédiaire</v>
      </c>
      <c r="X681" s="144"/>
      <c r="Y681" s="135" t="s">
        <v>716</v>
      </c>
      <c r="Z681" s="144">
        <v>38140</v>
      </c>
      <c r="AA681" s="135" t="s">
        <v>159</v>
      </c>
      <c r="AB681" s="148"/>
      <c r="AC681" s="197"/>
      <c r="AD681" s="135" t="s">
        <v>91</v>
      </c>
      <c r="AE681" s="135"/>
      <c r="AF681" s="135"/>
      <c r="AG681" s="135"/>
      <c r="AH681" s="135"/>
      <c r="AI681" s="135" t="str">
        <f t="shared" ref="AI681:AP681" si="87">AI677</f>
        <v>JACQU'CHEMINEES</v>
      </c>
      <c r="AJ681" s="135" t="s">
        <v>119</v>
      </c>
      <c r="AK681" s="135" t="str">
        <f t="shared" si="87"/>
        <v>Mr FAURE</v>
      </c>
      <c r="AL681" s="170" t="str">
        <f t="shared" si="87"/>
        <v>jacques.faure24@wanadoo.fr</v>
      </c>
      <c r="AM681" s="135" t="str">
        <f t="shared" si="87"/>
        <v>04 76 35 56 05</v>
      </c>
      <c r="AN681" s="135" t="str">
        <f t="shared" si="87"/>
        <v>-</v>
      </c>
      <c r="AO681" s="135" t="str">
        <f t="shared" si="87"/>
        <v>oui</v>
      </c>
      <c r="AP681" s="135">
        <f t="shared" si="87"/>
        <v>45248</v>
      </c>
      <c r="AQ681" s="143" t="s">
        <v>3413</v>
      </c>
      <c r="AR681" s="143" t="s">
        <v>699</v>
      </c>
      <c r="AS681" s="143" t="s">
        <v>3413</v>
      </c>
      <c r="AT681" s="135" t="s">
        <v>3446</v>
      </c>
      <c r="AU681" s="135" t="s">
        <v>173</v>
      </c>
      <c r="AV681" s="135" t="s">
        <v>2480</v>
      </c>
      <c r="AW681" s="135"/>
      <c r="AX681" s="135"/>
      <c r="AY681" s="135"/>
      <c r="AZ681" s="135"/>
      <c r="BA681" s="135" t="s">
        <v>101</v>
      </c>
      <c r="BB681" s="135"/>
      <c r="BC681" s="151">
        <f>3000+485+112.32+45.35</f>
        <v>3642.67</v>
      </c>
      <c r="BD681" s="135"/>
      <c r="BE681" s="151">
        <f>182.94+425</f>
        <v>607.94000000000005</v>
      </c>
      <c r="BF681" s="151">
        <f t="shared" si="85"/>
        <v>4250.6100000000006</v>
      </c>
      <c r="BG681" s="151">
        <f t="shared" si="79"/>
        <v>233.78355000000002</v>
      </c>
      <c r="BH681" s="151">
        <f t="shared" si="84"/>
        <v>4484.3935500000007</v>
      </c>
      <c r="BI681" s="151">
        <v>4484.3900000000003</v>
      </c>
      <c r="BJ681" s="135" t="s">
        <v>144</v>
      </c>
      <c r="BK681" s="135"/>
      <c r="BL681" s="135"/>
      <c r="BM681" s="144" t="s">
        <v>3592</v>
      </c>
      <c r="BN681" s="144">
        <v>2023</v>
      </c>
      <c r="BO681" s="135" t="s">
        <v>143</v>
      </c>
      <c r="BP681" s="144">
        <v>2023</v>
      </c>
      <c r="BQ681" s="203" t="s">
        <v>144</v>
      </c>
    </row>
    <row r="682" spans="1:69" ht="41.1" customHeight="1">
      <c r="A682" s="218" t="s">
        <v>1705</v>
      </c>
      <c r="B682" s="218" t="s">
        <v>3144</v>
      </c>
      <c r="C682" s="143">
        <v>600</v>
      </c>
      <c r="D682" s="135">
        <v>45196</v>
      </c>
      <c r="E682" s="135" t="s">
        <v>76</v>
      </c>
      <c r="F682" s="135">
        <v>45201</v>
      </c>
      <c r="G682" s="135" t="s">
        <v>3261</v>
      </c>
      <c r="H682" s="135">
        <v>45212</v>
      </c>
      <c r="I682" s="135">
        <v>45212</v>
      </c>
      <c r="J682" s="135">
        <v>45238</v>
      </c>
      <c r="K682" s="135">
        <v>45312</v>
      </c>
      <c r="L682" s="135">
        <v>45297</v>
      </c>
      <c r="M682" s="135" t="s">
        <v>76</v>
      </c>
      <c r="N682" s="135">
        <v>45316</v>
      </c>
      <c r="O682" s="135">
        <v>45316</v>
      </c>
      <c r="P682" s="135">
        <v>45317</v>
      </c>
      <c r="Q682" s="135"/>
      <c r="R682" s="135"/>
      <c r="S682" s="135"/>
      <c r="T682" s="135"/>
      <c r="U682" s="144">
        <v>2</v>
      </c>
      <c r="V682" s="143">
        <v>54257</v>
      </c>
      <c r="W682" s="143" t="str">
        <f ca="1">IF(H682="",IF(D682="","",IF(U682+V682&lt;15,"Données Nb pers ou RFR manquantes",IF(COUNTA(INDIRECT("TabRFR["&amp;YEAR(D682)&amp;"]"))&lt;&gt;COUNTA(TabRFR[Recherche RFR]),"Data RFR manquantes", IF(V682&lt;=INDEX(TabRFR[[2023]:[2025]],MATCH(BD!U682&amp;"-Très modestes",TabRFR[Recherche RFR],0),MATCH(TEXT(YEAR(BD!D682),"Standard"),TabRFR[[#Headers],[2023]:[2025]],0)),"Très Modeste",IF(V682&lt;=INDEX(TabRFR[[2023]:[2025]],MATCH(BD!U682&amp;"-modestes",TabRFR[Recherche RFR],0),MATCH(TEXT(YEAR(BD!D682),"Standard"),TabRFR[[#Headers],[2023]:[2025]],0)),"Modeste",IF(V682&lt;=INDEX(TabRFR[[2023]:[2025]],MATCH(BD!U682&amp;"-Intermédiaire",TabRFR[Recherche RFR],0),MATCH(TEXT(YEAR(BD!D682),"Standard"),TabRFR[[#Headers],[2023]:[2025]],0)),"Intermédiaire","Supérieur")))))),IF(D682="","",IF(U682+V682&lt;15,"Données Nb pers ou RFR manquantes",IF(COUNTA(INDIRECT("TabRFR["&amp;YEAR(H682)&amp;"]"))&lt;&gt;COUNTA(TabRFR[Recherche RFR]),"Data RFR manquantes", IF(V682&lt;=INDEX(TabRFR[[2023]:[2025]],MATCH(BD!U682&amp;"-Très modestes",TabRFR[Recherche RFR],0),MATCH(TEXT(YEAR(BD!H682),"Standard"),TabRFR[[#Headers],[2023]:[2025]],0)),"Très Modeste",IF(V682&lt;=INDEX(TabRFR[[2023]:[2025]],MATCH(BD!U682&amp;"-modestes",TabRFR[Recherche RFR],0),MATCH(TEXT(YEAR(BD!H682),"Standard"),TabRFR[[#Headers],[2023]:[2025]],0)),"Modeste",IF(V682&lt;=INDEX(TabRFR[[2023]:[2025]],MATCH(BD!U682&amp;"-Intermédiaire",TabRFR[Recherche RFR],0),MATCH(TEXT(YEAR(BD!H682),"Standard"),TabRFR[[#Headers],[2023]:[2025]],0)),"Intermédiaire","Supérieur")))))))</f>
        <v>Supérieur</v>
      </c>
      <c r="X682" s="144"/>
      <c r="Y682" s="135" t="s">
        <v>3227</v>
      </c>
      <c r="Z682" s="144">
        <v>38500</v>
      </c>
      <c r="AA682" s="135" t="s">
        <v>108</v>
      </c>
      <c r="AB682" s="148"/>
      <c r="AC682" s="197"/>
      <c r="AD682" s="135" t="s">
        <v>91</v>
      </c>
      <c r="AE682" s="135"/>
      <c r="AF682" s="135"/>
      <c r="AG682" s="135"/>
      <c r="AH682" s="135"/>
      <c r="AI682" s="135" t="s">
        <v>2703</v>
      </c>
      <c r="AJ682" s="135" t="s">
        <v>266</v>
      </c>
      <c r="AK682" s="135" t="s">
        <v>2704</v>
      </c>
      <c r="AL682" s="169" t="s">
        <v>318</v>
      </c>
      <c r="AM682" s="148">
        <v>476500550</v>
      </c>
      <c r="AN682" s="135" t="s">
        <v>76</v>
      </c>
      <c r="AO682" s="193" t="s">
        <v>102</v>
      </c>
      <c r="AP682" s="135">
        <v>45503</v>
      </c>
      <c r="AQ682" s="135" t="s">
        <v>3449</v>
      </c>
      <c r="AR682" s="143" t="s">
        <v>699</v>
      </c>
      <c r="AS682" s="135" t="s">
        <v>3496</v>
      </c>
      <c r="AT682" s="135" t="s">
        <v>3446</v>
      </c>
      <c r="AU682" s="135" t="s">
        <v>319</v>
      </c>
      <c r="AV682" s="135" t="s">
        <v>1237</v>
      </c>
      <c r="AW682" s="135"/>
      <c r="AX682" s="135"/>
      <c r="AY682" s="135"/>
      <c r="AZ682" s="135"/>
      <c r="BA682" s="135" t="s">
        <v>101</v>
      </c>
      <c r="BB682" s="135"/>
      <c r="BC682" s="151">
        <f>508.4+71.9+2350+264.18+170.76+75.53+272.5+78.2</f>
        <v>3791.47</v>
      </c>
      <c r="BD682" s="135"/>
      <c r="BE682" s="151">
        <v>1800</v>
      </c>
      <c r="BF682" s="151">
        <f t="shared" si="85"/>
        <v>5591.4699999999993</v>
      </c>
      <c r="BG682" s="151">
        <f t="shared" si="79"/>
        <v>307.53084999999999</v>
      </c>
      <c r="BH682" s="151">
        <f t="shared" si="84"/>
        <v>5899.0008499999994</v>
      </c>
      <c r="BI682" s="151">
        <v>5899</v>
      </c>
      <c r="BJ682" s="135" t="s">
        <v>144</v>
      </c>
      <c r="BK682" s="135"/>
      <c r="BL682" s="135"/>
      <c r="BM682" s="144" t="s">
        <v>3592</v>
      </c>
      <c r="BN682" s="144">
        <v>2023</v>
      </c>
      <c r="BO682" s="135" t="s">
        <v>143</v>
      </c>
      <c r="BP682" s="144">
        <v>2023</v>
      </c>
      <c r="BQ682" s="203"/>
    </row>
    <row r="683" spans="1:69" ht="41.1" customHeight="1">
      <c r="A683" s="219" t="s">
        <v>3241</v>
      </c>
      <c r="B683" s="219" t="s">
        <v>3145</v>
      </c>
      <c r="C683" s="143">
        <f ca="1">IF(W683="Très modeste",1000,IF(W683="Modeste",1000,IF(W683="Intermédiaire",600,IF(W683="Supérieur",600,"Non calculé"))))</f>
        <v>600</v>
      </c>
      <c r="D683" s="135">
        <v>45205</v>
      </c>
      <c r="E683" s="135">
        <v>45209</v>
      </c>
      <c r="F683" s="135" t="s">
        <v>76</v>
      </c>
      <c r="G683" s="135" t="s">
        <v>76</v>
      </c>
      <c r="H683" s="135">
        <v>45211</v>
      </c>
      <c r="I683" s="135">
        <v>45211</v>
      </c>
      <c r="J683" s="135">
        <v>45232</v>
      </c>
      <c r="K683" s="135"/>
      <c r="L683" s="135"/>
      <c r="M683" s="135"/>
      <c r="N683" s="135"/>
      <c r="O683" s="135"/>
      <c r="P683" s="135"/>
      <c r="Q683" s="135"/>
      <c r="R683" s="135"/>
      <c r="S683" s="135"/>
      <c r="T683" s="135"/>
      <c r="U683" s="144">
        <v>2</v>
      </c>
      <c r="V683" s="143">
        <v>39481</v>
      </c>
      <c r="W683" s="143" t="str">
        <f ca="1">IF(H683="",IF(D683="","",IF(U683+V683&lt;15,"Données Nb pers ou RFR manquantes",IF(COUNTA(INDIRECT("TabRFR["&amp;YEAR(D683)&amp;"]"))&lt;&gt;COUNTA(TabRFR[Recherche RFR]),"Data RFR manquantes", IF(V683&lt;=INDEX(TabRFR[[2023]:[2025]],MATCH(BD!U683&amp;"-Très modestes",TabRFR[Recherche RFR],0),MATCH(TEXT(YEAR(BD!D683),"Standard"),TabRFR[[#Headers],[2023]:[2025]],0)),"Très Modeste",IF(V683&lt;=INDEX(TabRFR[[2023]:[2025]],MATCH(BD!U683&amp;"-modestes",TabRFR[Recherche RFR],0),MATCH(TEXT(YEAR(BD!D683),"Standard"),TabRFR[[#Headers],[2023]:[2025]],0)),"Modeste",IF(V683&lt;=INDEX(TabRFR[[2023]:[2025]],MATCH(BD!U683&amp;"-Intermédiaire",TabRFR[Recherche RFR],0),MATCH(TEXT(YEAR(BD!D683),"Standard"),TabRFR[[#Headers],[2023]:[2025]],0)),"Intermédiaire","Supérieur")))))),IF(D683="","",IF(U683+V683&lt;15,"Données Nb pers ou RFR manquantes",IF(COUNTA(INDIRECT("TabRFR["&amp;YEAR(H683)&amp;"]"))&lt;&gt;COUNTA(TabRFR[Recherche RFR]),"Data RFR manquantes", IF(V683&lt;=INDEX(TabRFR[[2023]:[2025]],MATCH(BD!U683&amp;"-Très modestes",TabRFR[Recherche RFR],0),MATCH(TEXT(YEAR(BD!H683),"Standard"),TabRFR[[#Headers],[2023]:[2025]],0)),"Très Modeste",IF(V683&lt;=INDEX(TabRFR[[2023]:[2025]],MATCH(BD!U683&amp;"-modestes",TabRFR[Recherche RFR],0),MATCH(TEXT(YEAR(BD!H683),"Standard"),TabRFR[[#Headers],[2023]:[2025]],0)),"Modeste",IF(V683&lt;=INDEX(TabRFR[[2023]:[2025]],MATCH(BD!U683&amp;"-Intermédiaire",TabRFR[Recherche RFR],0),MATCH(TEXT(YEAR(BD!H683),"Standard"),TabRFR[[#Headers],[2023]:[2025]],0)),"Intermédiaire","Supérieur")))))))</f>
        <v>Intermédiaire</v>
      </c>
      <c r="X683" s="144"/>
      <c r="Y683" s="135" t="s">
        <v>3244</v>
      </c>
      <c r="Z683" s="144">
        <v>38140</v>
      </c>
      <c r="AA683" s="135" t="s">
        <v>219</v>
      </c>
      <c r="AB683" s="148"/>
      <c r="AC683" s="197"/>
      <c r="AD683" s="135" t="s">
        <v>91</v>
      </c>
      <c r="AE683" s="135"/>
      <c r="AF683" s="135"/>
      <c r="AG683" s="135"/>
      <c r="AH683" s="135"/>
      <c r="AI683" s="135" t="s">
        <v>160</v>
      </c>
      <c r="AJ683" s="135" t="s">
        <v>161</v>
      </c>
      <c r="AK683" s="135" t="s">
        <v>2238</v>
      </c>
      <c r="AL683" s="150" t="s">
        <v>228</v>
      </c>
      <c r="AM683" s="135" t="s">
        <v>2239</v>
      </c>
      <c r="AN683" s="135" t="s">
        <v>76</v>
      </c>
      <c r="AO683" s="150" t="s">
        <v>102</v>
      </c>
      <c r="AP683" s="135">
        <v>45372</v>
      </c>
      <c r="AQ683" s="135" t="s">
        <v>3496</v>
      </c>
      <c r="AR683" s="135" t="s">
        <v>172</v>
      </c>
      <c r="AS683" s="143" t="s">
        <v>3413</v>
      </c>
      <c r="AT683" s="135" t="s">
        <v>3446</v>
      </c>
      <c r="AU683" s="135" t="s">
        <v>1430</v>
      </c>
      <c r="AV683" s="135" t="s">
        <v>3245</v>
      </c>
      <c r="AW683" s="135"/>
      <c r="AX683" s="135"/>
      <c r="AY683" s="135"/>
      <c r="AZ683" s="135"/>
      <c r="BA683" s="135" t="s">
        <v>101</v>
      </c>
      <c r="BB683" s="135"/>
      <c r="BC683" s="151">
        <v>5401</v>
      </c>
      <c r="BD683" s="135"/>
      <c r="BE683" s="151">
        <v>577</v>
      </c>
      <c r="BF683" s="151">
        <v>5978</v>
      </c>
      <c r="BG683" s="151">
        <v>329</v>
      </c>
      <c r="BH683" s="151">
        <v>6307</v>
      </c>
      <c r="BI683" s="135"/>
      <c r="BJ683" s="135" t="s">
        <v>144</v>
      </c>
      <c r="BK683" s="135"/>
      <c r="BL683" s="135"/>
      <c r="BM683" s="144" t="s">
        <v>3592</v>
      </c>
      <c r="BN683" s="144">
        <v>2023</v>
      </c>
      <c r="BO683" s="135" t="s">
        <v>143</v>
      </c>
      <c r="BP683" s="144">
        <v>2023</v>
      </c>
      <c r="BQ683" s="203"/>
    </row>
    <row r="684" spans="1:69" ht="41.1" customHeight="1">
      <c r="A684" s="218" t="s">
        <v>3260</v>
      </c>
      <c r="B684" s="218" t="s">
        <v>3146</v>
      </c>
      <c r="C684" s="143">
        <v>600</v>
      </c>
      <c r="D684" s="135">
        <v>45203</v>
      </c>
      <c r="E684" s="135">
        <v>45211</v>
      </c>
      <c r="F684" s="135">
        <v>45211</v>
      </c>
      <c r="G684" s="135" t="s">
        <v>942</v>
      </c>
      <c r="H684" s="135">
        <v>45211</v>
      </c>
      <c r="I684" s="135">
        <v>45211</v>
      </c>
      <c r="J684" s="135">
        <v>45236</v>
      </c>
      <c r="K684" s="135">
        <v>45341</v>
      </c>
      <c r="L684" s="135">
        <v>45315</v>
      </c>
      <c r="M684" s="135" t="s">
        <v>76</v>
      </c>
      <c r="N684" s="135">
        <v>45344</v>
      </c>
      <c r="O684" s="135">
        <v>45344</v>
      </c>
      <c r="P684" s="135">
        <v>45345</v>
      </c>
      <c r="Q684" s="135"/>
      <c r="R684" s="135"/>
      <c r="S684" s="135"/>
      <c r="T684" s="135"/>
      <c r="U684" s="144">
        <v>3</v>
      </c>
      <c r="V684" s="143">
        <v>133419</v>
      </c>
      <c r="W684" s="143" t="str">
        <f ca="1">IF(H684="",IF(D684="","",IF(U684+V684&lt;15,"Données Nb pers ou RFR manquantes",IF(COUNTA(INDIRECT("TabRFR["&amp;YEAR(D684)&amp;"]"))&lt;&gt;COUNTA(TabRFR[Recherche RFR]),"Data RFR manquantes", IF(V684&lt;=INDEX(TabRFR[[2023]:[2025]],MATCH(BD!U684&amp;"-Très modestes",TabRFR[Recherche RFR],0),MATCH(TEXT(YEAR(BD!D684),"Standard"),TabRFR[[#Headers],[2023]:[2025]],0)),"Très Modeste",IF(V684&lt;=INDEX(TabRFR[[2023]:[2025]],MATCH(BD!U684&amp;"-modestes",TabRFR[Recherche RFR],0),MATCH(TEXT(YEAR(BD!D684),"Standard"),TabRFR[[#Headers],[2023]:[2025]],0)),"Modeste",IF(V684&lt;=INDEX(TabRFR[[2023]:[2025]],MATCH(BD!U684&amp;"-Intermédiaire",TabRFR[Recherche RFR],0),MATCH(TEXT(YEAR(BD!D684),"Standard"),TabRFR[[#Headers],[2023]:[2025]],0)),"Intermédiaire","Supérieur")))))),IF(D684="","",IF(U684+V684&lt;15,"Données Nb pers ou RFR manquantes",IF(COUNTA(INDIRECT("TabRFR["&amp;YEAR(H684)&amp;"]"))&lt;&gt;COUNTA(TabRFR[Recherche RFR]),"Data RFR manquantes", IF(V684&lt;=INDEX(TabRFR[[2023]:[2025]],MATCH(BD!U684&amp;"-Très modestes",TabRFR[Recherche RFR],0),MATCH(TEXT(YEAR(BD!H684),"Standard"),TabRFR[[#Headers],[2023]:[2025]],0)),"Très Modeste",IF(V684&lt;=INDEX(TabRFR[[2023]:[2025]],MATCH(BD!U684&amp;"-modestes",TabRFR[Recherche RFR],0),MATCH(TEXT(YEAR(BD!H684),"Standard"),TabRFR[[#Headers],[2023]:[2025]],0)),"Modeste",IF(V684&lt;=INDEX(TabRFR[[2023]:[2025]],MATCH(BD!U684&amp;"-Intermédiaire",TabRFR[Recherche RFR],0),MATCH(TEXT(YEAR(BD!H684),"Standard"),TabRFR[[#Headers],[2023]:[2025]],0)),"Intermédiaire","Supérieur")))))))</f>
        <v>Supérieur</v>
      </c>
      <c r="X684" s="144"/>
      <c r="Y684" s="135" t="s">
        <v>3247</v>
      </c>
      <c r="Z684" s="144">
        <v>38500</v>
      </c>
      <c r="AA684" s="135" t="s">
        <v>591</v>
      </c>
      <c r="AB684" s="148"/>
      <c r="AC684" s="202"/>
      <c r="AD684" s="135" t="s">
        <v>91</v>
      </c>
      <c r="AE684" s="135"/>
      <c r="AF684" s="135"/>
      <c r="AG684" s="135"/>
      <c r="AH684" s="135"/>
      <c r="AI684" s="135" t="s">
        <v>1436</v>
      </c>
      <c r="AJ684" s="135" t="s">
        <v>1437</v>
      </c>
      <c r="AK684" s="135" t="s">
        <v>1920</v>
      </c>
      <c r="AL684" s="169" t="s">
        <v>2738</v>
      </c>
      <c r="AM684" s="148" t="s">
        <v>1439</v>
      </c>
      <c r="AN684" s="135" t="str">
        <f>AN678</f>
        <v>-</v>
      </c>
      <c r="AO684" s="193" t="str">
        <f>AO678</f>
        <v>oui</v>
      </c>
      <c r="AP684" s="135">
        <v>45418</v>
      </c>
      <c r="AQ684" s="135" t="s">
        <v>3496</v>
      </c>
      <c r="AR684" s="135">
        <v>1980</v>
      </c>
      <c r="AS684" s="143" t="s">
        <v>3413</v>
      </c>
      <c r="AT684" s="135" t="s">
        <v>3446</v>
      </c>
      <c r="AU684" s="135" t="s">
        <v>2179</v>
      </c>
      <c r="AV684" s="135" t="s">
        <v>3248</v>
      </c>
      <c r="AW684" s="135"/>
      <c r="AX684" s="135"/>
      <c r="AY684" s="135"/>
      <c r="AZ684" s="135"/>
      <c r="BA684" s="135" t="s">
        <v>1401</v>
      </c>
      <c r="BB684" s="135"/>
      <c r="BC684" s="151">
        <v>6350</v>
      </c>
      <c r="BD684" s="135"/>
      <c r="BE684" s="151">
        <v>1095</v>
      </c>
      <c r="BF684" s="151">
        <v>7445</v>
      </c>
      <c r="BG684" s="151">
        <v>409.48</v>
      </c>
      <c r="BH684" s="151">
        <v>7854.48</v>
      </c>
      <c r="BI684" s="151">
        <v>4712.6899999999996</v>
      </c>
      <c r="BJ684" s="135" t="s">
        <v>102</v>
      </c>
      <c r="BK684" s="135"/>
      <c r="BL684" s="135"/>
      <c r="BM684" s="144" t="s">
        <v>3592</v>
      </c>
      <c r="BN684" s="144">
        <v>2023</v>
      </c>
      <c r="BO684" s="135" t="s">
        <v>143</v>
      </c>
      <c r="BP684" s="144">
        <v>2023</v>
      </c>
      <c r="BQ684" s="203"/>
    </row>
    <row r="685" spans="1:69" ht="41.1" customHeight="1">
      <c r="A685" s="219" t="s">
        <v>3246</v>
      </c>
      <c r="B685" s="219" t="s">
        <v>3147</v>
      </c>
      <c r="C685" s="143">
        <v>600</v>
      </c>
      <c r="D685" s="135">
        <v>45206</v>
      </c>
      <c r="E685" s="135">
        <v>45211</v>
      </c>
      <c r="F685" s="135" t="s">
        <v>76</v>
      </c>
      <c r="G685" s="135" t="s">
        <v>76</v>
      </c>
      <c r="H685" s="135">
        <v>45211</v>
      </c>
      <c r="I685" s="135">
        <v>45211</v>
      </c>
      <c r="J685" s="135">
        <v>45232</v>
      </c>
      <c r="K685" s="135">
        <v>45310</v>
      </c>
      <c r="L685" s="135">
        <v>45309</v>
      </c>
      <c r="M685" s="135" t="s">
        <v>3580</v>
      </c>
      <c r="N685" s="135">
        <v>45399</v>
      </c>
      <c r="O685" s="135">
        <v>45399</v>
      </c>
      <c r="P685" s="135">
        <v>45400</v>
      </c>
      <c r="Q685" s="135"/>
      <c r="R685" s="135"/>
      <c r="S685" s="135"/>
      <c r="T685" s="135"/>
      <c r="U685" s="144">
        <v>2</v>
      </c>
      <c r="V685" s="143">
        <v>32295</v>
      </c>
      <c r="W685" s="143" t="str">
        <f ca="1">IF(H685="",IF(D685="","",IF(U685+V685&lt;15,"Données Nb pers ou RFR manquantes",IF(COUNTA(INDIRECT("TabRFR["&amp;YEAR(D685)&amp;"]"))&lt;&gt;COUNTA(TabRFR[Recherche RFR]),"Data RFR manquantes", IF(V685&lt;=INDEX(TabRFR[[2023]:[2025]],MATCH(BD!U685&amp;"-Très modestes",TabRFR[Recherche RFR],0),MATCH(TEXT(YEAR(BD!D685),"Standard"),TabRFR[[#Headers],[2023]:[2025]],0)),"Très Modeste",IF(V685&lt;=INDEX(TabRFR[[2023]:[2025]],MATCH(BD!U685&amp;"-modestes",TabRFR[Recherche RFR],0),MATCH(TEXT(YEAR(BD!D685),"Standard"),TabRFR[[#Headers],[2023]:[2025]],0)),"Modeste",IF(V685&lt;=INDEX(TabRFR[[2023]:[2025]],MATCH(BD!U685&amp;"-Intermédiaire",TabRFR[Recherche RFR],0),MATCH(TEXT(YEAR(BD!D685),"Standard"),TabRFR[[#Headers],[2023]:[2025]],0)),"Intermédiaire","Supérieur")))))),IF(D685="","",IF(U685+V685&lt;15,"Données Nb pers ou RFR manquantes",IF(COUNTA(INDIRECT("TabRFR["&amp;YEAR(H685)&amp;"]"))&lt;&gt;COUNTA(TabRFR[Recherche RFR]),"Data RFR manquantes", IF(V685&lt;=INDEX(TabRFR[[2023]:[2025]],MATCH(BD!U685&amp;"-Très modestes",TabRFR[Recherche RFR],0),MATCH(TEXT(YEAR(BD!H685),"Standard"),TabRFR[[#Headers],[2023]:[2025]],0)),"Très Modeste",IF(V685&lt;=INDEX(TabRFR[[2023]:[2025]],MATCH(BD!U685&amp;"-modestes",TabRFR[Recherche RFR],0),MATCH(TEXT(YEAR(BD!H685),"Standard"),TabRFR[[#Headers],[2023]:[2025]],0)),"Modeste",IF(V685&lt;=INDEX(TabRFR[[2023]:[2025]],MATCH(BD!U685&amp;"-Intermédiaire",TabRFR[Recherche RFR],0),MATCH(TEXT(YEAR(BD!H685),"Standard"),TabRFR[[#Headers],[2023]:[2025]],0)),"Intermédiaire","Supérieur")))))))</f>
        <v>Intermédiaire</v>
      </c>
      <c r="X685" s="144"/>
      <c r="Y685" s="135" t="s">
        <v>3249</v>
      </c>
      <c r="Z685" s="144">
        <v>38850</v>
      </c>
      <c r="AA685" s="135" t="s">
        <v>168</v>
      </c>
      <c r="AB685" s="148"/>
      <c r="AC685" s="197"/>
      <c r="AD685" s="135" t="s">
        <v>91</v>
      </c>
      <c r="AE685" s="135"/>
      <c r="AF685" s="135"/>
      <c r="AG685" s="135"/>
      <c r="AH685" s="135"/>
      <c r="AI685" s="143" t="s">
        <v>1106</v>
      </c>
      <c r="AJ685" s="135" t="s">
        <v>1075</v>
      </c>
      <c r="AK685" s="135" t="s">
        <v>2203</v>
      </c>
      <c r="AL685" s="169" t="s">
        <v>1108</v>
      </c>
      <c r="AM685" s="148" t="s">
        <v>2204</v>
      </c>
      <c r="AN685" s="135" t="s">
        <v>76</v>
      </c>
      <c r="AO685" s="193" t="s">
        <v>102</v>
      </c>
      <c r="AP685" s="135">
        <v>45462</v>
      </c>
      <c r="AQ685" s="135" t="s">
        <v>3496</v>
      </c>
      <c r="AR685" s="135" t="s">
        <v>3250</v>
      </c>
      <c r="AS685" s="143" t="s">
        <v>3413</v>
      </c>
      <c r="AT685" s="135" t="s">
        <v>3446</v>
      </c>
      <c r="AU685" s="135" t="s">
        <v>1878</v>
      </c>
      <c r="AV685" s="135" t="s">
        <v>1110</v>
      </c>
      <c r="AW685" s="135" t="s">
        <v>76</v>
      </c>
      <c r="AX685" s="135" t="s">
        <v>76</v>
      </c>
      <c r="AY685" s="135" t="s">
        <v>76</v>
      </c>
      <c r="AZ685" s="135"/>
      <c r="BA685" s="135" t="s">
        <v>101</v>
      </c>
      <c r="BB685" s="135"/>
      <c r="BC685" s="151">
        <v>4998.2</v>
      </c>
      <c r="BD685" s="135"/>
      <c r="BE685" s="151">
        <v>550</v>
      </c>
      <c r="BF685" s="151">
        <v>5548.2</v>
      </c>
      <c r="BG685" s="151">
        <v>305.14999999999998</v>
      </c>
      <c r="BH685" s="151">
        <v>5853.35</v>
      </c>
      <c r="BI685" s="151">
        <v>5853.35</v>
      </c>
      <c r="BJ685" s="135" t="s">
        <v>115</v>
      </c>
      <c r="BK685" s="135"/>
      <c r="BL685" s="135"/>
      <c r="BM685" s="144" t="s">
        <v>3592</v>
      </c>
      <c r="BN685" s="144">
        <v>2023</v>
      </c>
      <c r="BO685" s="135" t="s">
        <v>143</v>
      </c>
      <c r="BP685" s="144">
        <v>2023</v>
      </c>
      <c r="BQ685" s="203" t="s">
        <v>3274</v>
      </c>
    </row>
    <row r="686" spans="1:69" ht="41.1" customHeight="1">
      <c r="A686" s="218" t="s">
        <v>3246</v>
      </c>
      <c r="B686" s="218" t="s">
        <v>3148</v>
      </c>
      <c r="C686" s="143">
        <v>600</v>
      </c>
      <c r="D686" s="135">
        <v>45209</v>
      </c>
      <c r="E686" s="135">
        <v>45211</v>
      </c>
      <c r="F686" s="135" t="s">
        <v>76</v>
      </c>
      <c r="G686" s="135" t="s">
        <v>76</v>
      </c>
      <c r="H686" s="135">
        <v>45211</v>
      </c>
      <c r="I686" s="135">
        <v>45211</v>
      </c>
      <c r="J686" s="135">
        <v>45232</v>
      </c>
      <c r="K686" s="135">
        <v>45267</v>
      </c>
      <c r="L686" s="135">
        <v>45257</v>
      </c>
      <c r="M686" s="135" t="s">
        <v>76</v>
      </c>
      <c r="N686" s="135">
        <v>45268</v>
      </c>
      <c r="O686" s="135">
        <v>45268</v>
      </c>
      <c r="P686" s="135">
        <v>45272</v>
      </c>
      <c r="Q686" s="135"/>
      <c r="R686" s="135"/>
      <c r="S686" s="135"/>
      <c r="T686" s="135"/>
      <c r="U686" s="144">
        <v>2</v>
      </c>
      <c r="V686" s="143">
        <v>31195</v>
      </c>
      <c r="W686" s="143" t="str">
        <f ca="1">IF(H686="",IF(D686="","",IF(U686+V686&lt;15,"Données Nb pers ou RFR manquantes",IF(COUNTA(INDIRECT("TabRFR["&amp;YEAR(D686)&amp;"]"))&lt;&gt;COUNTA(TabRFR[Recherche RFR]),"Data RFR manquantes", IF(V686&lt;=INDEX(TabRFR[[2023]:[2025]],MATCH(BD!U686&amp;"-Très modestes",TabRFR[Recherche RFR],0),MATCH(TEXT(YEAR(BD!D686),"Standard"),TabRFR[[#Headers],[2023]:[2025]],0)),"Très Modeste",IF(V686&lt;=INDEX(TabRFR[[2023]:[2025]],MATCH(BD!U686&amp;"-modestes",TabRFR[Recherche RFR],0),MATCH(TEXT(YEAR(BD!D686),"Standard"),TabRFR[[#Headers],[2023]:[2025]],0)),"Modeste",IF(V686&lt;=INDEX(TabRFR[[2023]:[2025]],MATCH(BD!U686&amp;"-Intermédiaire",TabRFR[Recherche RFR],0),MATCH(TEXT(YEAR(BD!D686),"Standard"),TabRFR[[#Headers],[2023]:[2025]],0)),"Intermédiaire","Supérieur")))))),IF(D686="","",IF(U686+V686&lt;15,"Données Nb pers ou RFR manquantes",IF(COUNTA(INDIRECT("TabRFR["&amp;YEAR(H686)&amp;"]"))&lt;&gt;COUNTA(TabRFR[Recherche RFR]),"Data RFR manquantes", IF(V686&lt;=INDEX(TabRFR[[2023]:[2025]],MATCH(BD!U686&amp;"-Très modestes",TabRFR[Recherche RFR],0),MATCH(TEXT(YEAR(BD!H686),"Standard"),TabRFR[[#Headers],[2023]:[2025]],0)),"Très Modeste",IF(V686&lt;=INDEX(TabRFR[[2023]:[2025]],MATCH(BD!U686&amp;"-modestes",TabRFR[Recherche RFR],0),MATCH(TEXT(YEAR(BD!H686),"Standard"),TabRFR[[#Headers],[2023]:[2025]],0)),"Modeste",IF(V686&lt;=INDEX(TabRFR[[2023]:[2025]],MATCH(BD!U686&amp;"-Intermédiaire",TabRFR[Recherche RFR],0),MATCH(TEXT(YEAR(BD!H686),"Standard"),TabRFR[[#Headers],[2023]:[2025]],0)),"Intermédiaire","Supérieur")))))))</f>
        <v>Intermédiaire</v>
      </c>
      <c r="X686" s="144"/>
      <c r="Y686" s="135" t="s">
        <v>245</v>
      </c>
      <c r="Z686" s="144">
        <v>38210</v>
      </c>
      <c r="AA686" s="135" t="s">
        <v>130</v>
      </c>
      <c r="AB686" s="148"/>
      <c r="AC686" s="197"/>
      <c r="AD686" s="135" t="s">
        <v>91</v>
      </c>
      <c r="AE686" s="135"/>
      <c r="AF686" s="135"/>
      <c r="AG686" s="135"/>
      <c r="AH686" s="135"/>
      <c r="AI686" s="135" t="s">
        <v>169</v>
      </c>
      <c r="AJ686" s="135" t="s">
        <v>119</v>
      </c>
      <c r="AK686" s="135" t="s">
        <v>2192</v>
      </c>
      <c r="AL686" s="169" t="s">
        <v>171</v>
      </c>
      <c r="AM686" s="135" t="s">
        <v>1406</v>
      </c>
      <c r="AN686" s="135" t="str">
        <f>AN682</f>
        <v>-</v>
      </c>
      <c r="AO686" s="135" t="str">
        <f>AO682</f>
        <v>oui</v>
      </c>
      <c r="AP686" s="135">
        <v>45248</v>
      </c>
      <c r="AQ686" s="135" t="s">
        <v>3449</v>
      </c>
      <c r="AR686" s="153">
        <v>1992</v>
      </c>
      <c r="AS686" s="143" t="s">
        <v>3413</v>
      </c>
      <c r="AT686" s="135" t="s">
        <v>3446</v>
      </c>
      <c r="AU686" s="135" t="s">
        <v>173</v>
      </c>
      <c r="AV686" s="135" t="s">
        <v>373</v>
      </c>
      <c r="AW686" s="135"/>
      <c r="AX686" s="135"/>
      <c r="AY686" s="135"/>
      <c r="AZ686" s="135"/>
      <c r="BA686" s="135" t="s">
        <v>101</v>
      </c>
      <c r="BB686" s="135"/>
      <c r="BC686" s="151">
        <v>5524.64</v>
      </c>
      <c r="BD686" s="135"/>
      <c r="BE686" s="151">
        <v>350</v>
      </c>
      <c r="BF686" s="151">
        <v>5874.65</v>
      </c>
      <c r="BG686" s="151">
        <v>323.11</v>
      </c>
      <c r="BH686" s="211">
        <v>6197.76</v>
      </c>
      <c r="BI686" s="211">
        <v>6197.76</v>
      </c>
      <c r="BJ686" s="135" t="s">
        <v>1391</v>
      </c>
      <c r="BK686" s="135"/>
      <c r="BL686" s="135"/>
      <c r="BM686" s="144" t="s">
        <v>3592</v>
      </c>
      <c r="BN686" s="144">
        <v>2023</v>
      </c>
      <c r="BO686" s="135" t="s">
        <v>143</v>
      </c>
      <c r="BP686" s="144">
        <v>2023</v>
      </c>
      <c r="BQ686" s="203" t="s">
        <v>3274</v>
      </c>
    </row>
    <row r="687" spans="1:69" ht="41.1" customHeight="1">
      <c r="A687" s="145" t="s">
        <v>3246</v>
      </c>
      <c r="B687" s="145" t="s">
        <v>3149</v>
      </c>
      <c r="C687" s="143">
        <f ca="1">IF(W687="Très modeste",1000,IF(W687="Modeste",1000,IF(W687="Intermédiaire",600,IF(W687="Supérieur",600,"Non calculé"))))</f>
        <v>600</v>
      </c>
      <c r="D687" s="135">
        <v>45209</v>
      </c>
      <c r="E687" s="135">
        <v>45211</v>
      </c>
      <c r="F687" s="135"/>
      <c r="G687" s="135"/>
      <c r="H687" s="135"/>
      <c r="I687" s="135"/>
      <c r="J687" s="135"/>
      <c r="K687" s="135"/>
      <c r="L687" s="135"/>
      <c r="M687" s="135"/>
      <c r="N687" s="135"/>
      <c r="O687" s="135"/>
      <c r="P687" s="135"/>
      <c r="Q687" s="135">
        <v>45211</v>
      </c>
      <c r="R687" s="135" t="s">
        <v>3251</v>
      </c>
      <c r="S687" s="135"/>
      <c r="T687" s="135"/>
      <c r="U687" s="144">
        <v>1</v>
      </c>
      <c r="V687" s="143">
        <v>39199</v>
      </c>
      <c r="W687" s="143" t="str">
        <f ca="1">IF(H687="",IF(D687="","",IF(U687+V687&lt;15,"Données Nb pers ou RFR manquantes",IF(COUNTA(INDIRECT("TabRFR["&amp;YEAR(D687)&amp;"]"))&lt;&gt;COUNTA(TabRFR[Recherche RFR]),"Data RFR manquantes", IF(V687&lt;=INDEX(TabRFR[[2023]:[2025]],MATCH(BD!U687&amp;"-Très modestes",TabRFR[Recherche RFR],0),MATCH(TEXT(YEAR(BD!D687),"Standard"),TabRFR[[#Headers],[2023]:[2025]],0)),"Très Modeste",IF(V687&lt;=INDEX(TabRFR[[2023]:[2025]],MATCH(BD!U687&amp;"-modestes",TabRFR[Recherche RFR],0),MATCH(TEXT(YEAR(BD!D687),"Standard"),TabRFR[[#Headers],[2023]:[2025]],0)),"Modeste",IF(V687&lt;=INDEX(TabRFR[[2023]:[2025]],MATCH(BD!U687&amp;"-Intermédiaire",TabRFR[Recherche RFR],0),MATCH(TEXT(YEAR(BD!D687),"Standard"),TabRFR[[#Headers],[2023]:[2025]],0)),"Intermédiaire","Supérieur")))))),IF(D687="","",IF(U687+V687&lt;15,"Données Nb pers ou RFR manquantes",IF(COUNTA(INDIRECT("TabRFR["&amp;YEAR(H687)&amp;"]"))&lt;&gt;COUNTA(TabRFR[Recherche RFR]),"Data RFR manquantes", IF(V687&lt;=INDEX(TabRFR[[2023]:[2025]],MATCH(BD!U687&amp;"-Très modestes",TabRFR[Recherche RFR],0),MATCH(TEXT(YEAR(BD!H687),"Standard"),TabRFR[[#Headers],[2023]:[2025]],0)),"Très Modeste",IF(V687&lt;=INDEX(TabRFR[[2023]:[2025]],MATCH(BD!U687&amp;"-modestes",TabRFR[Recherche RFR],0),MATCH(TEXT(YEAR(BD!H687),"Standard"),TabRFR[[#Headers],[2023]:[2025]],0)),"Modeste",IF(V687&lt;=INDEX(TabRFR[[2023]:[2025]],MATCH(BD!U687&amp;"-Intermédiaire",TabRFR[Recherche RFR],0),MATCH(TEXT(YEAR(BD!H687),"Standard"),TabRFR[[#Headers],[2023]:[2025]],0)),"Intermédiaire","Supérieur")))))))</f>
        <v>Supérieur</v>
      </c>
      <c r="X687" s="144"/>
      <c r="Y687" s="135" t="s">
        <v>3252</v>
      </c>
      <c r="Z687" s="144">
        <v>38430</v>
      </c>
      <c r="AA687" s="135" t="s">
        <v>119</v>
      </c>
      <c r="AB687" s="148"/>
      <c r="AC687" s="197"/>
      <c r="AD687" s="135"/>
      <c r="AE687" s="135"/>
      <c r="AF687" s="135"/>
      <c r="AG687" s="135"/>
      <c r="AH687" s="135"/>
      <c r="AI687" s="135"/>
      <c r="AJ687" s="135"/>
      <c r="AK687" s="135"/>
      <c r="AL687" s="135"/>
      <c r="AM687" s="135"/>
      <c r="AN687" s="135"/>
      <c r="AO687" s="135"/>
      <c r="AP687" s="135"/>
      <c r="AQ687" s="135"/>
      <c r="AR687" s="153"/>
      <c r="AS687" s="135"/>
      <c r="AT687" s="135"/>
      <c r="AU687" s="135"/>
      <c r="AV687" s="135"/>
      <c r="AW687" s="135"/>
      <c r="AX687" s="135"/>
      <c r="AY687" s="135"/>
      <c r="AZ687" s="135"/>
      <c r="BA687" s="135"/>
      <c r="BB687" s="135"/>
      <c r="BC687" s="151"/>
      <c r="BD687" s="135"/>
      <c r="BE687" s="151"/>
      <c r="BF687" s="151"/>
      <c r="BG687" s="151"/>
      <c r="BH687" s="151"/>
      <c r="BI687" s="135"/>
      <c r="BJ687" s="135"/>
      <c r="BK687" s="135"/>
      <c r="BL687" s="135"/>
      <c r="BM687" s="144">
        <v>0</v>
      </c>
      <c r="BN687" s="153" t="s">
        <v>1496</v>
      </c>
      <c r="BO687" s="135" t="s">
        <v>143</v>
      </c>
      <c r="BP687" s="203" t="s">
        <v>3582</v>
      </c>
      <c r="BQ687" s="203" t="s">
        <v>3273</v>
      </c>
    </row>
    <row r="688" spans="1:69" ht="41.1" customHeight="1">
      <c r="A688" s="219" t="s">
        <v>3246</v>
      </c>
      <c r="B688" s="219" t="s">
        <v>3150</v>
      </c>
      <c r="C688" s="143">
        <v>600</v>
      </c>
      <c r="D688" s="135">
        <v>45208</v>
      </c>
      <c r="E688" s="135">
        <v>45211</v>
      </c>
      <c r="F688" s="135">
        <v>45211</v>
      </c>
      <c r="G688" s="135" t="s">
        <v>3258</v>
      </c>
      <c r="H688" s="135">
        <v>45211</v>
      </c>
      <c r="I688" s="135">
        <v>45211</v>
      </c>
      <c r="J688" s="135">
        <v>45232</v>
      </c>
      <c r="K688" s="135"/>
      <c r="L688" s="135"/>
      <c r="M688" s="135"/>
      <c r="N688" s="135"/>
      <c r="O688" s="135"/>
      <c r="P688" s="135"/>
      <c r="Q688" s="135"/>
      <c r="R688" s="135"/>
      <c r="S688" s="135"/>
      <c r="T688" s="135"/>
      <c r="U688" s="144">
        <v>4</v>
      </c>
      <c r="V688" s="143">
        <v>64114</v>
      </c>
      <c r="W688" s="143" t="str">
        <f ca="1">IF(H688="",IF(D688="","",IF(U688+V688&lt;15,"Données Nb pers ou RFR manquantes",IF(COUNTA(INDIRECT("TabRFR["&amp;YEAR(D688)&amp;"]"))&lt;&gt;COUNTA(TabRFR[Recherche RFR]),"Data RFR manquantes", IF(V688&lt;=INDEX(TabRFR[[2023]:[2025]],MATCH(BD!U688&amp;"-Très modestes",TabRFR[Recherche RFR],0),MATCH(TEXT(YEAR(BD!D688),"Standard"),TabRFR[[#Headers],[2023]:[2025]],0)),"Très Modeste",IF(V688&lt;=INDEX(TabRFR[[2023]:[2025]],MATCH(BD!U688&amp;"-modestes",TabRFR[Recherche RFR],0),MATCH(TEXT(YEAR(BD!D688),"Standard"),TabRFR[[#Headers],[2023]:[2025]],0)),"Modeste",IF(V688&lt;=INDEX(TabRFR[[2023]:[2025]],MATCH(BD!U688&amp;"-Intermédiaire",TabRFR[Recherche RFR],0),MATCH(TEXT(YEAR(BD!D688),"Standard"),TabRFR[[#Headers],[2023]:[2025]],0)),"Intermédiaire","Supérieur")))))),IF(D688="","",IF(U688+V688&lt;15,"Données Nb pers ou RFR manquantes",IF(COUNTA(INDIRECT("TabRFR["&amp;YEAR(H688)&amp;"]"))&lt;&gt;COUNTA(TabRFR[Recherche RFR]),"Data RFR manquantes", IF(V688&lt;=INDEX(TabRFR[[2023]:[2025]],MATCH(BD!U688&amp;"-Très modestes",TabRFR[Recherche RFR],0),MATCH(TEXT(YEAR(BD!H688),"Standard"),TabRFR[[#Headers],[2023]:[2025]],0)),"Très Modeste",IF(V688&lt;=INDEX(TabRFR[[2023]:[2025]],MATCH(BD!U688&amp;"-modestes",TabRFR[Recherche RFR],0),MATCH(TEXT(YEAR(BD!H688),"Standard"),TabRFR[[#Headers],[2023]:[2025]],0)),"Modeste",IF(V688&lt;=INDEX(TabRFR[[2023]:[2025]],MATCH(BD!U688&amp;"-Intermédiaire",TabRFR[Recherche RFR],0),MATCH(TEXT(YEAR(BD!H688),"Standard"),TabRFR[[#Headers],[2023]:[2025]],0)),"Intermédiaire","Supérieur")))))))</f>
        <v>Supérieur</v>
      </c>
      <c r="X688" s="144"/>
      <c r="Y688" s="135" t="s">
        <v>3253</v>
      </c>
      <c r="Z688" s="144">
        <v>38140</v>
      </c>
      <c r="AA688" s="135" t="s">
        <v>504</v>
      </c>
      <c r="AB688" s="148"/>
      <c r="AC688" s="197"/>
      <c r="AD688" s="135" t="s">
        <v>91</v>
      </c>
      <c r="AE688" s="135"/>
      <c r="AF688" s="135"/>
      <c r="AG688" s="135"/>
      <c r="AH688" s="135"/>
      <c r="AI688" s="135" t="s">
        <v>872</v>
      </c>
      <c r="AJ688" s="135" t="s">
        <v>873</v>
      </c>
      <c r="AK688" s="143" t="s">
        <v>1970</v>
      </c>
      <c r="AL688" s="169" t="s">
        <v>1971</v>
      </c>
      <c r="AM688" s="135" t="s">
        <v>3254</v>
      </c>
      <c r="AN688" s="135"/>
      <c r="AO688" s="135" t="s">
        <v>102</v>
      </c>
      <c r="AP688" s="135">
        <v>45225</v>
      </c>
      <c r="AQ688" s="143" t="s">
        <v>3413</v>
      </c>
      <c r="AR688" s="153">
        <v>1999</v>
      </c>
      <c r="AS688" s="143" t="s">
        <v>3413</v>
      </c>
      <c r="AT688" s="143" t="s">
        <v>98</v>
      </c>
      <c r="AU688" s="135" t="s">
        <v>876</v>
      </c>
      <c r="AV688" s="135" t="s">
        <v>877</v>
      </c>
      <c r="AW688" s="135"/>
      <c r="AX688" s="135"/>
      <c r="AY688" s="135"/>
      <c r="AZ688" s="135"/>
      <c r="BA688" s="135" t="s">
        <v>101</v>
      </c>
      <c r="BB688" s="135"/>
      <c r="BC688" s="151">
        <v>4340</v>
      </c>
      <c r="BD688" s="135"/>
      <c r="BE688" s="151">
        <v>750</v>
      </c>
      <c r="BF688" s="151">
        <v>4840.16</v>
      </c>
      <c r="BG688" s="151">
        <v>266.2</v>
      </c>
      <c r="BH688" s="151">
        <v>5106.3599999999997</v>
      </c>
      <c r="BI688" s="135"/>
      <c r="BJ688" s="135" t="s">
        <v>103</v>
      </c>
      <c r="BK688" s="135"/>
      <c r="BL688" s="135"/>
      <c r="BM688" s="144" t="s">
        <v>3592</v>
      </c>
      <c r="BN688" s="144">
        <v>2023</v>
      </c>
      <c r="BO688" s="135" t="s">
        <v>143</v>
      </c>
      <c r="BP688" s="143" t="s">
        <v>3583</v>
      </c>
      <c r="BQ688" s="203" t="s">
        <v>3274</v>
      </c>
    </row>
    <row r="689" spans="1:69" ht="41.1" customHeight="1">
      <c r="A689" s="218" t="s">
        <v>3246</v>
      </c>
      <c r="B689" s="218" t="s">
        <v>3151</v>
      </c>
      <c r="C689" s="143">
        <v>600</v>
      </c>
      <c r="D689" s="135">
        <v>45209</v>
      </c>
      <c r="E689" s="135">
        <v>45211</v>
      </c>
      <c r="F689" s="135">
        <v>45211</v>
      </c>
      <c r="G689" s="135" t="s">
        <v>3257</v>
      </c>
      <c r="H689" s="135">
        <v>45212</v>
      </c>
      <c r="I689" s="135">
        <v>45212</v>
      </c>
      <c r="J689" s="135">
        <v>45238</v>
      </c>
      <c r="K689" s="135">
        <v>45260</v>
      </c>
      <c r="L689" s="135">
        <v>45229</v>
      </c>
      <c r="M689" s="135" t="s">
        <v>76</v>
      </c>
      <c r="N689" s="135">
        <v>45264</v>
      </c>
      <c r="O689" s="135">
        <v>45264</v>
      </c>
      <c r="P689" s="135">
        <v>45271</v>
      </c>
      <c r="Q689" s="135"/>
      <c r="R689" s="135"/>
      <c r="S689" s="135"/>
      <c r="T689" s="135"/>
      <c r="U689" s="144">
        <v>2</v>
      </c>
      <c r="V689" s="143">
        <v>56063</v>
      </c>
      <c r="W689" s="143" t="str">
        <f ca="1">IF(H689="",IF(D689="","",IF(U689+V689&lt;15,"Données Nb pers ou RFR manquantes",IF(COUNTA(INDIRECT("TabRFR["&amp;YEAR(D689)&amp;"]"))&lt;&gt;COUNTA(TabRFR[Recherche RFR]),"Data RFR manquantes", IF(V689&lt;=INDEX(TabRFR[[2023]:[2025]],MATCH(BD!U689&amp;"-Très modestes",TabRFR[Recherche RFR],0),MATCH(TEXT(YEAR(BD!D689),"Standard"),TabRFR[[#Headers],[2023]:[2025]],0)),"Très Modeste",IF(V689&lt;=INDEX(TabRFR[[2023]:[2025]],MATCH(BD!U689&amp;"-modestes",TabRFR[Recherche RFR],0),MATCH(TEXT(YEAR(BD!D689),"Standard"),TabRFR[[#Headers],[2023]:[2025]],0)),"Modeste",IF(V689&lt;=INDEX(TabRFR[[2023]:[2025]],MATCH(BD!U689&amp;"-Intermédiaire",TabRFR[Recherche RFR],0),MATCH(TEXT(YEAR(BD!D689),"Standard"),TabRFR[[#Headers],[2023]:[2025]],0)),"Intermédiaire","Supérieur")))))),IF(D689="","",IF(U689+V689&lt;15,"Données Nb pers ou RFR manquantes",IF(COUNTA(INDIRECT("TabRFR["&amp;YEAR(H689)&amp;"]"))&lt;&gt;COUNTA(TabRFR[Recherche RFR]),"Data RFR manquantes", IF(V689&lt;=INDEX(TabRFR[[2023]:[2025]],MATCH(BD!U689&amp;"-Très modestes",TabRFR[Recherche RFR],0),MATCH(TEXT(YEAR(BD!H689),"Standard"),TabRFR[[#Headers],[2023]:[2025]],0)),"Très Modeste",IF(V689&lt;=INDEX(TabRFR[[2023]:[2025]],MATCH(BD!U689&amp;"-modestes",TabRFR[Recherche RFR],0),MATCH(TEXT(YEAR(BD!H689),"Standard"),TabRFR[[#Headers],[2023]:[2025]],0)),"Modeste",IF(V689&lt;=INDEX(TabRFR[[2023]:[2025]],MATCH(BD!U689&amp;"-Intermédiaire",TabRFR[Recherche RFR],0),MATCH(TEXT(YEAR(BD!H689),"Standard"),TabRFR[[#Headers],[2023]:[2025]],0)),"Intermédiaire","Supérieur")))))))</f>
        <v>Supérieur</v>
      </c>
      <c r="X689" s="144"/>
      <c r="Y689" s="135" t="s">
        <v>3255</v>
      </c>
      <c r="Z689" s="144">
        <v>38340</v>
      </c>
      <c r="AA689" s="135" t="s">
        <v>134</v>
      </c>
      <c r="AB689" s="148"/>
      <c r="AC689" s="197"/>
      <c r="AD689" s="135" t="s">
        <v>91</v>
      </c>
      <c r="AE689" s="135"/>
      <c r="AF689" s="135"/>
      <c r="AG689" s="135"/>
      <c r="AH689" s="135"/>
      <c r="AI689" s="143" t="s">
        <v>92</v>
      </c>
      <c r="AJ689" s="143" t="s">
        <v>93</v>
      </c>
      <c r="AK689" s="143" t="s">
        <v>94</v>
      </c>
      <c r="AL689" s="149" t="s">
        <v>95</v>
      </c>
      <c r="AM689" s="148" t="s">
        <v>96</v>
      </c>
      <c r="AN689" s="143" t="s">
        <v>76</v>
      </c>
      <c r="AO689" s="150" t="s">
        <v>97</v>
      </c>
      <c r="AP689" s="147">
        <v>45552</v>
      </c>
      <c r="AQ689" s="135" t="s">
        <v>3496</v>
      </c>
      <c r="AR689" s="153">
        <v>1989</v>
      </c>
      <c r="AS689" s="143" t="s">
        <v>3413</v>
      </c>
      <c r="AT689" s="135" t="s">
        <v>3446</v>
      </c>
      <c r="AU689" s="135" t="s">
        <v>538</v>
      </c>
      <c r="AV689" s="135" t="s">
        <v>3256</v>
      </c>
      <c r="AW689" s="135"/>
      <c r="AX689" s="135"/>
      <c r="AY689" s="135"/>
      <c r="AZ689" s="135"/>
      <c r="BA689" s="135" t="s">
        <v>101</v>
      </c>
      <c r="BB689" s="135"/>
      <c r="BC689" s="151">
        <f>3415+57.94+81.86+37.77+40+23.33+1826.9+245</f>
        <v>5727.8</v>
      </c>
      <c r="BD689" s="135"/>
      <c r="BE689" s="151">
        <v>890</v>
      </c>
      <c r="BF689" s="151">
        <f>BC689+BE689</f>
        <v>6617.8</v>
      </c>
      <c r="BG689" s="151">
        <f t="shared" ref="BG689:BG726" si="88">BF689*0.055</f>
        <v>363.97899999999998</v>
      </c>
      <c r="BH689" s="151">
        <f t="shared" ref="BH689:BH726" si="89">BF689+BG689</f>
        <v>6981.7790000000005</v>
      </c>
      <c r="BI689" s="151">
        <v>6981.78</v>
      </c>
      <c r="BJ689" s="135" t="s">
        <v>115</v>
      </c>
      <c r="BK689" s="135"/>
      <c r="BL689" s="135"/>
      <c r="BM689" s="144" t="s">
        <v>3592</v>
      </c>
      <c r="BN689" s="144">
        <v>2023</v>
      </c>
      <c r="BO689" s="135" t="s">
        <v>143</v>
      </c>
      <c r="BP689" s="144">
        <v>2023</v>
      </c>
      <c r="BQ689" s="203" t="s">
        <v>3274</v>
      </c>
    </row>
    <row r="690" spans="1:69" ht="41.1" customHeight="1">
      <c r="A690" s="218" t="s">
        <v>1705</v>
      </c>
      <c r="B690" s="218" t="s">
        <v>3152</v>
      </c>
      <c r="C690" s="143">
        <f t="shared" ref="C690:C703" ca="1" si="90">IF(W690="Très modeste",1000,IF(W690="Modeste",1000,IF(W690="Intermédiaire",600,IF(W690="Supérieur",600,"Non calculé"))))</f>
        <v>600</v>
      </c>
      <c r="D690" s="135">
        <v>45216</v>
      </c>
      <c r="E690" s="135" t="s">
        <v>76</v>
      </c>
      <c r="F690" s="135" t="s">
        <v>76</v>
      </c>
      <c r="G690" s="135" t="s">
        <v>76</v>
      </c>
      <c r="H690" s="135">
        <v>45223</v>
      </c>
      <c r="I690" s="135">
        <v>45281</v>
      </c>
      <c r="J690" s="135">
        <v>45288</v>
      </c>
      <c r="K690" s="135">
        <v>45298</v>
      </c>
      <c r="L690" s="135">
        <v>45272</v>
      </c>
      <c r="M690" s="135" t="s">
        <v>76</v>
      </c>
      <c r="N690" s="135">
        <v>45307</v>
      </c>
      <c r="O690" s="135">
        <v>45307</v>
      </c>
      <c r="P690" s="135">
        <v>45307</v>
      </c>
      <c r="Q690" s="135"/>
      <c r="R690" s="135"/>
      <c r="S690" s="135"/>
      <c r="T690" s="135"/>
      <c r="U690" s="144">
        <v>1</v>
      </c>
      <c r="V690" s="143">
        <v>24892</v>
      </c>
      <c r="W690" s="143" t="str">
        <f ca="1">IF(H690="",IF(D690="","",IF(U690+V690&lt;15,"Données Nb pers ou RFR manquantes",IF(COUNTA(INDIRECT("TabRFR["&amp;YEAR(D690)&amp;"]"))&lt;&gt;COUNTA(TabRFR[Recherche RFR]),"Data RFR manquantes", IF(V690&lt;=INDEX(TabRFR[[2023]:[2025]],MATCH(BD!U690&amp;"-Très modestes",TabRFR[Recherche RFR],0),MATCH(TEXT(YEAR(BD!D690),"Standard"),TabRFR[[#Headers],[2023]:[2025]],0)),"Très Modeste",IF(V690&lt;=INDEX(TabRFR[[2023]:[2025]],MATCH(BD!U690&amp;"-modestes",TabRFR[Recherche RFR],0),MATCH(TEXT(YEAR(BD!D690),"Standard"),TabRFR[[#Headers],[2023]:[2025]],0)),"Modeste",IF(V690&lt;=INDEX(TabRFR[[2023]:[2025]],MATCH(BD!U690&amp;"-Intermédiaire",TabRFR[Recherche RFR],0),MATCH(TEXT(YEAR(BD!D690),"Standard"),TabRFR[[#Headers],[2023]:[2025]],0)),"Intermédiaire","Supérieur")))))),IF(D690="","",IF(U690+V690&lt;15,"Données Nb pers ou RFR manquantes",IF(COUNTA(INDIRECT("TabRFR["&amp;YEAR(H690)&amp;"]"))&lt;&gt;COUNTA(TabRFR[Recherche RFR]),"Data RFR manquantes", IF(V690&lt;=INDEX(TabRFR[[2023]:[2025]],MATCH(BD!U690&amp;"-Très modestes",TabRFR[Recherche RFR],0),MATCH(TEXT(YEAR(BD!H690),"Standard"),TabRFR[[#Headers],[2023]:[2025]],0)),"Très Modeste",IF(V690&lt;=INDEX(TabRFR[[2023]:[2025]],MATCH(BD!U690&amp;"-modestes",TabRFR[Recherche RFR],0),MATCH(TEXT(YEAR(BD!H690),"Standard"),TabRFR[[#Headers],[2023]:[2025]],0)),"Modeste",IF(V690&lt;=INDEX(TabRFR[[2023]:[2025]],MATCH(BD!U690&amp;"-Intermédiaire",TabRFR[Recherche RFR],0),MATCH(TEXT(YEAR(BD!H690),"Standard"),TabRFR[[#Headers],[2023]:[2025]],0)),"Intermédiaire","Supérieur")))))))</f>
        <v>Intermédiaire</v>
      </c>
      <c r="X690" s="144"/>
      <c r="Y690" s="135" t="s">
        <v>3263</v>
      </c>
      <c r="Z690" s="144">
        <v>38730</v>
      </c>
      <c r="AA690" s="135" t="s">
        <v>148</v>
      </c>
      <c r="AB690" s="148"/>
      <c r="AC690" s="197"/>
      <c r="AD690" s="135" t="s">
        <v>91</v>
      </c>
      <c r="AE690" s="135"/>
      <c r="AF690" s="135"/>
      <c r="AG690" s="135"/>
      <c r="AH690" s="135"/>
      <c r="AI690" s="143" t="s">
        <v>1106</v>
      </c>
      <c r="AJ690" s="135" t="s">
        <v>1075</v>
      </c>
      <c r="AK690" s="135" t="s">
        <v>2203</v>
      </c>
      <c r="AL690" s="169" t="s">
        <v>1108</v>
      </c>
      <c r="AM690" s="148" t="s">
        <v>2204</v>
      </c>
      <c r="AN690" s="135" t="s">
        <v>76</v>
      </c>
      <c r="AO690" s="193" t="s">
        <v>102</v>
      </c>
      <c r="AP690" s="135">
        <v>45462</v>
      </c>
      <c r="AQ690" s="135" t="s">
        <v>3496</v>
      </c>
      <c r="AR690" s="153">
        <v>1986</v>
      </c>
      <c r="AS690" s="135" t="s">
        <v>3496</v>
      </c>
      <c r="AT690" s="135" t="s">
        <v>3446</v>
      </c>
      <c r="AU690" s="135" t="s">
        <v>1878</v>
      </c>
      <c r="AV690" s="135" t="s">
        <v>1192</v>
      </c>
      <c r="AW690" s="135"/>
      <c r="AX690" s="135"/>
      <c r="AY690" s="135"/>
      <c r="AZ690" s="135"/>
      <c r="BA690" s="135" t="s">
        <v>101</v>
      </c>
      <c r="BB690" s="135"/>
      <c r="BC690" s="151">
        <f>2814+145+1483.4+110</f>
        <v>4552.3999999999996</v>
      </c>
      <c r="BD690" s="135"/>
      <c r="BE690" s="151">
        <v>650</v>
      </c>
      <c r="BF690" s="151">
        <f>BC690+BE690-140.5</f>
        <v>5061.8999999999996</v>
      </c>
      <c r="BG690" s="151">
        <f t="shared" si="88"/>
        <v>278.40449999999998</v>
      </c>
      <c r="BH690" s="151">
        <f t="shared" si="89"/>
        <v>5340.3044999999993</v>
      </c>
      <c r="BI690" s="151">
        <v>5340.3</v>
      </c>
      <c r="BJ690" s="135" t="s">
        <v>115</v>
      </c>
      <c r="BK690" s="135"/>
      <c r="BL690" s="135"/>
      <c r="BM690" s="144" t="s">
        <v>3592</v>
      </c>
      <c r="BN690" s="144">
        <v>2023</v>
      </c>
      <c r="BO690" s="135" t="s">
        <v>143</v>
      </c>
      <c r="BP690" s="144">
        <v>2023</v>
      </c>
      <c r="BQ690" s="203" t="s">
        <v>3274</v>
      </c>
    </row>
    <row r="691" spans="1:69" ht="41.1" customHeight="1">
      <c r="A691" s="145" t="s">
        <v>1705</v>
      </c>
      <c r="B691" s="145" t="s">
        <v>3153</v>
      </c>
      <c r="C691" s="143"/>
      <c r="D691" s="135"/>
      <c r="E691" s="135"/>
      <c r="F691" s="135"/>
      <c r="G691" s="135"/>
      <c r="H691" s="135"/>
      <c r="I691" s="135"/>
      <c r="J691" s="135"/>
      <c r="K691" s="135"/>
      <c r="L691" s="135"/>
      <c r="M691" s="135"/>
      <c r="N691" s="135"/>
      <c r="O691" s="135"/>
      <c r="P691" s="135"/>
      <c r="Q691" s="135"/>
      <c r="R691" s="135" t="s">
        <v>3581</v>
      </c>
      <c r="S691" s="135"/>
      <c r="T691" s="135"/>
      <c r="U691" s="144"/>
      <c r="V691" s="143"/>
      <c r="W691" s="143"/>
      <c r="X691" s="144"/>
      <c r="Y691" s="135"/>
      <c r="Z691" s="144"/>
      <c r="AA691" s="135"/>
      <c r="AB691" s="148"/>
      <c r="AC691" s="202"/>
      <c r="AD691" s="135"/>
      <c r="AE691" s="135"/>
      <c r="AF691" s="135"/>
      <c r="AG691" s="135"/>
      <c r="AH691" s="135"/>
      <c r="AI691" s="135"/>
      <c r="AJ691" s="135"/>
      <c r="AK691" s="135"/>
      <c r="AL691" s="208"/>
      <c r="AM691" s="148"/>
      <c r="AN691" s="135"/>
      <c r="AO691" s="193"/>
      <c r="AP691" s="135"/>
      <c r="AQ691" s="135"/>
      <c r="AR691" s="135"/>
      <c r="AS691" s="135"/>
      <c r="AT691" s="135"/>
      <c r="AU691" s="135"/>
      <c r="AV691" s="135"/>
      <c r="AW691" s="143"/>
      <c r="AX691" s="143"/>
      <c r="AY691" s="143"/>
      <c r="AZ691" s="143"/>
      <c r="BA691" s="135"/>
      <c r="BB691" s="151"/>
      <c r="BC691" s="151"/>
      <c r="BD691" s="151"/>
      <c r="BE691" s="151"/>
      <c r="BF691" s="151"/>
      <c r="BG691" s="151"/>
      <c r="BH691" s="151"/>
      <c r="BI691" s="135"/>
      <c r="BJ691" s="135"/>
      <c r="BK691" s="135"/>
      <c r="BL691" s="135"/>
      <c r="BM691" s="144">
        <v>0</v>
      </c>
      <c r="BN691" s="153" t="s">
        <v>103</v>
      </c>
      <c r="BO691" s="135" t="s">
        <v>103</v>
      </c>
      <c r="BP691" s="135" t="s">
        <v>3584</v>
      </c>
      <c r="BQ691" s="203" t="s">
        <v>3585</v>
      </c>
    </row>
    <row r="692" spans="1:69" ht="41.1" customHeight="1">
      <c r="A692" s="219" t="s">
        <v>1705</v>
      </c>
      <c r="B692" s="219" t="s">
        <v>3154</v>
      </c>
      <c r="C692" s="143">
        <f t="shared" ca="1" si="90"/>
        <v>600</v>
      </c>
      <c r="D692" s="135">
        <v>45221</v>
      </c>
      <c r="E692" s="135" t="s">
        <v>76</v>
      </c>
      <c r="F692" s="135">
        <v>45230</v>
      </c>
      <c r="G692" s="135" t="s">
        <v>2080</v>
      </c>
      <c r="H692" s="135">
        <v>45230</v>
      </c>
      <c r="I692" s="135">
        <v>45230</v>
      </c>
      <c r="J692" s="135">
        <v>45258</v>
      </c>
      <c r="K692" s="135">
        <v>45401</v>
      </c>
      <c r="L692" s="135">
        <v>45246</v>
      </c>
      <c r="M692" s="135" t="s">
        <v>3586</v>
      </c>
      <c r="N692" s="135"/>
      <c r="O692" s="135"/>
      <c r="P692" s="135"/>
      <c r="Q692" s="135"/>
      <c r="R692" s="135"/>
      <c r="S692" s="135"/>
      <c r="T692" s="135"/>
      <c r="U692" s="144">
        <v>4</v>
      </c>
      <c r="V692" s="143">
        <v>95201</v>
      </c>
      <c r="W692" s="143" t="str">
        <f ca="1">IF(H692="",IF(D692="","",IF(U692+V692&lt;15,"Données Nb pers ou RFR manquantes",IF(COUNTA(INDIRECT("TabRFR["&amp;YEAR(D692)&amp;"]"))&lt;&gt;COUNTA(TabRFR[Recherche RFR]),"Data RFR manquantes", IF(V692&lt;=INDEX(TabRFR[[2023]:[2025]],MATCH(BD!U692&amp;"-Très modestes",TabRFR[Recherche RFR],0),MATCH(TEXT(YEAR(BD!D692),"Standard"),TabRFR[[#Headers],[2023]:[2025]],0)),"Très Modeste",IF(V692&lt;=INDEX(TabRFR[[2023]:[2025]],MATCH(BD!U692&amp;"-modestes",TabRFR[Recherche RFR],0),MATCH(TEXT(YEAR(BD!D692),"Standard"),TabRFR[[#Headers],[2023]:[2025]],0)),"Modeste",IF(V692&lt;=INDEX(TabRFR[[2023]:[2025]],MATCH(BD!U692&amp;"-Intermédiaire",TabRFR[Recherche RFR],0),MATCH(TEXT(YEAR(BD!D692),"Standard"),TabRFR[[#Headers],[2023]:[2025]],0)),"Intermédiaire","Supérieur")))))),IF(D692="","",IF(U692+V692&lt;15,"Données Nb pers ou RFR manquantes",IF(COUNTA(INDIRECT("TabRFR["&amp;YEAR(H692)&amp;"]"))&lt;&gt;COUNTA(TabRFR[Recherche RFR]),"Data RFR manquantes", IF(V692&lt;=INDEX(TabRFR[[2023]:[2025]],MATCH(BD!U692&amp;"-Très modestes",TabRFR[Recherche RFR],0),MATCH(TEXT(YEAR(BD!H692),"Standard"),TabRFR[[#Headers],[2023]:[2025]],0)),"Très Modeste",IF(V692&lt;=INDEX(TabRFR[[2023]:[2025]],MATCH(BD!U692&amp;"-modestes",TabRFR[Recherche RFR],0),MATCH(TEXT(YEAR(BD!H692),"Standard"),TabRFR[[#Headers],[2023]:[2025]],0)),"Modeste",IF(V692&lt;=INDEX(TabRFR[[2023]:[2025]],MATCH(BD!U692&amp;"-Intermédiaire",TabRFR[Recherche RFR],0),MATCH(TEXT(YEAR(BD!H692),"Standard"),TabRFR[[#Headers],[2023]:[2025]],0)),"Intermédiaire","Supérieur")))))))</f>
        <v>Supérieur</v>
      </c>
      <c r="X692" s="144"/>
      <c r="Y692" s="135" t="s">
        <v>3266</v>
      </c>
      <c r="Z692" s="144">
        <v>38340</v>
      </c>
      <c r="AA692" s="135" t="s">
        <v>413</v>
      </c>
      <c r="AB692" s="148"/>
      <c r="AC692" s="197"/>
      <c r="AD692" s="135" t="s">
        <v>91</v>
      </c>
      <c r="AE692" s="135"/>
      <c r="AF692" s="135"/>
      <c r="AG692" s="135"/>
      <c r="AH692" s="135"/>
      <c r="AI692" s="135" t="s">
        <v>2842</v>
      </c>
      <c r="AJ692" s="135" t="s">
        <v>2843</v>
      </c>
      <c r="AK692" s="135" t="s">
        <v>3267</v>
      </c>
      <c r="AL692" s="197" t="s">
        <v>2845</v>
      </c>
      <c r="AM692" s="148">
        <v>426250646</v>
      </c>
      <c r="AN692" s="135" t="s">
        <v>76</v>
      </c>
      <c r="AO692" s="135" t="s">
        <v>102</v>
      </c>
      <c r="AP692" s="135">
        <v>45212</v>
      </c>
      <c r="AQ692" s="135" t="s">
        <v>3449</v>
      </c>
      <c r="AR692" s="153">
        <v>1970</v>
      </c>
      <c r="AS692" s="143" t="s">
        <v>3413</v>
      </c>
      <c r="AT692" s="135" t="s">
        <v>3446</v>
      </c>
      <c r="AU692" s="135" t="s">
        <v>1719</v>
      </c>
      <c r="AV692" s="135" t="s">
        <v>3268</v>
      </c>
      <c r="AW692" s="135"/>
      <c r="AX692" s="135"/>
      <c r="AY692" s="135"/>
      <c r="AZ692" s="135"/>
      <c r="BA692" s="135" t="s">
        <v>1401</v>
      </c>
      <c r="BB692" s="135"/>
      <c r="BC692" s="151">
        <f>2730.56+99.91+159.7+1180.94+129.89+78+84.9+119.88+159.9+143.73+195+60+51.38+35.91</f>
        <v>5229.6999999999989</v>
      </c>
      <c r="BD692" s="135" t="s">
        <v>76</v>
      </c>
      <c r="BE692" s="151">
        <v>1289</v>
      </c>
      <c r="BF692" s="151">
        <f>BC692+BE692-400</f>
        <v>6118.6999999999989</v>
      </c>
      <c r="BG692" s="151">
        <f t="shared" si="88"/>
        <v>336.52849999999995</v>
      </c>
      <c r="BH692" s="151">
        <f t="shared" si="89"/>
        <v>6455.2284999999993</v>
      </c>
      <c r="BI692" s="151">
        <v>6126.13</v>
      </c>
      <c r="BJ692" s="135" t="s">
        <v>144</v>
      </c>
      <c r="BK692" s="135"/>
      <c r="BL692" s="135"/>
      <c r="BM692" s="144" t="s">
        <v>3592</v>
      </c>
      <c r="BN692" s="144">
        <v>2023</v>
      </c>
      <c r="BO692" s="135" t="s">
        <v>143</v>
      </c>
      <c r="BP692" s="144">
        <v>2023</v>
      </c>
      <c r="BQ692" s="203"/>
    </row>
    <row r="693" spans="1:69" ht="41.1" customHeight="1">
      <c r="A693" s="219" t="s">
        <v>1705</v>
      </c>
      <c r="B693" s="219" t="s">
        <v>3155</v>
      </c>
      <c r="C693" s="143">
        <f t="shared" ca="1" si="90"/>
        <v>1000</v>
      </c>
      <c r="D693" s="135">
        <v>45219</v>
      </c>
      <c r="E693" s="135">
        <v>45232</v>
      </c>
      <c r="F693" s="135">
        <v>45240</v>
      </c>
      <c r="G693" s="135" t="s">
        <v>3295</v>
      </c>
      <c r="H693" s="135">
        <v>45252</v>
      </c>
      <c r="I693" s="135">
        <v>45252</v>
      </c>
      <c r="J693" s="135">
        <v>45271</v>
      </c>
      <c r="K693" s="135">
        <v>45415</v>
      </c>
      <c r="L693" s="135">
        <v>45400</v>
      </c>
      <c r="M693" s="135" t="s">
        <v>3590</v>
      </c>
      <c r="N693" s="135">
        <v>45429</v>
      </c>
      <c r="O693" s="135">
        <v>45429</v>
      </c>
      <c r="P693" s="135"/>
      <c r="Q693" s="135"/>
      <c r="R693" s="135"/>
      <c r="S693" s="135"/>
      <c r="T693" s="135"/>
      <c r="U693" s="144">
        <v>5</v>
      </c>
      <c r="V693" s="143">
        <v>18753</v>
      </c>
      <c r="W693" s="143" t="str">
        <f ca="1">IF(H693="",IF(D693="","",IF(U693+V693&lt;15,"Données Nb pers ou RFR manquantes",IF(COUNTA(INDIRECT("TabRFR["&amp;YEAR(D693)&amp;"]"))&lt;&gt;COUNTA(TabRFR[Recherche RFR]),"Data RFR manquantes", IF(V693&lt;=INDEX(TabRFR[[2023]:[2025]],MATCH(BD!U693&amp;"-Très modestes",TabRFR[Recherche RFR],0),MATCH(TEXT(YEAR(BD!D693),"Standard"),TabRFR[[#Headers],[2023]:[2025]],0)),"Très Modeste",IF(V693&lt;=INDEX(TabRFR[[2023]:[2025]],MATCH(BD!U693&amp;"-modestes",TabRFR[Recherche RFR],0),MATCH(TEXT(YEAR(BD!D693),"Standard"),TabRFR[[#Headers],[2023]:[2025]],0)),"Modeste",IF(V693&lt;=INDEX(TabRFR[[2023]:[2025]],MATCH(BD!U693&amp;"-Intermédiaire",TabRFR[Recherche RFR],0),MATCH(TEXT(YEAR(BD!D693),"Standard"),TabRFR[[#Headers],[2023]:[2025]],0)),"Intermédiaire","Supérieur")))))),IF(D693="","",IF(U693+V693&lt;15,"Données Nb pers ou RFR manquantes",IF(COUNTA(INDIRECT("TabRFR["&amp;YEAR(H693)&amp;"]"))&lt;&gt;COUNTA(TabRFR[Recherche RFR]),"Data RFR manquantes", IF(V693&lt;=INDEX(TabRFR[[2023]:[2025]],MATCH(BD!U693&amp;"-Très modestes",TabRFR[Recherche RFR],0),MATCH(TEXT(YEAR(BD!H693),"Standard"),TabRFR[[#Headers],[2023]:[2025]],0)),"Très Modeste",IF(V693&lt;=INDEX(TabRFR[[2023]:[2025]],MATCH(BD!U693&amp;"-modestes",TabRFR[Recherche RFR],0),MATCH(TEXT(YEAR(BD!H693),"Standard"),TabRFR[[#Headers],[2023]:[2025]],0)),"Modeste",IF(V693&lt;=INDEX(TabRFR[[2023]:[2025]],MATCH(BD!U693&amp;"-Intermédiaire",TabRFR[Recherche RFR],0),MATCH(TEXT(YEAR(BD!H693),"Standard"),TabRFR[[#Headers],[2023]:[2025]],0)),"Intermédiaire","Supérieur")))))))</f>
        <v>Très Modeste</v>
      </c>
      <c r="X693" s="144"/>
      <c r="Y693" s="135" t="s">
        <v>3270</v>
      </c>
      <c r="Z693" s="144">
        <v>38620</v>
      </c>
      <c r="AA693" s="135" t="s">
        <v>518</v>
      </c>
      <c r="AB693" s="148"/>
      <c r="AC693" s="197"/>
      <c r="AD693" s="135" t="s">
        <v>91</v>
      </c>
      <c r="AE693" s="135"/>
      <c r="AF693" s="135"/>
      <c r="AG693" s="135"/>
      <c r="AH693" s="135"/>
      <c r="AI693" s="135" t="s">
        <v>1436</v>
      </c>
      <c r="AJ693" s="135" t="s">
        <v>1437</v>
      </c>
      <c r="AK693" s="135" t="s">
        <v>1920</v>
      </c>
      <c r="AL693" s="169" t="s">
        <v>2738</v>
      </c>
      <c r="AM693" s="148" t="s">
        <v>1439</v>
      </c>
      <c r="AN693" s="135" t="s">
        <v>76</v>
      </c>
      <c r="AO693" s="193" t="s">
        <v>102</v>
      </c>
      <c r="AP693" s="135">
        <v>45418</v>
      </c>
      <c r="AQ693" s="143" t="s">
        <v>3413</v>
      </c>
      <c r="AR693" s="153">
        <v>2001</v>
      </c>
      <c r="AS693" s="143" t="s">
        <v>3413</v>
      </c>
      <c r="AT693" s="135" t="s">
        <v>3446</v>
      </c>
      <c r="AU693" s="135" t="s">
        <v>852</v>
      </c>
      <c r="AV693" s="135" t="s">
        <v>2537</v>
      </c>
      <c r="AW693" s="135"/>
      <c r="AX693" s="135"/>
      <c r="AY693" s="135"/>
      <c r="AZ693" s="135"/>
      <c r="BA693" s="135" t="s">
        <v>101</v>
      </c>
      <c r="BB693" s="135"/>
      <c r="BC693" s="151">
        <f>1920+324+1431+98+187</f>
        <v>3960</v>
      </c>
      <c r="BD693" s="135"/>
      <c r="BE693" s="151">
        <v>580</v>
      </c>
      <c r="BF693" s="151">
        <f t="shared" ref="BF693:BF699" si="91">BC693+BE693</f>
        <v>4540</v>
      </c>
      <c r="BG693" s="151">
        <f t="shared" si="88"/>
        <v>249.7</v>
      </c>
      <c r="BH693" s="151">
        <f t="shared" si="89"/>
        <v>4789.7</v>
      </c>
      <c r="BI693" s="151">
        <v>2873.82</v>
      </c>
      <c r="BJ693" s="135" t="s">
        <v>115</v>
      </c>
      <c r="BK693" s="135"/>
      <c r="BL693" s="135"/>
      <c r="BM693" s="144" t="s">
        <v>3592</v>
      </c>
      <c r="BN693" s="144">
        <v>2023</v>
      </c>
      <c r="BO693" s="135" t="s">
        <v>155</v>
      </c>
      <c r="BP693" s="135"/>
      <c r="BQ693" s="203" t="s">
        <v>3274</v>
      </c>
    </row>
    <row r="694" spans="1:69" ht="41.1" customHeight="1">
      <c r="A694" s="218" t="s">
        <v>1705</v>
      </c>
      <c r="B694" s="218" t="s">
        <v>3156</v>
      </c>
      <c r="C694" s="143">
        <f t="shared" ca="1" si="90"/>
        <v>600</v>
      </c>
      <c r="D694" s="135">
        <v>45229</v>
      </c>
      <c r="E694" s="135" t="s">
        <v>76</v>
      </c>
      <c r="F694" s="135" t="s">
        <v>76</v>
      </c>
      <c r="G694" s="135" t="s">
        <v>76</v>
      </c>
      <c r="H694" s="135">
        <v>45232</v>
      </c>
      <c r="I694" s="135">
        <v>45232</v>
      </c>
      <c r="J694" s="135">
        <v>45258</v>
      </c>
      <c r="K694" s="135">
        <v>45328</v>
      </c>
      <c r="L694" s="135">
        <v>44973</v>
      </c>
      <c r="M694" s="135" t="s">
        <v>76</v>
      </c>
      <c r="N694" s="135">
        <v>45349</v>
      </c>
      <c r="O694" s="135">
        <v>45349</v>
      </c>
      <c r="P694" s="135">
        <v>45351</v>
      </c>
      <c r="Q694" s="135"/>
      <c r="R694" s="135"/>
      <c r="S694" s="135"/>
      <c r="T694" s="135"/>
      <c r="U694" s="144">
        <v>2</v>
      </c>
      <c r="V694" s="143">
        <v>41779</v>
      </c>
      <c r="W694" s="143" t="str">
        <f ca="1">IF(H694="",IF(D694="","",IF(U694+V694&lt;15,"Données Nb pers ou RFR manquantes",IF(COUNTA(INDIRECT("TabRFR["&amp;YEAR(D694)&amp;"]"))&lt;&gt;COUNTA(TabRFR[Recherche RFR]),"Data RFR manquantes", IF(V694&lt;=INDEX(TabRFR[[2023]:[2025]],MATCH(BD!U694&amp;"-Très modestes",TabRFR[Recherche RFR],0),MATCH(TEXT(YEAR(BD!D694),"Standard"),TabRFR[[#Headers],[2023]:[2025]],0)),"Très Modeste",IF(V694&lt;=INDEX(TabRFR[[2023]:[2025]],MATCH(BD!U694&amp;"-modestes",TabRFR[Recherche RFR],0),MATCH(TEXT(YEAR(BD!D694),"Standard"),TabRFR[[#Headers],[2023]:[2025]],0)),"Modeste",IF(V694&lt;=INDEX(TabRFR[[2023]:[2025]],MATCH(BD!U694&amp;"-Intermédiaire",TabRFR[Recherche RFR],0),MATCH(TEXT(YEAR(BD!D694),"Standard"),TabRFR[[#Headers],[2023]:[2025]],0)),"Intermédiaire","Supérieur")))))),IF(D694="","",IF(U694+V694&lt;15,"Données Nb pers ou RFR manquantes",IF(COUNTA(INDIRECT("TabRFR["&amp;YEAR(H694)&amp;"]"))&lt;&gt;COUNTA(TabRFR[Recherche RFR]),"Data RFR manquantes", IF(V694&lt;=INDEX(TabRFR[[2023]:[2025]],MATCH(BD!U694&amp;"-Très modestes",TabRFR[Recherche RFR],0),MATCH(TEXT(YEAR(BD!H694),"Standard"),TabRFR[[#Headers],[2023]:[2025]],0)),"Très Modeste",IF(V694&lt;=INDEX(TabRFR[[2023]:[2025]],MATCH(BD!U694&amp;"-modestes",TabRFR[Recherche RFR],0),MATCH(TEXT(YEAR(BD!H694),"Standard"),TabRFR[[#Headers],[2023]:[2025]],0)),"Modeste",IF(V694&lt;=INDEX(TabRFR[[2023]:[2025]],MATCH(BD!U694&amp;"-Intermédiaire",TabRFR[Recherche RFR],0),MATCH(TEXT(YEAR(BD!H694),"Standard"),TabRFR[[#Headers],[2023]:[2025]],0)),"Intermédiaire","Supérieur")))))))</f>
        <v>Intermédiaire</v>
      </c>
      <c r="X694" s="144"/>
      <c r="Y694" s="135" t="s">
        <v>947</v>
      </c>
      <c r="Z694" s="144">
        <v>38340</v>
      </c>
      <c r="AA694" s="135" t="s">
        <v>266</v>
      </c>
      <c r="AB694" s="148"/>
      <c r="AC694" s="197"/>
      <c r="AD694" s="135" t="s">
        <v>91</v>
      </c>
      <c r="AE694" s="135"/>
      <c r="AF694" s="135"/>
      <c r="AG694" s="135"/>
      <c r="AH694" s="135"/>
      <c r="AI694" s="135" t="s">
        <v>160</v>
      </c>
      <c r="AJ694" s="135" t="s">
        <v>161</v>
      </c>
      <c r="AK694" s="135" t="s">
        <v>2238</v>
      </c>
      <c r="AL694" s="150" t="s">
        <v>228</v>
      </c>
      <c r="AM694" s="135" t="s">
        <v>2239</v>
      </c>
      <c r="AN694" s="135" t="s">
        <v>76</v>
      </c>
      <c r="AO694" s="150" t="s">
        <v>102</v>
      </c>
      <c r="AP694" s="135">
        <v>45372</v>
      </c>
      <c r="AQ694" s="135" t="s">
        <v>3449</v>
      </c>
      <c r="AR694" s="153">
        <v>2000</v>
      </c>
      <c r="AS694" s="143" t="s">
        <v>3413</v>
      </c>
      <c r="AT694" s="135" t="s">
        <v>3446</v>
      </c>
      <c r="AU694" s="135" t="s">
        <v>2467</v>
      </c>
      <c r="AV694" s="135" t="s">
        <v>3271</v>
      </c>
      <c r="AW694" s="135"/>
      <c r="AX694" s="135"/>
      <c r="AY694" s="135"/>
      <c r="AZ694" s="135"/>
      <c r="BA694" s="135" t="s">
        <v>101</v>
      </c>
      <c r="BB694" s="135"/>
      <c r="BC694" s="151">
        <f>4658+2717+299</f>
        <v>7674</v>
      </c>
      <c r="BD694" s="135"/>
      <c r="BE694" s="151">
        <v>994</v>
      </c>
      <c r="BF694" s="151">
        <f t="shared" si="91"/>
        <v>8668</v>
      </c>
      <c r="BG694" s="151">
        <f t="shared" si="88"/>
        <v>476.74</v>
      </c>
      <c r="BH694" s="151">
        <f t="shared" si="89"/>
        <v>9144.74</v>
      </c>
      <c r="BI694" s="151">
        <v>9144.01</v>
      </c>
      <c r="BJ694" s="135" t="s">
        <v>144</v>
      </c>
      <c r="BK694" s="135"/>
      <c r="BL694" s="135"/>
      <c r="BM694" s="144" t="s">
        <v>3592</v>
      </c>
      <c r="BN694" s="144">
        <v>2023</v>
      </c>
      <c r="BO694" s="135" t="s">
        <v>143</v>
      </c>
      <c r="BP694" s="144">
        <v>2023</v>
      </c>
      <c r="BQ694" s="203"/>
    </row>
    <row r="695" spans="1:69" ht="41.1" customHeight="1">
      <c r="A695" s="219" t="s">
        <v>1705</v>
      </c>
      <c r="B695" s="219" t="s">
        <v>3157</v>
      </c>
      <c r="C695" s="143">
        <f t="shared" ca="1" si="90"/>
        <v>1000</v>
      </c>
      <c r="D695" s="135">
        <v>45236</v>
      </c>
      <c r="E695" s="135" t="s">
        <v>76</v>
      </c>
      <c r="F695" s="135" t="s">
        <v>76</v>
      </c>
      <c r="G695" s="135" t="s">
        <v>76</v>
      </c>
      <c r="H695" s="135">
        <v>45240</v>
      </c>
      <c r="I695" s="135">
        <v>45246</v>
      </c>
      <c r="J695" s="135">
        <v>45271</v>
      </c>
      <c r="K695" s="135">
        <v>45413</v>
      </c>
      <c r="L695" s="135">
        <v>45310</v>
      </c>
      <c r="M695" s="135" t="s">
        <v>3588</v>
      </c>
      <c r="N695" s="135"/>
      <c r="O695" s="135"/>
      <c r="P695" s="135"/>
      <c r="Q695" s="135"/>
      <c r="R695" s="135"/>
      <c r="S695" s="135"/>
      <c r="T695" s="135"/>
      <c r="U695" s="144">
        <v>3</v>
      </c>
      <c r="V695" s="143">
        <v>7745</v>
      </c>
      <c r="W695" s="143" t="str">
        <f ca="1">IF(H695="",IF(D695="","",IF(U695+V695&lt;15,"Données Nb pers ou RFR manquantes",IF(COUNTA(INDIRECT("TabRFR["&amp;YEAR(D695)&amp;"]"))&lt;&gt;COUNTA(TabRFR[Recherche RFR]),"Data RFR manquantes", IF(V695&lt;=INDEX(TabRFR[[2023]:[2025]],MATCH(BD!U695&amp;"-Très modestes",TabRFR[Recherche RFR],0),MATCH(TEXT(YEAR(BD!D695),"Standard"),TabRFR[[#Headers],[2023]:[2025]],0)),"Très Modeste",IF(V695&lt;=INDEX(TabRFR[[2023]:[2025]],MATCH(BD!U695&amp;"-modestes",TabRFR[Recherche RFR],0),MATCH(TEXT(YEAR(BD!D695),"Standard"),TabRFR[[#Headers],[2023]:[2025]],0)),"Modeste",IF(V695&lt;=INDEX(TabRFR[[2023]:[2025]],MATCH(BD!U695&amp;"-Intermédiaire",TabRFR[Recherche RFR],0),MATCH(TEXT(YEAR(BD!D695),"Standard"),TabRFR[[#Headers],[2023]:[2025]],0)),"Intermédiaire","Supérieur")))))),IF(D695="","",IF(U695+V695&lt;15,"Données Nb pers ou RFR manquantes",IF(COUNTA(INDIRECT("TabRFR["&amp;YEAR(H695)&amp;"]"))&lt;&gt;COUNTA(TabRFR[Recherche RFR]),"Data RFR manquantes", IF(V695&lt;=INDEX(TabRFR[[2023]:[2025]],MATCH(BD!U695&amp;"-Très modestes",TabRFR[Recherche RFR],0),MATCH(TEXT(YEAR(BD!H695),"Standard"),TabRFR[[#Headers],[2023]:[2025]],0)),"Très Modeste",IF(V695&lt;=INDEX(TabRFR[[2023]:[2025]],MATCH(BD!U695&amp;"-modestes",TabRFR[Recherche RFR],0),MATCH(TEXT(YEAR(BD!H695),"Standard"),TabRFR[[#Headers],[2023]:[2025]],0)),"Modeste",IF(V695&lt;=INDEX(TabRFR[[2023]:[2025]],MATCH(BD!U695&amp;"-Intermédiaire",TabRFR[Recherche RFR],0),MATCH(TEXT(YEAR(BD!H695),"Standard"),TabRFR[[#Headers],[2023]:[2025]],0)),"Intermédiaire","Supérieur")))))))</f>
        <v>Très Modeste</v>
      </c>
      <c r="X695" s="144"/>
      <c r="Y695" s="135" t="s">
        <v>893</v>
      </c>
      <c r="Z695" s="144">
        <v>38850</v>
      </c>
      <c r="AA695" s="135" t="s">
        <v>168</v>
      </c>
      <c r="AB695" s="148"/>
      <c r="AC695" s="202"/>
      <c r="AD695" s="135" t="s">
        <v>91</v>
      </c>
      <c r="AE695" s="135"/>
      <c r="AF695" s="135"/>
      <c r="AG695" s="135"/>
      <c r="AH695" s="135"/>
      <c r="AI695" s="135" t="s">
        <v>160</v>
      </c>
      <c r="AJ695" s="135" t="s">
        <v>161</v>
      </c>
      <c r="AK695" s="135" t="s">
        <v>2238</v>
      </c>
      <c r="AL695" s="150" t="s">
        <v>228</v>
      </c>
      <c r="AM695" s="135" t="s">
        <v>2239</v>
      </c>
      <c r="AN695" s="135" t="s">
        <v>76</v>
      </c>
      <c r="AO695" s="150" t="s">
        <v>102</v>
      </c>
      <c r="AP695" s="135">
        <v>45372</v>
      </c>
      <c r="AQ695" s="143" t="s">
        <v>3413</v>
      </c>
      <c r="AR695" s="135" t="s">
        <v>3277</v>
      </c>
      <c r="AS695" s="143" t="s">
        <v>3413</v>
      </c>
      <c r="AT695" s="135" t="s">
        <v>3446</v>
      </c>
      <c r="AU695" s="135" t="s">
        <v>164</v>
      </c>
      <c r="AV695" s="135" t="s">
        <v>3278</v>
      </c>
      <c r="AW695" s="135"/>
      <c r="AX695" s="135"/>
      <c r="AY695" s="135"/>
      <c r="AZ695" s="135"/>
      <c r="BA695" s="135" t="s">
        <v>101</v>
      </c>
      <c r="BB695" s="135"/>
      <c r="BC695" s="151">
        <f>6527+645</f>
        <v>7172</v>
      </c>
      <c r="BD695" s="135"/>
      <c r="BE695" s="151">
        <v>750</v>
      </c>
      <c r="BF695" s="151">
        <f t="shared" si="91"/>
        <v>7922</v>
      </c>
      <c r="BG695" s="151">
        <f t="shared" si="88"/>
        <v>435.71</v>
      </c>
      <c r="BH695" s="151">
        <f t="shared" si="89"/>
        <v>8357.7099999999991</v>
      </c>
      <c r="BI695" s="151">
        <v>7700</v>
      </c>
      <c r="BJ695" s="135" t="s">
        <v>144</v>
      </c>
      <c r="BK695" s="135"/>
      <c r="BL695" s="135"/>
      <c r="BM695" s="144" t="s">
        <v>3592</v>
      </c>
      <c r="BN695" s="144">
        <v>2023</v>
      </c>
      <c r="BO695" s="135" t="s">
        <v>155</v>
      </c>
      <c r="BP695" s="135"/>
      <c r="BQ695" s="203"/>
    </row>
    <row r="696" spans="1:69" ht="41.1" customHeight="1">
      <c r="A696" s="145" t="s">
        <v>1705</v>
      </c>
      <c r="B696" s="145" t="s">
        <v>3158</v>
      </c>
      <c r="C696" s="143"/>
      <c r="D696" s="135"/>
      <c r="E696" s="135"/>
      <c r="F696" s="135"/>
      <c r="G696" s="135"/>
      <c r="H696" s="135"/>
      <c r="I696" s="135"/>
      <c r="J696" s="135" t="s">
        <v>1418</v>
      </c>
      <c r="K696" s="135"/>
      <c r="L696" s="135"/>
      <c r="M696" s="135"/>
      <c r="N696" s="135"/>
      <c r="O696" s="135"/>
      <c r="P696" s="135"/>
      <c r="Q696" s="135"/>
      <c r="R696" s="135" t="s">
        <v>3581</v>
      </c>
      <c r="S696" s="135"/>
      <c r="T696" s="135"/>
      <c r="U696" s="144"/>
      <c r="V696" s="143"/>
      <c r="W696" s="143"/>
      <c r="X696" s="144"/>
      <c r="Y696" s="135"/>
      <c r="Z696" s="144"/>
      <c r="AA696" s="135"/>
      <c r="AB696" s="148"/>
      <c r="AC696" s="202"/>
      <c r="AD696" s="135"/>
      <c r="AE696" s="135"/>
      <c r="AF696" s="135"/>
      <c r="AG696" s="135"/>
      <c r="AH696" s="135"/>
      <c r="AI696" s="135"/>
      <c r="AJ696" s="135"/>
      <c r="AK696" s="135"/>
      <c r="AL696" s="208"/>
      <c r="AM696" s="148"/>
      <c r="AN696" s="135"/>
      <c r="AO696" s="193"/>
      <c r="AP696" s="135"/>
      <c r="AQ696" s="135"/>
      <c r="AR696" s="135"/>
      <c r="AS696" s="135"/>
      <c r="AT696" s="135"/>
      <c r="AU696" s="135"/>
      <c r="AV696" s="135"/>
      <c r="AW696" s="143"/>
      <c r="AX696" s="143"/>
      <c r="AY696" s="143"/>
      <c r="AZ696" s="143"/>
      <c r="BA696" s="135"/>
      <c r="BB696" s="151"/>
      <c r="BC696" s="151"/>
      <c r="BD696" s="151"/>
      <c r="BE696" s="151"/>
      <c r="BF696" s="151"/>
      <c r="BG696" s="151"/>
      <c r="BH696" s="151"/>
      <c r="BI696" s="135"/>
      <c r="BJ696" s="135"/>
      <c r="BK696" s="135"/>
      <c r="BL696" s="135"/>
      <c r="BM696" s="144">
        <v>0</v>
      </c>
      <c r="BN696" s="153" t="s">
        <v>103</v>
      </c>
      <c r="BO696" s="135" t="s">
        <v>103</v>
      </c>
      <c r="BP696" s="135" t="s">
        <v>3584</v>
      </c>
      <c r="BQ696" s="203" t="s">
        <v>3585</v>
      </c>
    </row>
    <row r="697" spans="1:69" ht="41.1" customHeight="1">
      <c r="A697" s="219" t="s">
        <v>1705</v>
      </c>
      <c r="B697" s="219" t="s">
        <v>3159</v>
      </c>
      <c r="C697" s="143">
        <f t="shared" ca="1" si="90"/>
        <v>600</v>
      </c>
      <c r="D697" s="135">
        <v>45237</v>
      </c>
      <c r="E697" s="135">
        <v>45240</v>
      </c>
      <c r="F697" s="135">
        <v>45245</v>
      </c>
      <c r="G697" s="135" t="s">
        <v>3285</v>
      </c>
      <c r="H697" s="135">
        <v>45246</v>
      </c>
      <c r="I697" s="135">
        <v>45246</v>
      </c>
      <c r="J697" s="135">
        <v>45271</v>
      </c>
      <c r="K697" s="135"/>
      <c r="L697" s="135"/>
      <c r="M697" s="135"/>
      <c r="N697" s="135"/>
      <c r="O697" s="135"/>
      <c r="P697" s="135"/>
      <c r="Q697" s="135"/>
      <c r="R697" s="135"/>
      <c r="S697" s="135"/>
      <c r="T697" s="135"/>
      <c r="U697" s="144">
        <v>2</v>
      </c>
      <c r="V697" s="143">
        <v>39191</v>
      </c>
      <c r="W697" s="143" t="str">
        <f ca="1">IF(H697="",IF(D697="","",IF(U697+V697&lt;15,"Données Nb pers ou RFR manquantes",IF(COUNTA(INDIRECT("TabRFR["&amp;YEAR(D697)&amp;"]"))&lt;&gt;COUNTA(TabRFR[Recherche RFR]),"Data RFR manquantes", IF(V697&lt;=INDEX(TabRFR[[2023]:[2025]],MATCH(BD!U697&amp;"-Très modestes",TabRFR[Recherche RFR],0),MATCH(TEXT(YEAR(BD!D697),"Standard"),TabRFR[[#Headers],[2023]:[2025]],0)),"Très Modeste",IF(V697&lt;=INDEX(TabRFR[[2023]:[2025]],MATCH(BD!U697&amp;"-modestes",TabRFR[Recherche RFR],0),MATCH(TEXT(YEAR(BD!D697),"Standard"),TabRFR[[#Headers],[2023]:[2025]],0)),"Modeste",IF(V697&lt;=INDEX(TabRFR[[2023]:[2025]],MATCH(BD!U697&amp;"-Intermédiaire",TabRFR[Recherche RFR],0),MATCH(TEXT(YEAR(BD!D697),"Standard"),TabRFR[[#Headers],[2023]:[2025]],0)),"Intermédiaire","Supérieur")))))),IF(D697="","",IF(U697+V697&lt;15,"Données Nb pers ou RFR manquantes",IF(COUNTA(INDIRECT("TabRFR["&amp;YEAR(H697)&amp;"]"))&lt;&gt;COUNTA(TabRFR[Recherche RFR]),"Data RFR manquantes", IF(V697&lt;=INDEX(TabRFR[[2023]:[2025]],MATCH(BD!U697&amp;"-Très modestes",TabRFR[Recherche RFR],0),MATCH(TEXT(YEAR(BD!H697),"Standard"),TabRFR[[#Headers],[2023]:[2025]],0)),"Très Modeste",IF(V697&lt;=INDEX(TabRFR[[2023]:[2025]],MATCH(BD!U697&amp;"-modestes",TabRFR[Recherche RFR],0),MATCH(TEXT(YEAR(BD!H697),"Standard"),TabRFR[[#Headers],[2023]:[2025]],0)),"Modeste",IF(V697&lt;=INDEX(TabRFR[[2023]:[2025]],MATCH(BD!U697&amp;"-Intermédiaire",TabRFR[Recherche RFR],0),MATCH(TEXT(YEAR(BD!H697),"Standard"),TabRFR[[#Headers],[2023]:[2025]],0)),"Intermédiaire","Supérieur")))))))</f>
        <v>Intermédiaire</v>
      </c>
      <c r="X697" s="144"/>
      <c r="Y697" s="135" t="s">
        <v>3279</v>
      </c>
      <c r="Z697" s="144">
        <v>38210</v>
      </c>
      <c r="AA697" s="135" t="s">
        <v>202</v>
      </c>
      <c r="AB697" s="148"/>
      <c r="AC697" s="202"/>
      <c r="AD697" s="135" t="s">
        <v>91</v>
      </c>
      <c r="AE697" s="135"/>
      <c r="AF697" s="135"/>
      <c r="AG697" s="135"/>
      <c r="AH697" s="135"/>
      <c r="AI697" s="135" t="s">
        <v>544</v>
      </c>
      <c r="AJ697" s="135" t="s">
        <v>545</v>
      </c>
      <c r="AK697" s="135" t="s">
        <v>546</v>
      </c>
      <c r="AL697" s="169" t="s">
        <v>2672</v>
      </c>
      <c r="AM697" s="148">
        <v>970825050</v>
      </c>
      <c r="AN697" s="135" t="s">
        <v>76</v>
      </c>
      <c r="AO697" s="150" t="s">
        <v>144</v>
      </c>
      <c r="AP697" s="135">
        <v>45289</v>
      </c>
      <c r="AQ697" s="143" t="s">
        <v>3413</v>
      </c>
      <c r="AR697" s="153">
        <v>2000</v>
      </c>
      <c r="AS697" s="143" t="s">
        <v>3413</v>
      </c>
      <c r="AT697" s="135" t="s">
        <v>98</v>
      </c>
      <c r="AU697" s="135" t="s">
        <v>3283</v>
      </c>
      <c r="AV697" s="135" t="s">
        <v>3284</v>
      </c>
      <c r="AW697" s="135"/>
      <c r="AX697" s="135"/>
      <c r="AY697" s="135"/>
      <c r="AZ697" s="135"/>
      <c r="BA697" s="135" t="s">
        <v>101</v>
      </c>
      <c r="BB697" s="135"/>
      <c r="BC697" s="151">
        <f>(2637.50211+169+1440)/1.2</f>
        <v>3538.7517583333329</v>
      </c>
      <c r="BD697" s="135"/>
      <c r="BE697" s="151">
        <f>(960+120+120)/1.2</f>
        <v>1000</v>
      </c>
      <c r="BF697" s="151">
        <f t="shared" si="91"/>
        <v>4538.7517583333329</v>
      </c>
      <c r="BG697" s="151">
        <f t="shared" si="88"/>
        <v>249.6313467083333</v>
      </c>
      <c r="BH697" s="151">
        <f t="shared" si="89"/>
        <v>4788.3831050416666</v>
      </c>
      <c r="BI697" s="135"/>
      <c r="BJ697" s="135" t="s">
        <v>103</v>
      </c>
      <c r="BK697" s="135"/>
      <c r="BL697" s="135"/>
      <c r="BM697" s="144" t="s">
        <v>3592</v>
      </c>
      <c r="BN697" s="144">
        <v>2023</v>
      </c>
      <c r="BO697" s="135" t="s">
        <v>143</v>
      </c>
      <c r="BP697" s="143" t="s">
        <v>3583</v>
      </c>
      <c r="BQ697" s="203"/>
    </row>
    <row r="698" spans="1:69" ht="41.1" customHeight="1">
      <c r="A698" s="218" t="s">
        <v>1705</v>
      </c>
      <c r="B698" s="218" t="s">
        <v>3160</v>
      </c>
      <c r="C698" s="143">
        <f t="shared" ca="1" si="90"/>
        <v>1000</v>
      </c>
      <c r="D698" s="135">
        <v>45243</v>
      </c>
      <c r="E698" s="135" t="s">
        <v>76</v>
      </c>
      <c r="F698" s="135">
        <v>45245</v>
      </c>
      <c r="G698" s="135" t="s">
        <v>1544</v>
      </c>
      <c r="H698" s="135">
        <v>45246</v>
      </c>
      <c r="I698" s="135">
        <v>45246</v>
      </c>
      <c r="J698" s="135">
        <v>45271</v>
      </c>
      <c r="K698" s="135">
        <v>45296</v>
      </c>
      <c r="L698" s="135">
        <v>45247</v>
      </c>
      <c r="M698" s="135" t="s">
        <v>76</v>
      </c>
      <c r="N698" s="135">
        <v>45316</v>
      </c>
      <c r="O698" s="135">
        <v>45316</v>
      </c>
      <c r="P698" s="135">
        <v>45317</v>
      </c>
      <c r="Q698" s="135"/>
      <c r="R698" s="135"/>
      <c r="S698" s="135"/>
      <c r="T698" s="135"/>
      <c r="U698" s="144">
        <v>4</v>
      </c>
      <c r="V698" s="143">
        <v>35987</v>
      </c>
      <c r="W698" s="143" t="str">
        <f ca="1">IF(H698="",IF(D698="","",IF(U698+V698&lt;15,"Données Nb pers ou RFR manquantes",IF(COUNTA(INDIRECT("TabRFR["&amp;YEAR(D698)&amp;"]"))&lt;&gt;COUNTA(TabRFR[Recherche RFR]),"Data RFR manquantes", IF(V698&lt;=INDEX(TabRFR[[2023]:[2025]],MATCH(BD!U698&amp;"-Très modestes",TabRFR[Recherche RFR],0),MATCH(TEXT(YEAR(BD!D698),"Standard"),TabRFR[[#Headers],[2023]:[2025]],0)),"Très Modeste",IF(V698&lt;=INDEX(TabRFR[[2023]:[2025]],MATCH(BD!U698&amp;"-modestes",TabRFR[Recherche RFR],0),MATCH(TEXT(YEAR(BD!D698),"Standard"),TabRFR[[#Headers],[2023]:[2025]],0)),"Modeste",IF(V698&lt;=INDEX(TabRFR[[2023]:[2025]],MATCH(BD!U698&amp;"-Intermédiaire",TabRFR[Recherche RFR],0),MATCH(TEXT(YEAR(BD!D698),"Standard"),TabRFR[[#Headers],[2023]:[2025]],0)),"Intermédiaire","Supérieur")))))),IF(D698="","",IF(U698+V698&lt;15,"Données Nb pers ou RFR manquantes",IF(COUNTA(INDIRECT("TabRFR["&amp;YEAR(H698)&amp;"]"))&lt;&gt;COUNTA(TabRFR[Recherche RFR]),"Data RFR manquantes", IF(V698&lt;=INDEX(TabRFR[[2023]:[2025]],MATCH(BD!U698&amp;"-Très modestes",TabRFR[Recherche RFR],0),MATCH(TEXT(YEAR(BD!H698),"Standard"),TabRFR[[#Headers],[2023]:[2025]],0)),"Très Modeste",IF(V698&lt;=INDEX(TabRFR[[2023]:[2025]],MATCH(BD!U698&amp;"-modestes",TabRFR[Recherche RFR],0),MATCH(TEXT(YEAR(BD!H698),"Standard"),TabRFR[[#Headers],[2023]:[2025]],0)),"Modeste",IF(V698&lt;=INDEX(TabRFR[[2023]:[2025]],MATCH(BD!U698&amp;"-Intermédiaire",TabRFR[Recherche RFR],0),MATCH(TEXT(YEAR(BD!H698),"Standard"),TabRFR[[#Headers],[2023]:[2025]],0)),"Intermédiaire","Supérieur")))))))</f>
        <v>Modeste</v>
      </c>
      <c r="X698" s="144"/>
      <c r="Y698" s="135" t="s">
        <v>402</v>
      </c>
      <c r="Z698" s="144">
        <v>38620</v>
      </c>
      <c r="AA698" s="135" t="s">
        <v>518</v>
      </c>
      <c r="AB698" s="148"/>
      <c r="AC698" s="202"/>
      <c r="AD698" s="135" t="s">
        <v>91</v>
      </c>
      <c r="AE698" s="135"/>
      <c r="AF698" s="135"/>
      <c r="AG698" s="135"/>
      <c r="AH698" s="135"/>
      <c r="AI698" s="135" t="s">
        <v>1436</v>
      </c>
      <c r="AJ698" s="135" t="s">
        <v>1437</v>
      </c>
      <c r="AK698" s="135" t="s">
        <v>1920</v>
      </c>
      <c r="AL698" s="169" t="s">
        <v>2738</v>
      </c>
      <c r="AM698" s="148" t="s">
        <v>1439</v>
      </c>
      <c r="AN698" s="135" t="s">
        <v>76</v>
      </c>
      <c r="AO698" s="193" t="s">
        <v>102</v>
      </c>
      <c r="AP698" s="135">
        <v>45418</v>
      </c>
      <c r="AQ698" s="143" t="s">
        <v>3413</v>
      </c>
      <c r="AR698" s="153">
        <v>2000</v>
      </c>
      <c r="AS698" s="143" t="s">
        <v>3413</v>
      </c>
      <c r="AT698" s="135" t="s">
        <v>3446</v>
      </c>
      <c r="AU698" s="135" t="s">
        <v>214</v>
      </c>
      <c r="AV698" s="135" t="s">
        <v>2492</v>
      </c>
      <c r="AW698" s="135"/>
      <c r="AX698" s="135"/>
      <c r="AY698" s="135"/>
      <c r="AZ698" s="135"/>
      <c r="BA698" s="135" t="s">
        <v>101</v>
      </c>
      <c r="BB698" s="135"/>
      <c r="BC698" s="151">
        <f>6290+250+324+2002+102</f>
        <v>8968</v>
      </c>
      <c r="BD698" s="135"/>
      <c r="BE698" s="151">
        <f>98+730</f>
        <v>828</v>
      </c>
      <c r="BF698" s="151">
        <f t="shared" si="91"/>
        <v>9796</v>
      </c>
      <c r="BG698" s="151">
        <f t="shared" si="88"/>
        <v>538.78</v>
      </c>
      <c r="BH698" s="151">
        <f t="shared" si="89"/>
        <v>10334.780000000001</v>
      </c>
      <c r="BI698" s="151">
        <v>6717.61</v>
      </c>
      <c r="BJ698" s="135" t="s">
        <v>1391</v>
      </c>
      <c r="BK698" s="135"/>
      <c r="BL698" s="135"/>
      <c r="BM698" s="144" t="s">
        <v>3592</v>
      </c>
      <c r="BN698" s="144">
        <v>2023</v>
      </c>
      <c r="BO698" s="135" t="s">
        <v>155</v>
      </c>
      <c r="BP698" s="135"/>
      <c r="BQ698" s="203"/>
    </row>
    <row r="699" spans="1:69" ht="41.1" customHeight="1">
      <c r="A699" s="219" t="s">
        <v>1705</v>
      </c>
      <c r="B699" s="219" t="s">
        <v>3161</v>
      </c>
      <c r="C699" s="143">
        <f t="shared" ca="1" si="90"/>
        <v>600</v>
      </c>
      <c r="D699" s="135">
        <v>45244</v>
      </c>
      <c r="E699" s="135" t="s">
        <v>76</v>
      </c>
      <c r="F699" s="135">
        <v>45246</v>
      </c>
      <c r="G699" s="135" t="s">
        <v>3282</v>
      </c>
      <c r="H699" s="135">
        <v>45274</v>
      </c>
      <c r="I699" s="135">
        <v>45274</v>
      </c>
      <c r="J699" s="135">
        <v>45278</v>
      </c>
      <c r="K699" s="135"/>
      <c r="L699" s="135"/>
      <c r="M699" s="135"/>
      <c r="N699" s="135"/>
      <c r="O699" s="135"/>
      <c r="P699" s="135"/>
      <c r="Q699" s="135"/>
      <c r="R699" s="135"/>
      <c r="S699" s="135"/>
      <c r="T699" s="135"/>
      <c r="U699" s="144">
        <v>2</v>
      </c>
      <c r="V699" s="143">
        <v>82084</v>
      </c>
      <c r="W699" s="143" t="str">
        <f ca="1">IF(H699="",IF(D699="","",IF(U699+V699&lt;15,"Données Nb pers ou RFR manquantes",IF(COUNTA(INDIRECT("TabRFR["&amp;YEAR(D699)&amp;"]"))&lt;&gt;COUNTA(TabRFR[Recherche RFR]),"Data RFR manquantes", IF(V699&lt;=INDEX(TabRFR[[2023]:[2025]],MATCH(BD!U699&amp;"-Très modestes",TabRFR[Recherche RFR],0),MATCH(TEXT(YEAR(BD!D699),"Standard"),TabRFR[[#Headers],[2023]:[2025]],0)),"Très Modeste",IF(V699&lt;=INDEX(TabRFR[[2023]:[2025]],MATCH(BD!U699&amp;"-modestes",TabRFR[Recherche RFR],0),MATCH(TEXT(YEAR(BD!D699),"Standard"),TabRFR[[#Headers],[2023]:[2025]],0)),"Modeste",IF(V699&lt;=INDEX(TabRFR[[2023]:[2025]],MATCH(BD!U699&amp;"-Intermédiaire",TabRFR[Recherche RFR],0),MATCH(TEXT(YEAR(BD!D699),"Standard"),TabRFR[[#Headers],[2023]:[2025]],0)),"Intermédiaire","Supérieur")))))),IF(D699="","",IF(U699+V699&lt;15,"Données Nb pers ou RFR manquantes",IF(COUNTA(INDIRECT("TabRFR["&amp;YEAR(H699)&amp;"]"))&lt;&gt;COUNTA(TabRFR[Recherche RFR]),"Data RFR manquantes", IF(V699&lt;=INDEX(TabRFR[[2023]:[2025]],MATCH(BD!U699&amp;"-Très modestes",TabRFR[Recherche RFR],0),MATCH(TEXT(YEAR(BD!H699),"Standard"),TabRFR[[#Headers],[2023]:[2025]],0)),"Très Modeste",IF(V699&lt;=INDEX(TabRFR[[2023]:[2025]],MATCH(BD!U699&amp;"-modestes",TabRFR[Recherche RFR],0),MATCH(TEXT(YEAR(BD!H699),"Standard"),TabRFR[[#Headers],[2023]:[2025]],0)),"Modeste",IF(V699&lt;=INDEX(TabRFR[[2023]:[2025]],MATCH(BD!U699&amp;"-Intermédiaire",TabRFR[Recherche RFR],0),MATCH(TEXT(YEAR(BD!H699),"Standard"),TabRFR[[#Headers],[2023]:[2025]],0)),"Intermédiaire","Supérieur")))))))</f>
        <v>Supérieur</v>
      </c>
      <c r="X699" s="144"/>
      <c r="Y699" s="135" t="s">
        <v>3280</v>
      </c>
      <c r="Z699" s="144">
        <v>38500</v>
      </c>
      <c r="AA699" s="135" t="s">
        <v>284</v>
      </c>
      <c r="AB699" s="148"/>
      <c r="AC699" s="202"/>
      <c r="AD699" s="135" t="s">
        <v>91</v>
      </c>
      <c r="AE699" s="135"/>
      <c r="AF699" s="135"/>
      <c r="AG699" s="135"/>
      <c r="AH699" s="135"/>
      <c r="AI699" s="135" t="s">
        <v>160</v>
      </c>
      <c r="AJ699" s="135" t="s">
        <v>161</v>
      </c>
      <c r="AK699" s="135" t="s">
        <v>2238</v>
      </c>
      <c r="AL699" s="150" t="s">
        <v>228</v>
      </c>
      <c r="AM699" s="135" t="s">
        <v>2239</v>
      </c>
      <c r="AN699" s="135" t="s">
        <v>76</v>
      </c>
      <c r="AO699" s="150" t="s">
        <v>102</v>
      </c>
      <c r="AP699" s="135">
        <v>45372</v>
      </c>
      <c r="AQ699" s="135" t="s">
        <v>3449</v>
      </c>
      <c r="AR699" s="135" t="s">
        <v>172</v>
      </c>
      <c r="AS699" s="135" t="s">
        <v>3496</v>
      </c>
      <c r="AT699" s="135" t="s">
        <v>3446</v>
      </c>
      <c r="AU699" s="135" t="s">
        <v>2467</v>
      </c>
      <c r="AV699" s="135" t="s">
        <v>3281</v>
      </c>
      <c r="AW699" s="135"/>
      <c r="AX699" s="135"/>
      <c r="AY699" s="135"/>
      <c r="AZ699" s="135"/>
      <c r="BA699" s="135" t="s">
        <v>101</v>
      </c>
      <c r="BB699" s="135"/>
      <c r="BC699" s="151">
        <f>2396+9990+99+153+126+1856+184+525+480+167+490+308</f>
        <v>16774</v>
      </c>
      <c r="BD699" s="135"/>
      <c r="BE699" s="151">
        <f>1992+600</f>
        <v>2592</v>
      </c>
      <c r="BF699" s="151">
        <f t="shared" si="91"/>
        <v>19366</v>
      </c>
      <c r="BG699" s="151">
        <f t="shared" si="88"/>
        <v>1065.1300000000001</v>
      </c>
      <c r="BH699" s="151">
        <f t="shared" si="89"/>
        <v>20431.13</v>
      </c>
      <c r="BI699" s="135"/>
      <c r="BJ699" s="135" t="s">
        <v>144</v>
      </c>
      <c r="BK699" s="135"/>
      <c r="BL699" s="135"/>
      <c r="BM699" s="144" t="s">
        <v>3592</v>
      </c>
      <c r="BN699" s="153">
        <v>2023</v>
      </c>
      <c r="BO699" s="135" t="s">
        <v>143</v>
      </c>
      <c r="BP699" s="135"/>
      <c r="BQ699" s="203"/>
    </row>
    <row r="700" spans="1:69" ht="41.1" customHeight="1">
      <c r="A700" s="145" t="s">
        <v>1705</v>
      </c>
      <c r="B700" s="145" t="s">
        <v>3162</v>
      </c>
      <c r="C700" s="143"/>
      <c r="D700" s="135"/>
      <c r="E700" s="135"/>
      <c r="F700" s="135"/>
      <c r="G700" s="135"/>
      <c r="H700" s="135"/>
      <c r="I700" s="135"/>
      <c r="J700" s="135" t="s">
        <v>1418</v>
      </c>
      <c r="K700" s="135"/>
      <c r="L700" s="135"/>
      <c r="M700" s="135"/>
      <c r="N700" s="135"/>
      <c r="O700" s="135"/>
      <c r="P700" s="135"/>
      <c r="Q700" s="135"/>
      <c r="R700" s="135" t="s">
        <v>3581</v>
      </c>
      <c r="S700" s="135"/>
      <c r="T700" s="135"/>
      <c r="U700" s="144"/>
      <c r="V700" s="143"/>
      <c r="W700" s="143"/>
      <c r="X700" s="144"/>
      <c r="Y700" s="135"/>
      <c r="Z700" s="144"/>
      <c r="AA700" s="135"/>
      <c r="AB700" s="148"/>
      <c r="AC700" s="202"/>
      <c r="AD700" s="135"/>
      <c r="AE700" s="135"/>
      <c r="AF700" s="135"/>
      <c r="AG700" s="135"/>
      <c r="AH700" s="135"/>
      <c r="AI700" s="135"/>
      <c r="AJ700" s="135"/>
      <c r="AK700" s="135"/>
      <c r="AL700" s="208"/>
      <c r="AM700" s="148"/>
      <c r="AN700" s="135"/>
      <c r="AO700" s="193"/>
      <c r="AP700" s="135"/>
      <c r="AQ700" s="135"/>
      <c r="AR700" s="135"/>
      <c r="AS700" s="135"/>
      <c r="AT700" s="135"/>
      <c r="AU700" s="135"/>
      <c r="AV700" s="135"/>
      <c r="AW700" s="143"/>
      <c r="AX700" s="143"/>
      <c r="AY700" s="143"/>
      <c r="AZ700" s="143"/>
      <c r="BA700" s="135"/>
      <c r="BB700" s="151"/>
      <c r="BC700" s="151"/>
      <c r="BD700" s="151"/>
      <c r="BE700" s="151"/>
      <c r="BF700" s="151"/>
      <c r="BG700" s="151"/>
      <c r="BH700" s="151"/>
      <c r="BI700" s="135"/>
      <c r="BJ700" s="135"/>
      <c r="BK700" s="135"/>
      <c r="BL700" s="135"/>
      <c r="BM700" s="144">
        <v>0</v>
      </c>
      <c r="BN700" s="153" t="s">
        <v>103</v>
      </c>
      <c r="BO700" s="135" t="s">
        <v>103</v>
      </c>
      <c r="BP700" s="135" t="s">
        <v>3584</v>
      </c>
      <c r="BQ700" s="203" t="s">
        <v>3585</v>
      </c>
    </row>
    <row r="701" spans="1:69" ht="41.1" customHeight="1">
      <c r="A701" s="219" t="s">
        <v>1705</v>
      </c>
      <c r="B701" s="219" t="s">
        <v>3163</v>
      </c>
      <c r="C701" s="143">
        <f t="shared" ca="1" si="90"/>
        <v>600</v>
      </c>
      <c r="D701" s="135">
        <v>45260</v>
      </c>
      <c r="E701" s="135">
        <v>45265</v>
      </c>
      <c r="F701" s="135">
        <v>45267</v>
      </c>
      <c r="G701" s="135" t="s">
        <v>3320</v>
      </c>
      <c r="H701" s="135">
        <v>45281</v>
      </c>
      <c r="I701" s="135">
        <v>45281</v>
      </c>
      <c r="J701" s="135">
        <v>45288</v>
      </c>
      <c r="K701" s="135"/>
      <c r="L701" s="135"/>
      <c r="M701" s="135"/>
      <c r="N701" s="135"/>
      <c r="O701" s="135"/>
      <c r="P701" s="135"/>
      <c r="Q701" s="135"/>
      <c r="R701" s="135"/>
      <c r="S701" s="135"/>
      <c r="T701" s="135"/>
      <c r="U701" s="144">
        <v>2</v>
      </c>
      <c r="V701" s="143">
        <v>37613</v>
      </c>
      <c r="W701" s="143" t="str">
        <f ca="1">IF(H701="",IF(D701="","",IF(U701+V701&lt;15,"Données Nb pers ou RFR manquantes",IF(COUNTA(INDIRECT("TabRFR["&amp;YEAR(D701)&amp;"]"))&lt;&gt;COUNTA(TabRFR[Recherche RFR]),"Data RFR manquantes", IF(V701&lt;=INDEX(TabRFR[[2023]:[2025]],MATCH(BD!U701&amp;"-Très modestes",TabRFR[Recherche RFR],0),MATCH(TEXT(YEAR(BD!D701),"Standard"),TabRFR[[#Headers],[2023]:[2025]],0)),"Très Modeste",IF(V701&lt;=INDEX(TabRFR[[2023]:[2025]],MATCH(BD!U701&amp;"-modestes",TabRFR[Recherche RFR],0),MATCH(TEXT(YEAR(BD!D701),"Standard"),TabRFR[[#Headers],[2023]:[2025]],0)),"Modeste",IF(V701&lt;=INDEX(TabRFR[[2023]:[2025]],MATCH(BD!U701&amp;"-Intermédiaire",TabRFR[Recherche RFR],0),MATCH(TEXT(YEAR(BD!D701),"Standard"),TabRFR[[#Headers],[2023]:[2025]],0)),"Intermédiaire","Supérieur")))))),IF(D701="","",IF(U701+V701&lt;15,"Données Nb pers ou RFR manquantes",IF(COUNTA(INDIRECT("TabRFR["&amp;YEAR(H701)&amp;"]"))&lt;&gt;COUNTA(TabRFR[Recherche RFR]),"Data RFR manquantes", IF(V701&lt;=INDEX(TabRFR[[2023]:[2025]],MATCH(BD!U701&amp;"-Très modestes",TabRFR[Recherche RFR],0),MATCH(TEXT(YEAR(BD!H701),"Standard"),TabRFR[[#Headers],[2023]:[2025]],0)),"Très Modeste",IF(V701&lt;=INDEX(TabRFR[[2023]:[2025]],MATCH(BD!U701&amp;"-modestes",TabRFR[Recherche RFR],0),MATCH(TEXT(YEAR(BD!H701),"Standard"),TabRFR[[#Headers],[2023]:[2025]],0)),"Modeste",IF(V701&lt;=INDEX(TabRFR[[2023]:[2025]],MATCH(BD!U701&amp;"-Intermédiaire",TabRFR[Recherche RFR],0),MATCH(TEXT(YEAR(BD!H701),"Standard"),TabRFR[[#Headers],[2023]:[2025]],0)),"Intermédiaire","Supérieur")))))))</f>
        <v>Intermédiaire</v>
      </c>
      <c r="X701" s="144"/>
      <c r="Y701" s="135" t="s">
        <v>3313</v>
      </c>
      <c r="Z701" s="144">
        <v>38140</v>
      </c>
      <c r="AA701" s="135" t="s">
        <v>184</v>
      </c>
      <c r="AB701" s="148"/>
      <c r="AC701" s="202"/>
      <c r="AD701" s="135" t="s">
        <v>91</v>
      </c>
      <c r="AE701" s="135"/>
      <c r="AF701" s="135"/>
      <c r="AG701" s="135"/>
      <c r="AH701" s="135"/>
      <c r="AI701" s="135" t="s">
        <v>905</v>
      </c>
      <c r="AJ701" s="135" t="s">
        <v>136</v>
      </c>
      <c r="AK701" s="135" t="s">
        <v>1897</v>
      </c>
      <c r="AL701" s="169" t="s">
        <v>2794</v>
      </c>
      <c r="AM701" s="148">
        <v>660022505</v>
      </c>
      <c r="AN701" s="135" t="s">
        <v>76</v>
      </c>
      <c r="AO701" s="193" t="str">
        <f>AO679</f>
        <v>oui</v>
      </c>
      <c r="AP701" s="135">
        <v>45399</v>
      </c>
      <c r="AQ701" s="135" t="s">
        <v>3496</v>
      </c>
      <c r="AR701" s="135" t="s">
        <v>172</v>
      </c>
      <c r="AS701" s="143" t="s">
        <v>3413</v>
      </c>
      <c r="AT701" s="135" t="s">
        <v>98</v>
      </c>
      <c r="AU701" s="135" t="s">
        <v>2060</v>
      </c>
      <c r="AV701" s="135" t="s">
        <v>1098</v>
      </c>
      <c r="AW701" s="135"/>
      <c r="AX701" s="135"/>
      <c r="AY701" s="135"/>
      <c r="AZ701" s="135"/>
      <c r="BA701" s="135" t="s">
        <v>101</v>
      </c>
      <c r="BB701" s="135"/>
      <c r="BC701" s="151">
        <f>4928+1.67+143+1175.04+608</f>
        <v>6855.71</v>
      </c>
      <c r="BD701" s="135"/>
      <c r="BE701" s="151">
        <f>894+248+82</f>
        <v>1224</v>
      </c>
      <c r="BF701" s="151">
        <f>BC701+BE701-1283.5</f>
        <v>6796.21</v>
      </c>
      <c r="BG701" s="151">
        <f t="shared" si="88"/>
        <v>373.79155000000003</v>
      </c>
      <c r="BH701" s="151">
        <f t="shared" si="89"/>
        <v>7170.00155</v>
      </c>
      <c r="BI701" s="135"/>
      <c r="BJ701" s="135" t="s">
        <v>144</v>
      </c>
      <c r="BK701" s="135"/>
      <c r="BL701" s="135"/>
      <c r="BM701" s="144" t="s">
        <v>3592</v>
      </c>
      <c r="BN701" s="153">
        <v>2023</v>
      </c>
      <c r="BO701" s="135" t="s">
        <v>143</v>
      </c>
      <c r="BP701" s="143" t="s">
        <v>3583</v>
      </c>
      <c r="BQ701" s="203"/>
    </row>
    <row r="702" spans="1:69" ht="41.1" customHeight="1">
      <c r="A702" s="218" t="s">
        <v>1705</v>
      </c>
      <c r="B702" s="218" t="s">
        <v>3164</v>
      </c>
      <c r="C702" s="143">
        <f t="shared" ca="1" si="90"/>
        <v>600</v>
      </c>
      <c r="D702" s="135">
        <v>45260</v>
      </c>
      <c r="E702" s="135">
        <v>45265</v>
      </c>
      <c r="F702" s="135" t="s">
        <v>76</v>
      </c>
      <c r="G702" s="135" t="s">
        <v>76</v>
      </c>
      <c r="H702" s="135">
        <v>45268</v>
      </c>
      <c r="I702" s="135">
        <v>45268</v>
      </c>
      <c r="J702" s="135">
        <v>45275</v>
      </c>
      <c r="K702" s="135">
        <v>45301</v>
      </c>
      <c r="L702" s="135">
        <v>45282</v>
      </c>
      <c r="M702" s="135" t="s">
        <v>76</v>
      </c>
      <c r="N702" s="135">
        <v>45307</v>
      </c>
      <c r="O702" s="135">
        <v>45307</v>
      </c>
      <c r="P702" s="135">
        <v>45307</v>
      </c>
      <c r="Q702" s="135"/>
      <c r="R702" s="135"/>
      <c r="S702" s="135"/>
      <c r="T702" s="135"/>
      <c r="U702" s="144">
        <v>2</v>
      </c>
      <c r="V702" s="143">
        <v>135866</v>
      </c>
      <c r="W702" s="143" t="str">
        <f ca="1">IF(H702="",IF(D702="","",IF(U702+V702&lt;15,"Données Nb pers ou RFR manquantes",IF(COUNTA(INDIRECT("TabRFR["&amp;YEAR(D702)&amp;"]"))&lt;&gt;COUNTA(TabRFR[Recherche RFR]),"Data RFR manquantes", IF(V702&lt;=INDEX(TabRFR[[2023]:[2025]],MATCH(BD!U702&amp;"-Très modestes",TabRFR[Recherche RFR],0),MATCH(TEXT(YEAR(BD!D702),"Standard"),TabRFR[[#Headers],[2023]:[2025]],0)),"Très Modeste",IF(V702&lt;=INDEX(TabRFR[[2023]:[2025]],MATCH(BD!U702&amp;"-modestes",TabRFR[Recherche RFR],0),MATCH(TEXT(YEAR(BD!D702),"Standard"),TabRFR[[#Headers],[2023]:[2025]],0)),"Modeste",IF(V702&lt;=INDEX(TabRFR[[2023]:[2025]],MATCH(BD!U702&amp;"-Intermédiaire",TabRFR[Recherche RFR],0),MATCH(TEXT(YEAR(BD!D702),"Standard"),TabRFR[[#Headers],[2023]:[2025]],0)),"Intermédiaire","Supérieur")))))),IF(D702="","",IF(U702+V702&lt;15,"Données Nb pers ou RFR manquantes",IF(COUNTA(INDIRECT("TabRFR["&amp;YEAR(H702)&amp;"]"))&lt;&gt;COUNTA(TabRFR[Recherche RFR]),"Data RFR manquantes", IF(V702&lt;=INDEX(TabRFR[[2023]:[2025]],MATCH(BD!U702&amp;"-Très modestes",TabRFR[Recherche RFR],0),MATCH(TEXT(YEAR(BD!H702),"Standard"),TabRFR[[#Headers],[2023]:[2025]],0)),"Très Modeste",IF(V702&lt;=INDEX(TabRFR[[2023]:[2025]],MATCH(BD!U702&amp;"-modestes",TabRFR[Recherche RFR],0),MATCH(TEXT(YEAR(BD!H702),"Standard"),TabRFR[[#Headers],[2023]:[2025]],0)),"Modeste",IF(V702&lt;=INDEX(TabRFR[[2023]:[2025]],MATCH(BD!U702&amp;"-Intermédiaire",TabRFR[Recherche RFR],0),MATCH(TEXT(YEAR(BD!H702),"Standard"),TabRFR[[#Headers],[2023]:[2025]],0)),"Intermédiaire","Supérieur")))))))</f>
        <v>Supérieur</v>
      </c>
      <c r="X702" s="144"/>
      <c r="Y702" s="135" t="s">
        <v>1041</v>
      </c>
      <c r="Z702" s="144">
        <v>38850</v>
      </c>
      <c r="AA702" s="135" t="s">
        <v>148</v>
      </c>
      <c r="AB702" s="148"/>
      <c r="AC702" s="202"/>
      <c r="AD702" s="135" t="s">
        <v>91</v>
      </c>
      <c r="AE702" s="135"/>
      <c r="AF702" s="135"/>
      <c r="AG702" s="135"/>
      <c r="AH702" s="135"/>
      <c r="AI702" s="143" t="s">
        <v>951</v>
      </c>
      <c r="AJ702" s="143" t="s">
        <v>865</v>
      </c>
      <c r="AK702" s="143" t="s">
        <v>952</v>
      </c>
      <c r="AL702" s="150" t="s">
        <v>953</v>
      </c>
      <c r="AM702" s="148">
        <v>662398956</v>
      </c>
      <c r="AN702" s="143" t="s">
        <v>76</v>
      </c>
      <c r="AO702" s="150" t="s">
        <v>102</v>
      </c>
      <c r="AP702" s="147">
        <v>45389</v>
      </c>
      <c r="AQ702" s="143" t="s">
        <v>3413</v>
      </c>
      <c r="AR702" s="153">
        <v>2002</v>
      </c>
      <c r="AS702" s="143" t="s">
        <v>3413</v>
      </c>
      <c r="AT702" s="135" t="s">
        <v>3446</v>
      </c>
      <c r="AU702" s="135" t="s">
        <v>319</v>
      </c>
      <c r="AV702" s="135" t="s">
        <v>3321</v>
      </c>
      <c r="AW702" s="135"/>
      <c r="AX702" s="135"/>
      <c r="AY702" s="135"/>
      <c r="AZ702" s="135"/>
      <c r="BA702" s="135" t="s">
        <v>101</v>
      </c>
      <c r="BB702" s="135"/>
      <c r="BC702" s="151">
        <f>5075+63.5+33.2+114.4+66+245+75+95</f>
        <v>5767.0999999999995</v>
      </c>
      <c r="BD702" s="135"/>
      <c r="BE702" s="151">
        <v>700</v>
      </c>
      <c r="BF702" s="151">
        <f>BC702+BE702-300</f>
        <v>6167.0999999999995</v>
      </c>
      <c r="BG702" s="151">
        <f t="shared" si="88"/>
        <v>339.19049999999999</v>
      </c>
      <c r="BH702" s="151">
        <f t="shared" si="89"/>
        <v>6506.2904999999992</v>
      </c>
      <c r="BI702" s="151">
        <v>6506.29</v>
      </c>
      <c r="BJ702" s="135" t="s">
        <v>144</v>
      </c>
      <c r="BK702" s="135"/>
      <c r="BL702" s="135"/>
      <c r="BM702" s="144" t="s">
        <v>3592</v>
      </c>
      <c r="BN702" s="153">
        <v>2023</v>
      </c>
      <c r="BO702" s="135" t="s">
        <v>143</v>
      </c>
      <c r="BP702" s="135"/>
      <c r="BQ702" s="203"/>
    </row>
    <row r="703" spans="1:69" ht="41.1" customHeight="1">
      <c r="A703" s="219" t="s">
        <v>3322</v>
      </c>
      <c r="B703" s="219" t="s">
        <v>3165</v>
      </c>
      <c r="C703" s="143">
        <f t="shared" ca="1" si="90"/>
        <v>600</v>
      </c>
      <c r="D703" s="135">
        <v>45260</v>
      </c>
      <c r="E703" s="135">
        <v>45265</v>
      </c>
      <c r="F703" s="135" t="s">
        <v>76</v>
      </c>
      <c r="G703" s="135" t="s">
        <v>76</v>
      </c>
      <c r="H703" s="135">
        <v>45268</v>
      </c>
      <c r="I703" s="135">
        <v>45268</v>
      </c>
      <c r="J703" s="135">
        <v>45273</v>
      </c>
      <c r="K703" s="135"/>
      <c r="L703" s="135"/>
      <c r="M703" s="135"/>
      <c r="N703" s="135"/>
      <c r="O703" s="135"/>
      <c r="P703" s="135"/>
      <c r="Q703" s="135"/>
      <c r="R703" s="135"/>
      <c r="S703" s="135"/>
      <c r="T703" s="135"/>
      <c r="U703" s="144">
        <v>5</v>
      </c>
      <c r="V703" s="143">
        <v>91879</v>
      </c>
      <c r="W703" s="143" t="str">
        <f ca="1">IF(H703="",IF(D703="","",IF(U703+V703&lt;15,"Données Nb pers ou RFR manquantes",IF(COUNTA(INDIRECT("TabRFR["&amp;YEAR(D703)&amp;"]"))&lt;&gt;COUNTA(TabRFR[Recherche RFR]),"Data RFR manquantes", IF(V703&lt;=INDEX(TabRFR[[2023]:[2025]],MATCH(BD!U703&amp;"-Très modestes",TabRFR[Recherche RFR],0),MATCH(TEXT(YEAR(BD!D703),"Standard"),TabRFR[[#Headers],[2023]:[2025]],0)),"Très Modeste",IF(V703&lt;=INDEX(TabRFR[[2023]:[2025]],MATCH(BD!U703&amp;"-modestes",TabRFR[Recherche RFR],0),MATCH(TEXT(YEAR(BD!D703),"Standard"),TabRFR[[#Headers],[2023]:[2025]],0)),"Modeste",IF(V703&lt;=INDEX(TabRFR[[2023]:[2025]],MATCH(BD!U703&amp;"-Intermédiaire",TabRFR[Recherche RFR],0),MATCH(TEXT(YEAR(BD!D703),"Standard"),TabRFR[[#Headers],[2023]:[2025]],0)),"Intermédiaire","Supérieur")))))),IF(D703="","",IF(U703+V703&lt;15,"Données Nb pers ou RFR manquantes",IF(COUNTA(INDIRECT("TabRFR["&amp;YEAR(H703)&amp;"]"))&lt;&gt;COUNTA(TabRFR[Recherche RFR]),"Data RFR manquantes", IF(V703&lt;=INDEX(TabRFR[[2023]:[2025]],MATCH(BD!U703&amp;"-Très modestes",TabRFR[Recherche RFR],0),MATCH(TEXT(YEAR(BD!H703),"Standard"),TabRFR[[#Headers],[2023]:[2025]],0)),"Très Modeste",IF(V703&lt;=INDEX(TabRFR[[2023]:[2025]],MATCH(BD!U703&amp;"-modestes",TabRFR[Recherche RFR],0),MATCH(TEXT(YEAR(BD!H703),"Standard"),TabRFR[[#Headers],[2023]:[2025]],0)),"Modeste",IF(V703&lt;=INDEX(TabRFR[[2023]:[2025]],MATCH(BD!U703&amp;"-Intermédiaire",TabRFR[Recherche RFR],0),MATCH(TEXT(YEAR(BD!H703),"Standard"),TabRFR[[#Headers],[2023]:[2025]],0)),"Intermédiaire","Supérieur")))))))</f>
        <v>Supérieur</v>
      </c>
      <c r="X703" s="144"/>
      <c r="Y703" s="135" t="s">
        <v>3314</v>
      </c>
      <c r="Z703" s="144">
        <v>38500</v>
      </c>
      <c r="AA703" s="135" t="s">
        <v>108</v>
      </c>
      <c r="AB703" s="148"/>
      <c r="AC703" s="202"/>
      <c r="AD703" s="135" t="s">
        <v>91</v>
      </c>
      <c r="AE703" s="135"/>
      <c r="AF703" s="135"/>
      <c r="AG703" s="135"/>
      <c r="AH703" s="135"/>
      <c r="AI703" s="135" t="s">
        <v>160</v>
      </c>
      <c r="AJ703" s="135" t="s">
        <v>161</v>
      </c>
      <c r="AK703" s="135" t="s">
        <v>2238</v>
      </c>
      <c r="AL703" s="150" t="s">
        <v>228</v>
      </c>
      <c r="AM703" s="135" t="s">
        <v>2239</v>
      </c>
      <c r="AN703" s="135" t="s">
        <v>76</v>
      </c>
      <c r="AO703" s="150" t="s">
        <v>102</v>
      </c>
      <c r="AP703" s="135">
        <v>45372</v>
      </c>
      <c r="AQ703" s="135" t="s">
        <v>3496</v>
      </c>
      <c r="AR703" s="153">
        <v>2000</v>
      </c>
      <c r="AS703" s="143" t="s">
        <v>3413</v>
      </c>
      <c r="AT703" s="135" t="s">
        <v>3446</v>
      </c>
      <c r="AU703" s="135" t="s">
        <v>2467</v>
      </c>
      <c r="AV703" s="135" t="s">
        <v>1431</v>
      </c>
      <c r="AW703" s="135"/>
      <c r="AX703" s="135"/>
      <c r="AY703" s="135"/>
      <c r="AZ703" s="135"/>
      <c r="BA703" s="135" t="s">
        <v>101</v>
      </c>
      <c r="BB703" s="135"/>
      <c r="BC703" s="151">
        <f>6931+1637+1790</f>
        <v>10358</v>
      </c>
      <c r="BD703" s="135"/>
      <c r="BE703" s="151">
        <v>1291</v>
      </c>
      <c r="BF703" s="151">
        <f>BC703+BE703</f>
        <v>11649</v>
      </c>
      <c r="BG703" s="151">
        <f t="shared" si="88"/>
        <v>640.69500000000005</v>
      </c>
      <c r="BH703" s="151">
        <f t="shared" si="89"/>
        <v>12289.695</v>
      </c>
      <c r="BI703" s="135"/>
      <c r="BJ703" s="135" t="s">
        <v>144</v>
      </c>
      <c r="BK703" s="135"/>
      <c r="BL703" s="135"/>
      <c r="BM703" s="144" t="s">
        <v>3592</v>
      </c>
      <c r="BN703" s="153">
        <v>2023</v>
      </c>
      <c r="BO703" s="135" t="s">
        <v>143</v>
      </c>
      <c r="BP703" s="135"/>
      <c r="BQ703" s="203"/>
    </row>
    <row r="704" spans="1:69" ht="41.1" customHeight="1">
      <c r="A704" s="145" t="s">
        <v>1705</v>
      </c>
      <c r="B704" s="145" t="s">
        <v>3166</v>
      </c>
      <c r="C704" s="143"/>
      <c r="D704" s="135">
        <v>45260</v>
      </c>
      <c r="E704" s="135">
        <v>45265</v>
      </c>
      <c r="F704" s="135" t="s">
        <v>76</v>
      </c>
      <c r="G704" s="135" t="s">
        <v>3439</v>
      </c>
      <c r="H704" s="135"/>
      <c r="I704" s="135"/>
      <c r="J704" s="135" t="s">
        <v>1418</v>
      </c>
      <c r="K704" s="135"/>
      <c r="L704" s="135"/>
      <c r="M704" s="135"/>
      <c r="N704" s="135"/>
      <c r="O704" s="135"/>
      <c r="P704" s="135"/>
      <c r="Q704" s="135">
        <v>45336</v>
      </c>
      <c r="R704" s="135" t="s">
        <v>3440</v>
      </c>
      <c r="S704" s="135"/>
      <c r="T704" s="135"/>
      <c r="U704" s="144">
        <v>2</v>
      </c>
      <c r="V704" s="143">
        <v>87133</v>
      </c>
      <c r="W704" s="143" t="str">
        <f ca="1">IF(H704="",IF(D704="","",IF(U704+V704&lt;15,"Données Nb pers ou RFR manquantes",IF(COUNTA(INDIRECT("TabRFR["&amp;YEAR(D704)&amp;"]"))&lt;&gt;COUNTA(TabRFR[Recherche RFR]),"Data RFR manquantes", IF(V704&lt;=INDEX(TabRFR[[2023]:[2025]],MATCH(BD!U704&amp;"-Très modestes",TabRFR[Recherche RFR],0),MATCH(TEXT(YEAR(BD!D704),"Standard"),TabRFR[[#Headers],[2023]:[2025]],0)),"Très Modeste",IF(V704&lt;=INDEX(TabRFR[[2023]:[2025]],MATCH(BD!U704&amp;"-modestes",TabRFR[Recherche RFR],0),MATCH(TEXT(YEAR(BD!D704),"Standard"),TabRFR[[#Headers],[2023]:[2025]],0)),"Modeste",IF(V704&lt;=INDEX(TabRFR[[2023]:[2025]],MATCH(BD!U704&amp;"-Intermédiaire",TabRFR[Recherche RFR],0),MATCH(TEXT(YEAR(BD!D704),"Standard"),TabRFR[[#Headers],[2023]:[2025]],0)),"Intermédiaire","Supérieur")))))),IF(D704="","",IF(U704+V704&lt;15,"Données Nb pers ou RFR manquantes",IF(COUNTA(INDIRECT("TabRFR["&amp;YEAR(H704)&amp;"]"))&lt;&gt;COUNTA(TabRFR[Recherche RFR]),"Data RFR manquantes", IF(V704&lt;=INDEX(TabRFR[[2023]:[2025]],MATCH(BD!U704&amp;"-Très modestes",TabRFR[Recherche RFR],0),MATCH(TEXT(YEAR(BD!H704),"Standard"),TabRFR[[#Headers],[2023]:[2025]],0)),"Très Modeste",IF(V704&lt;=INDEX(TabRFR[[2023]:[2025]],MATCH(BD!U704&amp;"-modestes",TabRFR[Recherche RFR],0),MATCH(TEXT(YEAR(BD!H704),"Standard"),TabRFR[[#Headers],[2023]:[2025]],0)),"Modeste",IF(V704&lt;=INDEX(TabRFR[[2023]:[2025]],MATCH(BD!U704&amp;"-Intermédiaire",TabRFR[Recherche RFR],0),MATCH(TEXT(YEAR(BD!H704),"Standard"),TabRFR[[#Headers],[2023]:[2025]],0)),"Intermédiaire","Supérieur")))))))</f>
        <v>Supérieur</v>
      </c>
      <c r="X704" s="144"/>
      <c r="Y704" s="135" t="s">
        <v>3315</v>
      </c>
      <c r="Z704" s="144">
        <v>38140</v>
      </c>
      <c r="AA704" s="135" t="s">
        <v>184</v>
      </c>
      <c r="AB704" s="148"/>
      <c r="AC704" s="202"/>
      <c r="AD704" s="135" t="s">
        <v>91</v>
      </c>
      <c r="AE704" s="135"/>
      <c r="AF704" s="135"/>
      <c r="AG704" s="135"/>
      <c r="AH704" s="135"/>
      <c r="AI704" s="135" t="s">
        <v>285</v>
      </c>
      <c r="AJ704" s="135" t="s">
        <v>108</v>
      </c>
      <c r="AK704" s="135" t="s">
        <v>2227</v>
      </c>
      <c r="AL704" s="169" t="s">
        <v>287</v>
      </c>
      <c r="AM704" s="148" t="s">
        <v>2184</v>
      </c>
      <c r="AN704" s="135" t="s">
        <v>76</v>
      </c>
      <c r="AO704" s="193" t="s">
        <v>102</v>
      </c>
      <c r="AP704" s="135">
        <v>45553</v>
      </c>
      <c r="AQ704" s="143" t="s">
        <v>3413</v>
      </c>
      <c r="AR704" s="153">
        <v>2006</v>
      </c>
      <c r="AS704" s="135" t="s">
        <v>3496</v>
      </c>
      <c r="AT704" s="135" t="s">
        <v>3446</v>
      </c>
      <c r="AU704" s="135" t="s">
        <v>381</v>
      </c>
      <c r="AV704" s="135" t="s">
        <v>2784</v>
      </c>
      <c r="AW704" s="135"/>
      <c r="AX704" s="135"/>
      <c r="AY704" s="135"/>
      <c r="AZ704" s="135"/>
      <c r="BA704" s="135" t="s">
        <v>101</v>
      </c>
      <c r="BB704" s="135"/>
      <c r="BC704" s="151">
        <f>1890+1830+510+1210+820+3100</f>
        <v>9360</v>
      </c>
      <c r="BD704" s="135"/>
      <c r="BE704" s="151">
        <f>490+840</f>
        <v>1330</v>
      </c>
      <c r="BF704" s="151">
        <f>BC704+BE704</f>
        <v>10690</v>
      </c>
      <c r="BG704" s="151">
        <f t="shared" si="88"/>
        <v>587.95000000000005</v>
      </c>
      <c r="BH704" s="151">
        <f t="shared" si="89"/>
        <v>11277.95</v>
      </c>
      <c r="BI704" s="135"/>
      <c r="BJ704" s="135" t="s">
        <v>144</v>
      </c>
      <c r="BK704" s="135"/>
      <c r="BL704" s="135"/>
      <c r="BM704" s="144">
        <v>0</v>
      </c>
      <c r="BN704" s="153" t="s">
        <v>1496</v>
      </c>
      <c r="BO704" s="144" t="s">
        <v>103</v>
      </c>
      <c r="BP704" s="203" t="s">
        <v>3582</v>
      </c>
      <c r="BQ704" s="203" t="s">
        <v>3273</v>
      </c>
    </row>
    <row r="705" spans="1:69" ht="41.1" customHeight="1">
      <c r="A705" s="218" t="s">
        <v>3322</v>
      </c>
      <c r="B705" s="218" t="s">
        <v>3167</v>
      </c>
      <c r="C705" s="143">
        <f ca="1">IF(W705="Très modeste",1000,IF(W705="Modeste",1000,IF(W705="Intermédiaire",600,IF(W705="Supérieur",600,"Non calculé"))))</f>
        <v>1000</v>
      </c>
      <c r="D705" s="135">
        <v>45260</v>
      </c>
      <c r="E705" s="135">
        <v>45265</v>
      </c>
      <c r="F705" s="135">
        <v>45268</v>
      </c>
      <c r="G705" s="135" t="s">
        <v>3353</v>
      </c>
      <c r="H705" s="135">
        <v>45278</v>
      </c>
      <c r="I705" s="135">
        <v>45278</v>
      </c>
      <c r="J705" s="135">
        <v>45279</v>
      </c>
      <c r="K705" s="135">
        <v>45309</v>
      </c>
      <c r="L705" s="135">
        <v>45294</v>
      </c>
      <c r="M705" s="135" t="s">
        <v>3405</v>
      </c>
      <c r="N705" s="135">
        <v>45330</v>
      </c>
      <c r="O705" s="135">
        <v>45330</v>
      </c>
      <c r="P705" s="135">
        <v>45336</v>
      </c>
      <c r="Q705" s="135"/>
      <c r="R705" s="135"/>
      <c r="S705" s="135"/>
      <c r="T705" s="135"/>
      <c r="U705" s="144">
        <v>1</v>
      </c>
      <c r="V705" s="143">
        <v>9055</v>
      </c>
      <c r="W705" s="143" t="str">
        <f ca="1">IF(H705="",IF(D705="","",IF(U705+V705&lt;15,"Données Nb pers ou RFR manquantes",IF(COUNTA(INDIRECT("TabRFR["&amp;YEAR(D705)&amp;"]"))&lt;&gt;COUNTA(TabRFR[Recherche RFR]),"Data RFR manquantes", IF(V705&lt;=INDEX(TabRFR[[2023]:[2025]],MATCH(BD!U705&amp;"-Très modestes",TabRFR[Recherche RFR],0),MATCH(TEXT(YEAR(BD!D705),"Standard"),TabRFR[[#Headers],[2023]:[2025]],0)),"Très Modeste",IF(V705&lt;=INDEX(TabRFR[[2023]:[2025]],MATCH(BD!U705&amp;"-modestes",TabRFR[Recherche RFR],0),MATCH(TEXT(YEAR(BD!D705),"Standard"),TabRFR[[#Headers],[2023]:[2025]],0)),"Modeste",IF(V705&lt;=INDEX(TabRFR[[2023]:[2025]],MATCH(BD!U705&amp;"-Intermédiaire",TabRFR[Recherche RFR],0),MATCH(TEXT(YEAR(BD!D705),"Standard"),TabRFR[[#Headers],[2023]:[2025]],0)),"Intermédiaire","Supérieur")))))),IF(D705="","",IF(U705+V705&lt;15,"Données Nb pers ou RFR manquantes",IF(COUNTA(INDIRECT("TabRFR["&amp;YEAR(H705)&amp;"]"))&lt;&gt;COUNTA(TabRFR[Recherche RFR]),"Data RFR manquantes", IF(V705&lt;=INDEX(TabRFR[[2023]:[2025]],MATCH(BD!U705&amp;"-Très modestes",TabRFR[Recherche RFR],0),MATCH(TEXT(YEAR(BD!H705),"Standard"),TabRFR[[#Headers],[2023]:[2025]],0)),"Très Modeste",IF(V705&lt;=INDEX(TabRFR[[2023]:[2025]],MATCH(BD!U705&amp;"-modestes",TabRFR[Recherche RFR],0),MATCH(TEXT(YEAR(BD!H705),"Standard"),TabRFR[[#Headers],[2023]:[2025]],0)),"Modeste",IF(V705&lt;=INDEX(TabRFR[[2023]:[2025]],MATCH(BD!U705&amp;"-Intermédiaire",TabRFR[Recherche RFR],0),MATCH(TEXT(YEAR(BD!H705),"Standard"),TabRFR[[#Headers],[2023]:[2025]],0)),"Intermédiaire","Supérieur")))))))</f>
        <v>Très Modeste</v>
      </c>
      <c r="X705" s="144"/>
      <c r="Y705" s="135" t="s">
        <v>2020</v>
      </c>
      <c r="Z705" s="144">
        <v>38850</v>
      </c>
      <c r="AA705" s="135" t="s">
        <v>168</v>
      </c>
      <c r="AB705" s="148"/>
      <c r="AC705" s="169"/>
      <c r="AD705" s="135" t="s">
        <v>91</v>
      </c>
      <c r="AE705" s="135"/>
      <c r="AF705" s="135"/>
      <c r="AG705" s="135"/>
      <c r="AH705" s="135"/>
      <c r="AI705" s="135" t="s">
        <v>1436</v>
      </c>
      <c r="AJ705" s="135" t="s">
        <v>1437</v>
      </c>
      <c r="AK705" s="135" t="s">
        <v>1920</v>
      </c>
      <c r="AL705" s="169" t="s">
        <v>2738</v>
      </c>
      <c r="AM705" s="148" t="s">
        <v>1439</v>
      </c>
      <c r="AN705" s="135" t="s">
        <v>76</v>
      </c>
      <c r="AO705" s="193" t="s">
        <v>102</v>
      </c>
      <c r="AP705" s="135">
        <v>45418</v>
      </c>
      <c r="AQ705" s="135" t="s">
        <v>3323</v>
      </c>
      <c r="AR705" s="135" t="s">
        <v>172</v>
      </c>
      <c r="AS705" s="143" t="s">
        <v>3413</v>
      </c>
      <c r="AT705" s="135" t="s">
        <v>3446</v>
      </c>
      <c r="AU705" s="135" t="s">
        <v>852</v>
      </c>
      <c r="AV705" s="135" t="s">
        <v>3138</v>
      </c>
      <c r="AW705" s="135"/>
      <c r="AX705" s="135"/>
      <c r="AY705" s="135"/>
      <c r="AZ705" s="135"/>
      <c r="BA705" s="135" t="s">
        <v>101</v>
      </c>
      <c r="BB705" s="135"/>
      <c r="BC705" s="151">
        <f>1980+324+2516</f>
        <v>4820</v>
      </c>
      <c r="BD705" s="135"/>
      <c r="BE705" s="151">
        <f>380+118+98+800</f>
        <v>1396</v>
      </c>
      <c r="BF705" s="151">
        <f>BC705+BE705-528.8</f>
        <v>5687.2</v>
      </c>
      <c r="BG705" s="151">
        <f t="shared" si="88"/>
        <v>312.79599999999999</v>
      </c>
      <c r="BH705" s="151">
        <f t="shared" si="89"/>
        <v>5999.9960000000001</v>
      </c>
      <c r="BI705" s="151">
        <v>3600</v>
      </c>
      <c r="BJ705" s="135" t="s">
        <v>1391</v>
      </c>
      <c r="BK705" s="135"/>
      <c r="BL705" s="135"/>
      <c r="BM705" s="144" t="s">
        <v>3592</v>
      </c>
      <c r="BN705" s="153">
        <v>2023</v>
      </c>
      <c r="BO705" s="135" t="s">
        <v>155</v>
      </c>
      <c r="BP705" s="135"/>
      <c r="BQ705" s="203"/>
    </row>
    <row r="706" spans="1:69" ht="41.1" customHeight="1">
      <c r="A706" s="219" t="s">
        <v>1705</v>
      </c>
      <c r="B706" s="219" t="s">
        <v>3168</v>
      </c>
      <c r="C706" s="143">
        <f ca="1">IF(W706="Très modeste",1000,IF(W706="Modeste",1000,IF(W706="Intermédiaire",600,IF(W706="Supérieur",600,"Non calculé"))))</f>
        <v>600</v>
      </c>
      <c r="D706" s="135">
        <v>45260</v>
      </c>
      <c r="E706" s="135">
        <v>45265</v>
      </c>
      <c r="F706" s="135" t="s">
        <v>76</v>
      </c>
      <c r="G706" s="135" t="s">
        <v>76</v>
      </c>
      <c r="H706" s="135">
        <v>45268</v>
      </c>
      <c r="I706" s="135">
        <v>45268</v>
      </c>
      <c r="J706" s="135">
        <v>45273</v>
      </c>
      <c r="K706" s="135">
        <v>45390</v>
      </c>
      <c r="L706" s="135">
        <v>45339</v>
      </c>
      <c r="M706" s="135" t="s">
        <v>76</v>
      </c>
      <c r="N706" s="135">
        <v>45429</v>
      </c>
      <c r="O706" s="135">
        <v>45429</v>
      </c>
      <c r="P706" s="135"/>
      <c r="Q706" s="135"/>
      <c r="R706" s="135"/>
      <c r="S706" s="135"/>
      <c r="T706" s="135"/>
      <c r="U706" s="144">
        <v>4</v>
      </c>
      <c r="V706" s="143">
        <v>73796</v>
      </c>
      <c r="W706" s="143" t="str">
        <f ca="1">IF(H706="",IF(D706="","",IF(U706+V706&lt;15,"Données Nb pers ou RFR manquantes",IF(COUNTA(INDIRECT("TabRFR["&amp;YEAR(D706)&amp;"]"))&lt;&gt;COUNTA(TabRFR[Recherche RFR]),"Data RFR manquantes", IF(V706&lt;=INDEX(TabRFR[[2023]:[2025]],MATCH(BD!U706&amp;"-Très modestes",TabRFR[Recherche RFR],0),MATCH(TEXT(YEAR(BD!D706),"Standard"),TabRFR[[#Headers],[2023]:[2025]],0)),"Très Modeste",IF(V706&lt;=INDEX(TabRFR[[2023]:[2025]],MATCH(BD!U706&amp;"-modestes",TabRFR[Recherche RFR],0),MATCH(TEXT(YEAR(BD!D706),"Standard"),TabRFR[[#Headers],[2023]:[2025]],0)),"Modeste",IF(V706&lt;=INDEX(TabRFR[[2023]:[2025]],MATCH(BD!U706&amp;"-Intermédiaire",TabRFR[Recherche RFR],0),MATCH(TEXT(YEAR(BD!D706),"Standard"),TabRFR[[#Headers],[2023]:[2025]],0)),"Intermédiaire","Supérieur")))))),IF(D706="","",IF(U706+V706&lt;15,"Données Nb pers ou RFR manquantes",IF(COUNTA(INDIRECT("TabRFR["&amp;YEAR(H706)&amp;"]"))&lt;&gt;COUNTA(TabRFR[Recherche RFR]),"Data RFR manquantes", IF(V706&lt;=INDEX(TabRFR[[2023]:[2025]],MATCH(BD!U706&amp;"-Très modestes",TabRFR[Recherche RFR],0),MATCH(TEXT(YEAR(BD!H706),"Standard"),TabRFR[[#Headers],[2023]:[2025]],0)),"Très Modeste",IF(V706&lt;=INDEX(TabRFR[[2023]:[2025]],MATCH(BD!U706&amp;"-modestes",TabRFR[Recherche RFR],0),MATCH(TEXT(YEAR(BD!H706),"Standard"),TabRFR[[#Headers],[2023]:[2025]],0)),"Modeste",IF(V706&lt;=INDEX(TabRFR[[2023]:[2025]],MATCH(BD!U706&amp;"-Intermédiaire",TabRFR[Recherche RFR],0),MATCH(TEXT(YEAR(BD!H706),"Standard"),TabRFR[[#Headers],[2023]:[2025]],0)),"Intermédiaire","Supérieur")))))))</f>
        <v>Supérieur</v>
      </c>
      <c r="X706" s="144"/>
      <c r="Y706" s="135" t="s">
        <v>3325</v>
      </c>
      <c r="Z706" s="144">
        <v>38430</v>
      </c>
      <c r="AA706" s="135" t="s">
        <v>266</v>
      </c>
      <c r="AB706" s="148"/>
      <c r="AC706" s="202"/>
      <c r="AD706" s="135" t="s">
        <v>91</v>
      </c>
      <c r="AE706" s="135"/>
      <c r="AF706" s="135"/>
      <c r="AG706" s="135"/>
      <c r="AH706" s="135"/>
      <c r="AI706" s="135" t="s">
        <v>160</v>
      </c>
      <c r="AJ706" s="135" t="s">
        <v>161</v>
      </c>
      <c r="AK706" s="135" t="s">
        <v>2238</v>
      </c>
      <c r="AL706" s="150" t="s">
        <v>228</v>
      </c>
      <c r="AM706" s="135" t="s">
        <v>2239</v>
      </c>
      <c r="AN706" s="135" t="s">
        <v>76</v>
      </c>
      <c r="AO706" s="150" t="s">
        <v>102</v>
      </c>
      <c r="AP706" s="135">
        <v>45372</v>
      </c>
      <c r="AQ706" s="135" t="s">
        <v>3449</v>
      </c>
      <c r="AR706" s="153">
        <v>2000</v>
      </c>
      <c r="AS706" s="135" t="s">
        <v>3496</v>
      </c>
      <c r="AT706" s="135" t="s">
        <v>3446</v>
      </c>
      <c r="AU706" s="135" t="s">
        <v>164</v>
      </c>
      <c r="AV706" s="135" t="s">
        <v>3324</v>
      </c>
      <c r="AW706" s="135"/>
      <c r="AX706" s="135"/>
      <c r="AY706" s="135"/>
      <c r="AZ706" s="135"/>
      <c r="BA706" s="135" t="s">
        <v>101</v>
      </c>
      <c r="BB706" s="135"/>
      <c r="BC706" s="151">
        <f>1806+2496+1454+1741</f>
        <v>7497</v>
      </c>
      <c r="BD706" s="135"/>
      <c r="BE706" s="151">
        <f>350+994</f>
        <v>1344</v>
      </c>
      <c r="BF706" s="151">
        <f t="shared" ref="BF706:BF711" si="92">BC706+BE706</f>
        <v>8841</v>
      </c>
      <c r="BG706" s="151">
        <f t="shared" si="88"/>
        <v>486.255</v>
      </c>
      <c r="BH706" s="151">
        <f t="shared" si="89"/>
        <v>9327.2549999999992</v>
      </c>
      <c r="BI706" s="151">
        <v>9177</v>
      </c>
      <c r="BJ706" s="135" t="s">
        <v>1391</v>
      </c>
      <c r="BK706" s="135"/>
      <c r="BL706" s="135"/>
      <c r="BM706" s="144" t="s">
        <v>3592</v>
      </c>
      <c r="BN706" s="153">
        <v>2024</v>
      </c>
      <c r="BO706" s="135" t="s">
        <v>143</v>
      </c>
      <c r="BP706" s="135"/>
      <c r="BQ706" s="203"/>
    </row>
    <row r="707" spans="1:69" ht="41.1" customHeight="1">
      <c r="A707" s="218" t="s">
        <v>1705</v>
      </c>
      <c r="B707" s="218" t="s">
        <v>3169</v>
      </c>
      <c r="C707" s="143">
        <f ca="1">IF(W707="Très modeste",1000,IF(W707="Modeste",1000,IF(W707="Intermédiaire",600,IF(W707="Supérieur",600,"Non calculé"))))</f>
        <v>600</v>
      </c>
      <c r="D707" s="135">
        <v>45264</v>
      </c>
      <c r="E707" s="135">
        <v>45265</v>
      </c>
      <c r="F707" s="135" t="s">
        <v>76</v>
      </c>
      <c r="G707" s="135" t="s">
        <v>76</v>
      </c>
      <c r="H707" s="135">
        <v>45268</v>
      </c>
      <c r="I707" s="135">
        <v>45268</v>
      </c>
      <c r="J707" s="135">
        <v>45273</v>
      </c>
      <c r="K707" s="135">
        <v>45331</v>
      </c>
      <c r="L707" s="135">
        <v>45278</v>
      </c>
      <c r="M707" s="135" t="s">
        <v>76</v>
      </c>
      <c r="N707" s="135">
        <v>45349</v>
      </c>
      <c r="O707" s="135">
        <v>45349</v>
      </c>
      <c r="P707" s="135">
        <v>45351</v>
      </c>
      <c r="Q707" s="135"/>
      <c r="R707" s="135"/>
      <c r="S707" s="135"/>
      <c r="T707" s="135"/>
      <c r="U707" s="144">
        <v>1</v>
      </c>
      <c r="V707" s="143">
        <v>38841</v>
      </c>
      <c r="W707" s="143" t="str">
        <f ca="1">IF(H707="",IF(D707="","",IF(U707+V707&lt;15,"Données Nb pers ou RFR manquantes",IF(COUNTA(INDIRECT("TabRFR["&amp;YEAR(D707)&amp;"]"))&lt;&gt;COUNTA(TabRFR[Recherche RFR]),"Data RFR manquantes", IF(V707&lt;=INDEX(TabRFR[[2023]:[2025]],MATCH(BD!U707&amp;"-Très modestes",TabRFR[Recherche RFR],0),MATCH(TEXT(YEAR(BD!D707),"Standard"),TabRFR[[#Headers],[2023]:[2025]],0)),"Très Modeste",IF(V707&lt;=INDEX(TabRFR[[2023]:[2025]],MATCH(BD!U707&amp;"-modestes",TabRFR[Recherche RFR],0),MATCH(TEXT(YEAR(BD!D707),"Standard"),TabRFR[[#Headers],[2023]:[2025]],0)),"Modeste",IF(V707&lt;=INDEX(TabRFR[[2023]:[2025]],MATCH(BD!U707&amp;"-Intermédiaire",TabRFR[Recherche RFR],0),MATCH(TEXT(YEAR(BD!D707),"Standard"),TabRFR[[#Headers],[2023]:[2025]],0)),"Intermédiaire","Supérieur")))))),IF(D707="","",IF(U707+V707&lt;15,"Données Nb pers ou RFR manquantes",IF(COUNTA(INDIRECT("TabRFR["&amp;YEAR(H707)&amp;"]"))&lt;&gt;COUNTA(TabRFR[Recherche RFR]),"Data RFR manquantes", IF(V707&lt;=INDEX(TabRFR[[2023]:[2025]],MATCH(BD!U707&amp;"-Très modestes",TabRFR[Recherche RFR],0),MATCH(TEXT(YEAR(BD!H707),"Standard"),TabRFR[[#Headers],[2023]:[2025]],0)),"Très Modeste",IF(V707&lt;=INDEX(TabRFR[[2023]:[2025]],MATCH(BD!U707&amp;"-modestes",TabRFR[Recherche RFR],0),MATCH(TEXT(YEAR(BD!H707),"Standard"),TabRFR[[#Headers],[2023]:[2025]],0)),"Modeste",IF(V707&lt;=INDEX(TabRFR[[2023]:[2025]],MATCH(BD!U707&amp;"-Intermédiaire",TabRFR[Recherche RFR],0),MATCH(TEXT(YEAR(BD!H707),"Standard"),TabRFR[[#Headers],[2023]:[2025]],0)),"Intermédiaire","Supérieur")))))))</f>
        <v>Supérieur</v>
      </c>
      <c r="X707" s="144"/>
      <c r="Y707" s="135" t="s">
        <v>257</v>
      </c>
      <c r="Z707" s="144">
        <v>38430</v>
      </c>
      <c r="AA707" s="135" t="s">
        <v>119</v>
      </c>
      <c r="AB707" s="148"/>
      <c r="AC707" s="202"/>
      <c r="AD707" s="135" t="s">
        <v>91</v>
      </c>
      <c r="AE707" s="135"/>
      <c r="AF707" s="135"/>
      <c r="AG707" s="135"/>
      <c r="AH707" s="135"/>
      <c r="AI707" s="135" t="s">
        <v>2748</v>
      </c>
      <c r="AJ707" s="135" t="s">
        <v>108</v>
      </c>
      <c r="AK707" s="135" t="s">
        <v>2749</v>
      </c>
      <c r="AL707" s="202" t="s">
        <v>275</v>
      </c>
      <c r="AM707" s="148">
        <v>476059444</v>
      </c>
      <c r="AN707" s="135" t="s">
        <v>76</v>
      </c>
      <c r="AO707" s="150" t="s">
        <v>102</v>
      </c>
      <c r="AP707" s="135">
        <v>45520</v>
      </c>
      <c r="AQ707" s="135" t="s">
        <v>3449</v>
      </c>
      <c r="AR707" s="153">
        <v>1980</v>
      </c>
      <c r="AS707" s="143" t="s">
        <v>3413</v>
      </c>
      <c r="AT707" s="135" t="s">
        <v>98</v>
      </c>
      <c r="AU707" s="135" t="s">
        <v>276</v>
      </c>
      <c r="AV707" s="135" t="s">
        <v>3326</v>
      </c>
      <c r="AW707" s="135"/>
      <c r="AX707" s="135"/>
      <c r="AY707" s="135"/>
      <c r="AZ707" s="135"/>
      <c r="BA707" s="135" t="s">
        <v>1401</v>
      </c>
      <c r="BB707" s="135"/>
      <c r="BC707" s="151">
        <f>4785+255+1195+1045</f>
        <v>7280</v>
      </c>
      <c r="BD707" s="135"/>
      <c r="BE707" s="151">
        <f>976+200+35</f>
        <v>1211</v>
      </c>
      <c r="BF707" s="151">
        <f t="shared" si="92"/>
        <v>8491</v>
      </c>
      <c r="BG707" s="151">
        <f t="shared" si="88"/>
        <v>467.005</v>
      </c>
      <c r="BH707" s="151">
        <f t="shared" si="89"/>
        <v>8958.0049999999992</v>
      </c>
      <c r="BI707" s="151">
        <v>8958.01</v>
      </c>
      <c r="BJ707" s="135" t="s">
        <v>144</v>
      </c>
      <c r="BK707" s="135"/>
      <c r="BL707" s="135"/>
      <c r="BM707" s="144" t="s">
        <v>3592</v>
      </c>
      <c r="BN707" s="153">
        <v>2024</v>
      </c>
      <c r="BO707" s="135" t="s">
        <v>143</v>
      </c>
      <c r="BP707" s="143" t="s">
        <v>3583</v>
      </c>
      <c r="BQ707" s="203"/>
    </row>
    <row r="708" spans="1:69" ht="41.1" customHeight="1">
      <c r="A708" s="219" t="s">
        <v>1705</v>
      </c>
      <c r="B708" s="219" t="s">
        <v>3170</v>
      </c>
      <c r="C708" s="143">
        <f ca="1">IF(W708="Très modeste",1000,IF(W708="Modeste",1000,IF(W708="Intermédiaire",600,IF(W708="Supérieur",600,"Non calculé"))))</f>
        <v>600</v>
      </c>
      <c r="D708" s="135">
        <v>45264</v>
      </c>
      <c r="E708" s="135">
        <v>45266</v>
      </c>
      <c r="F708" s="135" t="s">
        <v>76</v>
      </c>
      <c r="G708" s="135" t="s">
        <v>76</v>
      </c>
      <c r="H708" s="135">
        <v>45268</v>
      </c>
      <c r="I708" s="135">
        <v>45268</v>
      </c>
      <c r="J708" s="135">
        <v>45273</v>
      </c>
      <c r="K708" s="135"/>
      <c r="L708" s="135"/>
      <c r="M708" s="135"/>
      <c r="N708" s="135"/>
      <c r="O708" s="135"/>
      <c r="P708" s="135"/>
      <c r="Q708" s="135"/>
      <c r="R708" s="135"/>
      <c r="S708" s="135"/>
      <c r="T708" s="135"/>
      <c r="U708" s="144">
        <v>2</v>
      </c>
      <c r="V708" s="143">
        <v>35317</v>
      </c>
      <c r="W708" s="143" t="str">
        <f ca="1">IF(H708="",IF(D708="","",IF(U708+V708&lt;15,"Données Nb pers ou RFR manquantes",IF(COUNTA(INDIRECT("TabRFR["&amp;YEAR(D708)&amp;"]"))&lt;&gt;COUNTA(TabRFR[Recherche RFR]),"Data RFR manquantes", IF(V708&lt;=INDEX(TabRFR[[2023]:[2025]],MATCH(BD!U708&amp;"-Très modestes",TabRFR[Recherche RFR],0),MATCH(TEXT(YEAR(BD!D708),"Standard"),TabRFR[[#Headers],[2023]:[2025]],0)),"Très Modeste",IF(V708&lt;=INDEX(TabRFR[[2023]:[2025]],MATCH(BD!U708&amp;"-modestes",TabRFR[Recherche RFR],0),MATCH(TEXT(YEAR(BD!D708),"Standard"),TabRFR[[#Headers],[2023]:[2025]],0)),"Modeste",IF(V708&lt;=INDEX(TabRFR[[2023]:[2025]],MATCH(BD!U708&amp;"-Intermédiaire",TabRFR[Recherche RFR],0),MATCH(TEXT(YEAR(BD!D708),"Standard"),TabRFR[[#Headers],[2023]:[2025]],0)),"Intermédiaire","Supérieur")))))),IF(D708="","",IF(U708+V708&lt;15,"Données Nb pers ou RFR manquantes",IF(COUNTA(INDIRECT("TabRFR["&amp;YEAR(H708)&amp;"]"))&lt;&gt;COUNTA(TabRFR[Recherche RFR]),"Data RFR manquantes", IF(V708&lt;=INDEX(TabRFR[[2023]:[2025]],MATCH(BD!U708&amp;"-Très modestes",TabRFR[Recherche RFR],0),MATCH(TEXT(YEAR(BD!H708),"Standard"),TabRFR[[#Headers],[2023]:[2025]],0)),"Très Modeste",IF(V708&lt;=INDEX(TabRFR[[2023]:[2025]],MATCH(BD!U708&amp;"-modestes",TabRFR[Recherche RFR],0),MATCH(TEXT(YEAR(BD!H708),"Standard"),TabRFR[[#Headers],[2023]:[2025]],0)),"Modeste",IF(V708&lt;=INDEX(TabRFR[[2023]:[2025]],MATCH(BD!U708&amp;"-Intermédiaire",TabRFR[Recherche RFR],0),MATCH(TEXT(YEAR(BD!H708),"Standard"),TabRFR[[#Headers],[2023]:[2025]],0)),"Intermédiaire","Supérieur")))))))</f>
        <v>Intermédiaire</v>
      </c>
      <c r="X708" s="144"/>
      <c r="Y708" s="135" t="s">
        <v>3316</v>
      </c>
      <c r="Z708" s="144">
        <v>38850</v>
      </c>
      <c r="AA708" s="135" t="s">
        <v>193</v>
      </c>
      <c r="AB708" s="148"/>
      <c r="AC708" s="202"/>
      <c r="AD708" s="135" t="s">
        <v>91</v>
      </c>
      <c r="AE708" s="135"/>
      <c r="AF708" s="135"/>
      <c r="AG708" s="135"/>
      <c r="AH708" s="135"/>
      <c r="AI708" s="135" t="s">
        <v>3327</v>
      </c>
      <c r="AJ708" s="135" t="s">
        <v>159</v>
      </c>
      <c r="AK708" s="135" t="s">
        <v>3328</v>
      </c>
      <c r="AL708" s="202" t="s">
        <v>3329</v>
      </c>
      <c r="AM708" s="148">
        <v>476656543</v>
      </c>
      <c r="AN708" s="135" t="s">
        <v>76</v>
      </c>
      <c r="AO708" s="150" t="s">
        <v>144</v>
      </c>
      <c r="AP708" s="135">
        <v>45632</v>
      </c>
      <c r="AQ708" s="135" t="s">
        <v>3496</v>
      </c>
      <c r="AR708" s="153">
        <v>1996</v>
      </c>
      <c r="AS708" s="143" t="s">
        <v>3413</v>
      </c>
      <c r="AT708" s="135" t="s">
        <v>98</v>
      </c>
      <c r="AU708" s="135" t="s">
        <v>3283</v>
      </c>
      <c r="AV708" s="135" t="s">
        <v>3330</v>
      </c>
      <c r="AW708" s="135"/>
      <c r="AX708" s="135"/>
      <c r="AY708" s="135"/>
      <c r="AZ708" s="135"/>
      <c r="BA708" s="135" t="s">
        <v>101</v>
      </c>
      <c r="BB708" s="135"/>
      <c r="BC708" s="151">
        <f>2321+167+676</f>
        <v>3164</v>
      </c>
      <c r="BD708" s="135"/>
      <c r="BE708" s="151">
        <v>800</v>
      </c>
      <c r="BF708" s="151">
        <f t="shared" si="92"/>
        <v>3964</v>
      </c>
      <c r="BG708" s="151">
        <f t="shared" si="88"/>
        <v>218.02</v>
      </c>
      <c r="BH708" s="151">
        <f t="shared" si="89"/>
        <v>4182.0200000000004</v>
      </c>
      <c r="BI708" s="135"/>
      <c r="BJ708" s="135" t="s">
        <v>144</v>
      </c>
      <c r="BK708" s="135"/>
      <c r="BL708" s="135"/>
      <c r="BM708" s="144" t="s">
        <v>3592</v>
      </c>
      <c r="BN708" s="153">
        <v>2024</v>
      </c>
      <c r="BO708" s="135" t="s">
        <v>143</v>
      </c>
      <c r="BP708" s="143" t="s">
        <v>3583</v>
      </c>
      <c r="BQ708" s="203"/>
    </row>
    <row r="709" spans="1:69" ht="41.1" customHeight="1">
      <c r="A709" s="218" t="s">
        <v>1705</v>
      </c>
      <c r="B709" s="218" t="s">
        <v>3171</v>
      </c>
      <c r="C709" s="143">
        <v>600</v>
      </c>
      <c r="D709" s="135">
        <v>45264</v>
      </c>
      <c r="E709" s="135">
        <v>45266</v>
      </c>
      <c r="F709" s="135">
        <v>45268</v>
      </c>
      <c r="G709" s="135" t="s">
        <v>3331</v>
      </c>
      <c r="H709" s="135">
        <v>45313</v>
      </c>
      <c r="I709" s="135">
        <v>45314</v>
      </c>
      <c r="J709" s="135">
        <v>45336</v>
      </c>
      <c r="K709" s="135">
        <v>45352</v>
      </c>
      <c r="L709" s="135">
        <v>45348</v>
      </c>
      <c r="M709" s="135" t="s">
        <v>76</v>
      </c>
      <c r="N709" s="135">
        <v>45365</v>
      </c>
      <c r="O709" s="135">
        <v>45365</v>
      </c>
      <c r="P709" s="135">
        <v>45369</v>
      </c>
      <c r="Q709" s="135"/>
      <c r="R709" s="135"/>
      <c r="S709" s="135"/>
      <c r="T709" s="135"/>
      <c r="U709" s="144">
        <v>2</v>
      </c>
      <c r="V709" s="143">
        <v>40543</v>
      </c>
      <c r="W709" s="143" t="str">
        <f ca="1">IF(H709="",IF(D709="","",IF(U709+V709&lt;15,"Données Nb pers ou RFR manquantes",IF(COUNTA(INDIRECT("TabRFR["&amp;YEAR(D709)&amp;"]"))&lt;&gt;COUNTA(TabRFR[Recherche RFR]),"Data RFR manquantes", IF(V709&lt;=INDEX(TabRFR[[2023]:[2025]],MATCH(BD!U709&amp;"-Très modestes",TabRFR[Recherche RFR],0),MATCH(TEXT(YEAR(BD!D709),"Standard"),TabRFR[[#Headers],[2023]:[2025]],0)),"Très Modeste",IF(V709&lt;=INDEX(TabRFR[[2023]:[2025]],MATCH(BD!U709&amp;"-modestes",TabRFR[Recherche RFR],0),MATCH(TEXT(YEAR(BD!D709),"Standard"),TabRFR[[#Headers],[2023]:[2025]],0)),"Modeste",IF(V709&lt;=INDEX(TabRFR[[2023]:[2025]],MATCH(BD!U709&amp;"-Intermédiaire",TabRFR[Recherche RFR],0),MATCH(TEXT(YEAR(BD!D709),"Standard"),TabRFR[[#Headers],[2023]:[2025]],0)),"Intermédiaire","Supérieur")))))),IF(D709="","",IF(U709+V709&lt;15,"Données Nb pers ou RFR manquantes",IF(COUNTA(INDIRECT("TabRFR["&amp;YEAR(H709)&amp;"]"))&lt;&gt;COUNTA(TabRFR[Recherche RFR]),"Data RFR manquantes", IF(V709&lt;=INDEX(TabRFR[[2023]:[2025]],MATCH(BD!U709&amp;"-Très modestes",TabRFR[Recherche RFR],0),MATCH(TEXT(YEAR(BD!H709),"Standard"),TabRFR[[#Headers],[2023]:[2025]],0)),"Très Modeste",IF(V709&lt;=INDEX(TabRFR[[2023]:[2025]],MATCH(BD!U709&amp;"-modestes",TabRFR[Recherche RFR],0),MATCH(TEXT(YEAR(BD!H709),"Standard"),TabRFR[[#Headers],[2023]:[2025]],0)),"Modeste",IF(V709&lt;=INDEX(TabRFR[[2023]:[2025]],MATCH(BD!U709&amp;"-Intermédiaire",TabRFR[Recherche RFR],0),MATCH(TEXT(YEAR(BD!H709),"Standard"),TabRFR[[#Headers],[2023]:[2025]],0)),"Intermédiaire","Supérieur")))))))</f>
        <v>Intermédiaire</v>
      </c>
      <c r="X709" s="144"/>
      <c r="Y709" s="135" t="s">
        <v>3317</v>
      </c>
      <c r="Z709" s="144">
        <v>38430</v>
      </c>
      <c r="AA709" s="135" t="s">
        <v>119</v>
      </c>
      <c r="AB709" s="148"/>
      <c r="AC709" s="202"/>
      <c r="AD709" s="135" t="s">
        <v>91</v>
      </c>
      <c r="AE709" s="135"/>
      <c r="AF709" s="135"/>
      <c r="AG709" s="135"/>
      <c r="AH709" s="135"/>
      <c r="AI709" s="135" t="s">
        <v>169</v>
      </c>
      <c r="AJ709" s="135" t="s">
        <v>119</v>
      </c>
      <c r="AK709" s="135" t="s">
        <v>2192</v>
      </c>
      <c r="AL709" s="169" t="s">
        <v>171</v>
      </c>
      <c r="AM709" s="135" t="s">
        <v>1406</v>
      </c>
      <c r="AN709" s="135" t="str">
        <f>AN705</f>
        <v>-</v>
      </c>
      <c r="AO709" s="135" t="str">
        <f>AO705</f>
        <v>oui</v>
      </c>
      <c r="AP709" s="135">
        <v>45614</v>
      </c>
      <c r="AQ709" s="135" t="s">
        <v>3496</v>
      </c>
      <c r="AR709" s="153">
        <v>1990</v>
      </c>
      <c r="AS709" s="135" t="s">
        <v>3496</v>
      </c>
      <c r="AT709" s="135" t="s">
        <v>3446</v>
      </c>
      <c r="AU709" s="135" t="s">
        <v>173</v>
      </c>
      <c r="AV709" s="135" t="s">
        <v>400</v>
      </c>
      <c r="AW709" s="135"/>
      <c r="AX709" s="135"/>
      <c r="AY709" s="135"/>
      <c r="AZ709" s="135"/>
      <c r="BA709" s="135" t="s">
        <v>101</v>
      </c>
      <c r="BB709" s="135" t="s">
        <v>76</v>
      </c>
      <c r="BC709" s="151">
        <f>482.94+465.75+195.6+2250+490.56+266.4</f>
        <v>4151.25</v>
      </c>
      <c r="BD709" s="135" t="s">
        <v>76</v>
      </c>
      <c r="BE709" s="151">
        <v>750</v>
      </c>
      <c r="BF709" s="151">
        <f t="shared" si="92"/>
        <v>4901.25</v>
      </c>
      <c r="BG709" s="151">
        <f t="shared" si="88"/>
        <v>269.56875000000002</v>
      </c>
      <c r="BH709" s="151">
        <f t="shared" si="89"/>
        <v>5170.8187500000004</v>
      </c>
      <c r="BI709" s="151">
        <v>5170.82</v>
      </c>
      <c r="BJ709" s="135" t="s">
        <v>1391</v>
      </c>
      <c r="BK709" s="135"/>
      <c r="BL709" s="135"/>
      <c r="BM709" s="144" t="s">
        <v>3592</v>
      </c>
      <c r="BN709" s="153">
        <f>(IF(R709=0,IF(H709&lt;&gt;0,YEAR(H709),""),""))</f>
        <v>2024</v>
      </c>
      <c r="BO709" s="144" t="s">
        <v>143</v>
      </c>
      <c r="BP709" s="135"/>
      <c r="BQ709" s="203"/>
    </row>
    <row r="710" spans="1:69" ht="41.1" customHeight="1">
      <c r="A710" s="219" t="s">
        <v>1705</v>
      </c>
      <c r="B710" s="219" t="s">
        <v>3172</v>
      </c>
      <c r="C710" s="143">
        <f t="shared" ref="C710:C719" ca="1" si="93">IF(W710="Très modeste",1000,IF(W710="Modeste",1000,IF(W710="Intermédiaire",600,IF(W710="Supérieur",600,"Non calculé"))))</f>
        <v>600</v>
      </c>
      <c r="D710" s="135">
        <v>45259</v>
      </c>
      <c r="E710" s="135" t="s">
        <v>76</v>
      </c>
      <c r="F710" s="135" t="s">
        <v>76</v>
      </c>
      <c r="G710" s="135" t="s">
        <v>76</v>
      </c>
      <c r="H710" s="135">
        <v>45268</v>
      </c>
      <c r="I710" s="135">
        <v>45268</v>
      </c>
      <c r="J710" s="135">
        <v>45273</v>
      </c>
      <c r="K710" s="135"/>
      <c r="L710" s="135"/>
      <c r="M710" s="135"/>
      <c r="N710" s="135"/>
      <c r="O710" s="135"/>
      <c r="P710" s="135"/>
      <c r="Q710" s="135"/>
      <c r="R710" s="135"/>
      <c r="S710" s="135"/>
      <c r="T710" s="135"/>
      <c r="U710" s="144">
        <v>4</v>
      </c>
      <c r="V710" s="143">
        <v>47972</v>
      </c>
      <c r="W710" s="143" t="str">
        <f ca="1">IF(H710="",IF(D710="","",IF(U710+V710&lt;15,"Données Nb pers ou RFR manquantes",IF(COUNTA(INDIRECT("TabRFR["&amp;YEAR(D710)&amp;"]"))&lt;&gt;COUNTA(TabRFR[Recherche RFR]),"Data RFR manquantes", IF(V710&lt;=INDEX(TabRFR[[2023]:[2025]],MATCH(BD!U710&amp;"-Très modestes",TabRFR[Recherche RFR],0),MATCH(TEXT(YEAR(BD!D710),"Standard"),TabRFR[[#Headers],[2023]:[2025]],0)),"Très Modeste",IF(V710&lt;=INDEX(TabRFR[[2023]:[2025]],MATCH(BD!U710&amp;"-modestes",TabRFR[Recherche RFR],0),MATCH(TEXT(YEAR(BD!D710),"Standard"),TabRFR[[#Headers],[2023]:[2025]],0)),"Modeste",IF(V710&lt;=INDEX(TabRFR[[2023]:[2025]],MATCH(BD!U710&amp;"-Intermédiaire",TabRFR[Recherche RFR],0),MATCH(TEXT(YEAR(BD!D710),"Standard"),TabRFR[[#Headers],[2023]:[2025]],0)),"Intermédiaire","Supérieur")))))),IF(D710="","",IF(U710+V710&lt;15,"Données Nb pers ou RFR manquantes",IF(COUNTA(INDIRECT("TabRFR["&amp;YEAR(H710)&amp;"]"))&lt;&gt;COUNTA(TabRFR[Recherche RFR]),"Data RFR manquantes", IF(V710&lt;=INDEX(TabRFR[[2023]:[2025]],MATCH(BD!U710&amp;"-Très modestes",TabRFR[Recherche RFR],0),MATCH(TEXT(YEAR(BD!H710),"Standard"),TabRFR[[#Headers],[2023]:[2025]],0)),"Très Modeste",IF(V710&lt;=INDEX(TabRFR[[2023]:[2025]],MATCH(BD!U710&amp;"-modestes",TabRFR[Recherche RFR],0),MATCH(TEXT(YEAR(BD!H710),"Standard"),TabRFR[[#Headers],[2023]:[2025]],0)),"Modeste",IF(V710&lt;=INDEX(TabRFR[[2023]:[2025]],MATCH(BD!U710&amp;"-Intermédiaire",TabRFR[Recherche RFR],0),MATCH(TEXT(YEAR(BD!H710),"Standard"),TabRFR[[#Headers],[2023]:[2025]],0)),"Intermédiaire","Supérieur")))))))</f>
        <v>Intermédiaire</v>
      </c>
      <c r="X710" s="144"/>
      <c r="Y710" s="135" t="s">
        <v>3319</v>
      </c>
      <c r="Z710" s="144">
        <v>38340</v>
      </c>
      <c r="AA710" s="135" t="s">
        <v>413</v>
      </c>
      <c r="AB710" s="148"/>
      <c r="AC710" s="202"/>
      <c r="AD710" s="135" t="s">
        <v>91</v>
      </c>
      <c r="AE710" s="135"/>
      <c r="AF710" s="135"/>
      <c r="AG710" s="135"/>
      <c r="AH710" s="135"/>
      <c r="AI710" s="135" t="s">
        <v>544</v>
      </c>
      <c r="AJ710" s="135" t="s">
        <v>545</v>
      </c>
      <c r="AK710" s="135" t="s">
        <v>546</v>
      </c>
      <c r="AL710" s="169" t="s">
        <v>2672</v>
      </c>
      <c r="AM710" s="148">
        <v>970825050</v>
      </c>
      <c r="AN710" s="135" t="s">
        <v>76</v>
      </c>
      <c r="AO710" s="150" t="s">
        <v>144</v>
      </c>
      <c r="AP710" s="135">
        <v>45289</v>
      </c>
      <c r="AQ710" s="135" t="s">
        <v>3449</v>
      </c>
      <c r="AR710" s="153">
        <v>1972</v>
      </c>
      <c r="AS710" s="143" t="s">
        <v>3413</v>
      </c>
      <c r="AT710" s="135" t="s">
        <v>3446</v>
      </c>
      <c r="AU710" s="135" t="s">
        <v>271</v>
      </c>
      <c r="AV710" s="135" t="s">
        <v>1999</v>
      </c>
      <c r="AW710" s="135"/>
      <c r="AX710" s="135"/>
      <c r="AY710" s="135"/>
      <c r="AZ710" s="135"/>
      <c r="BA710" s="135" t="s">
        <v>101</v>
      </c>
      <c r="BB710" s="135"/>
      <c r="BC710" s="151">
        <f xml:space="preserve"> ( 166.95+22.99+26+29+1254+208.89)/1.055</f>
        <v>1618.7962085308056</v>
      </c>
      <c r="BD710" s="135"/>
      <c r="BE710" s="151">
        <f>(836+120+120)/1.055</f>
        <v>1019.9052132701422</v>
      </c>
      <c r="BF710" s="151">
        <f t="shared" si="92"/>
        <v>2638.7014218009481</v>
      </c>
      <c r="BG710" s="151">
        <f t="shared" si="88"/>
        <v>145.12857819905216</v>
      </c>
      <c r="BH710" s="151">
        <f t="shared" si="89"/>
        <v>2783.8300000000004</v>
      </c>
      <c r="BI710" s="135"/>
      <c r="BJ710" s="135" t="s">
        <v>144</v>
      </c>
      <c r="BK710" s="135"/>
      <c r="BL710" s="135"/>
      <c r="BM710" s="144" t="s">
        <v>3592</v>
      </c>
      <c r="BN710" s="153">
        <v>2024</v>
      </c>
      <c r="BO710" s="135" t="s">
        <v>143</v>
      </c>
      <c r="BP710" s="135"/>
      <c r="BQ710" s="203"/>
    </row>
    <row r="711" spans="1:69" ht="41.1" customHeight="1">
      <c r="A711" s="219" t="s">
        <v>1705</v>
      </c>
      <c r="B711" s="219" t="s">
        <v>3173</v>
      </c>
      <c r="C711" s="143">
        <f t="shared" ca="1" si="93"/>
        <v>600</v>
      </c>
      <c r="D711" s="135">
        <v>45266</v>
      </c>
      <c r="E711" s="135" t="s">
        <v>76</v>
      </c>
      <c r="F711" s="135">
        <v>45268</v>
      </c>
      <c r="G711" s="135" t="s">
        <v>3346</v>
      </c>
      <c r="H711" s="135">
        <v>45274</v>
      </c>
      <c r="I711" s="135">
        <v>45274</v>
      </c>
      <c r="J711" s="135">
        <v>45278</v>
      </c>
      <c r="K711" s="135">
        <v>45406</v>
      </c>
      <c r="L711" s="135"/>
      <c r="M711" s="135" t="s">
        <v>3594</v>
      </c>
      <c r="N711" s="135"/>
      <c r="O711" s="135"/>
      <c r="P711" s="135"/>
      <c r="Q711" s="135"/>
      <c r="R711" s="135"/>
      <c r="S711" s="135"/>
      <c r="T711" s="135"/>
      <c r="U711" s="144">
        <v>2</v>
      </c>
      <c r="V711" s="143">
        <v>38988</v>
      </c>
      <c r="W711" s="143" t="str">
        <f ca="1">IF(H711="",IF(D711="","",IF(U711+V711&lt;15,"Données Nb pers ou RFR manquantes",IF(COUNTA(INDIRECT("TabRFR["&amp;YEAR(D711)&amp;"]"))&lt;&gt;COUNTA(TabRFR[Recherche RFR]),"Data RFR manquantes", IF(V711&lt;=INDEX(TabRFR[[2023]:[2025]],MATCH(BD!U711&amp;"-Très modestes",TabRFR[Recherche RFR],0),MATCH(TEXT(YEAR(BD!D711),"Standard"),TabRFR[[#Headers],[2023]:[2025]],0)),"Très Modeste",IF(V711&lt;=INDEX(TabRFR[[2023]:[2025]],MATCH(BD!U711&amp;"-modestes",TabRFR[Recherche RFR],0),MATCH(TEXT(YEAR(BD!D711),"Standard"),TabRFR[[#Headers],[2023]:[2025]],0)),"Modeste",IF(V711&lt;=INDEX(TabRFR[[2023]:[2025]],MATCH(BD!U711&amp;"-Intermédiaire",TabRFR[Recherche RFR],0),MATCH(TEXT(YEAR(BD!D711),"Standard"),TabRFR[[#Headers],[2023]:[2025]],0)),"Intermédiaire","Supérieur")))))),IF(D711="","",IF(U711+V711&lt;15,"Données Nb pers ou RFR manquantes",IF(COUNTA(INDIRECT("TabRFR["&amp;YEAR(H711)&amp;"]"))&lt;&gt;COUNTA(TabRFR[Recherche RFR]),"Data RFR manquantes", IF(V711&lt;=INDEX(TabRFR[[2023]:[2025]],MATCH(BD!U711&amp;"-Très modestes",TabRFR[Recherche RFR],0),MATCH(TEXT(YEAR(BD!H711),"Standard"),TabRFR[[#Headers],[2023]:[2025]],0)),"Très Modeste",IF(V711&lt;=INDEX(TabRFR[[2023]:[2025]],MATCH(BD!U711&amp;"-modestes",TabRFR[Recherche RFR],0),MATCH(TEXT(YEAR(BD!H711),"Standard"),TabRFR[[#Headers],[2023]:[2025]],0)),"Modeste",IF(V711&lt;=INDEX(TabRFR[[2023]:[2025]],MATCH(BD!U711&amp;"-Intermédiaire",TabRFR[Recherche RFR],0),MATCH(TEXT(YEAR(BD!H711),"Standard"),TabRFR[[#Headers],[2023]:[2025]],0)),"Intermédiaire","Supérieur")))))))</f>
        <v>Intermédiaire</v>
      </c>
      <c r="X711" s="144"/>
      <c r="Y711" s="135" t="s">
        <v>3318</v>
      </c>
      <c r="Z711" s="144">
        <v>38210</v>
      </c>
      <c r="AA711" s="135" t="s">
        <v>202</v>
      </c>
      <c r="AB711" s="148"/>
      <c r="AC711" s="202"/>
      <c r="AD711" s="135" t="s">
        <v>91</v>
      </c>
      <c r="AE711" s="135"/>
      <c r="AF711" s="135"/>
      <c r="AG711" s="135"/>
      <c r="AH711" s="135"/>
      <c r="AI711" s="135" t="s">
        <v>1366</v>
      </c>
      <c r="AJ711" s="135" t="s">
        <v>1367</v>
      </c>
      <c r="AK711" s="135" t="s">
        <v>1872</v>
      </c>
      <c r="AL711" s="169" t="s">
        <v>1745</v>
      </c>
      <c r="AM711" s="148">
        <v>476389584</v>
      </c>
      <c r="AN711" s="143" t="s">
        <v>76</v>
      </c>
      <c r="AO711" s="150" t="s">
        <v>102</v>
      </c>
      <c r="AP711" s="147">
        <v>45598</v>
      </c>
      <c r="AQ711" s="135" t="s">
        <v>3496</v>
      </c>
      <c r="AR711" s="153">
        <v>1992</v>
      </c>
      <c r="AS711" s="143" t="s">
        <v>3413</v>
      </c>
      <c r="AT711" s="135" t="s">
        <v>3446</v>
      </c>
      <c r="AU711" s="135" t="s">
        <v>2211</v>
      </c>
      <c r="AV711" s="135" t="s">
        <v>3332</v>
      </c>
      <c r="AW711" s="135"/>
      <c r="AX711" s="135"/>
      <c r="AY711" s="135"/>
      <c r="AZ711" s="135"/>
      <c r="BA711" s="135" t="s">
        <v>101</v>
      </c>
      <c r="BB711" s="135"/>
      <c r="BC711" s="151">
        <f>3616+256.8+295.6+526.25</f>
        <v>4694.6500000000005</v>
      </c>
      <c r="BD711" s="135"/>
      <c r="BE711" s="151">
        <f>148.7+685</f>
        <v>833.7</v>
      </c>
      <c r="BF711" s="151">
        <f t="shared" si="92"/>
        <v>5528.35</v>
      </c>
      <c r="BG711" s="151">
        <f t="shared" si="88"/>
        <v>304.05925000000002</v>
      </c>
      <c r="BH711" s="151">
        <f t="shared" si="89"/>
        <v>5832.4092500000006</v>
      </c>
      <c r="BI711" s="135"/>
      <c r="BJ711" s="135" t="s">
        <v>103</v>
      </c>
      <c r="BK711" s="135"/>
      <c r="BL711" s="135"/>
      <c r="BM711" s="144" t="s">
        <v>3592</v>
      </c>
      <c r="BN711" s="153">
        <v>2024</v>
      </c>
      <c r="BO711" s="135" t="s">
        <v>143</v>
      </c>
      <c r="BP711" s="135"/>
      <c r="BQ711" s="203"/>
    </row>
    <row r="712" spans="1:69" ht="41.1" customHeight="1">
      <c r="A712" s="218" t="s">
        <v>1705</v>
      </c>
      <c r="B712" s="218" t="s">
        <v>3174</v>
      </c>
      <c r="C712" s="143">
        <f t="shared" ca="1" si="93"/>
        <v>600</v>
      </c>
      <c r="D712" s="135">
        <v>45265</v>
      </c>
      <c r="E712" s="135" t="s">
        <v>76</v>
      </c>
      <c r="F712" s="135" t="s">
        <v>76</v>
      </c>
      <c r="G712" s="135" t="s">
        <v>76</v>
      </c>
      <c r="H712" s="135">
        <v>45268</v>
      </c>
      <c r="I712" s="135">
        <v>45268</v>
      </c>
      <c r="J712" s="135">
        <v>45273</v>
      </c>
      <c r="K712" s="135">
        <v>45348</v>
      </c>
      <c r="L712" s="135">
        <v>45330</v>
      </c>
      <c r="M712" s="135" t="s">
        <v>76</v>
      </c>
      <c r="N712" s="135">
        <v>45349</v>
      </c>
      <c r="O712" s="135">
        <v>45349</v>
      </c>
      <c r="P712" s="135">
        <v>45351</v>
      </c>
      <c r="Q712" s="135"/>
      <c r="R712" s="135"/>
      <c r="S712" s="135"/>
      <c r="T712" s="135"/>
      <c r="U712" s="144">
        <v>5</v>
      </c>
      <c r="V712" s="143">
        <v>76289</v>
      </c>
      <c r="W712" s="143" t="str">
        <f ca="1">IF(H712="",IF(D712="","",IF(U712+V712&lt;15,"Données Nb pers ou RFR manquantes",IF(COUNTA(INDIRECT("TabRFR["&amp;YEAR(D712)&amp;"]"))&lt;&gt;COUNTA(TabRFR[Recherche RFR]),"Data RFR manquantes", IF(V712&lt;=INDEX(TabRFR[[2023]:[2025]],MATCH(BD!U712&amp;"-Très modestes",TabRFR[Recherche RFR],0),MATCH(TEXT(YEAR(BD!D712),"Standard"),TabRFR[[#Headers],[2023]:[2025]],0)),"Très Modeste",IF(V712&lt;=INDEX(TabRFR[[2023]:[2025]],MATCH(BD!U712&amp;"-modestes",TabRFR[Recherche RFR],0),MATCH(TEXT(YEAR(BD!D712),"Standard"),TabRFR[[#Headers],[2023]:[2025]],0)),"Modeste",IF(V712&lt;=INDEX(TabRFR[[2023]:[2025]],MATCH(BD!U712&amp;"-Intermédiaire",TabRFR[Recherche RFR],0),MATCH(TEXT(YEAR(BD!D712),"Standard"),TabRFR[[#Headers],[2023]:[2025]],0)),"Intermédiaire","Supérieur")))))),IF(D712="","",IF(U712+V712&lt;15,"Données Nb pers ou RFR manquantes",IF(COUNTA(INDIRECT("TabRFR["&amp;YEAR(H712)&amp;"]"))&lt;&gt;COUNTA(TabRFR[Recherche RFR]),"Data RFR manquantes", IF(V712&lt;=INDEX(TabRFR[[2023]:[2025]],MATCH(BD!U712&amp;"-Très modestes",TabRFR[Recherche RFR],0),MATCH(TEXT(YEAR(BD!H712),"Standard"),TabRFR[[#Headers],[2023]:[2025]],0)),"Très Modeste",IF(V712&lt;=INDEX(TabRFR[[2023]:[2025]],MATCH(BD!U712&amp;"-modestes",TabRFR[Recherche RFR],0),MATCH(TEXT(YEAR(BD!H712),"Standard"),TabRFR[[#Headers],[2023]:[2025]],0)),"Modeste",IF(V712&lt;=INDEX(TabRFR[[2023]:[2025]],MATCH(BD!U712&amp;"-Intermédiaire",TabRFR[Recherche RFR],0),MATCH(TEXT(YEAR(BD!H712),"Standard"),TabRFR[[#Headers],[2023]:[2025]],0)),"Intermédiaire","Supérieur")))))))</f>
        <v>Supérieur</v>
      </c>
      <c r="X712" s="144"/>
      <c r="Y712" s="135" t="s">
        <v>483</v>
      </c>
      <c r="Z712" s="144">
        <v>38140</v>
      </c>
      <c r="AA712" s="135" t="s">
        <v>184</v>
      </c>
      <c r="AB712" s="148"/>
      <c r="AC712" s="202"/>
      <c r="AD712" s="135" t="s">
        <v>91</v>
      </c>
      <c r="AE712" s="135"/>
      <c r="AF712" s="135"/>
      <c r="AG712" s="135"/>
      <c r="AH712" s="135"/>
      <c r="AI712" s="135" t="s">
        <v>3333</v>
      </c>
      <c r="AJ712" s="135" t="s">
        <v>3334</v>
      </c>
      <c r="AK712" s="135" t="s">
        <v>3335</v>
      </c>
      <c r="AL712" s="202" t="s">
        <v>3336</v>
      </c>
      <c r="AM712" s="148" t="s">
        <v>3338</v>
      </c>
      <c r="AN712" s="135" t="s">
        <v>76</v>
      </c>
      <c r="AO712" s="150" t="s">
        <v>102</v>
      </c>
      <c r="AP712" s="135">
        <v>45525</v>
      </c>
      <c r="AQ712" s="135" t="s">
        <v>3449</v>
      </c>
      <c r="AR712" s="153">
        <v>1990</v>
      </c>
      <c r="AS712" s="143" t="s">
        <v>3413</v>
      </c>
      <c r="AT712" s="135" t="s">
        <v>3446</v>
      </c>
      <c r="AU712" s="135" t="s">
        <v>693</v>
      </c>
      <c r="AV712" s="135" t="s">
        <v>3337</v>
      </c>
      <c r="AW712" s="135"/>
      <c r="AX712" s="135"/>
      <c r="AY712" s="135"/>
      <c r="AZ712" s="135"/>
      <c r="BA712" s="135" t="s">
        <v>101</v>
      </c>
      <c r="BB712" s="135"/>
      <c r="BC712" s="151">
        <f>5742.74+240+134.97+219.9+159.81+999+78+129.89+47.61+84.89+61.72+210.21+143.73+60+105.4</f>
        <v>8417.8700000000008</v>
      </c>
      <c r="BD712" s="135"/>
      <c r="BE712" s="151">
        <f>1160+270</f>
        <v>1430</v>
      </c>
      <c r="BF712" s="151">
        <f>BC712+BE712-966.44</f>
        <v>8881.43</v>
      </c>
      <c r="BG712" s="151">
        <f t="shared" si="88"/>
        <v>488.47865000000002</v>
      </c>
      <c r="BH712" s="151">
        <f t="shared" si="89"/>
        <v>9369.9086500000012</v>
      </c>
      <c r="BI712" s="151">
        <v>9369.91</v>
      </c>
      <c r="BJ712" s="135" t="s">
        <v>144</v>
      </c>
      <c r="BK712" s="135"/>
      <c r="BL712" s="135"/>
      <c r="BM712" s="144" t="s">
        <v>3592</v>
      </c>
      <c r="BN712" s="153">
        <v>2024</v>
      </c>
      <c r="BO712" s="135" t="s">
        <v>143</v>
      </c>
      <c r="BP712" s="135"/>
      <c r="BQ712" s="203"/>
    </row>
    <row r="713" spans="1:69" ht="41.1" customHeight="1">
      <c r="A713" s="218" t="s">
        <v>1705</v>
      </c>
      <c r="B713" s="218" t="s">
        <v>3175</v>
      </c>
      <c r="C713" s="143">
        <f t="shared" ca="1" si="93"/>
        <v>600</v>
      </c>
      <c r="D713" s="135">
        <v>45264</v>
      </c>
      <c r="E713" s="135" t="s">
        <v>76</v>
      </c>
      <c r="F713" s="135">
        <v>45272</v>
      </c>
      <c r="G713" s="135" t="s">
        <v>2311</v>
      </c>
      <c r="H713" s="135">
        <v>45274</v>
      </c>
      <c r="I713" s="135">
        <v>45274</v>
      </c>
      <c r="J713" s="135">
        <v>45278</v>
      </c>
      <c r="K713" s="135">
        <v>45334</v>
      </c>
      <c r="L713" s="135">
        <v>45324</v>
      </c>
      <c r="M713" s="135" t="s">
        <v>76</v>
      </c>
      <c r="N713" s="135">
        <v>45349</v>
      </c>
      <c r="O713" s="135">
        <v>45349</v>
      </c>
      <c r="P713" s="135">
        <v>45351</v>
      </c>
      <c r="Q713" s="135"/>
      <c r="R713" s="135"/>
      <c r="S713" s="135"/>
      <c r="T713" s="135"/>
      <c r="U713" s="144">
        <v>2</v>
      </c>
      <c r="V713" s="143">
        <v>171280</v>
      </c>
      <c r="W713" s="143" t="str">
        <f ca="1">IF(H713="",IF(D713="","",IF(U713+V713&lt;15,"Données Nb pers ou RFR manquantes",IF(COUNTA(INDIRECT("TabRFR["&amp;YEAR(D713)&amp;"]"))&lt;&gt;COUNTA(TabRFR[Recherche RFR]),"Data RFR manquantes", IF(V713&lt;=INDEX(TabRFR[[2023]:[2025]],MATCH(BD!U713&amp;"-Très modestes",TabRFR[Recherche RFR],0),MATCH(TEXT(YEAR(BD!D713),"Standard"),TabRFR[[#Headers],[2023]:[2025]],0)),"Très Modeste",IF(V713&lt;=INDEX(TabRFR[[2023]:[2025]],MATCH(BD!U713&amp;"-modestes",TabRFR[Recherche RFR],0),MATCH(TEXT(YEAR(BD!D713),"Standard"),TabRFR[[#Headers],[2023]:[2025]],0)),"Modeste",IF(V713&lt;=INDEX(TabRFR[[2023]:[2025]],MATCH(BD!U713&amp;"-Intermédiaire",TabRFR[Recherche RFR],0),MATCH(TEXT(YEAR(BD!D713),"Standard"),TabRFR[[#Headers],[2023]:[2025]],0)),"Intermédiaire","Supérieur")))))),IF(D713="","",IF(U713+V713&lt;15,"Données Nb pers ou RFR manquantes",IF(COUNTA(INDIRECT("TabRFR["&amp;YEAR(H713)&amp;"]"))&lt;&gt;COUNTA(TabRFR[Recherche RFR]),"Data RFR manquantes", IF(V713&lt;=INDEX(TabRFR[[2023]:[2025]],MATCH(BD!U713&amp;"-Très modestes",TabRFR[Recherche RFR],0),MATCH(TEXT(YEAR(BD!H713),"Standard"),TabRFR[[#Headers],[2023]:[2025]],0)),"Très Modeste",IF(V713&lt;=INDEX(TabRFR[[2023]:[2025]],MATCH(BD!U713&amp;"-modestes",TabRFR[Recherche RFR],0),MATCH(TEXT(YEAR(BD!H713),"Standard"),TabRFR[[#Headers],[2023]:[2025]],0)),"Modeste",IF(V713&lt;=INDEX(TabRFR[[2023]:[2025]],MATCH(BD!U713&amp;"-Intermédiaire",TabRFR[Recherche RFR],0),MATCH(TEXT(YEAR(BD!H713),"Standard"),TabRFR[[#Headers],[2023]:[2025]],0)),"Intermédiaire","Supérieur")))))))</f>
        <v>Supérieur</v>
      </c>
      <c r="X713" s="144"/>
      <c r="Y713" s="135" t="s">
        <v>3341</v>
      </c>
      <c r="Z713" s="144">
        <v>38430</v>
      </c>
      <c r="AA713" s="135" t="s">
        <v>351</v>
      </c>
      <c r="AB713" s="148"/>
      <c r="AC713" s="202"/>
      <c r="AD713" s="135" t="s">
        <v>91</v>
      </c>
      <c r="AE713" s="135"/>
      <c r="AF713" s="135"/>
      <c r="AG713" s="135"/>
      <c r="AH713" s="135"/>
      <c r="AI713" s="135" t="s">
        <v>1665</v>
      </c>
      <c r="AJ713" s="135" t="s">
        <v>121</v>
      </c>
      <c r="AK713" s="135" t="s">
        <v>2450</v>
      </c>
      <c r="AL713" s="202" t="s">
        <v>3342</v>
      </c>
      <c r="AM713" s="148">
        <v>476452433</v>
      </c>
      <c r="AN713" s="135" t="s">
        <v>76</v>
      </c>
      <c r="AO713" s="150" t="s">
        <v>144</v>
      </c>
      <c r="AP713" s="135">
        <v>45319</v>
      </c>
      <c r="AQ713" s="135" t="s">
        <v>3496</v>
      </c>
      <c r="AR713" s="153">
        <v>1988</v>
      </c>
      <c r="AS713" s="143" t="s">
        <v>3413</v>
      </c>
      <c r="AT713" s="135" t="s">
        <v>3446</v>
      </c>
      <c r="AU713" s="135" t="s">
        <v>3343</v>
      </c>
      <c r="AV713" s="135" t="s">
        <v>3344</v>
      </c>
      <c r="AW713" s="135"/>
      <c r="AX713" s="135"/>
      <c r="AY713" s="135"/>
      <c r="AZ713" s="135"/>
      <c r="BA713" s="135" t="s">
        <v>101</v>
      </c>
      <c r="BB713" s="135"/>
      <c r="BC713" s="151">
        <f>5109+529+1195.8+450+255.68+219</f>
        <v>7758.4800000000005</v>
      </c>
      <c r="BD713" s="135"/>
      <c r="BE713" s="151">
        <f>400+170+785+250</f>
        <v>1605</v>
      </c>
      <c r="BF713" s="151">
        <f>BC713+BE713</f>
        <v>9363.48</v>
      </c>
      <c r="BG713" s="151">
        <f t="shared" si="88"/>
        <v>514.9914</v>
      </c>
      <c r="BH713" s="151">
        <f t="shared" si="89"/>
        <v>9878.4714000000004</v>
      </c>
      <c r="BI713" s="135"/>
      <c r="BJ713" s="135" t="s">
        <v>1391</v>
      </c>
      <c r="BK713" s="135"/>
      <c r="BL713" s="135"/>
      <c r="BM713" s="144" t="s">
        <v>3592</v>
      </c>
      <c r="BN713" s="153">
        <v>2024</v>
      </c>
      <c r="BO713" s="135" t="s">
        <v>143</v>
      </c>
      <c r="BP713" s="135"/>
      <c r="BQ713" s="203"/>
    </row>
    <row r="714" spans="1:69" ht="41.1" customHeight="1">
      <c r="A714" s="219" t="s">
        <v>1705</v>
      </c>
      <c r="B714" s="219" t="s">
        <v>3176</v>
      </c>
      <c r="C714" s="143">
        <f t="shared" ca="1" si="93"/>
        <v>600</v>
      </c>
      <c r="D714" s="135">
        <v>45268</v>
      </c>
      <c r="E714" s="135">
        <v>45274</v>
      </c>
      <c r="F714" s="135">
        <v>45275</v>
      </c>
      <c r="G714" s="135" t="s">
        <v>3350</v>
      </c>
      <c r="H714" s="135">
        <v>45281</v>
      </c>
      <c r="I714" s="135">
        <v>45281</v>
      </c>
      <c r="J714" s="135">
        <v>45288</v>
      </c>
      <c r="K714" s="135"/>
      <c r="L714" s="135"/>
      <c r="M714" s="135"/>
      <c r="N714" s="135"/>
      <c r="O714" s="135"/>
      <c r="P714" s="135"/>
      <c r="Q714" s="135"/>
      <c r="R714" s="135"/>
      <c r="S714" s="135"/>
      <c r="T714" s="135"/>
      <c r="U714" s="144">
        <v>4</v>
      </c>
      <c r="V714" s="143">
        <v>59808</v>
      </c>
      <c r="W714" s="143" t="str">
        <f ca="1">IF(H714="",IF(D714="","",IF(U714+V714&lt;15,"Données Nb pers ou RFR manquantes",IF(COUNTA(INDIRECT("TabRFR["&amp;YEAR(D714)&amp;"]"))&lt;&gt;COUNTA(TabRFR[Recherche RFR]),"Data RFR manquantes", IF(V714&lt;=INDEX(TabRFR[[2023]:[2025]],MATCH(BD!U714&amp;"-Très modestes",TabRFR[Recherche RFR],0),MATCH(TEXT(YEAR(BD!D714),"Standard"),TabRFR[[#Headers],[2023]:[2025]],0)),"Très Modeste",IF(V714&lt;=INDEX(TabRFR[[2023]:[2025]],MATCH(BD!U714&amp;"-modestes",TabRFR[Recherche RFR],0),MATCH(TEXT(YEAR(BD!D714),"Standard"),TabRFR[[#Headers],[2023]:[2025]],0)),"Modeste",IF(V714&lt;=INDEX(TabRFR[[2023]:[2025]],MATCH(BD!U714&amp;"-Intermédiaire",TabRFR[Recherche RFR],0),MATCH(TEXT(YEAR(BD!D714),"Standard"),TabRFR[[#Headers],[2023]:[2025]],0)),"Intermédiaire","Supérieur")))))),IF(D714="","",IF(U714+V714&lt;15,"Données Nb pers ou RFR manquantes",IF(COUNTA(INDIRECT("TabRFR["&amp;YEAR(H714)&amp;"]"))&lt;&gt;COUNTA(TabRFR[Recherche RFR]),"Data RFR manquantes", IF(V714&lt;=INDEX(TabRFR[[2023]:[2025]],MATCH(BD!U714&amp;"-Très modestes",TabRFR[Recherche RFR],0),MATCH(TEXT(YEAR(BD!H714),"Standard"),TabRFR[[#Headers],[2023]:[2025]],0)),"Très Modeste",IF(V714&lt;=INDEX(TabRFR[[2023]:[2025]],MATCH(BD!U714&amp;"-modestes",TabRFR[Recherche RFR],0),MATCH(TEXT(YEAR(BD!H714),"Standard"),TabRFR[[#Headers],[2023]:[2025]],0)),"Modeste",IF(V714&lt;=INDEX(TabRFR[[2023]:[2025]],MATCH(BD!U714&amp;"-Intermédiaire",TabRFR[Recherche RFR],0),MATCH(TEXT(YEAR(BD!H714),"Standard"),TabRFR[[#Headers],[2023]:[2025]],0)),"Intermédiaire","Supérieur")))))))</f>
        <v>Intermédiaire</v>
      </c>
      <c r="X714" s="144"/>
      <c r="Y714" s="135" t="s">
        <v>3347</v>
      </c>
      <c r="Z714" s="144">
        <v>38500</v>
      </c>
      <c r="AA714" s="135" t="s">
        <v>284</v>
      </c>
      <c r="AB714" s="148"/>
      <c r="AC714" s="202"/>
      <c r="AD714" s="135" t="s">
        <v>91</v>
      </c>
      <c r="AE714" s="135"/>
      <c r="AF714" s="135"/>
      <c r="AG714" s="135"/>
      <c r="AH714" s="135"/>
      <c r="AI714" s="135" t="s">
        <v>2748</v>
      </c>
      <c r="AJ714" s="135" t="s">
        <v>108</v>
      </c>
      <c r="AK714" s="135" t="s">
        <v>2749</v>
      </c>
      <c r="AL714" s="202" t="s">
        <v>275</v>
      </c>
      <c r="AM714" s="148">
        <v>476059444</v>
      </c>
      <c r="AN714" s="135" t="s">
        <v>76</v>
      </c>
      <c r="AO714" s="150" t="s">
        <v>102</v>
      </c>
      <c r="AP714" s="135">
        <v>45520</v>
      </c>
      <c r="AQ714" s="143" t="s">
        <v>3413</v>
      </c>
      <c r="AR714" s="153" t="s">
        <v>172</v>
      </c>
      <c r="AS714" s="143" t="s">
        <v>3413</v>
      </c>
      <c r="AT714" s="135" t="s">
        <v>3446</v>
      </c>
      <c r="AU714" s="135" t="s">
        <v>276</v>
      </c>
      <c r="AV714" s="135" t="s">
        <v>3349</v>
      </c>
      <c r="AW714" s="135"/>
      <c r="AX714" s="135"/>
      <c r="AY714" s="135"/>
      <c r="AZ714" s="135"/>
      <c r="BA714" s="135" t="s">
        <v>1401</v>
      </c>
      <c r="BB714" s="135"/>
      <c r="BC714" s="151">
        <f>8530+306+255</f>
        <v>9091</v>
      </c>
      <c r="BD714" s="135"/>
      <c r="BE714" s="151">
        <f>416+590</f>
        <v>1006</v>
      </c>
      <c r="BF714" s="151">
        <f>BC714+BE714</f>
        <v>10097</v>
      </c>
      <c r="BG714" s="151">
        <f t="shared" si="88"/>
        <v>555.33500000000004</v>
      </c>
      <c r="BH714" s="151">
        <f t="shared" si="89"/>
        <v>10652.334999999999</v>
      </c>
      <c r="BI714" s="135"/>
      <c r="BJ714" s="135" t="s">
        <v>144</v>
      </c>
      <c r="BK714" s="135"/>
      <c r="BL714" s="135"/>
      <c r="BM714" s="144" t="s">
        <v>3592</v>
      </c>
      <c r="BN714" s="153">
        <v>2024</v>
      </c>
      <c r="BO714" s="135" t="s">
        <v>143</v>
      </c>
      <c r="BP714" s="135"/>
      <c r="BQ714" s="203"/>
    </row>
    <row r="715" spans="1:69" ht="41.1" customHeight="1">
      <c r="A715" s="218" t="s">
        <v>1705</v>
      </c>
      <c r="B715" s="218" t="s">
        <v>3177</v>
      </c>
      <c r="C715" s="143">
        <f t="shared" ca="1" si="93"/>
        <v>600</v>
      </c>
      <c r="D715" s="135">
        <v>45272</v>
      </c>
      <c r="E715" s="135">
        <v>45274</v>
      </c>
      <c r="F715" s="135">
        <v>45275</v>
      </c>
      <c r="G715" s="135" t="s">
        <v>3352</v>
      </c>
      <c r="H715" s="135">
        <v>45281</v>
      </c>
      <c r="I715" s="135">
        <v>45281</v>
      </c>
      <c r="J715" s="135">
        <v>45288</v>
      </c>
      <c r="K715" s="135">
        <v>45358</v>
      </c>
      <c r="L715" s="135">
        <v>45349</v>
      </c>
      <c r="M715" s="135" t="s">
        <v>76</v>
      </c>
      <c r="N715" s="135">
        <v>45365</v>
      </c>
      <c r="O715" s="135">
        <v>45365</v>
      </c>
      <c r="P715" s="135">
        <v>45369</v>
      </c>
      <c r="Q715" s="135"/>
      <c r="R715" s="135"/>
      <c r="S715" s="135"/>
      <c r="T715" s="135"/>
      <c r="U715" s="144">
        <v>3</v>
      </c>
      <c r="V715" s="143">
        <v>46672</v>
      </c>
      <c r="W715" s="143" t="str">
        <f ca="1">IF(H715="",IF(D715="","",IF(U715+V715&lt;15,"Données Nb pers ou RFR manquantes",IF(COUNTA(INDIRECT("TabRFR["&amp;YEAR(D715)&amp;"]"))&lt;&gt;COUNTA(TabRFR[Recherche RFR]),"Data RFR manquantes", IF(V715&lt;=INDEX(TabRFR[[2023]:[2025]],MATCH(BD!U715&amp;"-Très modestes",TabRFR[Recherche RFR],0),MATCH(TEXT(YEAR(BD!D715),"Standard"),TabRFR[[#Headers],[2023]:[2025]],0)),"Très Modeste",IF(V715&lt;=INDEX(TabRFR[[2023]:[2025]],MATCH(BD!U715&amp;"-modestes",TabRFR[Recherche RFR],0),MATCH(TEXT(YEAR(BD!D715),"Standard"),TabRFR[[#Headers],[2023]:[2025]],0)),"Modeste",IF(V715&lt;=INDEX(TabRFR[[2023]:[2025]],MATCH(BD!U715&amp;"-Intermédiaire",TabRFR[Recherche RFR],0),MATCH(TEXT(YEAR(BD!D715),"Standard"),TabRFR[[#Headers],[2023]:[2025]],0)),"Intermédiaire","Supérieur")))))),IF(D715="","",IF(U715+V715&lt;15,"Données Nb pers ou RFR manquantes",IF(COUNTA(INDIRECT("TabRFR["&amp;YEAR(H715)&amp;"]"))&lt;&gt;COUNTA(TabRFR[Recherche RFR]),"Data RFR manquantes", IF(V715&lt;=INDEX(TabRFR[[2023]:[2025]],MATCH(BD!U715&amp;"-Très modestes",TabRFR[Recherche RFR],0),MATCH(TEXT(YEAR(BD!H715),"Standard"),TabRFR[[#Headers],[2023]:[2025]],0)),"Très Modeste",IF(V715&lt;=INDEX(TabRFR[[2023]:[2025]],MATCH(BD!U715&amp;"-modestes",TabRFR[Recherche RFR],0),MATCH(TEXT(YEAR(BD!H715),"Standard"),TabRFR[[#Headers],[2023]:[2025]],0)),"Modeste",IF(V715&lt;=INDEX(TabRFR[[2023]:[2025]],MATCH(BD!U715&amp;"-Intermédiaire",TabRFR[Recherche RFR],0),MATCH(TEXT(YEAR(BD!H715),"Standard"),TabRFR[[#Headers],[2023]:[2025]],0)),"Intermédiaire","Supérieur")))))))</f>
        <v>Intermédiaire</v>
      </c>
      <c r="X715" s="144"/>
      <c r="Y715" s="135" t="s">
        <v>3356</v>
      </c>
      <c r="Z715" s="144">
        <v>38430</v>
      </c>
      <c r="AA715" s="135" t="s">
        <v>119</v>
      </c>
      <c r="AB715" s="148"/>
      <c r="AC715" s="202"/>
      <c r="AD715" s="135" t="s">
        <v>91</v>
      </c>
      <c r="AE715" s="135"/>
      <c r="AF715" s="135"/>
      <c r="AG715" s="135"/>
      <c r="AH715" s="135"/>
      <c r="AI715" s="135" t="s">
        <v>169</v>
      </c>
      <c r="AJ715" s="135" t="s">
        <v>119</v>
      </c>
      <c r="AK715" s="135" t="s">
        <v>2192</v>
      </c>
      <c r="AL715" s="169" t="s">
        <v>171</v>
      </c>
      <c r="AM715" s="135" t="s">
        <v>1406</v>
      </c>
      <c r="AN715" s="135" t="str">
        <f>AN711</f>
        <v>-</v>
      </c>
      <c r="AO715" s="135" t="str">
        <f>AO711</f>
        <v>oui</v>
      </c>
      <c r="AP715" s="135">
        <v>45614</v>
      </c>
      <c r="AQ715" s="135" t="s">
        <v>3496</v>
      </c>
      <c r="AR715" s="153">
        <v>1997</v>
      </c>
      <c r="AS715" s="143" t="s">
        <v>3413</v>
      </c>
      <c r="AT715" s="135" t="s">
        <v>3446</v>
      </c>
      <c r="AU715" s="135" t="s">
        <v>173</v>
      </c>
      <c r="AV715" s="135" t="s">
        <v>3351</v>
      </c>
      <c r="AW715" s="135"/>
      <c r="AX715" s="135"/>
      <c r="AY715" s="135"/>
      <c r="AZ715" s="135"/>
      <c r="BA715" s="135" t="s">
        <v>101</v>
      </c>
      <c r="BB715" s="135" t="s">
        <v>76</v>
      </c>
      <c r="BC715" s="151">
        <f>360+35.5+74.8+99.09+114+62.32+28.5+98.25+76.36+3590+238+55+290.36+45.35</f>
        <v>5167.53</v>
      </c>
      <c r="BD715" s="135" t="s">
        <v>76</v>
      </c>
      <c r="BE715" s="151">
        <f>350+525</f>
        <v>875</v>
      </c>
      <c r="BF715" s="151">
        <f>BC715+BE715</f>
        <v>6042.53</v>
      </c>
      <c r="BG715" s="151">
        <f t="shared" si="88"/>
        <v>332.33914999999996</v>
      </c>
      <c r="BH715" s="151">
        <f t="shared" si="89"/>
        <v>6374.8691499999995</v>
      </c>
      <c r="BI715" s="151">
        <v>6375.08</v>
      </c>
      <c r="BJ715" s="135" t="s">
        <v>1391</v>
      </c>
      <c r="BK715" s="135"/>
      <c r="BL715" s="135"/>
      <c r="BM715" s="144" t="s">
        <v>3592</v>
      </c>
      <c r="BN715" s="153">
        <v>2024</v>
      </c>
      <c r="BO715" s="135" t="s">
        <v>143</v>
      </c>
      <c r="BP715" s="135"/>
      <c r="BQ715" s="203"/>
    </row>
    <row r="716" spans="1:69" ht="41.1" customHeight="1">
      <c r="A716" s="219" t="s">
        <v>1705</v>
      </c>
      <c r="B716" s="219" t="s">
        <v>3178</v>
      </c>
      <c r="C716" s="143">
        <f t="shared" ca="1" si="93"/>
        <v>600</v>
      </c>
      <c r="D716" s="135">
        <v>45267</v>
      </c>
      <c r="E716" s="135">
        <v>45274</v>
      </c>
      <c r="F716" s="135">
        <v>45278</v>
      </c>
      <c r="G716" s="135" t="s">
        <v>3354</v>
      </c>
      <c r="H716" s="135">
        <v>45293</v>
      </c>
      <c r="I716" s="135">
        <v>45293</v>
      </c>
      <c r="J716" s="135">
        <v>45345</v>
      </c>
      <c r="K716" s="135"/>
      <c r="L716" s="135"/>
      <c r="M716" s="135"/>
      <c r="N716" s="135"/>
      <c r="O716" s="135"/>
      <c r="P716" s="135"/>
      <c r="Q716" s="135"/>
      <c r="R716" s="135"/>
      <c r="S716" s="135"/>
      <c r="T716" s="135"/>
      <c r="U716" s="144">
        <v>3</v>
      </c>
      <c r="V716" s="143">
        <v>109595</v>
      </c>
      <c r="W716" s="143" t="str">
        <f ca="1">IF(H716="",IF(D716="","",IF(U716+V716&lt;15,"Données Nb pers ou RFR manquantes",IF(COUNTA(INDIRECT("TabRFR["&amp;YEAR(D716)&amp;"]"))&lt;&gt;COUNTA(TabRFR[Recherche RFR]),"Data RFR manquantes", IF(V716&lt;=INDEX(TabRFR[[2023]:[2025]],MATCH(BD!U716&amp;"-Très modestes",TabRFR[Recherche RFR],0),MATCH(TEXT(YEAR(BD!D716),"Standard"),TabRFR[[#Headers],[2023]:[2025]],0)),"Très Modeste",IF(V716&lt;=INDEX(TabRFR[[2023]:[2025]],MATCH(BD!U716&amp;"-modestes",TabRFR[Recherche RFR],0),MATCH(TEXT(YEAR(BD!D716),"Standard"),TabRFR[[#Headers],[2023]:[2025]],0)),"Modeste",IF(V716&lt;=INDEX(TabRFR[[2023]:[2025]],MATCH(BD!U716&amp;"-Intermédiaire",TabRFR[Recherche RFR],0),MATCH(TEXT(YEAR(BD!D716),"Standard"),TabRFR[[#Headers],[2023]:[2025]],0)),"Intermédiaire","Supérieur")))))),IF(D716="","",IF(U716+V716&lt;15,"Données Nb pers ou RFR manquantes",IF(COUNTA(INDIRECT("TabRFR["&amp;YEAR(H716)&amp;"]"))&lt;&gt;COUNTA(TabRFR[Recherche RFR]),"Data RFR manquantes", IF(V716&lt;=INDEX(TabRFR[[2023]:[2025]],MATCH(BD!U716&amp;"-Très modestes",TabRFR[Recherche RFR],0),MATCH(TEXT(YEAR(BD!H716),"Standard"),TabRFR[[#Headers],[2023]:[2025]],0)),"Très Modeste",IF(V716&lt;=INDEX(TabRFR[[2023]:[2025]],MATCH(BD!U716&amp;"-modestes",TabRFR[Recherche RFR],0),MATCH(TEXT(YEAR(BD!H716),"Standard"),TabRFR[[#Headers],[2023]:[2025]],0)),"Modeste",IF(V716&lt;=INDEX(TabRFR[[2023]:[2025]],MATCH(BD!U716&amp;"-Intermédiaire",TabRFR[Recherche RFR],0),MATCH(TEXT(YEAR(BD!H716),"Standard"),TabRFR[[#Headers],[2023]:[2025]],0)),"Intermédiaire","Supérieur")))))))</f>
        <v>Supérieur</v>
      </c>
      <c r="X716" s="144"/>
      <c r="Y716" s="135" t="s">
        <v>3348</v>
      </c>
      <c r="Z716" s="144">
        <v>38430</v>
      </c>
      <c r="AA716" s="135" t="s">
        <v>119</v>
      </c>
      <c r="AB716" s="148"/>
      <c r="AC716" s="202"/>
      <c r="AD716" s="135" t="s">
        <v>91</v>
      </c>
      <c r="AE716" s="135"/>
      <c r="AF716" s="135"/>
      <c r="AG716" s="135"/>
      <c r="AH716" s="135"/>
      <c r="AI716" s="135" t="s">
        <v>160</v>
      </c>
      <c r="AJ716" s="135" t="s">
        <v>161</v>
      </c>
      <c r="AK716" s="135" t="s">
        <v>2238</v>
      </c>
      <c r="AL716" s="150" t="s">
        <v>228</v>
      </c>
      <c r="AM716" s="135" t="s">
        <v>2239</v>
      </c>
      <c r="AN716" s="135" t="s">
        <v>76</v>
      </c>
      <c r="AO716" s="150" t="s">
        <v>102</v>
      </c>
      <c r="AP716" s="135">
        <v>45372</v>
      </c>
      <c r="AQ716" s="135" t="s">
        <v>3496</v>
      </c>
      <c r="AR716" s="153">
        <v>1998</v>
      </c>
      <c r="AS716" s="135" t="s">
        <v>3496</v>
      </c>
      <c r="AT716" s="135" t="s">
        <v>98</v>
      </c>
      <c r="AU716" s="135" t="s">
        <v>164</v>
      </c>
      <c r="AV716" s="135" t="s">
        <v>3355</v>
      </c>
      <c r="AW716" s="135"/>
      <c r="AX716" s="135"/>
      <c r="AY716" s="135"/>
      <c r="AZ716" s="135"/>
      <c r="BA716" s="135" t="s">
        <v>101</v>
      </c>
      <c r="BB716" s="135"/>
      <c r="BC716" s="151">
        <f>3267+6758+655+1629+1329</f>
        <v>13638</v>
      </c>
      <c r="BD716" s="135"/>
      <c r="BE716" s="151">
        <f>750+994</f>
        <v>1744</v>
      </c>
      <c r="BF716" s="151">
        <f>BC716+BE716</f>
        <v>15382</v>
      </c>
      <c r="BG716" s="151">
        <f t="shared" si="88"/>
        <v>846.01</v>
      </c>
      <c r="BH716" s="151">
        <f t="shared" si="89"/>
        <v>16228.01</v>
      </c>
      <c r="BI716" s="135"/>
      <c r="BJ716" s="135" t="s">
        <v>144</v>
      </c>
      <c r="BK716" s="135"/>
      <c r="BL716" s="135"/>
      <c r="BM716" s="144" t="s">
        <v>3592</v>
      </c>
      <c r="BN716" s="153">
        <f>(IF(R716=0,IF(H716&lt;&gt;0,YEAR(H716),""),""))</f>
        <v>2024</v>
      </c>
      <c r="BO716" s="135" t="s">
        <v>143</v>
      </c>
      <c r="BP716" s="143" t="s">
        <v>3583</v>
      </c>
      <c r="BQ716" s="203"/>
    </row>
    <row r="717" spans="1:69" ht="41.1" customHeight="1">
      <c r="A717" s="219" t="s">
        <v>1705</v>
      </c>
      <c r="B717" s="219" t="s">
        <v>3179</v>
      </c>
      <c r="C717" s="143">
        <f t="shared" ca="1" si="93"/>
        <v>600</v>
      </c>
      <c r="D717" s="135">
        <v>45278</v>
      </c>
      <c r="E717" s="135" t="s">
        <v>76</v>
      </c>
      <c r="F717" s="135" t="s">
        <v>76</v>
      </c>
      <c r="G717" s="135" t="s">
        <v>76</v>
      </c>
      <c r="H717" s="135">
        <v>45281</v>
      </c>
      <c r="I717" s="135">
        <v>45281</v>
      </c>
      <c r="J717" s="135">
        <v>45288</v>
      </c>
      <c r="K717" s="135">
        <v>45391</v>
      </c>
      <c r="L717" s="135">
        <v>45329</v>
      </c>
      <c r="M717" s="135" t="s">
        <v>3579</v>
      </c>
      <c r="N717" s="135">
        <v>45400</v>
      </c>
      <c r="O717" s="135">
        <v>45400</v>
      </c>
      <c r="P717" s="135">
        <v>45401</v>
      </c>
      <c r="Q717" s="135"/>
      <c r="R717" s="135"/>
      <c r="S717" s="135"/>
      <c r="T717" s="135"/>
      <c r="U717" s="144">
        <v>4</v>
      </c>
      <c r="V717" s="143">
        <v>55782</v>
      </c>
      <c r="W717" s="143" t="str">
        <f ca="1">IF(H717="",IF(D717="","",IF(U717+V717&lt;15,"Données Nb pers ou RFR manquantes",IF(COUNTA(INDIRECT("TabRFR["&amp;YEAR(D717)&amp;"]"))&lt;&gt;COUNTA(TabRFR[Recherche RFR]),"Data RFR manquantes", IF(V717&lt;=INDEX(TabRFR[[2023]:[2025]],MATCH(BD!U717&amp;"-Très modestes",TabRFR[Recherche RFR],0),MATCH(TEXT(YEAR(BD!D717),"Standard"),TabRFR[[#Headers],[2023]:[2025]],0)),"Très Modeste",IF(V717&lt;=INDEX(TabRFR[[2023]:[2025]],MATCH(BD!U717&amp;"-modestes",TabRFR[Recherche RFR],0),MATCH(TEXT(YEAR(BD!D717),"Standard"),TabRFR[[#Headers],[2023]:[2025]],0)),"Modeste",IF(V717&lt;=INDEX(TabRFR[[2023]:[2025]],MATCH(BD!U717&amp;"-Intermédiaire",TabRFR[Recherche RFR],0),MATCH(TEXT(YEAR(BD!D717),"Standard"),TabRFR[[#Headers],[2023]:[2025]],0)),"Intermédiaire","Supérieur")))))),IF(D717="","",IF(U717+V717&lt;15,"Données Nb pers ou RFR manquantes",IF(COUNTA(INDIRECT("TabRFR["&amp;YEAR(H717)&amp;"]"))&lt;&gt;COUNTA(TabRFR[Recherche RFR]),"Data RFR manquantes", IF(V717&lt;=INDEX(TabRFR[[2023]:[2025]],MATCH(BD!U717&amp;"-Très modestes",TabRFR[Recherche RFR],0),MATCH(TEXT(YEAR(BD!H717),"Standard"),TabRFR[[#Headers],[2023]:[2025]],0)),"Très Modeste",IF(V717&lt;=INDEX(TabRFR[[2023]:[2025]],MATCH(BD!U717&amp;"-modestes",TabRFR[Recherche RFR],0),MATCH(TEXT(YEAR(BD!H717),"Standard"),TabRFR[[#Headers],[2023]:[2025]],0)),"Modeste",IF(V717&lt;=INDEX(TabRFR[[2023]:[2025]],MATCH(BD!U717&amp;"-Intermédiaire",TabRFR[Recherche RFR],0),MATCH(TEXT(YEAR(BD!H717),"Standard"),TabRFR[[#Headers],[2023]:[2025]],0)),"Intermédiaire","Supérieur")))))))</f>
        <v>Intermédiaire</v>
      </c>
      <c r="X717" s="144"/>
      <c r="Y717" s="135" t="s">
        <v>3359</v>
      </c>
      <c r="Z717" s="144">
        <v>38134</v>
      </c>
      <c r="AA717" s="135" t="s">
        <v>413</v>
      </c>
      <c r="AB717" s="148"/>
      <c r="AC717" s="202"/>
      <c r="AD717" s="135" t="s">
        <v>91</v>
      </c>
      <c r="AE717" s="135"/>
      <c r="AF717" s="135"/>
      <c r="AG717" s="135"/>
      <c r="AH717" s="135"/>
      <c r="AI717" s="135" t="s">
        <v>808</v>
      </c>
      <c r="AJ717" s="135" t="s">
        <v>809</v>
      </c>
      <c r="AK717" s="135" t="s">
        <v>3357</v>
      </c>
      <c r="AL717" s="202" t="s">
        <v>811</v>
      </c>
      <c r="AM717" s="148">
        <v>608987863</v>
      </c>
      <c r="AN717" s="135" t="s">
        <v>76</v>
      </c>
      <c r="AO717" s="150" t="s">
        <v>144</v>
      </c>
      <c r="AP717" s="135">
        <v>45458</v>
      </c>
      <c r="AQ717" s="143" t="s">
        <v>3413</v>
      </c>
      <c r="AR717" s="153">
        <v>1990</v>
      </c>
      <c r="AS717" s="143" t="s">
        <v>2862</v>
      </c>
      <c r="AT717" s="135" t="s">
        <v>3446</v>
      </c>
      <c r="AU717" s="135" t="s">
        <v>1547</v>
      </c>
      <c r="AV717" s="135" t="s">
        <v>3358</v>
      </c>
      <c r="AW717" s="135"/>
      <c r="AX717" s="135"/>
      <c r="AY717" s="135"/>
      <c r="AZ717" s="135"/>
      <c r="BA717" s="135" t="s">
        <v>101</v>
      </c>
      <c r="BB717" s="135" t="s">
        <v>76</v>
      </c>
      <c r="BC717" s="151">
        <f>385.7+1728+137+124.6+247.2+68.9+302.1+55.2+174.5+310.2+160+98.9+67+66.6+205+64+155+162.6+27.7+124.2+29.7+2990.4</f>
        <v>7684.5</v>
      </c>
      <c r="BD717" s="135" t="s">
        <v>76</v>
      </c>
      <c r="BE717" s="151">
        <v>2820</v>
      </c>
      <c r="BF717" s="151">
        <f>BC717+BE717</f>
        <v>10504.5</v>
      </c>
      <c r="BG717" s="151">
        <f t="shared" si="88"/>
        <v>577.74750000000006</v>
      </c>
      <c r="BH717" s="151">
        <f t="shared" si="89"/>
        <v>11082.247499999999</v>
      </c>
      <c r="BI717" s="151">
        <v>10286.799999999999</v>
      </c>
      <c r="BJ717" s="135" t="s">
        <v>144</v>
      </c>
      <c r="BK717" s="135"/>
      <c r="BL717" s="135"/>
      <c r="BM717" s="144" t="s">
        <v>3592</v>
      </c>
      <c r="BN717" s="153">
        <v>2024</v>
      </c>
      <c r="BO717" s="135" t="s">
        <v>143</v>
      </c>
      <c r="BP717" s="135"/>
      <c r="BQ717" s="203"/>
    </row>
    <row r="718" spans="1:69" ht="41.1" customHeight="1">
      <c r="A718" s="219" t="s">
        <v>1705</v>
      </c>
      <c r="B718" s="219" t="s">
        <v>3180</v>
      </c>
      <c r="C718" s="143">
        <f t="shared" ca="1" si="93"/>
        <v>600</v>
      </c>
      <c r="D718" s="135">
        <v>45279</v>
      </c>
      <c r="E718" s="135" t="s">
        <v>76</v>
      </c>
      <c r="F718" s="135">
        <v>45281</v>
      </c>
      <c r="G718" s="135" t="s">
        <v>1544</v>
      </c>
      <c r="H718" s="135">
        <v>45282</v>
      </c>
      <c r="I718" s="135">
        <v>45282</v>
      </c>
      <c r="J718" s="135">
        <v>45288</v>
      </c>
      <c r="K718" s="135"/>
      <c r="L718" s="135"/>
      <c r="M718" s="135"/>
      <c r="N718" s="135"/>
      <c r="O718" s="135"/>
      <c r="P718" s="135"/>
      <c r="Q718" s="135"/>
      <c r="R718" s="135"/>
      <c r="S718" s="135"/>
      <c r="T718" s="135"/>
      <c r="U718" s="144">
        <v>2</v>
      </c>
      <c r="V718" s="143">
        <v>34775</v>
      </c>
      <c r="W718" s="143" t="str">
        <f ca="1">IF(H718="",IF(D718="","",IF(U718+V718&lt;15,"Données Nb pers ou RFR manquantes",IF(COUNTA(INDIRECT("TabRFR["&amp;YEAR(D718)&amp;"]"))&lt;&gt;COUNTA(TabRFR[Recherche RFR]),"Data RFR manquantes", IF(V718&lt;=INDEX(TabRFR[[2023]:[2025]],MATCH(BD!U718&amp;"-Très modestes",TabRFR[Recherche RFR],0),MATCH(TEXT(YEAR(BD!D718),"Standard"),TabRFR[[#Headers],[2023]:[2025]],0)),"Très Modeste",IF(V718&lt;=INDEX(TabRFR[[2023]:[2025]],MATCH(BD!U718&amp;"-modestes",TabRFR[Recherche RFR],0),MATCH(TEXT(YEAR(BD!D718),"Standard"),TabRFR[[#Headers],[2023]:[2025]],0)),"Modeste",IF(V718&lt;=INDEX(TabRFR[[2023]:[2025]],MATCH(BD!U718&amp;"-Intermédiaire",TabRFR[Recherche RFR],0),MATCH(TEXT(YEAR(BD!D718),"Standard"),TabRFR[[#Headers],[2023]:[2025]],0)),"Intermédiaire","Supérieur")))))),IF(D718="","",IF(U718+V718&lt;15,"Données Nb pers ou RFR manquantes",IF(COUNTA(INDIRECT("TabRFR["&amp;YEAR(H718)&amp;"]"))&lt;&gt;COUNTA(TabRFR[Recherche RFR]),"Data RFR manquantes", IF(V718&lt;=INDEX(TabRFR[[2023]:[2025]],MATCH(BD!U718&amp;"-Très modestes",TabRFR[Recherche RFR],0),MATCH(TEXT(YEAR(BD!H718),"Standard"),TabRFR[[#Headers],[2023]:[2025]],0)),"Très Modeste",IF(V718&lt;=INDEX(TabRFR[[2023]:[2025]],MATCH(BD!U718&amp;"-modestes",TabRFR[Recherche RFR],0),MATCH(TEXT(YEAR(BD!H718),"Standard"),TabRFR[[#Headers],[2023]:[2025]],0)),"Modeste",IF(V718&lt;=INDEX(TabRFR[[2023]:[2025]],MATCH(BD!U718&amp;"-Intermédiaire",TabRFR[Recherche RFR],0),MATCH(TEXT(YEAR(BD!H718),"Standard"),TabRFR[[#Headers],[2023]:[2025]],0)),"Intermédiaire","Supérieur")))))))</f>
        <v>Intermédiaire</v>
      </c>
      <c r="X718" s="144"/>
      <c r="Y718" s="135" t="s">
        <v>3360</v>
      </c>
      <c r="Z718" s="144">
        <v>38620</v>
      </c>
      <c r="AA718" s="135" t="s">
        <v>680</v>
      </c>
      <c r="AB718" s="148"/>
      <c r="AC718" s="202"/>
      <c r="AD718" s="135" t="s">
        <v>91</v>
      </c>
      <c r="AE718" s="135"/>
      <c r="AF718" s="135"/>
      <c r="AG718" s="135"/>
      <c r="AH718" s="135"/>
      <c r="AI718" s="143" t="s">
        <v>1106</v>
      </c>
      <c r="AJ718" s="135" t="s">
        <v>1075</v>
      </c>
      <c r="AK718" s="135" t="s">
        <v>2203</v>
      </c>
      <c r="AL718" s="169" t="s">
        <v>1108</v>
      </c>
      <c r="AM718" s="148" t="s">
        <v>2204</v>
      </c>
      <c r="AN718" s="135" t="s">
        <v>76</v>
      </c>
      <c r="AO718" s="193" t="s">
        <v>102</v>
      </c>
      <c r="AP718" s="135">
        <v>45462</v>
      </c>
      <c r="AQ718" s="135" t="s">
        <v>3496</v>
      </c>
      <c r="AR718" s="153">
        <v>2001</v>
      </c>
      <c r="AS718" s="143" t="s">
        <v>3413</v>
      </c>
      <c r="AT718" s="135" t="s">
        <v>3446</v>
      </c>
      <c r="AU718" s="135" t="s">
        <v>1878</v>
      </c>
      <c r="AV718" s="135" t="s">
        <v>3361</v>
      </c>
      <c r="AW718" s="135"/>
      <c r="AX718" s="135"/>
      <c r="AY718" s="135"/>
      <c r="AZ718" s="135"/>
      <c r="BA718" s="135" t="s">
        <v>101</v>
      </c>
      <c r="BB718" s="135"/>
      <c r="BC718" s="151">
        <f>6540+858.2+106+465+273.25+225</f>
        <v>8467.4500000000007</v>
      </c>
      <c r="BD718" s="135"/>
      <c r="BE718" s="151">
        <v>650</v>
      </c>
      <c r="BF718" s="151">
        <f>BC718+BE718-654</f>
        <v>8463.4500000000007</v>
      </c>
      <c r="BG718" s="151">
        <f t="shared" si="88"/>
        <v>465.48975000000002</v>
      </c>
      <c r="BH718" s="151">
        <f t="shared" si="89"/>
        <v>8928.9397500000014</v>
      </c>
      <c r="BI718" s="135"/>
      <c r="BJ718" s="135" t="s">
        <v>144</v>
      </c>
      <c r="BK718" s="135"/>
      <c r="BL718" s="135"/>
      <c r="BM718" s="144" t="s">
        <v>3592</v>
      </c>
      <c r="BN718" s="153">
        <v>2024</v>
      </c>
      <c r="BO718" s="135" t="s">
        <v>143</v>
      </c>
      <c r="BP718" s="135"/>
      <c r="BQ718" s="203"/>
    </row>
    <row r="719" spans="1:69" ht="41.1" customHeight="1">
      <c r="A719" s="218" t="s">
        <v>1705</v>
      </c>
      <c r="B719" s="218" t="s">
        <v>3181</v>
      </c>
      <c r="C719" s="143">
        <f t="shared" ca="1" si="93"/>
        <v>600</v>
      </c>
      <c r="D719" s="135">
        <v>45280</v>
      </c>
      <c r="E719" s="135" t="s">
        <v>76</v>
      </c>
      <c r="F719" s="135">
        <v>45281</v>
      </c>
      <c r="G719" s="135" t="s">
        <v>1544</v>
      </c>
      <c r="H719" s="135">
        <v>45282</v>
      </c>
      <c r="I719" s="135">
        <v>45282</v>
      </c>
      <c r="J719" s="135">
        <v>45288</v>
      </c>
      <c r="K719" s="135">
        <v>45357</v>
      </c>
      <c r="L719" s="135">
        <v>45351</v>
      </c>
      <c r="M719" s="135" t="s">
        <v>76</v>
      </c>
      <c r="N719" s="135">
        <v>45358</v>
      </c>
      <c r="O719" s="135">
        <v>45358</v>
      </c>
      <c r="P719" s="135">
        <v>45359</v>
      </c>
      <c r="Q719" s="135"/>
      <c r="R719" s="135"/>
      <c r="S719" s="135"/>
      <c r="T719" s="135"/>
      <c r="U719" s="144">
        <v>2</v>
      </c>
      <c r="V719" s="143">
        <v>42824</v>
      </c>
      <c r="W719" s="143" t="str">
        <f ca="1">IF(H719="",IF(D719="","",IF(U719+V719&lt;15,"Données Nb pers ou RFR manquantes",IF(COUNTA(INDIRECT("TabRFR["&amp;YEAR(D719)&amp;"]"))&lt;&gt;COUNTA(TabRFR[Recherche RFR]),"Data RFR manquantes", IF(V719&lt;=INDEX(TabRFR[[2023]:[2025]],MATCH(BD!U719&amp;"-Très modestes",TabRFR[Recherche RFR],0),MATCH(TEXT(YEAR(BD!D719),"Standard"),TabRFR[[#Headers],[2023]:[2025]],0)),"Très Modeste",IF(V719&lt;=INDEX(TabRFR[[2023]:[2025]],MATCH(BD!U719&amp;"-modestes",TabRFR[Recherche RFR],0),MATCH(TEXT(YEAR(BD!D719),"Standard"),TabRFR[[#Headers],[2023]:[2025]],0)),"Modeste",IF(V719&lt;=INDEX(TabRFR[[2023]:[2025]],MATCH(BD!U719&amp;"-Intermédiaire",TabRFR[Recherche RFR],0),MATCH(TEXT(YEAR(BD!D719),"Standard"),TabRFR[[#Headers],[2023]:[2025]],0)),"Intermédiaire","Supérieur")))))),IF(D719="","",IF(U719+V719&lt;15,"Données Nb pers ou RFR manquantes",IF(COUNTA(INDIRECT("TabRFR["&amp;YEAR(H719)&amp;"]"))&lt;&gt;COUNTA(TabRFR[Recherche RFR]),"Data RFR manquantes", IF(V719&lt;=INDEX(TabRFR[[2023]:[2025]],MATCH(BD!U719&amp;"-Très modestes",TabRFR[Recherche RFR],0),MATCH(TEXT(YEAR(BD!H719),"Standard"),TabRFR[[#Headers],[2023]:[2025]],0)),"Très Modeste",IF(V719&lt;=INDEX(TabRFR[[2023]:[2025]],MATCH(BD!U719&amp;"-modestes",TabRFR[Recherche RFR],0),MATCH(TEXT(YEAR(BD!H719),"Standard"),TabRFR[[#Headers],[2023]:[2025]],0)),"Modeste",IF(V719&lt;=INDEX(TabRFR[[2023]:[2025]],MATCH(BD!U719&amp;"-Intermédiaire",TabRFR[Recherche RFR],0),MATCH(TEXT(YEAR(BD!H719),"Standard"),TabRFR[[#Headers],[2023]:[2025]],0)),"Intermédiaire","Supérieur")))))))</f>
        <v>Intermédiaire</v>
      </c>
      <c r="X719" s="144"/>
      <c r="Y719" s="135" t="s">
        <v>3362</v>
      </c>
      <c r="Z719" s="144">
        <v>38620</v>
      </c>
      <c r="AA719" s="135" t="s">
        <v>863</v>
      </c>
      <c r="AB719" s="148"/>
      <c r="AC719" s="202"/>
      <c r="AD719" s="135" t="s">
        <v>91</v>
      </c>
      <c r="AE719" s="135"/>
      <c r="AF719" s="135"/>
      <c r="AG719" s="135"/>
      <c r="AH719" s="135"/>
      <c r="AI719" s="143" t="s">
        <v>92</v>
      </c>
      <c r="AJ719" s="143" t="s">
        <v>93</v>
      </c>
      <c r="AK719" s="143" t="s">
        <v>94</v>
      </c>
      <c r="AL719" s="149" t="s">
        <v>95</v>
      </c>
      <c r="AM719" s="148" t="s">
        <v>96</v>
      </c>
      <c r="AN719" s="143" t="s">
        <v>76</v>
      </c>
      <c r="AO719" s="150" t="s">
        <v>97</v>
      </c>
      <c r="AP719" s="147">
        <v>45552</v>
      </c>
      <c r="AQ719" s="143" t="s">
        <v>3413</v>
      </c>
      <c r="AR719" s="153">
        <v>2000</v>
      </c>
      <c r="AS719" s="143" t="s">
        <v>3413</v>
      </c>
      <c r="AT719" s="135" t="s">
        <v>3446</v>
      </c>
      <c r="AU719" s="135" t="s">
        <v>538</v>
      </c>
      <c r="AV719" s="135" t="s">
        <v>2682</v>
      </c>
      <c r="AW719" s="135"/>
      <c r="AX719" s="135"/>
      <c r="AY719" s="135"/>
      <c r="AZ719" s="135"/>
      <c r="BA719" s="135" t="s">
        <v>101</v>
      </c>
      <c r="BB719" s="135"/>
      <c r="BC719" s="151">
        <f>3325+888+124.69+48+81.86+158+150+90</f>
        <v>4865.5499999999993</v>
      </c>
      <c r="BD719" s="135"/>
      <c r="BE719" s="151">
        <v>790</v>
      </c>
      <c r="BF719" s="151">
        <f>BC719+BE719</f>
        <v>5655.5499999999993</v>
      </c>
      <c r="BG719" s="151">
        <f t="shared" si="88"/>
        <v>311.05524999999994</v>
      </c>
      <c r="BH719" s="151">
        <f t="shared" si="89"/>
        <v>5966.6052499999996</v>
      </c>
      <c r="BI719" s="151">
        <v>5966.61</v>
      </c>
      <c r="BJ719" s="135" t="s">
        <v>144</v>
      </c>
      <c r="BK719" s="135"/>
      <c r="BL719" s="135"/>
      <c r="BM719" s="144" t="s">
        <v>3592</v>
      </c>
      <c r="BN719" s="153">
        <v>2024</v>
      </c>
      <c r="BO719" s="135" t="s">
        <v>143</v>
      </c>
      <c r="BP719" s="135"/>
      <c r="BQ719" s="203"/>
    </row>
    <row r="720" spans="1:69" ht="41.1" customHeight="1">
      <c r="A720" s="219" t="s">
        <v>1705</v>
      </c>
      <c r="B720" s="219" t="s">
        <v>3182</v>
      </c>
      <c r="C720" s="143">
        <v>600</v>
      </c>
      <c r="D720" s="135">
        <v>45281</v>
      </c>
      <c r="E720" s="135" t="s">
        <v>76</v>
      </c>
      <c r="F720" s="135">
        <v>45282</v>
      </c>
      <c r="G720" s="135" t="s">
        <v>3438</v>
      </c>
      <c r="H720" s="135">
        <v>45313</v>
      </c>
      <c r="I720" s="135">
        <v>45313</v>
      </c>
      <c r="J720" s="135">
        <v>45392</v>
      </c>
      <c r="K720" s="135">
        <v>45427</v>
      </c>
      <c r="L720" s="135">
        <v>45399</v>
      </c>
      <c r="M720" s="135" t="s">
        <v>76</v>
      </c>
      <c r="N720" s="135">
        <v>45429</v>
      </c>
      <c r="O720" s="135">
        <v>45429</v>
      </c>
      <c r="P720" s="135"/>
      <c r="Q720" s="135"/>
      <c r="R720" s="135"/>
      <c r="S720" s="135"/>
      <c r="T720" s="135"/>
      <c r="U720" s="144">
        <v>1</v>
      </c>
      <c r="V720" s="143">
        <v>30716</v>
      </c>
      <c r="W720" s="143" t="str">
        <f ca="1">IF(H720="",IF(D720="","",IF(U720+V720&lt;15,"Données Nb pers ou RFR manquantes",IF(COUNTA(INDIRECT("TabRFR["&amp;YEAR(D720)&amp;"]"))&lt;&gt;COUNTA(TabRFR[Recherche RFR]),"Data RFR manquantes", IF(V720&lt;=INDEX(TabRFR[[2023]:[2025]],MATCH(BD!U720&amp;"-Très modestes",TabRFR[Recherche RFR],0),MATCH(TEXT(YEAR(BD!D720),"Standard"),TabRFR[[#Headers],[2023]:[2025]],0)),"Très Modeste",IF(V720&lt;=INDEX(TabRFR[[2023]:[2025]],MATCH(BD!U720&amp;"-modestes",TabRFR[Recherche RFR],0),MATCH(TEXT(YEAR(BD!D720),"Standard"),TabRFR[[#Headers],[2023]:[2025]],0)),"Modeste",IF(V720&lt;=INDEX(TabRFR[[2023]:[2025]],MATCH(BD!U720&amp;"-Intermédiaire",TabRFR[Recherche RFR],0),MATCH(TEXT(YEAR(BD!D720),"Standard"),TabRFR[[#Headers],[2023]:[2025]],0)),"Intermédiaire","Supérieur")))))),IF(D720="","",IF(U720+V720&lt;15,"Données Nb pers ou RFR manquantes",IF(COUNTA(INDIRECT("TabRFR["&amp;YEAR(H720)&amp;"]"))&lt;&gt;COUNTA(TabRFR[Recherche RFR]),"Data RFR manquantes", IF(V720&lt;=INDEX(TabRFR[[2023]:[2025]],MATCH(BD!U720&amp;"-Très modestes",TabRFR[Recherche RFR],0),MATCH(TEXT(YEAR(BD!H720),"Standard"),TabRFR[[#Headers],[2023]:[2025]],0)),"Très Modeste",IF(V720&lt;=INDEX(TabRFR[[2023]:[2025]],MATCH(BD!U720&amp;"-modestes",TabRFR[Recherche RFR],0),MATCH(TEXT(YEAR(BD!H720),"Standard"),TabRFR[[#Headers],[2023]:[2025]],0)),"Modeste",IF(V720&lt;=INDEX(TabRFR[[2023]:[2025]],MATCH(BD!U720&amp;"-Intermédiaire",TabRFR[Recherche RFR],0),MATCH(TEXT(YEAR(BD!H720),"Standard"),TabRFR[[#Headers],[2023]:[2025]],0)),"Intermédiaire","Supérieur")))))))</f>
        <v>Supérieur</v>
      </c>
      <c r="X720" s="144"/>
      <c r="Y720" s="135" t="s">
        <v>3365</v>
      </c>
      <c r="Z720" s="144">
        <v>38340</v>
      </c>
      <c r="AA720" s="135" t="s">
        <v>413</v>
      </c>
      <c r="AB720" s="148"/>
      <c r="AC720" s="202"/>
      <c r="AD720" s="135" t="s">
        <v>91</v>
      </c>
      <c r="AE720" s="135"/>
      <c r="AF720" s="135"/>
      <c r="AG720" s="135"/>
      <c r="AH720" s="135"/>
      <c r="AI720" s="135" t="s">
        <v>120</v>
      </c>
      <c r="AJ720" s="135" t="s">
        <v>121</v>
      </c>
      <c r="AK720" s="135" t="s">
        <v>2232</v>
      </c>
      <c r="AL720" s="150" t="s">
        <v>123</v>
      </c>
      <c r="AM720" s="135" t="s">
        <v>1469</v>
      </c>
      <c r="AN720" s="135" t="s">
        <v>2233</v>
      </c>
      <c r="AO720" s="193" t="s">
        <v>102</v>
      </c>
      <c r="AP720" s="135">
        <v>45513</v>
      </c>
      <c r="AQ720" s="135" t="s">
        <v>3496</v>
      </c>
      <c r="AR720" s="153">
        <v>1990</v>
      </c>
      <c r="AS720" s="143" t="s">
        <v>3413</v>
      </c>
      <c r="AT720" s="135" t="s">
        <v>3446</v>
      </c>
      <c r="AU720" s="135" t="s">
        <v>2179</v>
      </c>
      <c r="AV720" s="135" t="s">
        <v>3364</v>
      </c>
      <c r="AW720" s="135"/>
      <c r="AX720" s="135"/>
      <c r="AY720" s="135"/>
      <c r="AZ720" s="135"/>
      <c r="BA720" s="135" t="s">
        <v>1401</v>
      </c>
      <c r="BB720" s="135"/>
      <c r="BC720" s="151">
        <f>(4309+330+90+320+153+685+151)/1.055</f>
        <v>5723.2227488151666</v>
      </c>
      <c r="BD720" s="135"/>
      <c r="BE720" s="151">
        <f>(230+750)/1.055</f>
        <v>928.9099526066351</v>
      </c>
      <c r="BF720" s="151">
        <f>BC720+BE720</f>
        <v>6652.1327014218014</v>
      </c>
      <c r="BG720" s="151">
        <f t="shared" si="88"/>
        <v>365.8672985781991</v>
      </c>
      <c r="BH720" s="151">
        <f t="shared" si="89"/>
        <v>7018</v>
      </c>
      <c r="BI720" s="151">
        <v>7000</v>
      </c>
      <c r="BJ720" s="135" t="s">
        <v>144</v>
      </c>
      <c r="BK720" s="135"/>
      <c r="BL720" s="135"/>
      <c r="BM720" s="144" t="s">
        <v>3592</v>
      </c>
      <c r="BN720" s="153">
        <f t="shared" ref="BN720:BN726" si="94">(IF(R720=0,IF(H720&lt;&gt;0,YEAR(H720),""),""))</f>
        <v>2024</v>
      </c>
      <c r="BO720" s="144" t="s">
        <v>143</v>
      </c>
      <c r="BP720" s="135"/>
      <c r="BQ720" s="203"/>
    </row>
    <row r="721" spans="1:69" ht="41.1" customHeight="1">
      <c r="A721" s="219" t="s">
        <v>1705</v>
      </c>
      <c r="B721" s="219" t="s">
        <v>3183</v>
      </c>
      <c r="C721" s="143">
        <f ca="1">IF(W721="Très modeste",1000,IF(W721="Modeste",1000,IF(W721="Intermédiaire",600,IF(W721="Supérieur",600,"Non calculé"))))</f>
        <v>600</v>
      </c>
      <c r="D721" s="135">
        <v>45281</v>
      </c>
      <c r="E721" s="135">
        <v>45282</v>
      </c>
      <c r="F721" s="135" t="s">
        <v>76</v>
      </c>
      <c r="G721" s="135" t="s">
        <v>76</v>
      </c>
      <c r="H721" s="135">
        <v>45296</v>
      </c>
      <c r="I721" s="135">
        <v>45296</v>
      </c>
      <c r="J721" s="135">
        <v>45328</v>
      </c>
      <c r="K721" s="135"/>
      <c r="L721" s="135"/>
      <c r="M721" s="135"/>
      <c r="N721" s="135"/>
      <c r="O721" s="135"/>
      <c r="P721" s="135"/>
      <c r="Q721" s="135"/>
      <c r="R721" s="135"/>
      <c r="S721" s="135"/>
      <c r="T721" s="135"/>
      <c r="U721" s="144">
        <v>4</v>
      </c>
      <c r="V721" s="143">
        <v>55397</v>
      </c>
      <c r="W721" s="143" t="str">
        <f ca="1">IF(H721="",IF(D721="","",IF(U721+V721&lt;15,"Données Nb pers ou RFR manquantes",IF(COUNTA(INDIRECT("TabRFR["&amp;YEAR(D721)&amp;"]"))&lt;&gt;COUNTA(TabRFR[Recherche RFR]),"Data RFR manquantes", IF(V721&lt;=INDEX(TabRFR[[2023]:[2025]],MATCH(BD!U721&amp;"-Très modestes",TabRFR[Recherche RFR],0),MATCH(TEXT(YEAR(BD!D721),"Standard"),TabRFR[[#Headers],[2023]:[2025]],0)),"Très Modeste",IF(V721&lt;=INDEX(TabRFR[[2023]:[2025]],MATCH(BD!U721&amp;"-modestes",TabRFR[Recherche RFR],0),MATCH(TEXT(YEAR(BD!D721),"Standard"),TabRFR[[#Headers],[2023]:[2025]],0)),"Modeste",IF(V721&lt;=INDEX(TabRFR[[2023]:[2025]],MATCH(BD!U721&amp;"-Intermédiaire",TabRFR[Recherche RFR],0),MATCH(TEXT(YEAR(BD!D721),"Standard"),TabRFR[[#Headers],[2023]:[2025]],0)),"Intermédiaire","Supérieur")))))),IF(D721="","",IF(U721+V721&lt;15,"Données Nb pers ou RFR manquantes",IF(COUNTA(INDIRECT("TabRFR["&amp;YEAR(H721)&amp;"]"))&lt;&gt;COUNTA(TabRFR[Recherche RFR]),"Data RFR manquantes", IF(V721&lt;=INDEX(TabRFR[[2023]:[2025]],MATCH(BD!U721&amp;"-Très modestes",TabRFR[Recherche RFR],0),MATCH(TEXT(YEAR(BD!H721),"Standard"),TabRFR[[#Headers],[2023]:[2025]],0)),"Très Modeste",IF(V721&lt;=INDEX(TabRFR[[2023]:[2025]],MATCH(BD!U721&amp;"-modestes",TabRFR[Recherche RFR],0),MATCH(TEXT(YEAR(BD!H721),"Standard"),TabRFR[[#Headers],[2023]:[2025]],0)),"Modeste",IF(V721&lt;=INDEX(TabRFR[[2023]:[2025]],MATCH(BD!U721&amp;"-Intermédiaire",TabRFR[Recherche RFR],0),MATCH(TEXT(YEAR(BD!H721),"Standard"),TabRFR[[#Headers],[2023]:[2025]],0)),"Intermédiaire","Supérieur")))))))</f>
        <v>Intermédiaire</v>
      </c>
      <c r="X721" s="144"/>
      <c r="Y721" s="135" t="s">
        <v>3366</v>
      </c>
      <c r="Z721" s="144">
        <v>38430</v>
      </c>
      <c r="AA721" s="135" t="s">
        <v>351</v>
      </c>
      <c r="AB721" s="148"/>
      <c r="AC721" s="202"/>
      <c r="AD721" s="135" t="s">
        <v>91</v>
      </c>
      <c r="AE721" s="135"/>
      <c r="AF721" s="135"/>
      <c r="AG721" s="135"/>
      <c r="AH721" s="135"/>
      <c r="AI721" s="135" t="s">
        <v>160</v>
      </c>
      <c r="AJ721" s="135" t="s">
        <v>161</v>
      </c>
      <c r="AK721" s="135" t="s">
        <v>2238</v>
      </c>
      <c r="AL721" s="150" t="s">
        <v>228</v>
      </c>
      <c r="AM721" s="135" t="s">
        <v>2239</v>
      </c>
      <c r="AN721" s="135" t="s">
        <v>76</v>
      </c>
      <c r="AO721" s="150" t="s">
        <v>102</v>
      </c>
      <c r="AP721" s="135">
        <v>45372</v>
      </c>
      <c r="AQ721" s="135" t="s">
        <v>3496</v>
      </c>
      <c r="AR721" s="153">
        <v>1993</v>
      </c>
      <c r="AS721" s="143" t="s">
        <v>3413</v>
      </c>
      <c r="AT721" s="135" t="s">
        <v>3446</v>
      </c>
      <c r="AU721" s="135" t="s">
        <v>2467</v>
      </c>
      <c r="AV721" s="135" t="s">
        <v>1431</v>
      </c>
      <c r="AW721" s="135"/>
      <c r="AX721" s="135"/>
      <c r="AY721" s="135"/>
      <c r="AZ721" s="135"/>
      <c r="BA721" s="135" t="s">
        <v>101</v>
      </c>
      <c r="BB721" s="135"/>
      <c r="BC721" s="151">
        <f>6343+1043+1895</f>
        <v>9281</v>
      </c>
      <c r="BD721" s="135"/>
      <c r="BE721" s="151">
        <v>1744</v>
      </c>
      <c r="BF721" s="151">
        <f>BC721+BE721</f>
        <v>11025</v>
      </c>
      <c r="BG721" s="151">
        <f t="shared" si="88"/>
        <v>606.375</v>
      </c>
      <c r="BH721" s="151">
        <f t="shared" si="89"/>
        <v>11631.375</v>
      </c>
      <c r="BI721" s="135"/>
      <c r="BJ721" s="135" t="s">
        <v>144</v>
      </c>
      <c r="BK721" s="135"/>
      <c r="BL721" s="135"/>
      <c r="BM721" s="144" t="s">
        <v>3592</v>
      </c>
      <c r="BN721" s="153">
        <f t="shared" si="94"/>
        <v>2024</v>
      </c>
      <c r="BO721" s="135" t="s">
        <v>143</v>
      </c>
      <c r="BP721" s="135"/>
      <c r="BQ721" s="203"/>
    </row>
    <row r="722" spans="1:69" ht="41.1" customHeight="1">
      <c r="A722" s="219" t="s">
        <v>1705</v>
      </c>
      <c r="B722" s="219" t="s">
        <v>3184</v>
      </c>
      <c r="C722" s="143">
        <f ca="1">IF(W722="Très modeste",1000,IF(W722="Modeste",1000,IF(W722="Intermédiaire",600,IF(W722="Supérieur",600,"Non calculé"))))</f>
        <v>1000</v>
      </c>
      <c r="D722" s="135">
        <v>45282</v>
      </c>
      <c r="E722" s="135">
        <v>45293</v>
      </c>
      <c r="F722" s="135" t="s">
        <v>76</v>
      </c>
      <c r="G722" s="135" t="s">
        <v>76</v>
      </c>
      <c r="H722" s="135">
        <v>45296</v>
      </c>
      <c r="I722" s="135">
        <v>45296</v>
      </c>
      <c r="J722" s="135">
        <v>45328</v>
      </c>
      <c r="K722" s="135"/>
      <c r="L722" s="135"/>
      <c r="M722" s="135"/>
      <c r="N722" s="135"/>
      <c r="O722" s="135"/>
      <c r="P722" s="135"/>
      <c r="Q722" s="135"/>
      <c r="R722" s="135"/>
      <c r="S722" s="135"/>
      <c r="T722" s="135"/>
      <c r="U722" s="144">
        <v>1</v>
      </c>
      <c r="V722" s="143">
        <v>21368</v>
      </c>
      <c r="W722" s="143" t="str">
        <f ca="1">IF(H722="",IF(D722="","",IF(U722+V722&lt;15,"Données Nb pers ou RFR manquantes",IF(COUNTA(INDIRECT("TabRFR["&amp;YEAR(D722)&amp;"]"))&lt;&gt;COUNTA(TabRFR[Recherche RFR]),"Data RFR manquantes", IF(V722&lt;=INDEX(TabRFR[[2023]:[2025]],MATCH(BD!U722&amp;"-Très modestes",TabRFR[Recherche RFR],0),MATCH(TEXT(YEAR(BD!D722),"Standard"),TabRFR[[#Headers],[2023]:[2025]],0)),"Très Modeste",IF(V722&lt;=INDEX(TabRFR[[2023]:[2025]],MATCH(BD!U722&amp;"-modestes",TabRFR[Recherche RFR],0),MATCH(TEXT(YEAR(BD!D722),"Standard"),TabRFR[[#Headers],[2023]:[2025]],0)),"Modeste",IF(V722&lt;=INDEX(TabRFR[[2023]:[2025]],MATCH(BD!U722&amp;"-Intermédiaire",TabRFR[Recherche RFR],0),MATCH(TEXT(YEAR(BD!D722),"Standard"),TabRFR[[#Headers],[2023]:[2025]],0)),"Intermédiaire","Supérieur")))))),IF(D722="","",IF(U722+V722&lt;15,"Données Nb pers ou RFR manquantes",IF(COUNTA(INDIRECT("TabRFR["&amp;YEAR(H722)&amp;"]"))&lt;&gt;COUNTA(TabRFR[Recherche RFR]),"Data RFR manquantes", IF(V722&lt;=INDEX(TabRFR[[2023]:[2025]],MATCH(BD!U722&amp;"-Très modestes",TabRFR[Recherche RFR],0),MATCH(TEXT(YEAR(BD!H722),"Standard"),TabRFR[[#Headers],[2023]:[2025]],0)),"Très Modeste",IF(V722&lt;=INDEX(TabRFR[[2023]:[2025]],MATCH(BD!U722&amp;"-modestes",TabRFR[Recherche RFR],0),MATCH(TEXT(YEAR(BD!H722),"Standard"),TabRFR[[#Headers],[2023]:[2025]],0)),"Modeste",IF(V722&lt;=INDEX(TabRFR[[2023]:[2025]],MATCH(BD!U722&amp;"-Intermédiaire",TabRFR[Recherche RFR],0),MATCH(TEXT(YEAR(BD!H722),"Standard"),TabRFR[[#Headers],[2023]:[2025]],0)),"Intermédiaire","Supérieur")))))))</f>
        <v>Modeste</v>
      </c>
      <c r="X722" s="144"/>
      <c r="Y722" s="135" t="s">
        <v>3367</v>
      </c>
      <c r="Z722" s="144">
        <v>38620</v>
      </c>
      <c r="AA722" s="135" t="s">
        <v>90</v>
      </c>
      <c r="AB722" s="148"/>
      <c r="AC722" s="202"/>
      <c r="AD722" s="135" t="s">
        <v>91</v>
      </c>
      <c r="AE722" s="135"/>
      <c r="AF722" s="135"/>
      <c r="AG722" s="135"/>
      <c r="AH722" s="135"/>
      <c r="AI722" s="135" t="s">
        <v>905</v>
      </c>
      <c r="AJ722" s="135" t="s">
        <v>136</v>
      </c>
      <c r="AK722" s="135" t="s">
        <v>1897</v>
      </c>
      <c r="AL722" s="169" t="s">
        <v>2794</v>
      </c>
      <c r="AM722" s="148">
        <v>660022505</v>
      </c>
      <c r="AN722" s="135" t="s">
        <v>76</v>
      </c>
      <c r="AO722" s="193">
        <f>AO700</f>
        <v>0</v>
      </c>
      <c r="AP722" s="135">
        <v>45399</v>
      </c>
      <c r="AQ722" s="135" t="s">
        <v>3496</v>
      </c>
      <c r="AR722" s="153">
        <v>1995</v>
      </c>
      <c r="AS722" s="143" t="s">
        <v>3413</v>
      </c>
      <c r="AT722" s="135" t="s">
        <v>3446</v>
      </c>
      <c r="AU722" s="135" t="s">
        <v>2060</v>
      </c>
      <c r="AV722" s="135" t="s">
        <v>612</v>
      </c>
      <c r="AW722" s="135"/>
      <c r="AX722" s="135"/>
      <c r="AY722" s="135"/>
      <c r="AZ722" s="135"/>
      <c r="BA722" s="135" t="s">
        <v>101</v>
      </c>
      <c r="BB722" s="135"/>
      <c r="BC722" s="151">
        <f>3013.27+418+261+178</f>
        <v>3870.27</v>
      </c>
      <c r="BD722" s="135"/>
      <c r="BE722" s="151">
        <v>1245</v>
      </c>
      <c r="BF722" s="151">
        <f>BC722+BE722-603.42</f>
        <v>4511.8500000000004</v>
      </c>
      <c r="BG722" s="151">
        <f t="shared" si="88"/>
        <v>248.15175000000002</v>
      </c>
      <c r="BH722" s="151">
        <f t="shared" si="89"/>
        <v>4760.0017500000004</v>
      </c>
      <c r="BI722" s="135"/>
      <c r="BJ722" s="135" t="s">
        <v>144</v>
      </c>
      <c r="BK722" s="135"/>
      <c r="BL722" s="135"/>
      <c r="BM722" s="144" t="s">
        <v>3592</v>
      </c>
      <c r="BN722" s="153">
        <f t="shared" si="94"/>
        <v>2024</v>
      </c>
      <c r="BO722" s="135" t="s">
        <v>155</v>
      </c>
      <c r="BP722" s="135"/>
      <c r="BQ722" s="203"/>
    </row>
    <row r="723" spans="1:69" ht="41.1" customHeight="1">
      <c r="A723" s="218" t="s">
        <v>1705</v>
      </c>
      <c r="B723" s="218" t="s">
        <v>3185</v>
      </c>
      <c r="C723" s="143">
        <v>1100</v>
      </c>
      <c r="D723" s="135">
        <v>45286</v>
      </c>
      <c r="E723" s="135">
        <v>45293</v>
      </c>
      <c r="F723" s="135">
        <v>45296</v>
      </c>
      <c r="G723" s="135" t="s">
        <v>3374</v>
      </c>
      <c r="H723" s="135">
        <v>45296</v>
      </c>
      <c r="I723" s="135">
        <v>45296</v>
      </c>
      <c r="J723" s="135">
        <v>45328</v>
      </c>
      <c r="K723" s="135">
        <v>45338</v>
      </c>
      <c r="L723" s="135">
        <v>45337</v>
      </c>
      <c r="M723" s="135" t="s">
        <v>76</v>
      </c>
      <c r="N723" s="135">
        <v>45344</v>
      </c>
      <c r="O723" s="135">
        <v>45344</v>
      </c>
      <c r="P723" s="135">
        <v>45324</v>
      </c>
      <c r="Q723" s="135"/>
      <c r="R723" s="135"/>
      <c r="S723" s="135"/>
      <c r="T723" s="135"/>
      <c r="U723" s="144">
        <v>2</v>
      </c>
      <c r="V723" s="143">
        <v>88211</v>
      </c>
      <c r="W723" s="143" t="str">
        <f ca="1">IF(H723="",IF(D723="","",IF(U723+V723&lt;15,"Données Nb pers ou RFR manquantes",IF(COUNTA(INDIRECT("TabRFR["&amp;YEAR(D723)&amp;"]"))&lt;&gt;COUNTA(TabRFR[Recherche RFR]),"Data RFR manquantes", IF(V723&lt;=INDEX(TabRFR[[2023]:[2025]],MATCH(BD!U723&amp;"-Très modestes",TabRFR[Recherche RFR],0),MATCH(TEXT(YEAR(BD!D723),"Standard"),TabRFR[[#Headers],[2023]:[2025]],0)),"Très Modeste",IF(V723&lt;=INDEX(TabRFR[[2023]:[2025]],MATCH(BD!U723&amp;"-modestes",TabRFR[Recherche RFR],0),MATCH(TEXT(YEAR(BD!D723),"Standard"),TabRFR[[#Headers],[2023]:[2025]],0)),"Modeste",IF(V723&lt;=INDEX(TabRFR[[2023]:[2025]],MATCH(BD!U723&amp;"-Intermédiaire",TabRFR[Recherche RFR],0),MATCH(TEXT(YEAR(BD!D723),"Standard"),TabRFR[[#Headers],[2023]:[2025]],0)),"Intermédiaire","Supérieur")))))),IF(D723="","",IF(U723+V723&lt;15,"Données Nb pers ou RFR manquantes",IF(COUNTA(INDIRECT("TabRFR["&amp;YEAR(H723)&amp;"]"))&lt;&gt;COUNTA(TabRFR[Recherche RFR]),"Data RFR manquantes", IF(V723&lt;=INDEX(TabRFR[[2023]:[2025]],MATCH(BD!U723&amp;"-Très modestes",TabRFR[Recherche RFR],0),MATCH(TEXT(YEAR(BD!H723),"Standard"),TabRFR[[#Headers],[2023]:[2025]],0)),"Très Modeste",IF(V723&lt;=INDEX(TabRFR[[2023]:[2025]],MATCH(BD!U723&amp;"-modestes",TabRFR[Recherche RFR],0),MATCH(TEXT(YEAR(BD!H723),"Standard"),TabRFR[[#Headers],[2023]:[2025]],0)),"Modeste",IF(V723&lt;=INDEX(TabRFR[[2023]:[2025]],MATCH(BD!U723&amp;"-Intermédiaire",TabRFR[Recherche RFR],0),MATCH(TEXT(YEAR(BD!H723),"Standard"),TabRFR[[#Headers],[2023]:[2025]],0)),"Intermédiaire","Supérieur")))))))</f>
        <v>Supérieur</v>
      </c>
      <c r="X723" s="144"/>
      <c r="Y723" s="135" t="s">
        <v>3368</v>
      </c>
      <c r="Z723" s="144">
        <v>38500</v>
      </c>
      <c r="AA723" s="135" t="s">
        <v>134</v>
      </c>
      <c r="AB723" s="148"/>
      <c r="AC723" s="202"/>
      <c r="AD723" s="135" t="s">
        <v>91</v>
      </c>
      <c r="AE723" s="135"/>
      <c r="AF723" s="135"/>
      <c r="AG723" s="135"/>
      <c r="AH723" s="135"/>
      <c r="AI723" s="135" t="s">
        <v>120</v>
      </c>
      <c r="AJ723" s="135" t="s">
        <v>121</v>
      </c>
      <c r="AK723" s="135" t="s">
        <v>2232</v>
      </c>
      <c r="AL723" s="150" t="s">
        <v>123</v>
      </c>
      <c r="AM723" s="135" t="s">
        <v>1469</v>
      </c>
      <c r="AN723" s="135" t="s">
        <v>2233</v>
      </c>
      <c r="AO723" s="193" t="s">
        <v>102</v>
      </c>
      <c r="AP723" s="135">
        <v>45513</v>
      </c>
      <c r="AQ723" s="135" t="s">
        <v>3449</v>
      </c>
      <c r="AR723" s="153">
        <v>1990</v>
      </c>
      <c r="AS723" s="143" t="s">
        <v>3413</v>
      </c>
      <c r="AT723" s="135" t="s">
        <v>98</v>
      </c>
      <c r="AU723" s="135" t="s">
        <v>1541</v>
      </c>
      <c r="AV723" s="135" t="s">
        <v>3373</v>
      </c>
      <c r="AW723" s="135"/>
      <c r="AX723" s="135"/>
      <c r="AY723" s="135"/>
      <c r="AZ723" s="135"/>
      <c r="BA723" s="135" t="s">
        <v>101</v>
      </c>
      <c r="BB723" s="135" t="s">
        <v>76</v>
      </c>
      <c r="BC723" s="151">
        <f>(4345+845+300+380)/1.055</f>
        <v>5563.9810426540289</v>
      </c>
      <c r="BD723" s="135" t="s">
        <v>76</v>
      </c>
      <c r="BE723" s="151">
        <f>(850+150)/1.055</f>
        <v>947.8672985781991</v>
      </c>
      <c r="BF723" s="151">
        <f>BC723+BE723</f>
        <v>6511.8483412322275</v>
      </c>
      <c r="BG723" s="151">
        <f t="shared" si="88"/>
        <v>358.15165876777252</v>
      </c>
      <c r="BH723" s="151">
        <f t="shared" si="89"/>
        <v>6870</v>
      </c>
      <c r="BI723" s="151">
        <v>6800</v>
      </c>
      <c r="BJ723" s="135" t="s">
        <v>144</v>
      </c>
      <c r="BK723" s="135"/>
      <c r="BL723" s="135"/>
      <c r="BM723" s="144" t="s">
        <v>3592</v>
      </c>
      <c r="BN723" s="153">
        <f t="shared" si="94"/>
        <v>2024</v>
      </c>
      <c r="BO723" s="135" t="s">
        <v>143</v>
      </c>
      <c r="BP723" s="143" t="s">
        <v>3583</v>
      </c>
      <c r="BQ723" s="203"/>
    </row>
    <row r="724" spans="1:69" ht="41.1" customHeight="1">
      <c r="A724" s="219" t="s">
        <v>1705</v>
      </c>
      <c r="B724" s="219" t="s">
        <v>3186</v>
      </c>
      <c r="C724" s="143">
        <f ca="1">IF(W724="Très modeste",1000,IF(W724="Modeste",1000,IF(W724="Intermédiaire",600,IF(W724="Supérieur",600,"Non calculé"))))</f>
        <v>1000</v>
      </c>
      <c r="D724" s="135">
        <v>45289</v>
      </c>
      <c r="E724" s="135">
        <v>45293</v>
      </c>
      <c r="F724" s="135">
        <v>45296</v>
      </c>
      <c r="G724" s="135" t="s">
        <v>3346</v>
      </c>
      <c r="H724" s="135">
        <v>45296</v>
      </c>
      <c r="I724" s="135">
        <v>45296</v>
      </c>
      <c r="J724" s="135">
        <v>45328</v>
      </c>
      <c r="K724" s="135">
        <v>45418</v>
      </c>
      <c r="L724" s="135">
        <v>45318</v>
      </c>
      <c r="M724" s="135" t="s">
        <v>76</v>
      </c>
      <c r="N724" s="135">
        <v>45429</v>
      </c>
      <c r="O724" s="135">
        <v>45429</v>
      </c>
      <c r="P724" s="135"/>
      <c r="Q724" s="135"/>
      <c r="R724" s="135"/>
      <c r="S724" s="135"/>
      <c r="T724" s="135"/>
      <c r="U724" s="144">
        <v>5</v>
      </c>
      <c r="V724" s="143">
        <v>35903</v>
      </c>
      <c r="W724" s="143" t="str">
        <f ca="1">IF(H724="",IF(D724="","",IF(U724+V724&lt;15,"Données Nb pers ou RFR manquantes",IF(COUNTA(INDIRECT("TabRFR["&amp;YEAR(D724)&amp;"]"))&lt;&gt;COUNTA(TabRFR[Recherche RFR]),"Data RFR manquantes", IF(V724&lt;=INDEX(TabRFR[[2023]:[2025]],MATCH(BD!U724&amp;"-Très modestes",TabRFR[Recherche RFR],0),MATCH(TEXT(YEAR(BD!D724),"Standard"),TabRFR[[#Headers],[2023]:[2025]],0)),"Très Modeste",IF(V724&lt;=INDEX(TabRFR[[2023]:[2025]],MATCH(BD!U724&amp;"-modestes",TabRFR[Recherche RFR],0),MATCH(TEXT(YEAR(BD!D724),"Standard"),TabRFR[[#Headers],[2023]:[2025]],0)),"Modeste",IF(V724&lt;=INDEX(TabRFR[[2023]:[2025]],MATCH(BD!U724&amp;"-Intermédiaire",TabRFR[Recherche RFR],0),MATCH(TEXT(YEAR(BD!D724),"Standard"),TabRFR[[#Headers],[2023]:[2025]],0)),"Intermédiaire","Supérieur")))))),IF(D724="","",IF(U724+V724&lt;15,"Données Nb pers ou RFR manquantes",IF(COUNTA(INDIRECT("TabRFR["&amp;YEAR(H724)&amp;"]"))&lt;&gt;COUNTA(TabRFR[Recherche RFR]),"Data RFR manquantes", IF(V724&lt;=INDEX(TabRFR[[2023]:[2025]],MATCH(BD!U724&amp;"-Très modestes",TabRFR[Recherche RFR],0),MATCH(TEXT(YEAR(BD!H724),"Standard"),TabRFR[[#Headers],[2023]:[2025]],0)),"Très Modeste",IF(V724&lt;=INDEX(TabRFR[[2023]:[2025]],MATCH(BD!U724&amp;"-modestes",TabRFR[Recherche RFR],0),MATCH(TEXT(YEAR(BD!H724),"Standard"),TabRFR[[#Headers],[2023]:[2025]],0)),"Modeste",IF(V724&lt;=INDEX(TabRFR[[2023]:[2025]],MATCH(BD!U724&amp;"-Intermédiaire",TabRFR[Recherche RFR],0),MATCH(TEXT(YEAR(BD!H724),"Standard"),TabRFR[[#Headers],[2023]:[2025]],0)),"Intermédiaire","Supérieur")))))))</f>
        <v>Très Modeste</v>
      </c>
      <c r="X724" s="144"/>
      <c r="Y724" s="135" t="s">
        <v>3369</v>
      </c>
      <c r="Z724" s="144">
        <v>38620</v>
      </c>
      <c r="AA724" s="135" t="s">
        <v>863</v>
      </c>
      <c r="AB724" s="148"/>
      <c r="AC724" s="202"/>
      <c r="AD724" s="135" t="s">
        <v>91</v>
      </c>
      <c r="AE724" s="135"/>
      <c r="AF724" s="135"/>
      <c r="AG724" s="135"/>
      <c r="AH724" s="135"/>
      <c r="AI724" s="143" t="s">
        <v>1106</v>
      </c>
      <c r="AJ724" s="135" t="s">
        <v>1075</v>
      </c>
      <c r="AK724" s="135" t="s">
        <v>2203</v>
      </c>
      <c r="AL724" s="169" t="s">
        <v>1108</v>
      </c>
      <c r="AM724" s="148" t="s">
        <v>2204</v>
      </c>
      <c r="AN724" s="135" t="s">
        <v>76</v>
      </c>
      <c r="AO724" s="193" t="s">
        <v>102</v>
      </c>
      <c r="AP724" s="135">
        <v>45462</v>
      </c>
      <c r="AQ724" s="135" t="s">
        <v>3496</v>
      </c>
      <c r="AR724" s="153">
        <v>1980</v>
      </c>
      <c r="AS724" s="143" t="s">
        <v>3413</v>
      </c>
      <c r="AT724" s="135" t="s">
        <v>3446</v>
      </c>
      <c r="AU724" s="135" t="s">
        <v>1878</v>
      </c>
      <c r="AV724" s="135" t="s">
        <v>1258</v>
      </c>
      <c r="AW724" s="135"/>
      <c r="AX724" s="135"/>
      <c r="AY724" s="135"/>
      <c r="AZ724" s="135"/>
      <c r="BA724" s="135" t="s">
        <v>101</v>
      </c>
      <c r="BB724" s="135"/>
      <c r="BC724" s="151">
        <f>2960+353.06+2212.95</f>
        <v>5526.01</v>
      </c>
      <c r="BD724" s="135"/>
      <c r="BE724" s="151">
        <v>500</v>
      </c>
      <c r="BF724" s="151">
        <f>BC724+BE724-378.38-150</f>
        <v>5497.63</v>
      </c>
      <c r="BG724" s="151">
        <f t="shared" si="88"/>
        <v>302.36965000000004</v>
      </c>
      <c r="BH724" s="151">
        <f t="shared" si="89"/>
        <v>5799.9996499999997</v>
      </c>
      <c r="BI724" s="151">
        <v>5800</v>
      </c>
      <c r="BJ724" s="135" t="s">
        <v>1391</v>
      </c>
      <c r="BK724" s="135"/>
      <c r="BL724" s="135"/>
      <c r="BM724" s="144" t="s">
        <v>3592</v>
      </c>
      <c r="BN724" s="153">
        <f t="shared" si="94"/>
        <v>2024</v>
      </c>
      <c r="BO724" s="135" t="s">
        <v>155</v>
      </c>
      <c r="BP724" s="135"/>
      <c r="BQ724" s="203"/>
    </row>
    <row r="725" spans="1:69" ht="41.1" customHeight="1">
      <c r="A725" s="218" t="s">
        <v>1705</v>
      </c>
      <c r="B725" s="218" t="s">
        <v>3187</v>
      </c>
      <c r="C725" s="143">
        <v>1500</v>
      </c>
      <c r="D725" s="135">
        <v>45293</v>
      </c>
      <c r="E725" s="135">
        <v>45293</v>
      </c>
      <c r="F725" s="135">
        <v>45296</v>
      </c>
      <c r="G725" s="135" t="s">
        <v>3376</v>
      </c>
      <c r="H725" s="135">
        <v>45310</v>
      </c>
      <c r="I725" s="135">
        <v>45310</v>
      </c>
      <c r="J725" s="135">
        <v>45328</v>
      </c>
      <c r="K725" s="135">
        <v>45346</v>
      </c>
      <c r="L725" s="135">
        <v>45339</v>
      </c>
      <c r="M725" s="135" t="s">
        <v>3513</v>
      </c>
      <c r="N725" s="135">
        <v>45358</v>
      </c>
      <c r="O725" s="135">
        <v>45358</v>
      </c>
      <c r="P725" s="135">
        <v>45359</v>
      </c>
      <c r="Q725" s="135"/>
      <c r="R725" s="135"/>
      <c r="S725" s="135"/>
      <c r="T725" s="135"/>
      <c r="U725" s="144">
        <v>1</v>
      </c>
      <c r="V725" s="143">
        <v>18457</v>
      </c>
      <c r="W725" s="143" t="str">
        <f ca="1">IF(H725="",IF(D725="","",IF(U725+V725&lt;15,"Données Nb pers ou RFR manquantes",IF(COUNTA(INDIRECT("TabRFR["&amp;YEAR(D725)&amp;"]"))&lt;&gt;COUNTA(TabRFR[Recherche RFR]),"Data RFR manquantes", IF(V725&lt;=INDEX(TabRFR[[2023]:[2025]],MATCH(BD!U725&amp;"-Très modestes",TabRFR[Recherche RFR],0),MATCH(TEXT(YEAR(BD!D725),"Standard"),TabRFR[[#Headers],[2023]:[2025]],0)),"Très Modeste",IF(V725&lt;=INDEX(TabRFR[[2023]:[2025]],MATCH(BD!U725&amp;"-modestes",TabRFR[Recherche RFR],0),MATCH(TEXT(YEAR(BD!D725),"Standard"),TabRFR[[#Headers],[2023]:[2025]],0)),"Modeste",IF(V725&lt;=INDEX(TabRFR[[2023]:[2025]],MATCH(BD!U725&amp;"-Intermédiaire",TabRFR[Recherche RFR],0),MATCH(TEXT(YEAR(BD!D725),"Standard"),TabRFR[[#Headers],[2023]:[2025]],0)),"Intermédiaire","Supérieur")))))),IF(D725="","",IF(U725+V725&lt;15,"Données Nb pers ou RFR manquantes",IF(COUNTA(INDIRECT("TabRFR["&amp;YEAR(H725)&amp;"]"))&lt;&gt;COUNTA(TabRFR[Recherche RFR]),"Data RFR manquantes", IF(V725&lt;=INDEX(TabRFR[[2023]:[2025]],MATCH(BD!U725&amp;"-Très modestes",TabRFR[Recherche RFR],0),MATCH(TEXT(YEAR(BD!H725),"Standard"),TabRFR[[#Headers],[2023]:[2025]],0)),"Très Modeste",IF(V725&lt;=INDEX(TabRFR[[2023]:[2025]],MATCH(BD!U725&amp;"-modestes",TabRFR[Recherche RFR],0),MATCH(TEXT(YEAR(BD!H725),"Standard"),TabRFR[[#Headers],[2023]:[2025]],0)),"Modeste",IF(V725&lt;=INDEX(TabRFR[[2023]:[2025]],MATCH(BD!U725&amp;"-Intermédiaire",TabRFR[Recherche RFR],0),MATCH(TEXT(YEAR(BD!H725),"Standard"),TabRFR[[#Headers],[2023]:[2025]],0)),"Intermédiaire","Supérieur")))))))</f>
        <v>Modeste</v>
      </c>
      <c r="X725" s="144"/>
      <c r="Y725" s="135" t="s">
        <v>3370</v>
      </c>
      <c r="Z725" s="144">
        <v>38210</v>
      </c>
      <c r="AA725" s="135" t="s">
        <v>202</v>
      </c>
      <c r="AB725" s="148"/>
      <c r="AC725" s="202"/>
      <c r="AD725" s="135" t="s">
        <v>91</v>
      </c>
      <c r="AE725" s="135"/>
      <c r="AF725" s="135"/>
      <c r="AG725" s="135"/>
      <c r="AH725" s="135"/>
      <c r="AI725" s="135" t="s">
        <v>169</v>
      </c>
      <c r="AJ725" s="135" t="s">
        <v>119</v>
      </c>
      <c r="AK725" s="135" t="s">
        <v>2192</v>
      </c>
      <c r="AL725" s="169" t="s">
        <v>171</v>
      </c>
      <c r="AM725" s="135" t="s">
        <v>1406</v>
      </c>
      <c r="AN725" s="135" t="str">
        <f>AN721</f>
        <v>-</v>
      </c>
      <c r="AO725" s="135" t="str">
        <f>AO721</f>
        <v>oui</v>
      </c>
      <c r="AP725" s="135">
        <v>45614</v>
      </c>
      <c r="AQ725" s="135" t="s">
        <v>3449</v>
      </c>
      <c r="AR725" s="153">
        <v>1982</v>
      </c>
      <c r="AS725" s="135" t="s">
        <v>3496</v>
      </c>
      <c r="AT725" s="135" t="s">
        <v>3446</v>
      </c>
      <c r="AU725" s="135" t="s">
        <v>2709</v>
      </c>
      <c r="AV725" s="135" t="s">
        <v>3375</v>
      </c>
      <c r="AW725" s="135"/>
      <c r="AX725" s="135"/>
      <c r="AY725" s="135"/>
      <c r="AZ725" s="135"/>
      <c r="BA725" s="135" t="s">
        <v>101</v>
      </c>
      <c r="BB725" s="135"/>
      <c r="BC725" s="151">
        <f>312.45+94.1+1001.4+195.6+298.35+72.36+741.6+203.7+98.3+609.8+382.94+465.75+395.6+2890+690.56+266.4+99.09+236</f>
        <v>9054</v>
      </c>
      <c r="BD725" s="135" t="s">
        <v>76</v>
      </c>
      <c r="BE725" s="151">
        <v>950</v>
      </c>
      <c r="BF725" s="151">
        <f>BC725+BE725</f>
        <v>10004</v>
      </c>
      <c r="BG725" s="151">
        <f t="shared" si="88"/>
        <v>550.22</v>
      </c>
      <c r="BH725" s="151">
        <f t="shared" si="89"/>
        <v>10554.22</v>
      </c>
      <c r="BI725" s="151">
        <v>10554.22</v>
      </c>
      <c r="BJ725" s="135" t="s">
        <v>1391</v>
      </c>
      <c r="BK725" s="135"/>
      <c r="BL725" s="135"/>
      <c r="BM725" s="144" t="s">
        <v>3592</v>
      </c>
      <c r="BN725" s="153">
        <f t="shared" si="94"/>
        <v>2024</v>
      </c>
      <c r="BO725" s="135" t="s">
        <v>155</v>
      </c>
      <c r="BP725" s="135"/>
      <c r="BQ725" s="203"/>
    </row>
    <row r="726" spans="1:69" ht="41.1" customHeight="1">
      <c r="A726" s="219" t="s">
        <v>1705</v>
      </c>
      <c r="B726" s="219" t="s">
        <v>3188</v>
      </c>
      <c r="C726" s="143">
        <v>1000</v>
      </c>
      <c r="D726" s="135">
        <v>45293</v>
      </c>
      <c r="E726" s="135">
        <v>45295</v>
      </c>
      <c r="F726" s="135">
        <v>45296</v>
      </c>
      <c r="G726" s="135" t="s">
        <v>3437</v>
      </c>
      <c r="H726" s="135">
        <v>45338</v>
      </c>
      <c r="I726" s="135">
        <v>45338</v>
      </c>
      <c r="J726" s="135">
        <v>45348</v>
      </c>
      <c r="K726" s="135"/>
      <c r="L726" s="135"/>
      <c r="M726" s="135"/>
      <c r="N726" s="135"/>
      <c r="O726" s="135"/>
      <c r="P726" s="135"/>
      <c r="Q726" s="135"/>
      <c r="R726" s="135"/>
      <c r="S726" s="135"/>
      <c r="T726" s="135"/>
      <c r="U726" s="144">
        <v>5</v>
      </c>
      <c r="V726" s="143">
        <v>50725</v>
      </c>
      <c r="W726" s="143" t="str">
        <f ca="1">IF(H726="",IF(D726="","",IF(U726+V726&lt;15,"Données Nb pers ou RFR manquantes",IF(COUNTA(INDIRECT("TabRFR["&amp;YEAR(D726)&amp;"]"))&lt;&gt;COUNTA(TabRFR[Recherche RFR]),"Data RFR manquantes", IF(V726&lt;=INDEX(TabRFR[[2023]:[2025]],MATCH(BD!U726&amp;"-Très modestes",TabRFR[Recherche RFR],0),MATCH(TEXT(YEAR(BD!D726),"Standard"),TabRFR[[#Headers],[2023]:[2025]],0)),"Très Modeste",IF(V726&lt;=INDEX(TabRFR[[2023]:[2025]],MATCH(BD!U726&amp;"-modestes",TabRFR[Recherche RFR],0),MATCH(TEXT(YEAR(BD!D726),"Standard"),TabRFR[[#Headers],[2023]:[2025]],0)),"Modeste",IF(V726&lt;=INDEX(TabRFR[[2023]:[2025]],MATCH(BD!U726&amp;"-Intermédiaire",TabRFR[Recherche RFR],0),MATCH(TEXT(YEAR(BD!D726),"Standard"),TabRFR[[#Headers],[2023]:[2025]],0)),"Intermédiaire","Supérieur")))))),IF(D726="","",IF(U726+V726&lt;15,"Données Nb pers ou RFR manquantes",IF(COUNTA(INDIRECT("TabRFR["&amp;YEAR(H726)&amp;"]"))&lt;&gt;COUNTA(TabRFR[Recherche RFR]),"Data RFR manquantes", IF(V726&lt;=INDEX(TabRFR[[2023]:[2025]],MATCH(BD!U726&amp;"-Très modestes",TabRFR[Recherche RFR],0),MATCH(TEXT(YEAR(BD!H726),"Standard"),TabRFR[[#Headers],[2023]:[2025]],0)),"Très Modeste",IF(V726&lt;=INDEX(TabRFR[[2023]:[2025]],MATCH(BD!U726&amp;"-modestes",TabRFR[Recherche RFR],0),MATCH(TEXT(YEAR(BD!H726),"Standard"),TabRFR[[#Headers],[2023]:[2025]],0)),"Modeste",IF(V726&lt;=INDEX(TabRFR[[2023]:[2025]],MATCH(BD!U726&amp;"-Intermédiaire",TabRFR[Recherche RFR],0),MATCH(TEXT(YEAR(BD!H726),"Standard"),TabRFR[[#Headers],[2023]:[2025]],0)),"Intermédiaire","Supérieur")))))))</f>
        <v>Modeste</v>
      </c>
      <c r="X726" s="144"/>
      <c r="Y726" s="135" t="s">
        <v>3371</v>
      </c>
      <c r="Z726" s="144">
        <v>38620</v>
      </c>
      <c r="AA726" s="135" t="s">
        <v>90</v>
      </c>
      <c r="AB726" s="148"/>
      <c r="AC726" s="202"/>
      <c r="AD726" s="135" t="s">
        <v>91</v>
      </c>
      <c r="AE726" s="135"/>
      <c r="AF726" s="135"/>
      <c r="AG726" s="135"/>
      <c r="AH726" s="135"/>
      <c r="AI726" s="135" t="s">
        <v>2616</v>
      </c>
      <c r="AJ726" s="135" t="s">
        <v>720</v>
      </c>
      <c r="AK726" s="135" t="s">
        <v>2617</v>
      </c>
      <c r="AL726" s="169" t="s">
        <v>3377</v>
      </c>
      <c r="AM726" s="148">
        <v>476333850</v>
      </c>
      <c r="AN726" s="135" t="s">
        <v>76</v>
      </c>
      <c r="AO726" s="150">
        <f>AO700</f>
        <v>0</v>
      </c>
      <c r="AP726" s="135">
        <v>45107</v>
      </c>
      <c r="AQ726" s="135" t="s">
        <v>3496</v>
      </c>
      <c r="AR726" s="153">
        <v>1996</v>
      </c>
      <c r="AS726" s="143" t="s">
        <v>3413</v>
      </c>
      <c r="AT726" s="135" t="s">
        <v>3446</v>
      </c>
      <c r="AU726" s="135" t="s">
        <v>587</v>
      </c>
      <c r="AV726" s="135" t="s">
        <v>3378</v>
      </c>
      <c r="AW726" s="135"/>
      <c r="AX726" s="135"/>
      <c r="AY726" s="135"/>
      <c r="AZ726" s="135"/>
      <c r="BA726" s="135" t="s">
        <v>101</v>
      </c>
      <c r="BB726" s="135"/>
      <c r="BC726" s="151">
        <f>2024+1188.78</f>
        <v>3212.7799999999997</v>
      </c>
      <c r="BD726" s="135"/>
      <c r="BE726" s="151">
        <f>2053+611</f>
        <v>2664</v>
      </c>
      <c r="BF726" s="151">
        <f>BC726+BE726</f>
        <v>5876.78</v>
      </c>
      <c r="BG726" s="151">
        <f t="shared" si="88"/>
        <v>323.22289999999998</v>
      </c>
      <c r="BH726" s="151">
        <f t="shared" si="89"/>
        <v>6200.0028999999995</v>
      </c>
      <c r="BI726" s="135"/>
      <c r="BJ726" s="135" t="s">
        <v>144</v>
      </c>
      <c r="BK726" s="135"/>
      <c r="BL726" s="135"/>
      <c r="BM726" s="144" t="s">
        <v>3592</v>
      </c>
      <c r="BN726" s="153">
        <f t="shared" si="94"/>
        <v>2024</v>
      </c>
      <c r="BO726" s="135" t="s">
        <v>155</v>
      </c>
      <c r="BP726" s="135"/>
      <c r="BQ726" s="203"/>
    </row>
    <row r="727" spans="1:69" ht="41.1" customHeight="1">
      <c r="A727" s="145" t="s">
        <v>1705</v>
      </c>
      <c r="B727" s="145" t="s">
        <v>3189</v>
      </c>
      <c r="C727" s="143" t="s">
        <v>76</v>
      </c>
      <c r="D727" s="135">
        <v>45293</v>
      </c>
      <c r="E727" s="135">
        <v>45295</v>
      </c>
      <c r="F727" s="135" t="s">
        <v>76</v>
      </c>
      <c r="G727" s="135" t="s">
        <v>76</v>
      </c>
      <c r="H727" s="135" t="s">
        <v>76</v>
      </c>
      <c r="I727" s="135" t="s">
        <v>76</v>
      </c>
      <c r="J727" s="135" t="s">
        <v>76</v>
      </c>
      <c r="K727" s="135" t="s">
        <v>76</v>
      </c>
      <c r="L727" s="135" t="s">
        <v>76</v>
      </c>
      <c r="M727" s="135" t="s">
        <v>76</v>
      </c>
      <c r="N727" s="135" t="s">
        <v>76</v>
      </c>
      <c r="O727" s="135" t="s">
        <v>76</v>
      </c>
      <c r="P727" s="135" t="s">
        <v>76</v>
      </c>
      <c r="Q727" s="135">
        <v>45308</v>
      </c>
      <c r="R727" s="135" t="s">
        <v>3385</v>
      </c>
      <c r="S727" s="135"/>
      <c r="T727" s="135"/>
      <c r="U727" s="144">
        <v>5</v>
      </c>
      <c r="V727" s="143">
        <v>75784</v>
      </c>
      <c r="W727" s="143" t="str">
        <f ca="1">IF(H727="",IF(D727="","",IF(U727+V727&lt;15,"Données Nb pers ou RFR manquantes",IF(COUNTA(INDIRECT("TabRFR["&amp;YEAR(D727)&amp;"]"))&lt;&gt;COUNTA(TabRFR[Recherche RFR]),"Data RFR manquantes", IF(V727&lt;=INDEX(TabRFR[[2023]:[2025]],MATCH(BD!U727&amp;"-Très modestes",TabRFR[Recherche RFR],0),MATCH(TEXT(YEAR(BD!D727),"Standard"),TabRFR[[#Headers],[2023]:[2025]],0)),"Très Modeste",IF(V727&lt;=INDEX(TabRFR[[2023]:[2025]],MATCH(BD!U727&amp;"-modestes",TabRFR[Recherche RFR],0),MATCH(TEXT(YEAR(BD!D727),"Standard"),TabRFR[[#Headers],[2023]:[2025]],0)),"Modeste",IF(V727&lt;=INDEX(TabRFR[[2023]:[2025]],MATCH(BD!U727&amp;"-Intermédiaire",TabRFR[Recherche RFR],0),MATCH(TEXT(YEAR(BD!D727),"Standard"),TabRFR[[#Headers],[2023]:[2025]],0)),"Intermédiaire","Supérieur")))))),IF(D727="","",IF(U727+V727&lt;15,"Données Nb pers ou RFR manquantes",IF(COUNTA(INDIRECT("TabRFR["&amp;YEAR(H727)&amp;"]"))&lt;&gt;COUNTA(TabRFR[Recherche RFR]),"Data RFR manquantes", IF(V727&lt;=INDEX(TabRFR[[2023]:[2025]],MATCH(BD!U727&amp;"-Très modestes",TabRFR[Recherche RFR],0),MATCH(TEXT(YEAR(BD!H727),"Standard"),TabRFR[[#Headers],[2023]:[2025]],0)),"Très Modeste",IF(V727&lt;=INDEX(TabRFR[[2023]:[2025]],MATCH(BD!U727&amp;"-modestes",TabRFR[Recherche RFR],0),MATCH(TEXT(YEAR(BD!H727),"Standard"),TabRFR[[#Headers],[2023]:[2025]],0)),"Modeste",IF(V727&lt;=INDEX(TabRFR[[2023]:[2025]],MATCH(BD!U727&amp;"-Intermédiaire",TabRFR[Recherche RFR],0),MATCH(TEXT(YEAR(BD!H727),"Standard"),TabRFR[[#Headers],[2023]:[2025]],0)),"Intermédiaire","Supérieur")))))))</f>
        <v>Data RFR manquantes</v>
      </c>
      <c r="X727" s="144"/>
      <c r="Y727" s="135" t="s">
        <v>245</v>
      </c>
      <c r="Z727" s="144">
        <v>38240</v>
      </c>
      <c r="AA727" s="135" t="s">
        <v>130</v>
      </c>
      <c r="AB727" s="148"/>
      <c r="AC727" s="202"/>
      <c r="AD727" s="135" t="s">
        <v>91</v>
      </c>
      <c r="AE727" s="135"/>
      <c r="AF727" s="135"/>
      <c r="AG727" s="135"/>
      <c r="AH727" s="135"/>
      <c r="AI727" s="135"/>
      <c r="AJ727" s="135"/>
      <c r="AK727" s="135"/>
      <c r="AL727" s="169"/>
      <c r="AM727" s="148"/>
      <c r="AN727" s="135"/>
      <c r="AO727" s="193"/>
      <c r="AP727" s="135"/>
      <c r="AQ727" s="135"/>
      <c r="AR727" s="153"/>
      <c r="AS727" s="135"/>
      <c r="AT727" s="135"/>
      <c r="AU727" s="135"/>
      <c r="AV727" s="135"/>
      <c r="AW727" s="135"/>
      <c r="AX727" s="135"/>
      <c r="AY727" s="135"/>
      <c r="AZ727" s="135"/>
      <c r="BA727" s="135"/>
      <c r="BB727" s="135"/>
      <c r="BC727" s="151"/>
      <c r="BD727" s="135"/>
      <c r="BE727" s="151"/>
      <c r="BF727" s="151"/>
      <c r="BG727" s="151"/>
      <c r="BH727" s="151"/>
      <c r="BI727" s="135"/>
      <c r="BJ727" s="135"/>
      <c r="BK727" s="135"/>
      <c r="BL727" s="135"/>
      <c r="BM727" s="144">
        <v>0</v>
      </c>
      <c r="BN727" s="153" t="s">
        <v>1496</v>
      </c>
      <c r="BO727" s="144" t="s">
        <v>103</v>
      </c>
      <c r="BP727" s="203" t="s">
        <v>3582</v>
      </c>
      <c r="BQ727" s="203" t="s">
        <v>3273</v>
      </c>
    </row>
    <row r="728" spans="1:69" ht="41.1" customHeight="1">
      <c r="A728" s="135" t="s">
        <v>1705</v>
      </c>
      <c r="B728" s="135" t="s">
        <v>3190</v>
      </c>
      <c r="C728" s="143">
        <v>1100</v>
      </c>
      <c r="D728" s="135">
        <v>45296</v>
      </c>
      <c r="E728" s="135" t="s">
        <v>76</v>
      </c>
      <c r="F728" s="135">
        <v>45302</v>
      </c>
      <c r="G728" s="135" t="s">
        <v>3420</v>
      </c>
      <c r="H728" s="135">
        <v>45322</v>
      </c>
      <c r="I728" s="135">
        <v>45322</v>
      </c>
      <c r="J728" s="135">
        <v>45336</v>
      </c>
      <c r="K728" s="135"/>
      <c r="L728" s="135"/>
      <c r="M728" s="135"/>
      <c r="N728" s="135"/>
      <c r="O728" s="135"/>
      <c r="P728" s="135"/>
      <c r="Q728" s="135"/>
      <c r="R728" s="135"/>
      <c r="S728" s="135"/>
      <c r="T728" s="135"/>
      <c r="U728" s="144">
        <v>2</v>
      </c>
      <c r="V728" s="143">
        <v>36812</v>
      </c>
      <c r="W728" s="143" t="str">
        <f ca="1">IF(H728="",IF(D728="","",IF(U728+V728&lt;15,"Données Nb pers ou RFR manquantes",IF(COUNTA(INDIRECT("TabRFR["&amp;YEAR(D728)&amp;"]"))&lt;&gt;COUNTA(TabRFR[Recherche RFR]),"Data RFR manquantes", IF(V728&lt;=INDEX(TabRFR[[2023]:[2025]],MATCH(BD!U728&amp;"-Très modestes",TabRFR[Recherche RFR],0),MATCH(TEXT(YEAR(BD!D728),"Standard"),TabRFR[[#Headers],[2023]:[2025]],0)),"Très Modeste",IF(V728&lt;=INDEX(TabRFR[[2023]:[2025]],MATCH(BD!U728&amp;"-modestes",TabRFR[Recherche RFR],0),MATCH(TEXT(YEAR(BD!D728),"Standard"),TabRFR[[#Headers],[2023]:[2025]],0)),"Modeste",IF(V728&lt;=INDEX(TabRFR[[2023]:[2025]],MATCH(BD!U728&amp;"-Intermédiaire",TabRFR[Recherche RFR],0),MATCH(TEXT(YEAR(BD!D728),"Standard"),TabRFR[[#Headers],[2023]:[2025]],0)),"Intermédiaire","Supérieur")))))),IF(D728="","",IF(U728+V728&lt;15,"Données Nb pers ou RFR manquantes",IF(COUNTA(INDIRECT("TabRFR["&amp;YEAR(H728)&amp;"]"))&lt;&gt;COUNTA(TabRFR[Recherche RFR]),"Data RFR manquantes", IF(V728&lt;=INDEX(TabRFR[[2023]:[2025]],MATCH(BD!U728&amp;"-Très modestes",TabRFR[Recherche RFR],0),MATCH(TEXT(YEAR(BD!H728),"Standard"),TabRFR[[#Headers],[2023]:[2025]],0)),"Très Modeste",IF(V728&lt;=INDEX(TabRFR[[2023]:[2025]],MATCH(BD!U728&amp;"-modestes",TabRFR[Recherche RFR],0),MATCH(TEXT(YEAR(BD!H728),"Standard"),TabRFR[[#Headers],[2023]:[2025]],0)),"Modeste",IF(V728&lt;=INDEX(TabRFR[[2023]:[2025]],MATCH(BD!U728&amp;"-Intermédiaire",TabRFR[Recherche RFR],0),MATCH(TEXT(YEAR(BD!H728),"Standard"),TabRFR[[#Headers],[2023]:[2025]],0)),"Intermédiaire","Supérieur")))))))</f>
        <v>Intermédiaire</v>
      </c>
      <c r="X728" s="144"/>
      <c r="Y728" s="135" t="s">
        <v>3379</v>
      </c>
      <c r="Z728" s="144">
        <v>38500</v>
      </c>
      <c r="AA728" s="135" t="s">
        <v>219</v>
      </c>
      <c r="AB728" s="148"/>
      <c r="AC728" s="202"/>
      <c r="AD728" s="135" t="s">
        <v>91</v>
      </c>
      <c r="AE728" s="135"/>
      <c r="AF728" s="135"/>
      <c r="AG728" s="135"/>
      <c r="AH728" s="135"/>
      <c r="AI728" s="135" t="s">
        <v>285</v>
      </c>
      <c r="AJ728" s="135" t="s">
        <v>108</v>
      </c>
      <c r="AK728" s="135" t="s">
        <v>2227</v>
      </c>
      <c r="AL728" s="169" t="s">
        <v>287</v>
      </c>
      <c r="AM728" s="148" t="s">
        <v>2184</v>
      </c>
      <c r="AN728" s="135" t="s">
        <v>76</v>
      </c>
      <c r="AO728" s="193" t="s">
        <v>102</v>
      </c>
      <c r="AP728" s="135">
        <v>45553</v>
      </c>
      <c r="AQ728" s="135" t="s">
        <v>3449</v>
      </c>
      <c r="AR728" s="153">
        <v>2000</v>
      </c>
      <c r="AS728" s="143" t="s">
        <v>3413</v>
      </c>
      <c r="AT728" s="135" t="s">
        <v>3446</v>
      </c>
      <c r="AU728" s="135" t="s">
        <v>469</v>
      </c>
      <c r="AV728" s="135" t="s">
        <v>470</v>
      </c>
      <c r="AW728" s="135"/>
      <c r="AX728" s="135"/>
      <c r="AY728" s="135"/>
      <c r="AZ728" s="135"/>
      <c r="BA728" s="135" t="s">
        <v>101</v>
      </c>
      <c r="BB728" s="135"/>
      <c r="BC728" s="151">
        <f>506+3153+190+1</f>
        <v>3850</v>
      </c>
      <c r="BD728" s="135"/>
      <c r="BE728" s="151">
        <v>490</v>
      </c>
      <c r="BF728" s="151">
        <f>BC728+BE728</f>
        <v>4340</v>
      </c>
      <c r="BG728" s="151">
        <f t="shared" ref="BG728:BG739" si="95">BF728*0.055</f>
        <v>238.7</v>
      </c>
      <c r="BH728" s="151">
        <f t="shared" ref="BH728:BH768" si="96">BF728+BG728</f>
        <v>4578.7</v>
      </c>
      <c r="BI728" s="135"/>
      <c r="BJ728" s="135" t="s">
        <v>144</v>
      </c>
      <c r="BK728" s="135"/>
      <c r="BL728" s="135"/>
      <c r="BM728" s="144" t="s">
        <v>3592</v>
      </c>
      <c r="BN728" s="153">
        <f t="shared" ref="BN728:BN753" si="97">(IF(R728=0,IF(H728&lt;&gt;0,YEAR(H728),""),""))</f>
        <v>2024</v>
      </c>
      <c r="BO728" s="144" t="s">
        <v>143</v>
      </c>
      <c r="BP728" s="135"/>
      <c r="BQ728" s="203"/>
    </row>
    <row r="729" spans="1:69" ht="41.1" customHeight="1">
      <c r="A729" s="135" t="s">
        <v>1705</v>
      </c>
      <c r="B729" s="135" t="s">
        <v>3191</v>
      </c>
      <c r="C729" s="143">
        <v>1000</v>
      </c>
      <c r="D729" s="135">
        <v>45296</v>
      </c>
      <c r="E729" s="135" t="s">
        <v>76</v>
      </c>
      <c r="F729" s="135">
        <v>45302</v>
      </c>
      <c r="G729" s="135" t="s">
        <v>3381</v>
      </c>
      <c r="H729" s="135">
        <v>45307</v>
      </c>
      <c r="I729" s="135">
        <v>45307</v>
      </c>
      <c r="J729" s="135">
        <v>45328</v>
      </c>
      <c r="K729" s="135"/>
      <c r="L729" s="135"/>
      <c r="M729" s="135"/>
      <c r="N729" s="135"/>
      <c r="O729" s="135"/>
      <c r="P729" s="135"/>
      <c r="Q729" s="135"/>
      <c r="R729" s="135"/>
      <c r="S729" s="135"/>
      <c r="T729" s="135"/>
      <c r="U729" s="144">
        <v>4</v>
      </c>
      <c r="V729" s="143">
        <v>18216</v>
      </c>
      <c r="W729" s="143" t="str">
        <f ca="1">IF(H729="",IF(D729="","",IF(U729+V729&lt;15,"Données Nb pers ou RFR manquantes",IF(COUNTA(INDIRECT("TabRFR["&amp;YEAR(D729)&amp;"]"))&lt;&gt;COUNTA(TabRFR[Recherche RFR]),"Data RFR manquantes", IF(V729&lt;=INDEX(TabRFR[[2023]:[2025]],MATCH(BD!U729&amp;"-Très modestes",TabRFR[Recherche RFR],0),MATCH(TEXT(YEAR(BD!D729),"Standard"),TabRFR[[#Headers],[2023]:[2025]],0)),"Très Modeste",IF(V729&lt;=INDEX(TabRFR[[2023]:[2025]],MATCH(BD!U729&amp;"-modestes",TabRFR[Recherche RFR],0),MATCH(TEXT(YEAR(BD!D729),"Standard"),TabRFR[[#Headers],[2023]:[2025]],0)),"Modeste",IF(V729&lt;=INDEX(TabRFR[[2023]:[2025]],MATCH(BD!U729&amp;"-Intermédiaire",TabRFR[Recherche RFR],0),MATCH(TEXT(YEAR(BD!D729),"Standard"),TabRFR[[#Headers],[2023]:[2025]],0)),"Intermédiaire","Supérieur")))))),IF(D729="","",IF(U729+V729&lt;15,"Données Nb pers ou RFR manquantes",IF(COUNTA(INDIRECT("TabRFR["&amp;YEAR(H729)&amp;"]"))&lt;&gt;COUNTA(TabRFR[Recherche RFR]),"Data RFR manquantes", IF(V729&lt;=INDEX(TabRFR[[2023]:[2025]],MATCH(BD!U729&amp;"-Très modestes",TabRFR[Recherche RFR],0),MATCH(TEXT(YEAR(BD!H729),"Standard"),TabRFR[[#Headers],[2023]:[2025]],0)),"Très Modeste",IF(V729&lt;=INDEX(TabRFR[[2023]:[2025]],MATCH(BD!U729&amp;"-modestes",TabRFR[Recherche RFR],0),MATCH(TEXT(YEAR(BD!H729),"Standard"),TabRFR[[#Headers],[2023]:[2025]],0)),"Modeste",IF(V729&lt;=INDEX(TabRFR[[2023]:[2025]],MATCH(BD!U729&amp;"-Intermédiaire",TabRFR[Recherche RFR],0),MATCH(TEXT(YEAR(BD!H729),"Standard"),TabRFR[[#Headers],[2023]:[2025]],0)),"Intermédiaire","Supérieur")))))))</f>
        <v>Très Modeste</v>
      </c>
      <c r="X729" s="144"/>
      <c r="Y729" s="135" t="s">
        <v>3384</v>
      </c>
      <c r="Z729" s="144">
        <v>38850</v>
      </c>
      <c r="AA729" s="135" t="s">
        <v>193</v>
      </c>
      <c r="AB729" s="148"/>
      <c r="AC729" s="202"/>
      <c r="AD729" s="135" t="s">
        <v>91</v>
      </c>
      <c r="AE729" s="135"/>
      <c r="AF729" s="135"/>
      <c r="AG729" s="135"/>
      <c r="AH729" s="135"/>
      <c r="AI729" s="135" t="s">
        <v>160</v>
      </c>
      <c r="AJ729" s="135" t="s">
        <v>161</v>
      </c>
      <c r="AK729" s="135" t="s">
        <v>2238</v>
      </c>
      <c r="AL729" s="150" t="s">
        <v>228</v>
      </c>
      <c r="AM729" s="135" t="s">
        <v>2239</v>
      </c>
      <c r="AN729" s="135" t="s">
        <v>76</v>
      </c>
      <c r="AO729" s="150" t="s">
        <v>102</v>
      </c>
      <c r="AP729" s="135">
        <v>45372</v>
      </c>
      <c r="AQ729" s="135" t="s">
        <v>3496</v>
      </c>
      <c r="AR729" s="153">
        <v>2000</v>
      </c>
      <c r="AS729" s="143" t="s">
        <v>3413</v>
      </c>
      <c r="AT729" s="135" t="s">
        <v>3446</v>
      </c>
      <c r="AU729" s="135" t="s">
        <v>2467</v>
      </c>
      <c r="AV729" s="135" t="s">
        <v>3380</v>
      </c>
      <c r="AW729" s="135"/>
      <c r="AX729" s="135"/>
      <c r="AY729" s="135"/>
      <c r="AZ729" s="135"/>
      <c r="BA729" s="135" t="s">
        <v>101</v>
      </c>
      <c r="BB729" s="135"/>
      <c r="BC729" s="151">
        <f>6573+575</f>
        <v>7148</v>
      </c>
      <c r="BD729" s="135"/>
      <c r="BE729" s="151">
        <v>750</v>
      </c>
      <c r="BF729" s="151">
        <f>BC729+BE729</f>
        <v>7898</v>
      </c>
      <c r="BG729" s="151">
        <f t="shared" si="95"/>
        <v>434.39</v>
      </c>
      <c r="BH729" s="151">
        <f t="shared" si="96"/>
        <v>8332.39</v>
      </c>
      <c r="BI729" s="135"/>
      <c r="BJ729" s="135" t="s">
        <v>144</v>
      </c>
      <c r="BK729" s="135"/>
      <c r="BL729" s="135"/>
      <c r="BM729" s="144" t="s">
        <v>3592</v>
      </c>
      <c r="BN729" s="153">
        <f t="shared" si="97"/>
        <v>2024</v>
      </c>
      <c r="BO729" s="135" t="s">
        <v>155</v>
      </c>
      <c r="BP729" s="135"/>
      <c r="BQ729" s="203"/>
    </row>
    <row r="730" spans="1:69" ht="41.1" customHeight="1">
      <c r="A730" s="135" t="s">
        <v>1705</v>
      </c>
      <c r="B730" s="135" t="s">
        <v>3192</v>
      </c>
      <c r="C730" s="143">
        <v>1000</v>
      </c>
      <c r="D730" s="135">
        <v>45301</v>
      </c>
      <c r="E730" s="135">
        <v>45310</v>
      </c>
      <c r="F730" s="135">
        <v>45321</v>
      </c>
      <c r="G730" s="135" t="s">
        <v>3421</v>
      </c>
      <c r="H730" s="135">
        <v>45322</v>
      </c>
      <c r="I730" s="135">
        <v>45322</v>
      </c>
      <c r="J730" s="135">
        <v>45336</v>
      </c>
      <c r="K730" s="135"/>
      <c r="L730" s="135"/>
      <c r="M730" s="135"/>
      <c r="N730" s="135"/>
      <c r="O730" s="135"/>
      <c r="P730" s="135"/>
      <c r="Q730" s="135"/>
      <c r="R730" s="135"/>
      <c r="S730" s="135"/>
      <c r="T730" s="135"/>
      <c r="U730" s="144">
        <v>2</v>
      </c>
      <c r="V730" s="143">
        <v>21536</v>
      </c>
      <c r="W730" s="143" t="str">
        <f ca="1">IF(H730="",IF(D730="","",IF(U730+V730&lt;15,"Données Nb pers ou RFR manquantes",IF(COUNTA(INDIRECT("TabRFR["&amp;YEAR(D730)&amp;"]"))&lt;&gt;COUNTA(TabRFR[Recherche RFR]),"Data RFR manquantes", IF(V730&lt;=INDEX(TabRFR[[2023]:[2025]],MATCH(BD!U730&amp;"-Très modestes",TabRFR[Recherche RFR],0),MATCH(TEXT(YEAR(BD!D730),"Standard"),TabRFR[[#Headers],[2023]:[2025]],0)),"Très Modeste",IF(V730&lt;=INDEX(TabRFR[[2023]:[2025]],MATCH(BD!U730&amp;"-modestes",TabRFR[Recherche RFR],0),MATCH(TEXT(YEAR(BD!D730),"Standard"),TabRFR[[#Headers],[2023]:[2025]],0)),"Modeste",IF(V730&lt;=INDEX(TabRFR[[2023]:[2025]],MATCH(BD!U730&amp;"-Intermédiaire",TabRFR[Recherche RFR],0),MATCH(TEXT(YEAR(BD!D730),"Standard"),TabRFR[[#Headers],[2023]:[2025]],0)),"Intermédiaire","Supérieur")))))),IF(D730="","",IF(U730+V730&lt;15,"Données Nb pers ou RFR manquantes",IF(COUNTA(INDIRECT("TabRFR["&amp;YEAR(H730)&amp;"]"))&lt;&gt;COUNTA(TabRFR[Recherche RFR]),"Data RFR manquantes", IF(V730&lt;=INDEX(TabRFR[[2023]:[2025]],MATCH(BD!U730&amp;"-Très modestes",TabRFR[Recherche RFR],0),MATCH(TEXT(YEAR(BD!H730),"Standard"),TabRFR[[#Headers],[2023]:[2025]],0)),"Très Modeste",IF(V730&lt;=INDEX(TabRFR[[2023]:[2025]],MATCH(BD!U730&amp;"-modestes",TabRFR[Recherche RFR],0),MATCH(TEXT(YEAR(BD!H730),"Standard"),TabRFR[[#Headers],[2023]:[2025]],0)),"Modeste",IF(V730&lt;=INDEX(TabRFR[[2023]:[2025]],MATCH(BD!U730&amp;"-Intermédiaire",TabRFR[Recherche RFR],0),MATCH(TEXT(YEAR(BD!H730),"Standard"),TabRFR[[#Headers],[2023]:[2025]],0)),"Intermédiaire","Supérieur")))))))</f>
        <v>Très Modeste</v>
      </c>
      <c r="X730" s="144"/>
      <c r="Y730" s="135" t="s">
        <v>3382</v>
      </c>
      <c r="Z730" s="144">
        <v>38490</v>
      </c>
      <c r="AA730" s="135" t="s">
        <v>1075</v>
      </c>
      <c r="AB730" s="148"/>
      <c r="AC730" s="202"/>
      <c r="AD730" s="135" t="s">
        <v>91</v>
      </c>
      <c r="AE730" s="135"/>
      <c r="AF730" s="135"/>
      <c r="AG730" s="135"/>
      <c r="AH730" s="135"/>
      <c r="AI730" s="135" t="s">
        <v>1436</v>
      </c>
      <c r="AJ730" s="135" t="s">
        <v>1437</v>
      </c>
      <c r="AK730" s="135" t="s">
        <v>1920</v>
      </c>
      <c r="AL730" s="169" t="s">
        <v>2738</v>
      </c>
      <c r="AM730" s="148" t="s">
        <v>1439</v>
      </c>
      <c r="AN730" s="135" t="s">
        <v>76</v>
      </c>
      <c r="AO730" s="193" t="s">
        <v>102</v>
      </c>
      <c r="AP730" s="135">
        <v>45418</v>
      </c>
      <c r="AQ730" s="135" t="s">
        <v>3496</v>
      </c>
      <c r="AR730" s="153">
        <v>1996</v>
      </c>
      <c r="AS730" s="135" t="s">
        <v>3496</v>
      </c>
      <c r="AT730" s="135" t="s">
        <v>3446</v>
      </c>
      <c r="AU730" s="135" t="s">
        <v>2179</v>
      </c>
      <c r="AV730" s="135" t="s">
        <v>3408</v>
      </c>
      <c r="AW730" s="143">
        <v>28</v>
      </c>
      <c r="AX730" s="143">
        <v>9.8000000000000007</v>
      </c>
      <c r="AY730" s="143">
        <v>84</v>
      </c>
      <c r="AZ730" s="143">
        <v>1433</v>
      </c>
      <c r="BA730" s="135" t="s">
        <v>1401</v>
      </c>
      <c r="BB730" s="151">
        <v>2720</v>
      </c>
      <c r="BC730" s="151">
        <f>450+250+242+118+448+340+218+427.8+187+82.78+98</f>
        <v>2861.5800000000004</v>
      </c>
      <c r="BD730" s="151">
        <f>BB730+BC730</f>
        <v>5581.58</v>
      </c>
      <c r="BE730" s="151">
        <v>850</v>
      </c>
      <c r="BF730" s="151">
        <f>BC730+BE730</f>
        <v>3711.5800000000004</v>
      </c>
      <c r="BG730" s="151">
        <f t="shared" si="95"/>
        <v>204.13690000000003</v>
      </c>
      <c r="BH730" s="151">
        <f t="shared" si="96"/>
        <v>3915.7169000000004</v>
      </c>
      <c r="BI730" s="135"/>
      <c r="BJ730" s="135" t="s">
        <v>103</v>
      </c>
      <c r="BK730" s="135"/>
      <c r="BL730" s="135"/>
      <c r="BM730" s="144" t="s">
        <v>3592</v>
      </c>
      <c r="BN730" s="153">
        <f t="shared" si="97"/>
        <v>2024</v>
      </c>
      <c r="BO730" s="135" t="s">
        <v>155</v>
      </c>
      <c r="BP730" s="135"/>
      <c r="BQ730" s="203"/>
    </row>
    <row r="731" spans="1:69" ht="41.1" customHeight="1">
      <c r="A731" s="135" t="s">
        <v>1705</v>
      </c>
      <c r="B731" s="135" t="s">
        <v>3193</v>
      </c>
      <c r="C731" s="143">
        <v>1100</v>
      </c>
      <c r="D731" s="135">
        <v>45302</v>
      </c>
      <c r="E731" s="135">
        <v>45310</v>
      </c>
      <c r="F731" s="135" t="s">
        <v>76</v>
      </c>
      <c r="G731" s="135" t="s">
        <v>76</v>
      </c>
      <c r="H731" s="135">
        <v>45321</v>
      </c>
      <c r="I731" s="135">
        <v>45322</v>
      </c>
      <c r="J731" s="135">
        <v>45336</v>
      </c>
      <c r="K731" s="135">
        <v>45408</v>
      </c>
      <c r="L731" s="135">
        <v>45408</v>
      </c>
      <c r="M731" s="135" t="s">
        <v>3591</v>
      </c>
      <c r="N731" s="135">
        <v>45429</v>
      </c>
      <c r="O731" s="135">
        <v>45429</v>
      </c>
      <c r="P731" s="135"/>
      <c r="Q731" s="135"/>
      <c r="R731" s="135"/>
      <c r="S731" s="135"/>
      <c r="T731" s="135"/>
      <c r="U731" s="144">
        <v>5</v>
      </c>
      <c r="V731" s="143">
        <v>98226</v>
      </c>
      <c r="W731" s="143" t="str">
        <f ca="1">IF(H731="",IF(D731="","",IF(U731+V731&lt;15,"Données Nb pers ou RFR manquantes",IF(COUNTA(INDIRECT("TabRFR["&amp;YEAR(D731)&amp;"]"))&lt;&gt;COUNTA(TabRFR[Recherche RFR]),"Data RFR manquantes", IF(V731&lt;=INDEX(TabRFR[[2023]:[2025]],MATCH(BD!U731&amp;"-Très modestes",TabRFR[Recherche RFR],0),MATCH(TEXT(YEAR(BD!D731),"Standard"),TabRFR[[#Headers],[2023]:[2025]],0)),"Très Modeste",IF(V731&lt;=INDEX(TabRFR[[2023]:[2025]],MATCH(BD!U731&amp;"-modestes",TabRFR[Recherche RFR],0),MATCH(TEXT(YEAR(BD!D731),"Standard"),TabRFR[[#Headers],[2023]:[2025]],0)),"Modeste",IF(V731&lt;=INDEX(TabRFR[[2023]:[2025]],MATCH(BD!U731&amp;"-Intermédiaire",TabRFR[Recherche RFR],0),MATCH(TEXT(YEAR(BD!D731),"Standard"),TabRFR[[#Headers],[2023]:[2025]],0)),"Intermédiaire","Supérieur")))))),IF(D731="","",IF(U731+V731&lt;15,"Données Nb pers ou RFR manquantes",IF(COUNTA(INDIRECT("TabRFR["&amp;YEAR(H731)&amp;"]"))&lt;&gt;COUNTA(TabRFR[Recherche RFR]),"Data RFR manquantes", IF(V731&lt;=INDEX(TabRFR[[2023]:[2025]],MATCH(BD!U731&amp;"-Très modestes",TabRFR[Recherche RFR],0),MATCH(TEXT(YEAR(BD!H731),"Standard"),TabRFR[[#Headers],[2023]:[2025]],0)),"Très Modeste",IF(V731&lt;=INDEX(TabRFR[[2023]:[2025]],MATCH(BD!U731&amp;"-modestes",TabRFR[Recherche RFR],0),MATCH(TEXT(YEAR(BD!H731),"Standard"),TabRFR[[#Headers],[2023]:[2025]],0)),"Modeste",IF(V731&lt;=INDEX(TabRFR[[2023]:[2025]],MATCH(BD!U731&amp;"-Intermédiaire",TabRFR[Recherche RFR],0),MATCH(TEXT(YEAR(BD!H731),"Standard"),TabRFR[[#Headers],[2023]:[2025]],0)),"Intermédiaire","Supérieur")))))))</f>
        <v>Supérieur</v>
      </c>
      <c r="X731" s="144"/>
      <c r="Y731" s="135" t="s">
        <v>3383</v>
      </c>
      <c r="Z731" s="144">
        <v>38620</v>
      </c>
      <c r="AA731" s="135" t="s">
        <v>262</v>
      </c>
      <c r="AB731" s="148"/>
      <c r="AC731" s="202"/>
      <c r="AD731" s="135" t="s">
        <v>91</v>
      </c>
      <c r="AE731" s="135"/>
      <c r="AF731" s="135"/>
      <c r="AG731" s="135"/>
      <c r="AH731" s="135"/>
      <c r="AI731" s="135" t="s">
        <v>1436</v>
      </c>
      <c r="AJ731" s="135" t="s">
        <v>1437</v>
      </c>
      <c r="AK731" s="135" t="s">
        <v>1920</v>
      </c>
      <c r="AL731" s="169" t="s">
        <v>2738</v>
      </c>
      <c r="AM731" s="148" t="s">
        <v>1439</v>
      </c>
      <c r="AN731" s="135" t="s">
        <v>76</v>
      </c>
      <c r="AO731" s="193" t="s">
        <v>102</v>
      </c>
      <c r="AP731" s="135">
        <v>45418</v>
      </c>
      <c r="AQ731" s="135" t="s">
        <v>3449</v>
      </c>
      <c r="AR731" s="153">
        <v>1990</v>
      </c>
      <c r="AS731" s="135" t="s">
        <v>3496</v>
      </c>
      <c r="AT731" s="135" t="s">
        <v>3446</v>
      </c>
      <c r="AU731" s="135" t="s">
        <v>2179</v>
      </c>
      <c r="AV731" s="135" t="s">
        <v>3409</v>
      </c>
      <c r="AW731" s="143">
        <v>16</v>
      </c>
      <c r="AX731" s="143">
        <v>13.4</v>
      </c>
      <c r="AY731" s="143">
        <v>75.900000000000006</v>
      </c>
      <c r="AZ731" s="143">
        <v>1259</v>
      </c>
      <c r="BA731" s="135" t="s">
        <v>1401</v>
      </c>
      <c r="BB731" s="151">
        <f>3890</f>
        <v>3890</v>
      </c>
      <c r="BC731" s="151">
        <f>1351+187+126+98</f>
        <v>1762</v>
      </c>
      <c r="BD731" s="151">
        <v>94</v>
      </c>
      <c r="BE731" s="151">
        <v>800</v>
      </c>
      <c r="BF731" s="151">
        <f>BB731+BC731+BD731+BE731</f>
        <v>6546</v>
      </c>
      <c r="BG731" s="151">
        <f t="shared" si="95"/>
        <v>360.03000000000003</v>
      </c>
      <c r="BH731" s="151">
        <f t="shared" si="96"/>
        <v>6906.03</v>
      </c>
      <c r="BI731" s="151">
        <f>2407.58+3810</f>
        <v>6217.58</v>
      </c>
      <c r="BJ731" s="135" t="s">
        <v>144</v>
      </c>
      <c r="BK731" s="135"/>
      <c r="BL731" s="135"/>
      <c r="BM731" s="144" t="s">
        <v>3592</v>
      </c>
      <c r="BN731" s="153">
        <f t="shared" si="97"/>
        <v>2024</v>
      </c>
      <c r="BO731" s="144" t="s">
        <v>143</v>
      </c>
      <c r="BP731" s="135"/>
      <c r="BQ731" s="203"/>
    </row>
    <row r="732" spans="1:69" ht="41.1" customHeight="1">
      <c r="A732" s="135" t="s">
        <v>1705</v>
      </c>
      <c r="B732" s="135" t="s">
        <v>3194</v>
      </c>
      <c r="C732" s="143">
        <v>1100</v>
      </c>
      <c r="D732" s="135">
        <v>45306</v>
      </c>
      <c r="E732" s="135">
        <v>45310</v>
      </c>
      <c r="F732" s="135">
        <v>45321</v>
      </c>
      <c r="G732" s="135" t="s">
        <v>3424</v>
      </c>
      <c r="H732" s="135">
        <v>45330</v>
      </c>
      <c r="I732" s="135">
        <v>45330</v>
      </c>
      <c r="J732" s="135">
        <v>45345</v>
      </c>
      <c r="K732" s="135"/>
      <c r="L732" s="135"/>
      <c r="M732" s="135"/>
      <c r="N732" s="135"/>
      <c r="O732" s="135"/>
      <c r="P732" s="135"/>
      <c r="Q732" s="135"/>
      <c r="R732" s="135"/>
      <c r="S732" s="135"/>
      <c r="T732" s="135"/>
      <c r="U732" s="144">
        <v>4</v>
      </c>
      <c r="V732" s="143">
        <f>34176+20860</f>
        <v>55036</v>
      </c>
      <c r="W732" s="143" t="str">
        <f ca="1">IF(H732="",IF(D732="","",IF(U732+V732&lt;15,"Données Nb pers ou RFR manquantes",IF(COUNTA(INDIRECT("TabRFR["&amp;YEAR(D732)&amp;"]"))&lt;&gt;COUNTA(TabRFR[Recherche RFR]),"Data RFR manquantes", IF(V732&lt;=INDEX(TabRFR[[2023]:[2025]],MATCH(BD!U732&amp;"-Très modestes",TabRFR[Recherche RFR],0),MATCH(TEXT(YEAR(BD!D732),"Standard"),TabRFR[[#Headers],[2023]:[2025]],0)),"Très Modeste",IF(V732&lt;=INDEX(TabRFR[[2023]:[2025]],MATCH(BD!U732&amp;"-modestes",TabRFR[Recherche RFR],0),MATCH(TEXT(YEAR(BD!D732),"Standard"),TabRFR[[#Headers],[2023]:[2025]],0)),"Modeste",IF(V732&lt;=INDEX(TabRFR[[2023]:[2025]],MATCH(BD!U732&amp;"-Intermédiaire",TabRFR[Recherche RFR],0),MATCH(TEXT(YEAR(BD!D732),"Standard"),TabRFR[[#Headers],[2023]:[2025]],0)),"Intermédiaire","Supérieur")))))),IF(D732="","",IF(U732+V732&lt;15,"Données Nb pers ou RFR manquantes",IF(COUNTA(INDIRECT("TabRFR["&amp;YEAR(H732)&amp;"]"))&lt;&gt;COUNTA(TabRFR[Recherche RFR]),"Data RFR manquantes", IF(V732&lt;=INDEX(TabRFR[[2023]:[2025]],MATCH(BD!U732&amp;"-Très modestes",TabRFR[Recherche RFR],0),MATCH(TEXT(YEAR(BD!H732),"Standard"),TabRFR[[#Headers],[2023]:[2025]],0)),"Très Modeste",IF(V732&lt;=INDEX(TabRFR[[2023]:[2025]],MATCH(BD!U732&amp;"-modestes",TabRFR[Recherche RFR],0),MATCH(TEXT(YEAR(BD!H732),"Standard"),TabRFR[[#Headers],[2023]:[2025]],0)),"Modeste",IF(V732&lt;=INDEX(TabRFR[[2023]:[2025]],MATCH(BD!U732&amp;"-Intermédiaire",TabRFR[Recherche RFR],0),MATCH(TEXT(YEAR(BD!H732),"Standard"),TabRFR[[#Headers],[2023]:[2025]],0)),"Intermédiaire","Supérieur")))))))</f>
        <v>Intermédiaire</v>
      </c>
      <c r="X732" s="144"/>
      <c r="Y732" s="135" t="s">
        <v>3399</v>
      </c>
      <c r="Z732" s="144">
        <v>38340</v>
      </c>
      <c r="AA732" s="135" t="s">
        <v>266</v>
      </c>
      <c r="AB732" s="148"/>
      <c r="AC732" s="202"/>
      <c r="AD732" s="135" t="s">
        <v>91</v>
      </c>
      <c r="AE732" s="135"/>
      <c r="AF732" s="135"/>
      <c r="AG732" s="135"/>
      <c r="AH732" s="135"/>
      <c r="AI732" s="135" t="s">
        <v>544</v>
      </c>
      <c r="AJ732" s="135" t="s">
        <v>545</v>
      </c>
      <c r="AK732" s="135" t="s">
        <v>546</v>
      </c>
      <c r="AL732" s="169" t="s">
        <v>2600</v>
      </c>
      <c r="AM732" s="148">
        <v>970825050</v>
      </c>
      <c r="AN732" s="135" t="s">
        <v>76</v>
      </c>
      <c r="AO732" s="150" t="s">
        <v>144</v>
      </c>
      <c r="AP732" s="135">
        <v>45655</v>
      </c>
      <c r="AQ732" s="135" t="s">
        <v>3449</v>
      </c>
      <c r="AR732" s="153">
        <v>1974</v>
      </c>
      <c r="AS732" s="143" t="s">
        <v>3413</v>
      </c>
      <c r="AT732" s="135" t="s">
        <v>3446</v>
      </c>
      <c r="AU732" s="135" t="s">
        <v>2101</v>
      </c>
      <c r="AV732" s="135" t="s">
        <v>3428</v>
      </c>
      <c r="AW732" s="143">
        <v>35</v>
      </c>
      <c r="AX732" s="143">
        <v>7</v>
      </c>
      <c r="AY732" s="143" t="s">
        <v>3429</v>
      </c>
      <c r="AZ732" s="143">
        <v>1012</v>
      </c>
      <c r="BA732" s="135" t="s">
        <v>101</v>
      </c>
      <c r="BB732" s="151" t="s">
        <v>76</v>
      </c>
      <c r="BC732" s="151">
        <f>1458.55+19.16+24.92+1018.01+754.5</f>
        <v>3275.1400000000003</v>
      </c>
      <c r="BD732" s="151" t="s">
        <v>76</v>
      </c>
      <c r="BE732" s="151">
        <f>113.74+113.74</f>
        <v>227.48</v>
      </c>
      <c r="BF732" s="151">
        <f>BC732+BE732</f>
        <v>3502.6200000000003</v>
      </c>
      <c r="BG732" s="151">
        <f>BF732*0.055</f>
        <v>192.64410000000001</v>
      </c>
      <c r="BH732" s="151">
        <f>BF732+BG732</f>
        <v>3695.2641000000003</v>
      </c>
      <c r="BI732" s="135"/>
      <c r="BJ732" s="135" t="s">
        <v>144</v>
      </c>
      <c r="BK732" s="135"/>
      <c r="BL732" s="135"/>
      <c r="BM732" s="144" t="s">
        <v>3592</v>
      </c>
      <c r="BN732" s="153">
        <f t="shared" si="97"/>
        <v>2024</v>
      </c>
      <c r="BO732" s="144" t="s">
        <v>143</v>
      </c>
      <c r="BP732" s="135"/>
      <c r="BQ732" s="203"/>
    </row>
    <row r="733" spans="1:69" ht="41.1" customHeight="1">
      <c r="A733" s="205" t="s">
        <v>1705</v>
      </c>
      <c r="B733" s="205" t="s">
        <v>3195</v>
      </c>
      <c r="C733" s="143">
        <v>600</v>
      </c>
      <c r="D733" s="135">
        <v>45307</v>
      </c>
      <c r="E733" s="135">
        <v>45310</v>
      </c>
      <c r="F733" s="135">
        <v>45321</v>
      </c>
      <c r="G733" s="135" t="s">
        <v>3411</v>
      </c>
      <c r="H733" s="135">
        <v>45323</v>
      </c>
      <c r="I733" s="135">
        <v>45323</v>
      </c>
      <c r="J733" s="135">
        <v>45336</v>
      </c>
      <c r="K733" s="135">
        <v>45365</v>
      </c>
      <c r="L733" s="135">
        <v>45363</v>
      </c>
      <c r="M733" s="135" t="s">
        <v>76</v>
      </c>
      <c r="N733" s="135">
        <v>45365</v>
      </c>
      <c r="O733" s="135">
        <v>45365</v>
      </c>
      <c r="P733" s="135">
        <v>45369</v>
      </c>
      <c r="Q733" s="135"/>
      <c r="R733" s="135"/>
      <c r="S733" s="135"/>
      <c r="T733" s="135"/>
      <c r="U733" s="144">
        <v>2</v>
      </c>
      <c r="V733" s="143">
        <v>50770</v>
      </c>
      <c r="W733" s="143" t="str">
        <f ca="1">IF(H733="",IF(D733="","",IF(U733+V733&lt;15,"Données Nb pers ou RFR manquantes",IF(COUNTA(INDIRECT("TabRFR["&amp;YEAR(D733)&amp;"]"))&lt;&gt;COUNTA(TabRFR[Recherche RFR]),"Data RFR manquantes", IF(V733&lt;=INDEX(TabRFR[[2023]:[2025]],MATCH(BD!U733&amp;"-Très modestes",TabRFR[Recherche RFR],0),MATCH(TEXT(YEAR(BD!D733),"Standard"),TabRFR[[#Headers],[2023]:[2025]],0)),"Très Modeste",IF(V733&lt;=INDEX(TabRFR[[2023]:[2025]],MATCH(BD!U733&amp;"-modestes",TabRFR[Recherche RFR],0),MATCH(TEXT(YEAR(BD!D733),"Standard"),TabRFR[[#Headers],[2023]:[2025]],0)),"Modeste",IF(V733&lt;=INDEX(TabRFR[[2023]:[2025]],MATCH(BD!U733&amp;"-Intermédiaire",TabRFR[Recherche RFR],0),MATCH(TEXT(YEAR(BD!D733),"Standard"),TabRFR[[#Headers],[2023]:[2025]],0)),"Intermédiaire","Supérieur")))))),IF(D733="","",IF(U733+V733&lt;15,"Données Nb pers ou RFR manquantes",IF(COUNTA(INDIRECT("TabRFR["&amp;YEAR(H733)&amp;"]"))&lt;&gt;COUNTA(TabRFR[Recherche RFR]),"Data RFR manquantes", IF(V733&lt;=INDEX(TabRFR[[2023]:[2025]],MATCH(BD!U733&amp;"-Très modestes",TabRFR[Recherche RFR],0),MATCH(TEXT(YEAR(BD!H733),"Standard"),TabRFR[[#Headers],[2023]:[2025]],0)),"Très Modeste",IF(V733&lt;=INDEX(TabRFR[[2023]:[2025]],MATCH(BD!U733&amp;"-modestes",TabRFR[Recherche RFR],0),MATCH(TEXT(YEAR(BD!H733),"Standard"),TabRFR[[#Headers],[2023]:[2025]],0)),"Modeste",IF(V733&lt;=INDEX(TabRFR[[2023]:[2025]],MATCH(BD!U733&amp;"-Intermédiaire",TabRFR[Recherche RFR],0),MATCH(TEXT(YEAR(BD!H733),"Standard"),TabRFR[[#Headers],[2023]:[2025]],0)),"Intermédiaire","Supérieur")))))))</f>
        <v>Supérieur</v>
      </c>
      <c r="X733" s="144"/>
      <c r="Y733" s="135" t="s">
        <v>3400</v>
      </c>
      <c r="Z733" s="144">
        <v>38500</v>
      </c>
      <c r="AA733" s="135" t="s">
        <v>284</v>
      </c>
      <c r="AB733" s="148"/>
      <c r="AC733" s="202"/>
      <c r="AD733" s="135" t="s">
        <v>91</v>
      </c>
      <c r="AE733" s="135"/>
      <c r="AF733" s="135"/>
      <c r="AG733" s="135"/>
      <c r="AH733" s="135"/>
      <c r="AI733" s="135" t="s">
        <v>2703</v>
      </c>
      <c r="AJ733" s="135" t="s">
        <v>266</v>
      </c>
      <c r="AK733" s="135" t="s">
        <v>2704</v>
      </c>
      <c r="AL733" s="169" t="s">
        <v>318</v>
      </c>
      <c r="AM733" s="148">
        <v>476500550</v>
      </c>
      <c r="AN733" s="135" t="s">
        <v>76</v>
      </c>
      <c r="AO733" s="193" t="s">
        <v>102</v>
      </c>
      <c r="AP733" s="135">
        <v>45503</v>
      </c>
      <c r="AQ733" s="135" t="s">
        <v>3496</v>
      </c>
      <c r="AR733" s="153">
        <v>1989</v>
      </c>
      <c r="AS733" s="143" t="s">
        <v>3413</v>
      </c>
      <c r="AT733" s="135" t="s">
        <v>3446</v>
      </c>
      <c r="AU733" s="135" t="s">
        <v>319</v>
      </c>
      <c r="AV733" s="135" t="s">
        <v>3410</v>
      </c>
      <c r="AW733" s="143">
        <v>32</v>
      </c>
      <c r="AX733" s="143">
        <v>7</v>
      </c>
      <c r="AY733" s="143" t="s">
        <v>2049</v>
      </c>
      <c r="AZ733" s="143" t="s">
        <v>2028</v>
      </c>
      <c r="BA733" s="135" t="s">
        <v>101</v>
      </c>
      <c r="BB733" s="151">
        <v>2587</v>
      </c>
      <c r="BC733" s="151">
        <f>164.25+60.99+161.92+56.92+244.48+129.17+83.78+36.2+800+182.5+245.2+42.2</f>
        <v>2207.6099999999997</v>
      </c>
      <c r="BD733" s="151" t="s">
        <v>76</v>
      </c>
      <c r="BE733" s="151">
        <v>800</v>
      </c>
      <c r="BF733" s="151">
        <f>BB733+BC733+BE733</f>
        <v>5594.61</v>
      </c>
      <c r="BG733" s="151">
        <f t="shared" si="95"/>
        <v>307.70355000000001</v>
      </c>
      <c r="BH733" s="151">
        <f t="shared" si="96"/>
        <v>5902.3135499999999</v>
      </c>
      <c r="BI733" s="151">
        <v>5902.84</v>
      </c>
      <c r="BJ733" s="135" t="s">
        <v>1391</v>
      </c>
      <c r="BK733" s="135"/>
      <c r="BL733" s="135"/>
      <c r="BM733" s="144" t="s">
        <v>3592</v>
      </c>
      <c r="BN733" s="153">
        <f t="shared" si="97"/>
        <v>2024</v>
      </c>
      <c r="BO733" s="144" t="s">
        <v>143</v>
      </c>
      <c r="BP733" s="135"/>
      <c r="BQ733" s="203"/>
    </row>
    <row r="734" spans="1:69" ht="41.1" customHeight="1">
      <c r="A734" s="205" t="s">
        <v>1705</v>
      </c>
      <c r="B734" s="205" t="s">
        <v>3196</v>
      </c>
      <c r="C734" s="143">
        <v>600</v>
      </c>
      <c r="D734" s="135">
        <v>45310</v>
      </c>
      <c r="E734" s="135">
        <v>45315</v>
      </c>
      <c r="F734" s="135">
        <v>45321</v>
      </c>
      <c r="G734" s="135" t="s">
        <v>2945</v>
      </c>
      <c r="H734" s="135">
        <v>45322</v>
      </c>
      <c r="I734" s="135">
        <v>45322</v>
      </c>
      <c r="J734" s="135">
        <v>45336</v>
      </c>
      <c r="K734" s="135">
        <v>45350</v>
      </c>
      <c r="L734" s="135">
        <v>45345</v>
      </c>
      <c r="M734" s="135" t="s">
        <v>76</v>
      </c>
      <c r="N734" s="135">
        <v>45358</v>
      </c>
      <c r="O734" s="135">
        <v>45358</v>
      </c>
      <c r="P734" s="135">
        <v>45330</v>
      </c>
      <c r="Q734" s="135"/>
      <c r="R734" s="135"/>
      <c r="S734" s="135"/>
      <c r="T734" s="135"/>
      <c r="U734" s="144">
        <v>2</v>
      </c>
      <c r="V734" s="143">
        <v>52124</v>
      </c>
      <c r="W734" s="143" t="str">
        <f ca="1">IF(H734="",IF(D734="","",IF(U734+V734&lt;15,"Données Nb pers ou RFR manquantes",IF(COUNTA(INDIRECT("TabRFR["&amp;YEAR(D734)&amp;"]"))&lt;&gt;COUNTA(TabRFR[Recherche RFR]),"Data RFR manquantes", IF(V734&lt;=INDEX(TabRFR[[2023]:[2025]],MATCH(BD!U734&amp;"-Très modestes",TabRFR[Recherche RFR],0),MATCH(TEXT(YEAR(BD!D734),"Standard"),TabRFR[[#Headers],[2023]:[2025]],0)),"Très Modeste",IF(V734&lt;=INDEX(TabRFR[[2023]:[2025]],MATCH(BD!U734&amp;"-modestes",TabRFR[Recherche RFR],0),MATCH(TEXT(YEAR(BD!D734),"Standard"),TabRFR[[#Headers],[2023]:[2025]],0)),"Modeste",IF(V734&lt;=INDEX(TabRFR[[2023]:[2025]],MATCH(BD!U734&amp;"-Intermédiaire",TabRFR[Recherche RFR],0),MATCH(TEXT(YEAR(BD!D734),"Standard"),TabRFR[[#Headers],[2023]:[2025]],0)),"Intermédiaire","Supérieur")))))),IF(D734="","",IF(U734+V734&lt;15,"Données Nb pers ou RFR manquantes",IF(COUNTA(INDIRECT("TabRFR["&amp;YEAR(H734)&amp;"]"))&lt;&gt;COUNTA(TabRFR[Recherche RFR]),"Data RFR manquantes", IF(V734&lt;=INDEX(TabRFR[[2023]:[2025]],MATCH(BD!U734&amp;"-Très modestes",TabRFR[Recherche RFR],0),MATCH(TEXT(YEAR(BD!H734),"Standard"),TabRFR[[#Headers],[2023]:[2025]],0)),"Très Modeste",IF(V734&lt;=INDEX(TabRFR[[2023]:[2025]],MATCH(BD!U734&amp;"-modestes",TabRFR[Recherche RFR],0),MATCH(TEXT(YEAR(BD!H734),"Standard"),TabRFR[[#Headers],[2023]:[2025]],0)),"Modeste",IF(V734&lt;=INDEX(TabRFR[[2023]:[2025]],MATCH(BD!U734&amp;"-Intermédiaire",TabRFR[Recherche RFR],0),MATCH(TEXT(YEAR(BD!H734),"Standard"),TabRFR[[#Headers],[2023]:[2025]],0)),"Intermédiaire","Supérieur")))))))</f>
        <v>Supérieur</v>
      </c>
      <c r="X734" s="144"/>
      <c r="Y734" s="135" t="s">
        <v>3412</v>
      </c>
      <c r="Z734" s="144">
        <v>38430</v>
      </c>
      <c r="AA734" s="135" t="s">
        <v>119</v>
      </c>
      <c r="AB734" s="148"/>
      <c r="AC734" s="202"/>
      <c r="AD734" s="135" t="s">
        <v>91</v>
      </c>
      <c r="AE734" s="135"/>
      <c r="AF734" s="135"/>
      <c r="AG734" s="135"/>
      <c r="AH734" s="135"/>
      <c r="AI734" s="135" t="s">
        <v>169</v>
      </c>
      <c r="AJ734" s="135" t="s">
        <v>119</v>
      </c>
      <c r="AK734" s="135" t="s">
        <v>2192</v>
      </c>
      <c r="AL734" s="169" t="s">
        <v>171</v>
      </c>
      <c r="AM734" s="135" t="s">
        <v>1406</v>
      </c>
      <c r="AN734" s="135" t="str">
        <f>AN730</f>
        <v>-</v>
      </c>
      <c r="AO734" s="135" t="str">
        <f>AO730</f>
        <v>oui</v>
      </c>
      <c r="AP734" s="135">
        <v>45614</v>
      </c>
      <c r="AQ734" s="135" t="s">
        <v>3496</v>
      </c>
      <c r="AR734" s="153">
        <v>2001</v>
      </c>
      <c r="AS734" s="143" t="s">
        <v>3413</v>
      </c>
      <c r="AT734" s="135" t="s">
        <v>3446</v>
      </c>
      <c r="AU734" s="135" t="s">
        <v>2042</v>
      </c>
      <c r="AV734" s="135" t="s">
        <v>2480</v>
      </c>
      <c r="AW734" s="143">
        <v>14</v>
      </c>
      <c r="AX734" s="143" t="s">
        <v>2069</v>
      </c>
      <c r="AY734" s="143">
        <v>81</v>
      </c>
      <c r="AZ734" s="143" t="s">
        <v>2028</v>
      </c>
      <c r="BA734" s="135" t="s">
        <v>101</v>
      </c>
      <c r="BB734" s="151">
        <v>3490</v>
      </c>
      <c r="BC734" s="151">
        <f>79.6+211+159.2+48.25+465+89.36+106.37+238+110+45.35+550</f>
        <v>2102.1299999999997</v>
      </c>
      <c r="BD734" s="151"/>
      <c r="BE734" s="151">
        <f>550+525+650</f>
        <v>1725</v>
      </c>
      <c r="BF734" s="151">
        <f>BB734+BC734+BE734</f>
        <v>7317.1299999999992</v>
      </c>
      <c r="BG734" s="151">
        <f t="shared" si="95"/>
        <v>402.44214999999997</v>
      </c>
      <c r="BH734" s="151">
        <f t="shared" si="96"/>
        <v>7719.5721499999991</v>
      </c>
      <c r="BI734" s="151">
        <v>7719.57</v>
      </c>
      <c r="BJ734" s="135" t="s">
        <v>1391</v>
      </c>
      <c r="BK734" s="135"/>
      <c r="BL734" s="135"/>
      <c r="BM734" s="144" t="s">
        <v>3592</v>
      </c>
      <c r="BN734" s="153">
        <f t="shared" si="97"/>
        <v>2024</v>
      </c>
      <c r="BO734" s="144" t="s">
        <v>143</v>
      </c>
      <c r="BP734" s="135"/>
      <c r="BQ734" s="203"/>
    </row>
    <row r="735" spans="1:69" ht="41.1" customHeight="1">
      <c r="A735" s="198" t="s">
        <v>1705</v>
      </c>
      <c r="B735" s="198" t="s">
        <v>3197</v>
      </c>
      <c r="C735" s="143"/>
      <c r="D735" s="135"/>
      <c r="E735" s="135"/>
      <c r="F735" s="135"/>
      <c r="G735" s="135"/>
      <c r="H735" s="135"/>
      <c r="I735" s="135"/>
      <c r="J735" s="135"/>
      <c r="K735" s="135"/>
      <c r="L735" s="135"/>
      <c r="M735" s="135"/>
      <c r="N735" s="135"/>
      <c r="O735" s="135"/>
      <c r="P735" s="135"/>
      <c r="Q735" s="135"/>
      <c r="R735" s="135" t="s">
        <v>3581</v>
      </c>
      <c r="S735" s="135"/>
      <c r="T735" s="135"/>
      <c r="U735" s="144"/>
      <c r="V735" s="143"/>
      <c r="W735" s="143"/>
      <c r="X735" s="144"/>
      <c r="Y735" s="135"/>
      <c r="Z735" s="144"/>
      <c r="AA735" s="135"/>
      <c r="AB735" s="148"/>
      <c r="AC735" s="202"/>
      <c r="AD735" s="135"/>
      <c r="AE735" s="135"/>
      <c r="AF735" s="135"/>
      <c r="AG735" s="135"/>
      <c r="AH735" s="135"/>
      <c r="AI735" s="135"/>
      <c r="AJ735" s="135"/>
      <c r="AK735" s="135"/>
      <c r="AL735" s="208"/>
      <c r="AM735" s="148"/>
      <c r="AN735" s="135"/>
      <c r="AO735" s="193"/>
      <c r="AP735" s="135"/>
      <c r="AQ735" s="135"/>
      <c r="AR735" s="135"/>
      <c r="AS735" s="135"/>
      <c r="AT735" s="135"/>
      <c r="AU735" s="135"/>
      <c r="AV735" s="135"/>
      <c r="AW735" s="143"/>
      <c r="AX735" s="143"/>
      <c r="AY735" s="143"/>
      <c r="AZ735" s="143"/>
      <c r="BA735" s="135"/>
      <c r="BB735" s="151"/>
      <c r="BC735" s="151"/>
      <c r="BD735" s="151"/>
      <c r="BE735" s="151"/>
      <c r="BF735" s="151"/>
      <c r="BG735" s="151"/>
      <c r="BH735" s="151"/>
      <c r="BI735" s="135"/>
      <c r="BJ735" s="135"/>
      <c r="BK735" s="135"/>
      <c r="BL735" s="135"/>
      <c r="BM735" s="144">
        <v>0</v>
      </c>
      <c r="BN735" s="153" t="s">
        <v>103</v>
      </c>
      <c r="BO735" s="135" t="s">
        <v>103</v>
      </c>
      <c r="BP735" s="135" t="s">
        <v>3584</v>
      </c>
      <c r="BQ735" s="203" t="s">
        <v>3585</v>
      </c>
    </row>
    <row r="736" spans="1:69" ht="41.1" customHeight="1">
      <c r="A736" s="135" t="s">
        <v>1705</v>
      </c>
      <c r="B736" s="135" t="s">
        <v>3198</v>
      </c>
      <c r="C736" s="143">
        <v>1100</v>
      </c>
      <c r="D736" s="135">
        <v>45310</v>
      </c>
      <c r="E736" s="135">
        <v>45315</v>
      </c>
      <c r="F736" s="135">
        <v>45322</v>
      </c>
      <c r="G736" s="135" t="s">
        <v>3415</v>
      </c>
      <c r="H736" s="135">
        <v>45323</v>
      </c>
      <c r="I736" s="135">
        <v>45323</v>
      </c>
      <c r="J736" s="135">
        <v>45336</v>
      </c>
      <c r="K736" s="135">
        <v>45376</v>
      </c>
      <c r="L736" s="135">
        <v>45364</v>
      </c>
      <c r="M736" s="135" t="s">
        <v>3593</v>
      </c>
      <c r="N736" s="135"/>
      <c r="O736" s="135"/>
      <c r="P736" s="135"/>
      <c r="Q736" s="135"/>
      <c r="R736" s="135"/>
      <c r="S736" s="135"/>
      <c r="T736" s="135"/>
      <c r="U736" s="144">
        <v>2</v>
      </c>
      <c r="V736" s="143">
        <v>71631</v>
      </c>
      <c r="W736" s="143" t="str">
        <f ca="1">IF(H736="",IF(D736="","",IF(U736+V736&lt;15,"Données Nb pers ou RFR manquantes",IF(COUNTA(INDIRECT("TabRFR["&amp;YEAR(D736)&amp;"]"))&lt;&gt;COUNTA(TabRFR[Recherche RFR]),"Data RFR manquantes", IF(V736&lt;=INDEX(TabRFR[[2023]:[2025]],MATCH(BD!U736&amp;"-Très modestes",TabRFR[Recherche RFR],0),MATCH(TEXT(YEAR(BD!D736),"Standard"),TabRFR[[#Headers],[2023]:[2025]],0)),"Très Modeste",IF(V736&lt;=INDEX(TabRFR[[2023]:[2025]],MATCH(BD!U736&amp;"-modestes",TabRFR[Recherche RFR],0),MATCH(TEXT(YEAR(BD!D736),"Standard"),TabRFR[[#Headers],[2023]:[2025]],0)),"Modeste",IF(V736&lt;=INDEX(TabRFR[[2023]:[2025]],MATCH(BD!U736&amp;"-Intermédiaire",TabRFR[Recherche RFR],0),MATCH(TEXT(YEAR(BD!D736),"Standard"),TabRFR[[#Headers],[2023]:[2025]],0)),"Intermédiaire","Supérieur")))))),IF(D736="","",IF(U736+V736&lt;15,"Données Nb pers ou RFR manquantes",IF(COUNTA(INDIRECT("TabRFR["&amp;YEAR(H736)&amp;"]"))&lt;&gt;COUNTA(TabRFR[Recherche RFR]),"Data RFR manquantes", IF(V736&lt;=INDEX(TabRFR[[2023]:[2025]],MATCH(BD!U736&amp;"-Très modestes",TabRFR[Recherche RFR],0),MATCH(TEXT(YEAR(BD!H736),"Standard"),TabRFR[[#Headers],[2023]:[2025]],0)),"Très Modeste",IF(V736&lt;=INDEX(TabRFR[[2023]:[2025]],MATCH(BD!U736&amp;"-modestes",TabRFR[Recherche RFR],0),MATCH(TEXT(YEAR(BD!H736),"Standard"),TabRFR[[#Headers],[2023]:[2025]],0)),"Modeste",IF(V736&lt;=INDEX(TabRFR[[2023]:[2025]],MATCH(BD!U736&amp;"-Intermédiaire",TabRFR[Recherche RFR],0),MATCH(TEXT(YEAR(BD!H736),"Standard"),TabRFR[[#Headers],[2023]:[2025]],0)),"Intermédiaire","Supérieur")))))))</f>
        <v>Supérieur</v>
      </c>
      <c r="X736" s="144"/>
      <c r="Y736" s="135" t="s">
        <v>3402</v>
      </c>
      <c r="Z736" s="144">
        <v>38500</v>
      </c>
      <c r="AA736" s="135" t="s">
        <v>108</v>
      </c>
      <c r="AB736" s="148"/>
      <c r="AC736" s="202"/>
      <c r="AD736" s="135" t="s">
        <v>91</v>
      </c>
      <c r="AE736" s="135"/>
      <c r="AF736" s="135"/>
      <c r="AG736" s="135"/>
      <c r="AH736" s="135"/>
      <c r="AI736" s="135" t="s">
        <v>267</v>
      </c>
      <c r="AJ736" s="135" t="s">
        <v>268</v>
      </c>
      <c r="AK736" s="135" t="s">
        <v>2099</v>
      </c>
      <c r="AL736" s="150" t="s">
        <v>270</v>
      </c>
      <c r="AM736" s="148">
        <v>437064566</v>
      </c>
      <c r="AN736" s="135" t="s">
        <v>76</v>
      </c>
      <c r="AO736" s="135" t="s">
        <v>102</v>
      </c>
      <c r="AP736" s="135">
        <v>45729</v>
      </c>
      <c r="AQ736" s="135" t="s">
        <v>3449</v>
      </c>
      <c r="AR736" s="153">
        <v>1989</v>
      </c>
      <c r="AS736" s="143" t="s">
        <v>3413</v>
      </c>
      <c r="AT736" s="135" t="s">
        <v>3446</v>
      </c>
      <c r="AU736" s="135" t="s">
        <v>488</v>
      </c>
      <c r="AV736" s="135" t="s">
        <v>3414</v>
      </c>
      <c r="AW736" s="143">
        <v>21</v>
      </c>
      <c r="AX736" s="143">
        <v>7</v>
      </c>
      <c r="AY736" s="143">
        <v>78</v>
      </c>
      <c r="AZ736" s="143" t="s">
        <v>1901</v>
      </c>
      <c r="BA736" s="135" t="s">
        <v>101</v>
      </c>
      <c r="BB736" s="151" t="s">
        <v>76</v>
      </c>
      <c r="BC736" s="151">
        <f>(473.87+7.73+356.3+140.58+153.85+79.04+74.64+238.25+109.8+59.6+197.81+19.35+61.63+37.72+24.18+21.89)/1.055</f>
        <v>1949.0426540284363</v>
      </c>
      <c r="BD736" s="151"/>
      <c r="BE736" s="151">
        <f>(1453.37)/1.055</f>
        <v>1377.6018957345971</v>
      </c>
      <c r="BF736" s="151">
        <f>BC736+BE736</f>
        <v>3326.6445497630334</v>
      </c>
      <c r="BG736" s="151">
        <f t="shared" si="95"/>
        <v>182.96545023696683</v>
      </c>
      <c r="BH736" s="151">
        <f t="shared" si="96"/>
        <v>3509.61</v>
      </c>
      <c r="BI736" s="135"/>
      <c r="BJ736" s="135" t="s">
        <v>144</v>
      </c>
      <c r="BK736" s="135"/>
      <c r="BL736" s="135"/>
      <c r="BM736" s="144" t="s">
        <v>3592</v>
      </c>
      <c r="BN736" s="153">
        <f t="shared" si="97"/>
        <v>2024</v>
      </c>
      <c r="BO736" s="144" t="s">
        <v>143</v>
      </c>
      <c r="BP736" s="135"/>
      <c r="BQ736" s="203"/>
    </row>
    <row r="737" spans="1:69" ht="41.1" customHeight="1">
      <c r="A737" s="135" t="s">
        <v>1705</v>
      </c>
      <c r="B737" s="135" t="s">
        <v>3199</v>
      </c>
      <c r="C737" s="143">
        <v>1100</v>
      </c>
      <c r="D737" s="135">
        <v>45312</v>
      </c>
      <c r="E737" s="135">
        <v>45315</v>
      </c>
      <c r="F737" s="135">
        <v>45322</v>
      </c>
      <c r="G737" s="135" t="s">
        <v>3415</v>
      </c>
      <c r="H737" s="135">
        <v>45323</v>
      </c>
      <c r="I737" s="135">
        <v>45323</v>
      </c>
      <c r="J737" s="135">
        <v>45336</v>
      </c>
      <c r="K737" s="135">
        <v>45383</v>
      </c>
      <c r="L737" s="135">
        <v>45351</v>
      </c>
      <c r="M737" s="135" t="s">
        <v>76</v>
      </c>
      <c r="N737" s="135">
        <v>45391</v>
      </c>
      <c r="O737" s="135">
        <v>45391</v>
      </c>
      <c r="P737" s="135">
        <v>45398</v>
      </c>
      <c r="Q737" s="135"/>
      <c r="R737" s="135"/>
      <c r="S737" s="135"/>
      <c r="T737" s="135"/>
      <c r="U737" s="144">
        <v>4</v>
      </c>
      <c r="V737" s="143">
        <v>52066</v>
      </c>
      <c r="W737" s="143" t="str">
        <f ca="1">IF(H737="",IF(D737="","",IF(U737+V737&lt;15,"Données Nb pers ou RFR manquantes",IF(COUNTA(INDIRECT("TabRFR["&amp;YEAR(D737)&amp;"]"))&lt;&gt;COUNTA(TabRFR[Recherche RFR]),"Data RFR manquantes", IF(V737&lt;=INDEX(TabRFR[[2023]:[2025]],MATCH(BD!U737&amp;"-Très modestes",TabRFR[Recherche RFR],0),MATCH(TEXT(YEAR(BD!D737),"Standard"),TabRFR[[#Headers],[2023]:[2025]],0)),"Très Modeste",IF(V737&lt;=INDEX(TabRFR[[2023]:[2025]],MATCH(BD!U737&amp;"-modestes",TabRFR[Recherche RFR],0),MATCH(TEXT(YEAR(BD!D737),"Standard"),TabRFR[[#Headers],[2023]:[2025]],0)),"Modeste",IF(V737&lt;=INDEX(TabRFR[[2023]:[2025]],MATCH(BD!U737&amp;"-Intermédiaire",TabRFR[Recherche RFR],0),MATCH(TEXT(YEAR(BD!D737),"Standard"),TabRFR[[#Headers],[2023]:[2025]],0)),"Intermédiaire","Supérieur")))))),IF(D737="","",IF(U737+V737&lt;15,"Données Nb pers ou RFR manquantes",IF(COUNTA(INDIRECT("TabRFR["&amp;YEAR(H737)&amp;"]"))&lt;&gt;COUNTA(TabRFR[Recherche RFR]),"Data RFR manquantes", IF(V737&lt;=INDEX(TabRFR[[2023]:[2025]],MATCH(BD!U737&amp;"-Très modestes",TabRFR[Recherche RFR],0),MATCH(TEXT(YEAR(BD!H737),"Standard"),TabRFR[[#Headers],[2023]:[2025]],0)),"Très Modeste",IF(V737&lt;=INDEX(TabRFR[[2023]:[2025]],MATCH(BD!U737&amp;"-modestes",TabRFR[Recherche RFR],0),MATCH(TEXT(YEAR(BD!H737),"Standard"),TabRFR[[#Headers],[2023]:[2025]],0)),"Modeste",IF(V737&lt;=INDEX(TabRFR[[2023]:[2025]],MATCH(BD!U737&amp;"-Intermédiaire",TabRFR[Recherche RFR],0),MATCH(TEXT(YEAR(BD!H737),"Standard"),TabRFR[[#Headers],[2023]:[2025]],0)),"Intermédiaire","Supérieur")))))))</f>
        <v>Intermédiaire</v>
      </c>
      <c r="X737" s="144"/>
      <c r="Y737" s="135" t="s">
        <v>784</v>
      </c>
      <c r="Z737" s="144">
        <v>38140</v>
      </c>
      <c r="AA737" s="135" t="s">
        <v>184</v>
      </c>
      <c r="AB737" s="148"/>
      <c r="AC737" s="202"/>
      <c r="AD737" s="135" t="s">
        <v>91</v>
      </c>
      <c r="AE737" s="135"/>
      <c r="AF737" s="135"/>
      <c r="AG737" s="135"/>
      <c r="AH737" s="135"/>
      <c r="AI737" s="135" t="s">
        <v>220</v>
      </c>
      <c r="AJ737" s="135" t="s">
        <v>108</v>
      </c>
      <c r="AK737" s="135" t="s">
        <v>2059</v>
      </c>
      <c r="AL737" s="169" t="s">
        <v>1947</v>
      </c>
      <c r="AM737" s="148">
        <v>476323235</v>
      </c>
      <c r="AN737" s="135" t="s">
        <v>76</v>
      </c>
      <c r="AO737" s="193" t="s">
        <v>102</v>
      </c>
      <c r="AP737" s="135">
        <v>45525</v>
      </c>
      <c r="AQ737" s="135" t="s">
        <v>3449</v>
      </c>
      <c r="AR737" s="153">
        <v>1982</v>
      </c>
      <c r="AS737" s="143" t="s">
        <v>3413</v>
      </c>
      <c r="AT737" s="135" t="s">
        <v>98</v>
      </c>
      <c r="AU737" s="135" t="s">
        <v>113</v>
      </c>
      <c r="AV737" s="135" t="s">
        <v>3425</v>
      </c>
      <c r="AW737" s="143">
        <v>18</v>
      </c>
      <c r="AX737" s="143">
        <v>10</v>
      </c>
      <c r="AY737" s="143" t="s">
        <v>3422</v>
      </c>
      <c r="AZ737" s="143" t="s">
        <v>3423</v>
      </c>
      <c r="BA737" s="135" t="s">
        <v>101</v>
      </c>
      <c r="BB737" s="151">
        <v>2970</v>
      </c>
      <c r="BC737" s="151">
        <f>30+335+168+72+48+60+135+135</f>
        <v>983</v>
      </c>
      <c r="BD737" s="151">
        <v>545</v>
      </c>
      <c r="BE737" s="151">
        <v>375</v>
      </c>
      <c r="BF737" s="151">
        <f>BB737+BC737+BD737+BE737-135</f>
        <v>4738</v>
      </c>
      <c r="BG737" s="151">
        <f t="shared" si="95"/>
        <v>260.58999999999997</v>
      </c>
      <c r="BH737" s="151">
        <f t="shared" si="96"/>
        <v>4998.59</v>
      </c>
      <c r="BI737" s="151">
        <v>3896.12</v>
      </c>
      <c r="BJ737" s="135" t="s">
        <v>1391</v>
      </c>
      <c r="BK737" s="135"/>
      <c r="BL737" s="135"/>
      <c r="BM737" s="144" t="s">
        <v>3592</v>
      </c>
      <c r="BN737" s="153">
        <f t="shared" si="97"/>
        <v>2024</v>
      </c>
      <c r="BO737" s="144" t="s">
        <v>143</v>
      </c>
      <c r="BP737" s="143" t="s">
        <v>3583</v>
      </c>
      <c r="BQ737" s="203"/>
    </row>
    <row r="738" spans="1:69" ht="41.1" customHeight="1">
      <c r="A738" s="135" t="s">
        <v>1705</v>
      </c>
      <c r="B738" s="135" t="s">
        <v>3200</v>
      </c>
      <c r="C738" s="143">
        <v>1100</v>
      </c>
      <c r="D738" s="135">
        <v>45313</v>
      </c>
      <c r="E738" s="135">
        <v>45315</v>
      </c>
      <c r="F738" s="135">
        <v>45322</v>
      </c>
      <c r="G738" s="135" t="s">
        <v>3430</v>
      </c>
      <c r="H738" s="135">
        <v>45330</v>
      </c>
      <c r="I738" s="135">
        <v>45330</v>
      </c>
      <c r="J738" s="135">
        <v>45345</v>
      </c>
      <c r="K738" s="135">
        <v>45359</v>
      </c>
      <c r="L738" s="135">
        <v>45349</v>
      </c>
      <c r="M738" s="135" t="s">
        <v>3559</v>
      </c>
      <c r="N738" s="135">
        <v>45373</v>
      </c>
      <c r="O738" s="135">
        <v>45373</v>
      </c>
      <c r="P738" s="135">
        <v>45376</v>
      </c>
      <c r="Q738" s="135"/>
      <c r="R738" s="135"/>
      <c r="S738" s="135"/>
      <c r="T738" s="135"/>
      <c r="U738" s="144">
        <v>2</v>
      </c>
      <c r="V738" s="143">
        <v>37567</v>
      </c>
      <c r="W738" s="143" t="str">
        <f ca="1">IF(H738="",IF(D738="","",IF(U738+V738&lt;15,"Données Nb pers ou RFR manquantes",IF(COUNTA(INDIRECT("TabRFR["&amp;YEAR(D738)&amp;"]"))&lt;&gt;COUNTA(TabRFR[Recherche RFR]),"Data RFR manquantes", IF(V738&lt;=INDEX(TabRFR[[2023]:[2025]],MATCH(BD!U738&amp;"-Très modestes",TabRFR[Recherche RFR],0),MATCH(TEXT(YEAR(BD!D738),"Standard"),TabRFR[[#Headers],[2023]:[2025]],0)),"Très Modeste",IF(V738&lt;=INDEX(TabRFR[[2023]:[2025]],MATCH(BD!U738&amp;"-modestes",TabRFR[Recherche RFR],0),MATCH(TEXT(YEAR(BD!D738),"Standard"),TabRFR[[#Headers],[2023]:[2025]],0)),"Modeste",IF(V738&lt;=INDEX(TabRFR[[2023]:[2025]],MATCH(BD!U738&amp;"-Intermédiaire",TabRFR[Recherche RFR],0),MATCH(TEXT(YEAR(BD!D738),"Standard"),TabRFR[[#Headers],[2023]:[2025]],0)),"Intermédiaire","Supérieur")))))),IF(D738="","",IF(U738+V738&lt;15,"Données Nb pers ou RFR manquantes",IF(COUNTA(INDIRECT("TabRFR["&amp;YEAR(H738)&amp;"]"))&lt;&gt;COUNTA(TabRFR[Recherche RFR]),"Data RFR manquantes", IF(V738&lt;=INDEX(TabRFR[[2023]:[2025]],MATCH(BD!U738&amp;"-Très modestes",TabRFR[Recherche RFR],0),MATCH(TEXT(YEAR(BD!H738),"Standard"),TabRFR[[#Headers],[2023]:[2025]],0)),"Très Modeste",IF(V738&lt;=INDEX(TabRFR[[2023]:[2025]],MATCH(BD!U738&amp;"-modestes",TabRFR[Recherche RFR],0),MATCH(TEXT(YEAR(BD!H738),"Standard"),TabRFR[[#Headers],[2023]:[2025]],0)),"Modeste",IF(V738&lt;=INDEX(TabRFR[[2023]:[2025]],MATCH(BD!U738&amp;"-Intermédiaire",TabRFR[Recherche RFR],0),MATCH(TEXT(YEAR(BD!H738),"Standard"),TabRFR[[#Headers],[2023]:[2025]],0)),"Intermédiaire","Supérieur")))))))</f>
        <v>Intermédiaire</v>
      </c>
      <c r="X738" s="144"/>
      <c r="Y738" s="135" t="s">
        <v>3403</v>
      </c>
      <c r="Z738" s="144">
        <v>38500</v>
      </c>
      <c r="AA738" s="135" t="s">
        <v>108</v>
      </c>
      <c r="AB738" s="148"/>
      <c r="AC738" s="202"/>
      <c r="AD738" s="135" t="s">
        <v>91</v>
      </c>
      <c r="AE738" s="135"/>
      <c r="AF738" s="135"/>
      <c r="AG738" s="135"/>
      <c r="AH738" s="135"/>
      <c r="AI738" s="135" t="s">
        <v>2703</v>
      </c>
      <c r="AJ738" s="135" t="s">
        <v>266</v>
      </c>
      <c r="AK738" s="135" t="s">
        <v>2704</v>
      </c>
      <c r="AL738" s="169" t="s">
        <v>318</v>
      </c>
      <c r="AM738" s="148">
        <v>476500550</v>
      </c>
      <c r="AN738" s="135" t="s">
        <v>76</v>
      </c>
      <c r="AO738" s="193" t="s">
        <v>102</v>
      </c>
      <c r="AP738" s="135">
        <v>45503</v>
      </c>
      <c r="AQ738" s="135" t="s">
        <v>3449</v>
      </c>
      <c r="AR738" s="153">
        <v>1990</v>
      </c>
      <c r="AS738" s="143" t="s">
        <v>3413</v>
      </c>
      <c r="AT738" s="135" t="s">
        <v>3446</v>
      </c>
      <c r="AU738" s="135" t="s">
        <v>852</v>
      </c>
      <c r="AV738" s="135" t="s">
        <v>3416</v>
      </c>
      <c r="AW738" s="143">
        <v>28</v>
      </c>
      <c r="AX738" s="143">
        <v>8</v>
      </c>
      <c r="AY738" s="143">
        <v>80</v>
      </c>
      <c r="AZ738" s="143" t="s">
        <v>1775</v>
      </c>
      <c r="BA738" s="135" t="s">
        <v>101</v>
      </c>
      <c r="BB738" s="151">
        <v>1825</v>
      </c>
      <c r="BC738" s="151">
        <f>50+495.36+71.09+335.42+52.13</f>
        <v>1004.0000000000001</v>
      </c>
      <c r="BD738" s="151" t="s">
        <v>76</v>
      </c>
      <c r="BE738" s="151">
        <v>1020</v>
      </c>
      <c r="BF738" s="151">
        <f>BB738+BC738+BE738</f>
        <v>3849</v>
      </c>
      <c r="BG738" s="151">
        <f t="shared" si="95"/>
        <v>211.69499999999999</v>
      </c>
      <c r="BH738" s="151">
        <f t="shared" si="96"/>
        <v>4060.6950000000002</v>
      </c>
      <c r="BI738" s="151">
        <v>4060.7</v>
      </c>
      <c r="BJ738" s="135" t="s">
        <v>1391</v>
      </c>
      <c r="BK738" s="135"/>
      <c r="BL738" s="135"/>
      <c r="BM738" s="144" t="s">
        <v>3592</v>
      </c>
      <c r="BN738" s="153">
        <f t="shared" si="97"/>
        <v>2024</v>
      </c>
      <c r="BO738" s="144" t="s">
        <v>143</v>
      </c>
      <c r="BP738" s="135"/>
      <c r="BQ738" s="203"/>
    </row>
    <row r="739" spans="1:69" ht="41.1" customHeight="1">
      <c r="A739" s="135" t="s">
        <v>1705</v>
      </c>
      <c r="B739" s="135" t="s">
        <v>3201</v>
      </c>
      <c r="C739" s="143">
        <v>1100</v>
      </c>
      <c r="D739" s="135">
        <v>45313</v>
      </c>
      <c r="E739" s="135">
        <v>45315</v>
      </c>
      <c r="F739" s="135" t="s">
        <v>76</v>
      </c>
      <c r="G739" s="135" t="s">
        <v>76</v>
      </c>
      <c r="H739" s="135">
        <v>45322</v>
      </c>
      <c r="I739" s="135">
        <v>45322</v>
      </c>
      <c r="J739" s="135">
        <v>45336</v>
      </c>
      <c r="K739" s="135">
        <v>45366</v>
      </c>
      <c r="L739" s="135">
        <v>45342</v>
      </c>
      <c r="M739" s="135" t="s">
        <v>76</v>
      </c>
      <c r="N739" s="135">
        <v>45373</v>
      </c>
      <c r="O739" s="135">
        <v>45373</v>
      </c>
      <c r="P739" s="135">
        <v>45376</v>
      </c>
      <c r="Q739" s="135"/>
      <c r="R739" s="135"/>
      <c r="S739" s="135"/>
      <c r="T739" s="135"/>
      <c r="U739" s="144">
        <v>2</v>
      </c>
      <c r="V739" s="143">
        <v>62645</v>
      </c>
      <c r="W739" s="143" t="str">
        <f ca="1">IF(H739="",IF(D739="","",IF(U739+V739&lt;15,"Données Nb pers ou RFR manquantes",IF(COUNTA(INDIRECT("TabRFR["&amp;YEAR(D739)&amp;"]"))&lt;&gt;COUNTA(TabRFR[Recherche RFR]),"Data RFR manquantes", IF(V739&lt;=INDEX(TabRFR[[2023]:[2025]],MATCH(BD!U739&amp;"-Très modestes",TabRFR[Recherche RFR],0),MATCH(TEXT(YEAR(BD!D739),"Standard"),TabRFR[[#Headers],[2023]:[2025]],0)),"Très Modeste",IF(V739&lt;=INDEX(TabRFR[[2023]:[2025]],MATCH(BD!U739&amp;"-modestes",TabRFR[Recherche RFR],0),MATCH(TEXT(YEAR(BD!D739),"Standard"),TabRFR[[#Headers],[2023]:[2025]],0)),"Modeste",IF(V739&lt;=INDEX(TabRFR[[2023]:[2025]],MATCH(BD!U739&amp;"-Intermédiaire",TabRFR[Recherche RFR],0),MATCH(TEXT(YEAR(BD!D739),"Standard"),TabRFR[[#Headers],[2023]:[2025]],0)),"Intermédiaire","Supérieur")))))),IF(D739="","",IF(U739+V739&lt;15,"Données Nb pers ou RFR manquantes",IF(COUNTA(INDIRECT("TabRFR["&amp;YEAR(H739)&amp;"]"))&lt;&gt;COUNTA(TabRFR[Recherche RFR]),"Data RFR manquantes", IF(V739&lt;=INDEX(TabRFR[[2023]:[2025]],MATCH(BD!U739&amp;"-Très modestes",TabRFR[Recherche RFR],0),MATCH(TEXT(YEAR(BD!H739),"Standard"),TabRFR[[#Headers],[2023]:[2025]],0)),"Très Modeste",IF(V739&lt;=INDEX(TabRFR[[2023]:[2025]],MATCH(BD!U739&amp;"-modestes",TabRFR[Recherche RFR],0),MATCH(TEXT(YEAR(BD!H739),"Standard"),TabRFR[[#Headers],[2023]:[2025]],0)),"Modeste",IF(V739&lt;=INDEX(TabRFR[[2023]:[2025]],MATCH(BD!U739&amp;"-Intermédiaire",TabRFR[Recherche RFR],0),MATCH(TEXT(YEAR(BD!H739),"Standard"),TabRFR[[#Headers],[2023]:[2025]],0)),"Intermédiaire","Supérieur")))))))</f>
        <v>Supérieur</v>
      </c>
      <c r="X739" s="144"/>
      <c r="Y739" s="135" t="s">
        <v>3404</v>
      </c>
      <c r="Z739" s="144">
        <v>38140</v>
      </c>
      <c r="AA739" s="135" t="s">
        <v>159</v>
      </c>
      <c r="AB739" s="148"/>
      <c r="AC739" s="202"/>
      <c r="AD739" s="135" t="s">
        <v>91</v>
      </c>
      <c r="AE739" s="135"/>
      <c r="AF739" s="135"/>
      <c r="AG739" s="135"/>
      <c r="AH739" s="135"/>
      <c r="AI739" s="135" t="s">
        <v>2703</v>
      </c>
      <c r="AJ739" s="135" t="s">
        <v>266</v>
      </c>
      <c r="AK739" s="135" t="s">
        <v>2704</v>
      </c>
      <c r="AL739" s="169" t="s">
        <v>318</v>
      </c>
      <c r="AM739" s="148">
        <v>476500550</v>
      </c>
      <c r="AN739" s="135" t="s">
        <v>76</v>
      </c>
      <c r="AO739" s="193" t="s">
        <v>102</v>
      </c>
      <c r="AP739" s="135">
        <v>45503</v>
      </c>
      <c r="AQ739" s="135" t="s">
        <v>3449</v>
      </c>
      <c r="AR739" s="153" t="s">
        <v>213</v>
      </c>
      <c r="AS739" s="135" t="s">
        <v>3496</v>
      </c>
      <c r="AT739" s="135" t="s">
        <v>3446</v>
      </c>
      <c r="AU739" s="135" t="s">
        <v>3417</v>
      </c>
      <c r="AV739" s="135" t="s">
        <v>3418</v>
      </c>
      <c r="AW739" s="143">
        <v>25</v>
      </c>
      <c r="AX739" s="143">
        <v>8.5</v>
      </c>
      <c r="AY739" s="143">
        <v>80.599999999999994</v>
      </c>
      <c r="AZ739" s="143" t="s">
        <v>3419</v>
      </c>
      <c r="BA739" s="135" t="s">
        <v>101</v>
      </c>
      <c r="BB739" s="151">
        <v>2825</v>
      </c>
      <c r="BC739" s="151">
        <f>575.2+710.4+72+89.4+179.48+209.12+153.2+114.14+273</f>
        <v>2375.94</v>
      </c>
      <c r="BD739" s="151" t="s">
        <v>76</v>
      </c>
      <c r="BE739" s="151">
        <v>2020</v>
      </c>
      <c r="BF739" s="151">
        <f>BB739+BC739+BE739</f>
        <v>7220.9400000000005</v>
      </c>
      <c r="BG739" s="151">
        <f t="shared" si="95"/>
        <v>397.15170000000001</v>
      </c>
      <c r="BH739" s="151">
        <f t="shared" si="96"/>
        <v>7618.0917000000009</v>
      </c>
      <c r="BI739" s="151">
        <v>7019</v>
      </c>
      <c r="BJ739" s="135" t="s">
        <v>144</v>
      </c>
      <c r="BK739" s="135"/>
      <c r="BL739" s="135"/>
      <c r="BM739" s="144" t="s">
        <v>3592</v>
      </c>
      <c r="BN739" s="153">
        <f t="shared" si="97"/>
        <v>2024</v>
      </c>
      <c r="BO739" s="144" t="s">
        <v>143</v>
      </c>
      <c r="BP739" s="135"/>
      <c r="BQ739" s="203"/>
    </row>
    <row r="740" spans="1:69" ht="41.1" customHeight="1">
      <c r="A740" s="135" t="s">
        <v>1705</v>
      </c>
      <c r="B740" s="135" t="s">
        <v>3202</v>
      </c>
      <c r="C740" s="143">
        <v>600</v>
      </c>
      <c r="D740" s="135">
        <v>45322</v>
      </c>
      <c r="E740" s="135" t="s">
        <v>76</v>
      </c>
      <c r="F740" s="135">
        <v>45330</v>
      </c>
      <c r="G740" s="135" t="s">
        <v>3427</v>
      </c>
      <c r="H740" s="135">
        <v>45331</v>
      </c>
      <c r="I740" s="135">
        <v>45331</v>
      </c>
      <c r="J740" s="135">
        <v>45344</v>
      </c>
      <c r="K740" s="135"/>
      <c r="L740" s="135"/>
      <c r="M740" s="135"/>
      <c r="N740" s="135"/>
      <c r="O740" s="135"/>
      <c r="P740" s="135"/>
      <c r="Q740" s="135"/>
      <c r="R740" s="135"/>
      <c r="S740" s="135"/>
      <c r="T740" s="135"/>
      <c r="U740" s="144">
        <v>2</v>
      </c>
      <c r="V740" s="143">
        <v>65139</v>
      </c>
      <c r="W740" s="143" t="str">
        <f ca="1">IF(H740="",IF(D740="","",IF(U740+V740&lt;15,"Données Nb pers ou RFR manquantes",IF(COUNTA(INDIRECT("TabRFR["&amp;YEAR(D740)&amp;"]"))&lt;&gt;COUNTA(TabRFR[Recherche RFR]),"Data RFR manquantes", IF(V740&lt;=INDEX(TabRFR[[2023]:[2025]],MATCH(BD!U740&amp;"-Très modestes",TabRFR[Recherche RFR],0),MATCH(TEXT(YEAR(BD!D740),"Standard"),TabRFR[[#Headers],[2023]:[2025]],0)),"Très Modeste",IF(V740&lt;=INDEX(TabRFR[[2023]:[2025]],MATCH(BD!U740&amp;"-modestes",TabRFR[Recherche RFR],0),MATCH(TEXT(YEAR(BD!D740),"Standard"),TabRFR[[#Headers],[2023]:[2025]],0)),"Modeste",IF(V740&lt;=INDEX(TabRFR[[2023]:[2025]],MATCH(BD!U740&amp;"-Intermédiaire",TabRFR[Recherche RFR],0),MATCH(TEXT(YEAR(BD!D740),"Standard"),TabRFR[[#Headers],[2023]:[2025]],0)),"Intermédiaire","Supérieur")))))),IF(D740="","",IF(U740+V740&lt;15,"Données Nb pers ou RFR manquantes",IF(COUNTA(INDIRECT("TabRFR["&amp;YEAR(H740)&amp;"]"))&lt;&gt;COUNTA(TabRFR[Recherche RFR]),"Data RFR manquantes", IF(V740&lt;=INDEX(TabRFR[[2023]:[2025]],MATCH(BD!U740&amp;"-Très modestes",TabRFR[Recherche RFR],0),MATCH(TEXT(YEAR(BD!H740),"Standard"),TabRFR[[#Headers],[2023]:[2025]],0)),"Très Modeste",IF(V740&lt;=INDEX(TabRFR[[2023]:[2025]],MATCH(BD!U740&amp;"-modestes",TabRFR[Recherche RFR],0),MATCH(TEXT(YEAR(BD!H740),"Standard"),TabRFR[[#Headers],[2023]:[2025]],0)),"Modeste",IF(V740&lt;=INDEX(TabRFR[[2023]:[2025]],MATCH(BD!U740&amp;"-Intermédiaire",TabRFR[Recherche RFR],0),MATCH(TEXT(YEAR(BD!H740),"Standard"),TabRFR[[#Headers],[2023]:[2025]],0)),"Intermédiaire","Supérieur")))))))</f>
        <v>Supérieur</v>
      </c>
      <c r="X740" s="144"/>
      <c r="Y740" s="135" t="s">
        <v>974</v>
      </c>
      <c r="Z740" s="144">
        <v>38340</v>
      </c>
      <c r="AA740" s="135" t="s">
        <v>266</v>
      </c>
      <c r="AB740" s="148"/>
      <c r="AC740" s="202"/>
      <c r="AD740" s="135" t="s">
        <v>91</v>
      </c>
      <c r="AE740" s="135"/>
      <c r="AF740" s="135"/>
      <c r="AG740" s="135"/>
      <c r="AH740" s="135"/>
      <c r="AI740" s="135" t="s">
        <v>2703</v>
      </c>
      <c r="AJ740" s="135" t="s">
        <v>266</v>
      </c>
      <c r="AK740" s="135" t="s">
        <v>2704</v>
      </c>
      <c r="AL740" s="169" t="s">
        <v>318</v>
      </c>
      <c r="AM740" s="148">
        <v>476500550</v>
      </c>
      <c r="AN740" s="135" t="s">
        <v>76</v>
      </c>
      <c r="AO740" s="193" t="s">
        <v>102</v>
      </c>
      <c r="AP740" s="135">
        <v>45503</v>
      </c>
      <c r="AQ740" s="135" t="s">
        <v>3496</v>
      </c>
      <c r="AR740" s="135" t="s">
        <v>172</v>
      </c>
      <c r="AS740" s="143" t="s">
        <v>3413</v>
      </c>
      <c r="AT740" s="135" t="s">
        <v>3446</v>
      </c>
      <c r="AU740" s="135" t="s">
        <v>3417</v>
      </c>
      <c r="AV740" s="135" t="s">
        <v>2332</v>
      </c>
      <c r="AW740" s="143">
        <v>26</v>
      </c>
      <c r="AX740" s="143">
        <v>4</v>
      </c>
      <c r="AY740" s="143" t="s">
        <v>2333</v>
      </c>
      <c r="AZ740" s="143" t="s">
        <v>2012</v>
      </c>
      <c r="BA740" s="135" t="s">
        <v>101</v>
      </c>
      <c r="BB740" s="151">
        <f>644+345.2+128.3</f>
        <v>1117.5</v>
      </c>
      <c r="BC740" s="151">
        <f>157.67+64.73+171.82+181.08+54.28+231.04+153.92+107.72+152.74+37.6+80.95+205.2+3137.5+265.2+48.2+240.2+800</f>
        <v>6089.8499999999995</v>
      </c>
      <c r="BD740" s="151" t="s">
        <v>76</v>
      </c>
      <c r="BE740" s="151">
        <v>900</v>
      </c>
      <c r="BF740" s="151">
        <f>BB740+BC740+BE740</f>
        <v>8107.3499999999995</v>
      </c>
      <c r="BG740" s="151">
        <f t="shared" ref="BG740:BG745" si="98">BF740*0.055</f>
        <v>445.90424999999999</v>
      </c>
      <c r="BH740" s="151">
        <f t="shared" si="96"/>
        <v>8553.25425</v>
      </c>
      <c r="BI740" s="135"/>
      <c r="BJ740" s="135" t="s">
        <v>1391</v>
      </c>
      <c r="BK740" s="135"/>
      <c r="BL740" s="135"/>
      <c r="BM740" s="144" t="s">
        <v>3592</v>
      </c>
      <c r="BN740" s="153">
        <f t="shared" si="97"/>
        <v>2024</v>
      </c>
      <c r="BO740" s="144" t="s">
        <v>143</v>
      </c>
      <c r="BP740" s="135"/>
      <c r="BQ740" s="203"/>
    </row>
    <row r="741" spans="1:69" ht="41.1" customHeight="1">
      <c r="A741" s="135" t="s">
        <v>1705</v>
      </c>
      <c r="B741" s="135" t="s">
        <v>3203</v>
      </c>
      <c r="C741" s="143">
        <v>600</v>
      </c>
      <c r="D741" s="135">
        <v>45326</v>
      </c>
      <c r="E741" s="135" t="s">
        <v>76</v>
      </c>
      <c r="F741" s="135">
        <v>45330</v>
      </c>
      <c r="G741" s="135" t="s">
        <v>3427</v>
      </c>
      <c r="H741" s="135">
        <v>45331</v>
      </c>
      <c r="I741" s="135">
        <v>45331</v>
      </c>
      <c r="J741" s="135">
        <v>45344</v>
      </c>
      <c r="K741" s="135"/>
      <c r="L741" s="135"/>
      <c r="M741" s="135"/>
      <c r="N741" s="135"/>
      <c r="O741" s="135"/>
      <c r="P741" s="135"/>
      <c r="Q741" s="135"/>
      <c r="R741" s="135"/>
      <c r="S741" s="135"/>
      <c r="T741" s="135"/>
      <c r="U741" s="144">
        <v>4</v>
      </c>
      <c r="V741" s="143">
        <v>163784</v>
      </c>
      <c r="W741" s="143" t="str">
        <f ca="1">IF(H741="",IF(D741="","",IF(U741+V741&lt;15,"Données Nb pers ou RFR manquantes",IF(COUNTA(INDIRECT("TabRFR["&amp;YEAR(D741)&amp;"]"))&lt;&gt;COUNTA(TabRFR[Recherche RFR]),"Data RFR manquantes", IF(V741&lt;=INDEX(TabRFR[[2023]:[2025]],MATCH(BD!U741&amp;"-Très modestes",TabRFR[Recherche RFR],0),MATCH(TEXT(YEAR(BD!D741),"Standard"),TabRFR[[#Headers],[2023]:[2025]],0)),"Très Modeste",IF(V741&lt;=INDEX(TabRFR[[2023]:[2025]],MATCH(BD!U741&amp;"-modestes",TabRFR[Recherche RFR],0),MATCH(TEXT(YEAR(BD!D741),"Standard"),TabRFR[[#Headers],[2023]:[2025]],0)),"Modeste",IF(V741&lt;=INDEX(TabRFR[[2023]:[2025]],MATCH(BD!U741&amp;"-Intermédiaire",TabRFR[Recherche RFR],0),MATCH(TEXT(YEAR(BD!D741),"Standard"),TabRFR[[#Headers],[2023]:[2025]],0)),"Intermédiaire","Supérieur")))))),IF(D741="","",IF(U741+V741&lt;15,"Données Nb pers ou RFR manquantes",IF(COUNTA(INDIRECT("TabRFR["&amp;YEAR(H741)&amp;"]"))&lt;&gt;COUNTA(TabRFR[Recherche RFR]),"Data RFR manquantes", IF(V741&lt;=INDEX(TabRFR[[2023]:[2025]],MATCH(BD!U741&amp;"-Très modestes",TabRFR[Recherche RFR],0),MATCH(TEXT(YEAR(BD!H741),"Standard"),TabRFR[[#Headers],[2023]:[2025]],0)),"Très Modeste",IF(V741&lt;=INDEX(TabRFR[[2023]:[2025]],MATCH(BD!U741&amp;"-modestes",TabRFR[Recherche RFR],0),MATCH(TEXT(YEAR(BD!H741),"Standard"),TabRFR[[#Headers],[2023]:[2025]],0)),"Modeste",IF(V741&lt;=INDEX(TabRFR[[2023]:[2025]],MATCH(BD!U741&amp;"-Intermédiaire",TabRFR[Recherche RFR],0),MATCH(TEXT(YEAR(BD!H741),"Standard"),TabRFR[[#Headers],[2023]:[2025]],0)),"Intermédiaire","Supérieur")))))))</f>
        <v>Supérieur</v>
      </c>
      <c r="X741" s="144"/>
      <c r="Y741" s="135" t="s">
        <v>3431</v>
      </c>
      <c r="Z741" s="144">
        <v>38850</v>
      </c>
      <c r="AA741" s="135" t="s">
        <v>148</v>
      </c>
      <c r="AB741" s="148"/>
      <c r="AC741" s="202"/>
      <c r="AD741" s="135" t="s">
        <v>91</v>
      </c>
      <c r="AE741" s="135"/>
      <c r="AF741" s="135"/>
      <c r="AG741" s="135"/>
      <c r="AH741" s="135"/>
      <c r="AI741" s="135" t="s">
        <v>169</v>
      </c>
      <c r="AJ741" s="135" t="s">
        <v>119</v>
      </c>
      <c r="AK741" s="135" t="s">
        <v>2192</v>
      </c>
      <c r="AL741" s="169" t="s">
        <v>171</v>
      </c>
      <c r="AM741" s="135" t="s">
        <v>1406</v>
      </c>
      <c r="AN741" s="135" t="str">
        <f>AN737</f>
        <v>-</v>
      </c>
      <c r="AO741" s="135" t="str">
        <f>AO737</f>
        <v>oui</v>
      </c>
      <c r="AP741" s="135">
        <v>45614</v>
      </c>
      <c r="AQ741" s="135" t="s">
        <v>3496</v>
      </c>
      <c r="AR741" s="153">
        <v>1998</v>
      </c>
      <c r="AS741" s="143" t="s">
        <v>3413</v>
      </c>
      <c r="AT741" s="135" t="s">
        <v>3446</v>
      </c>
      <c r="AU741" s="135" t="s">
        <v>3432</v>
      </c>
      <c r="AV741" s="135" t="s">
        <v>3433</v>
      </c>
      <c r="AW741" s="143">
        <v>31</v>
      </c>
      <c r="AX741" s="143" t="s">
        <v>2122</v>
      </c>
      <c r="AY741" s="143" t="s">
        <v>3434</v>
      </c>
      <c r="AZ741" s="143" t="s">
        <v>2044</v>
      </c>
      <c r="BA741" s="135" t="s">
        <v>101</v>
      </c>
      <c r="BB741" s="151">
        <v>2450</v>
      </c>
      <c r="BC741" s="151">
        <f>79.6+211+189.56+480+89.58+106.35+145.35+550+238+110+45.35</f>
        <v>2244.7899999999995</v>
      </c>
      <c r="BD741" s="151" t="s">
        <v>76</v>
      </c>
      <c r="BE741" s="151">
        <f>425+95.6</f>
        <v>520.6</v>
      </c>
      <c r="BF741" s="151">
        <f>BB741+BC741+BE741</f>
        <v>5215.3899999999994</v>
      </c>
      <c r="BG741" s="151">
        <f t="shared" si="98"/>
        <v>286.84644999999995</v>
      </c>
      <c r="BH741" s="151">
        <f t="shared" si="96"/>
        <v>5502.2364499999994</v>
      </c>
      <c r="BI741" s="135"/>
      <c r="BJ741" s="135" t="s">
        <v>144</v>
      </c>
      <c r="BK741" s="135"/>
      <c r="BL741" s="135"/>
      <c r="BM741" s="144" t="s">
        <v>3592</v>
      </c>
      <c r="BN741" s="153">
        <f t="shared" si="97"/>
        <v>2024</v>
      </c>
      <c r="BO741" s="144" t="s">
        <v>143</v>
      </c>
      <c r="BP741" s="135"/>
      <c r="BQ741" s="203"/>
    </row>
    <row r="742" spans="1:69" ht="41.1" customHeight="1">
      <c r="A742" s="135" t="s">
        <v>1705</v>
      </c>
      <c r="B742" s="135" t="s">
        <v>3204</v>
      </c>
      <c r="C742" s="143">
        <v>600</v>
      </c>
      <c r="D742" s="135">
        <v>45331</v>
      </c>
      <c r="E742" s="135">
        <v>45331</v>
      </c>
      <c r="F742" s="135" t="s">
        <v>76</v>
      </c>
      <c r="G742" s="135" t="s">
        <v>76</v>
      </c>
      <c r="H742" s="135">
        <v>45338</v>
      </c>
      <c r="I742" s="135">
        <v>45338</v>
      </c>
      <c r="J742" s="135">
        <v>45348</v>
      </c>
      <c r="K742" s="135">
        <v>45350</v>
      </c>
      <c r="L742" s="135">
        <v>45341</v>
      </c>
      <c r="M742" s="135" t="s">
        <v>76</v>
      </c>
      <c r="N742" s="135">
        <v>45358</v>
      </c>
      <c r="O742" s="135">
        <v>45358</v>
      </c>
      <c r="P742" s="135"/>
      <c r="Q742" s="135"/>
      <c r="R742" s="135"/>
      <c r="S742" s="135"/>
      <c r="T742" s="135"/>
      <c r="U742" s="144">
        <v>4</v>
      </c>
      <c r="V742" s="143">
        <v>63973</v>
      </c>
      <c r="W742" s="143" t="str">
        <f ca="1">IF(H742="",IF(D742="","",IF(U742+V742&lt;15,"Données Nb pers ou RFR manquantes",IF(COUNTA(INDIRECT("TabRFR["&amp;YEAR(D742)&amp;"]"))&lt;&gt;COUNTA(TabRFR[Recherche RFR]),"Data RFR manquantes", IF(V742&lt;=INDEX(TabRFR[[2023]:[2025]],MATCH(BD!U742&amp;"-Très modestes",TabRFR[Recherche RFR],0),MATCH(TEXT(YEAR(BD!D742),"Standard"),TabRFR[[#Headers],[2023]:[2025]],0)),"Très Modeste",IF(V742&lt;=INDEX(TabRFR[[2023]:[2025]],MATCH(BD!U742&amp;"-modestes",TabRFR[Recherche RFR],0),MATCH(TEXT(YEAR(BD!D742),"Standard"),TabRFR[[#Headers],[2023]:[2025]],0)),"Modeste",IF(V742&lt;=INDEX(TabRFR[[2023]:[2025]],MATCH(BD!U742&amp;"-Intermédiaire",TabRFR[Recherche RFR],0),MATCH(TEXT(YEAR(BD!D742),"Standard"),TabRFR[[#Headers],[2023]:[2025]],0)),"Intermédiaire","Supérieur")))))),IF(D742="","",IF(U742+V742&lt;15,"Données Nb pers ou RFR manquantes",IF(COUNTA(INDIRECT("TabRFR["&amp;YEAR(H742)&amp;"]"))&lt;&gt;COUNTA(TabRFR[Recherche RFR]),"Data RFR manquantes", IF(V742&lt;=INDEX(TabRFR[[2023]:[2025]],MATCH(BD!U742&amp;"-Très modestes",TabRFR[Recherche RFR],0),MATCH(TEXT(YEAR(BD!H742),"Standard"),TabRFR[[#Headers],[2023]:[2025]],0)),"Très Modeste",IF(V742&lt;=INDEX(TabRFR[[2023]:[2025]],MATCH(BD!U742&amp;"-modestes",TabRFR[Recherche RFR],0),MATCH(TEXT(YEAR(BD!H742),"Standard"),TabRFR[[#Headers],[2023]:[2025]],0)),"Modeste",IF(V742&lt;=INDEX(TabRFR[[2023]:[2025]],MATCH(BD!U742&amp;"-Intermédiaire",TabRFR[Recherche RFR],0),MATCH(TEXT(YEAR(BD!H742),"Standard"),TabRFR[[#Headers],[2023]:[2025]],0)),"Intermédiaire","Supérieur")))))))</f>
        <v>Supérieur</v>
      </c>
      <c r="X742" s="144"/>
      <c r="Y742" s="135" t="s">
        <v>3435</v>
      </c>
      <c r="Z742" s="144">
        <v>38850</v>
      </c>
      <c r="AA742" s="135" t="s">
        <v>168</v>
      </c>
      <c r="AB742" s="148"/>
      <c r="AC742" s="202"/>
      <c r="AD742" s="135" t="s">
        <v>91</v>
      </c>
      <c r="AE742" s="135"/>
      <c r="AF742" s="135"/>
      <c r="AG742" s="135"/>
      <c r="AH742" s="135"/>
      <c r="AI742" s="135" t="s">
        <v>120</v>
      </c>
      <c r="AJ742" s="135" t="s">
        <v>121</v>
      </c>
      <c r="AK742" s="135" t="s">
        <v>2232</v>
      </c>
      <c r="AL742" s="150" t="s">
        <v>123</v>
      </c>
      <c r="AM742" s="135" t="s">
        <v>1469</v>
      </c>
      <c r="AN742" s="135" t="s">
        <v>2233</v>
      </c>
      <c r="AO742" s="193" t="s">
        <v>102</v>
      </c>
      <c r="AP742" s="135">
        <v>45513</v>
      </c>
      <c r="AQ742" s="143" t="s">
        <v>3413</v>
      </c>
      <c r="AR742" s="153">
        <v>2000</v>
      </c>
      <c r="AS742" s="143" t="s">
        <v>3413</v>
      </c>
      <c r="AT742" s="135" t="s">
        <v>3446</v>
      </c>
      <c r="AU742" s="135" t="s">
        <v>852</v>
      </c>
      <c r="AV742" s="135" t="s">
        <v>2884</v>
      </c>
      <c r="AW742" s="143">
        <v>33</v>
      </c>
      <c r="AX742" s="143">
        <v>7</v>
      </c>
      <c r="AY742" s="143">
        <v>79</v>
      </c>
      <c r="AZ742" s="143" t="s">
        <v>2315</v>
      </c>
      <c r="BA742" s="135" t="s">
        <v>101</v>
      </c>
      <c r="BB742" s="151">
        <v>2980</v>
      </c>
      <c r="BC742" s="151">
        <f>200+135+216+239+130+589+200+124</f>
        <v>1833</v>
      </c>
      <c r="BD742" s="151" t="s">
        <v>76</v>
      </c>
      <c r="BE742" s="151">
        <v>700</v>
      </c>
      <c r="BF742" s="151">
        <f>BB742+BC742+BE742</f>
        <v>5513</v>
      </c>
      <c r="BG742" s="151">
        <f t="shared" si="98"/>
        <v>303.21499999999997</v>
      </c>
      <c r="BH742" s="151">
        <f t="shared" si="96"/>
        <v>5816.2150000000001</v>
      </c>
      <c r="BI742" s="151">
        <v>5816.2</v>
      </c>
      <c r="BJ742" s="135" t="s">
        <v>144</v>
      </c>
      <c r="BK742" s="135"/>
      <c r="BL742" s="135"/>
      <c r="BM742" s="144" t="s">
        <v>3592</v>
      </c>
      <c r="BN742" s="153">
        <f t="shared" si="97"/>
        <v>2024</v>
      </c>
      <c r="BO742" s="144" t="s">
        <v>143</v>
      </c>
      <c r="BP742" s="135"/>
      <c r="BQ742" s="203"/>
    </row>
    <row r="743" spans="1:69" ht="41.1" customHeight="1">
      <c r="A743" s="135" t="s">
        <v>1705</v>
      </c>
      <c r="B743" s="135" t="s">
        <v>3205</v>
      </c>
      <c r="C743" s="143">
        <v>1100</v>
      </c>
      <c r="D743" s="135">
        <v>45331</v>
      </c>
      <c r="E743" s="135">
        <v>45331</v>
      </c>
      <c r="F743" s="135">
        <v>45338</v>
      </c>
      <c r="G743" s="135" t="s">
        <v>2507</v>
      </c>
      <c r="H743" s="135">
        <v>45365</v>
      </c>
      <c r="I743" s="135">
        <v>45365</v>
      </c>
      <c r="J743" s="135">
        <v>45376</v>
      </c>
      <c r="K743" s="135"/>
      <c r="L743" s="135"/>
      <c r="M743" s="135"/>
      <c r="N743" s="135"/>
      <c r="O743" s="135"/>
      <c r="P743" s="135"/>
      <c r="Q743" s="135"/>
      <c r="R743" s="135"/>
      <c r="S743" s="135"/>
      <c r="T743" s="135"/>
      <c r="U743" s="144">
        <v>2</v>
      </c>
      <c r="V743" s="143">
        <v>54400</v>
      </c>
      <c r="W743" s="143" t="str">
        <f ca="1">IF(H743="",IF(D743="","",IF(U743+V743&lt;15,"Données Nb pers ou RFR manquantes",IF(COUNTA(INDIRECT("TabRFR["&amp;YEAR(D743)&amp;"]"))&lt;&gt;COUNTA(TabRFR[Recherche RFR]),"Data RFR manquantes", IF(V743&lt;=INDEX(TabRFR[[2023]:[2025]],MATCH(BD!U743&amp;"-Très modestes",TabRFR[Recherche RFR],0),MATCH(TEXT(YEAR(BD!D743),"Standard"),TabRFR[[#Headers],[2023]:[2025]],0)),"Très Modeste",IF(V743&lt;=INDEX(TabRFR[[2023]:[2025]],MATCH(BD!U743&amp;"-modestes",TabRFR[Recherche RFR],0),MATCH(TEXT(YEAR(BD!D743),"Standard"),TabRFR[[#Headers],[2023]:[2025]],0)),"Modeste",IF(V743&lt;=INDEX(TabRFR[[2023]:[2025]],MATCH(BD!U743&amp;"-Intermédiaire",TabRFR[Recherche RFR],0),MATCH(TEXT(YEAR(BD!D743),"Standard"),TabRFR[[#Headers],[2023]:[2025]],0)),"Intermédiaire","Supérieur")))))),IF(D743="","",IF(U743+V743&lt;15,"Données Nb pers ou RFR manquantes",IF(COUNTA(INDIRECT("TabRFR["&amp;YEAR(H743)&amp;"]"))&lt;&gt;COUNTA(TabRFR[Recherche RFR]),"Data RFR manquantes", IF(V743&lt;=INDEX(TabRFR[[2023]:[2025]],MATCH(BD!U743&amp;"-Très modestes",TabRFR[Recherche RFR],0),MATCH(TEXT(YEAR(BD!H743),"Standard"),TabRFR[[#Headers],[2023]:[2025]],0)),"Très Modeste",IF(V743&lt;=INDEX(TabRFR[[2023]:[2025]],MATCH(BD!U743&amp;"-modestes",TabRFR[Recherche RFR],0),MATCH(TEXT(YEAR(BD!H743),"Standard"),TabRFR[[#Headers],[2023]:[2025]],0)),"Modeste",IF(V743&lt;=INDEX(TabRFR[[2023]:[2025]],MATCH(BD!U743&amp;"-Intermédiaire",TabRFR[Recherche RFR],0),MATCH(TEXT(YEAR(BD!H743),"Standard"),TabRFR[[#Headers],[2023]:[2025]],0)),"Intermédiaire","Supérieur")))))))</f>
        <v>Supérieur</v>
      </c>
      <c r="X743" s="144"/>
      <c r="Y743" s="135" t="s">
        <v>3436</v>
      </c>
      <c r="Z743" s="144">
        <v>38500</v>
      </c>
      <c r="AA743" s="135" t="s">
        <v>108</v>
      </c>
      <c r="AB743" s="148"/>
      <c r="AC743" s="202"/>
      <c r="AD743" s="135" t="s">
        <v>91</v>
      </c>
      <c r="AE743" s="135"/>
      <c r="AF743" s="135"/>
      <c r="AG743" s="135"/>
      <c r="AH743" s="135"/>
      <c r="AI743" s="135" t="s">
        <v>285</v>
      </c>
      <c r="AJ743" s="135" t="s">
        <v>108</v>
      </c>
      <c r="AK743" s="135" t="s">
        <v>2227</v>
      </c>
      <c r="AL743" s="169" t="s">
        <v>287</v>
      </c>
      <c r="AM743" s="148" t="s">
        <v>2184</v>
      </c>
      <c r="AN743" s="135" t="s">
        <v>76</v>
      </c>
      <c r="AO743" s="193" t="s">
        <v>102</v>
      </c>
      <c r="AP743" s="135">
        <v>45553</v>
      </c>
      <c r="AQ743" s="135" t="s">
        <v>3449</v>
      </c>
      <c r="AR743" s="153">
        <v>1982</v>
      </c>
      <c r="AS743" s="143" t="s">
        <v>3413</v>
      </c>
      <c r="AT743" s="135" t="s">
        <v>3446</v>
      </c>
      <c r="AU743" s="135" t="s">
        <v>381</v>
      </c>
      <c r="AV743" s="135" t="s">
        <v>3442</v>
      </c>
      <c r="AW743" s="143">
        <v>34</v>
      </c>
      <c r="AX743" s="143">
        <v>9</v>
      </c>
      <c r="AY743" s="143" t="s">
        <v>3443</v>
      </c>
      <c r="AZ743" s="143" t="s">
        <v>2034</v>
      </c>
      <c r="BA743" s="135" t="s">
        <v>101</v>
      </c>
      <c r="BB743" s="151">
        <v>3408</v>
      </c>
      <c r="BC743" s="151">
        <f>605+315+430+89+390+350</f>
        <v>2179</v>
      </c>
      <c r="BD743" s="151">
        <v>490</v>
      </c>
      <c r="BE743" s="151">
        <v>330</v>
      </c>
      <c r="BF743" s="151">
        <f>BB743+BC743+BD743+BE743</f>
        <v>6407</v>
      </c>
      <c r="BG743" s="151">
        <f t="shared" si="98"/>
        <v>352.38499999999999</v>
      </c>
      <c r="BH743" s="151">
        <f t="shared" si="96"/>
        <v>6759.3850000000002</v>
      </c>
      <c r="BI743" s="135"/>
      <c r="BJ743" s="135" t="s">
        <v>1391</v>
      </c>
      <c r="BK743" s="135"/>
      <c r="BL743" s="135"/>
      <c r="BM743" s="144" t="s">
        <v>3592</v>
      </c>
      <c r="BN743" s="153">
        <f t="shared" si="97"/>
        <v>2024</v>
      </c>
      <c r="BO743" s="144" t="s">
        <v>143</v>
      </c>
      <c r="BP743" s="135"/>
      <c r="BQ743" s="203"/>
    </row>
    <row r="744" spans="1:69" ht="41.1" customHeight="1">
      <c r="A744" s="135" t="s">
        <v>1705</v>
      </c>
      <c r="B744" s="135" t="s">
        <v>3206</v>
      </c>
      <c r="C744" s="143">
        <v>1100</v>
      </c>
      <c r="D744" s="135">
        <v>45335</v>
      </c>
      <c r="E744" s="135">
        <v>45336</v>
      </c>
      <c r="F744" s="135">
        <v>45338</v>
      </c>
      <c r="G744" s="135" t="s">
        <v>3554</v>
      </c>
      <c r="H744" s="135">
        <v>45358</v>
      </c>
      <c r="I744" s="135">
        <v>45358</v>
      </c>
      <c r="J744" s="135">
        <v>45373</v>
      </c>
      <c r="K744" s="135">
        <v>45402</v>
      </c>
      <c r="L744" s="135">
        <v>45393</v>
      </c>
      <c r="M744" s="135" t="s">
        <v>3587</v>
      </c>
      <c r="N744" s="135">
        <v>45429</v>
      </c>
      <c r="O744" s="135">
        <v>45429</v>
      </c>
      <c r="P744" s="135"/>
      <c r="Q744" s="135"/>
      <c r="R744" s="135"/>
      <c r="S744" s="135"/>
      <c r="T744" s="135"/>
      <c r="U744" s="144">
        <v>2</v>
      </c>
      <c r="V744" s="143">
        <v>63652</v>
      </c>
      <c r="W744" s="143" t="str">
        <f ca="1">IF(H744="",IF(D744="","",IF(U744+V744&lt;15,"Données Nb pers ou RFR manquantes",IF(COUNTA(INDIRECT("TabRFR["&amp;YEAR(D744)&amp;"]"))&lt;&gt;COUNTA(TabRFR[Recherche RFR]),"Data RFR manquantes", IF(V744&lt;=INDEX(TabRFR[[2023]:[2025]],MATCH(BD!U744&amp;"-Très modestes",TabRFR[Recherche RFR],0),MATCH(TEXT(YEAR(BD!D744),"Standard"),TabRFR[[#Headers],[2023]:[2025]],0)),"Très Modeste",IF(V744&lt;=INDEX(TabRFR[[2023]:[2025]],MATCH(BD!U744&amp;"-modestes",TabRFR[Recherche RFR],0),MATCH(TEXT(YEAR(BD!D744),"Standard"),TabRFR[[#Headers],[2023]:[2025]],0)),"Modeste",IF(V744&lt;=INDEX(TabRFR[[2023]:[2025]],MATCH(BD!U744&amp;"-Intermédiaire",TabRFR[Recherche RFR],0),MATCH(TEXT(YEAR(BD!D744),"Standard"),TabRFR[[#Headers],[2023]:[2025]],0)),"Intermédiaire","Supérieur")))))),IF(D744="","",IF(U744+V744&lt;15,"Données Nb pers ou RFR manquantes",IF(COUNTA(INDIRECT("TabRFR["&amp;YEAR(H744)&amp;"]"))&lt;&gt;COUNTA(TabRFR[Recherche RFR]),"Data RFR manquantes", IF(V744&lt;=INDEX(TabRFR[[2023]:[2025]],MATCH(BD!U744&amp;"-Très modestes",TabRFR[Recherche RFR],0),MATCH(TEXT(YEAR(BD!H744),"Standard"),TabRFR[[#Headers],[2023]:[2025]],0)),"Très Modeste",IF(V744&lt;=INDEX(TabRFR[[2023]:[2025]],MATCH(BD!U744&amp;"-modestes",TabRFR[Recherche RFR],0),MATCH(TEXT(YEAR(BD!H744),"Standard"),TabRFR[[#Headers],[2023]:[2025]],0)),"Modeste",IF(V744&lt;=INDEX(TabRFR[[2023]:[2025]],MATCH(BD!U744&amp;"-Intermédiaire",TabRFR[Recherche RFR],0),MATCH(TEXT(YEAR(BD!H744),"Standard"),TabRFR[[#Headers],[2023]:[2025]],0)),"Intermédiaire","Supérieur")))))))</f>
        <v>Supérieur</v>
      </c>
      <c r="X744" s="144"/>
      <c r="Y744" s="135" t="s">
        <v>3441</v>
      </c>
      <c r="Z744" s="144">
        <v>38960</v>
      </c>
      <c r="AA744" s="135" t="s">
        <v>360</v>
      </c>
      <c r="AB744" s="148"/>
      <c r="AC744" s="202"/>
      <c r="AD744" s="135" t="s">
        <v>91</v>
      </c>
      <c r="AE744" s="135"/>
      <c r="AF744" s="135"/>
      <c r="AG744" s="135"/>
      <c r="AH744" s="135"/>
      <c r="AI744" s="135" t="s">
        <v>1665</v>
      </c>
      <c r="AJ744" s="135" t="s">
        <v>121</v>
      </c>
      <c r="AK744" s="135" t="s">
        <v>2450</v>
      </c>
      <c r="AL744" s="202" t="s">
        <v>3342</v>
      </c>
      <c r="AM744" s="148">
        <v>476452433</v>
      </c>
      <c r="AN744" s="135" t="s">
        <v>76</v>
      </c>
      <c r="AO744" s="150" t="s">
        <v>144</v>
      </c>
      <c r="AP744" s="135">
        <v>45685</v>
      </c>
      <c r="AQ744" s="135" t="s">
        <v>3449</v>
      </c>
      <c r="AR744" s="153">
        <v>1995</v>
      </c>
      <c r="AS744" s="143" t="s">
        <v>3413</v>
      </c>
      <c r="AT744" s="135" t="s">
        <v>3446</v>
      </c>
      <c r="AU744" s="135" t="s">
        <v>3444</v>
      </c>
      <c r="AV744" s="135" t="s">
        <v>608</v>
      </c>
      <c r="AW744" s="143">
        <v>59</v>
      </c>
      <c r="AX744" s="143" t="s">
        <v>3445</v>
      </c>
      <c r="AY744" s="143">
        <v>81</v>
      </c>
      <c r="AZ744" s="143" t="s">
        <v>2044</v>
      </c>
      <c r="BA744" s="135" t="s">
        <v>101</v>
      </c>
      <c r="BB744" s="151">
        <v>3957.67</v>
      </c>
      <c r="BC744" s="151">
        <f>529+785+255.68+219</f>
        <v>1788.68</v>
      </c>
      <c r="BD744" s="151">
        <f>1065.1+450</f>
        <v>1515.1</v>
      </c>
      <c r="BE744" s="151">
        <f>400+350+170</f>
        <v>920</v>
      </c>
      <c r="BF744" s="151">
        <f>BB744+BC744+BD744+BE744</f>
        <v>8181.4500000000007</v>
      </c>
      <c r="BG744" s="151">
        <f t="shared" si="98"/>
        <v>449.97975000000002</v>
      </c>
      <c r="BH744" s="151">
        <f t="shared" si="96"/>
        <v>8631.4297500000011</v>
      </c>
      <c r="BI744" s="151">
        <v>8631.43</v>
      </c>
      <c r="BJ744" s="135" t="s">
        <v>76</v>
      </c>
      <c r="BK744" s="135"/>
      <c r="BL744" s="135"/>
      <c r="BM744" s="144" t="s">
        <v>3592</v>
      </c>
      <c r="BN744" s="153">
        <f t="shared" si="97"/>
        <v>2024</v>
      </c>
      <c r="BO744" s="144" t="s">
        <v>143</v>
      </c>
      <c r="BP744" s="135"/>
      <c r="BQ744" s="203"/>
    </row>
    <row r="745" spans="1:69" ht="41.1" customHeight="1">
      <c r="A745" s="135" t="s">
        <v>1705</v>
      </c>
      <c r="B745" s="135" t="s">
        <v>3207</v>
      </c>
      <c r="C745" s="143">
        <v>600</v>
      </c>
      <c r="D745" s="135">
        <v>45338</v>
      </c>
      <c r="E745" s="135">
        <v>45341</v>
      </c>
      <c r="F745" s="135">
        <v>45341</v>
      </c>
      <c r="G745" s="135" t="s">
        <v>3502</v>
      </c>
      <c r="H745" s="135">
        <v>45348</v>
      </c>
      <c r="I745" s="135">
        <v>45348</v>
      </c>
      <c r="J745" s="135">
        <v>45358</v>
      </c>
      <c r="K745" s="135"/>
      <c r="L745" s="135"/>
      <c r="M745" s="135"/>
      <c r="N745" s="135"/>
      <c r="O745" s="135"/>
      <c r="P745" s="135"/>
      <c r="Q745" s="135"/>
      <c r="R745" s="135"/>
      <c r="S745" s="135"/>
      <c r="T745" s="135"/>
      <c r="U745" s="144">
        <v>2</v>
      </c>
      <c r="V745" s="143">
        <v>75408</v>
      </c>
      <c r="W745" s="143" t="str">
        <f ca="1">IF(H745="",IF(D745="","",IF(U745+V745&lt;15,"Données Nb pers ou RFR manquantes",IF(COUNTA(INDIRECT("TabRFR["&amp;YEAR(D745)&amp;"]"))&lt;&gt;COUNTA(TabRFR[Recherche RFR]),"Data RFR manquantes", IF(V745&lt;=INDEX(TabRFR[[2023]:[2025]],MATCH(BD!U745&amp;"-Très modestes",TabRFR[Recherche RFR],0),MATCH(TEXT(YEAR(BD!D745),"Standard"),TabRFR[[#Headers],[2023]:[2025]],0)),"Très Modeste",IF(V745&lt;=INDEX(TabRFR[[2023]:[2025]],MATCH(BD!U745&amp;"-modestes",TabRFR[Recherche RFR],0),MATCH(TEXT(YEAR(BD!D745),"Standard"),TabRFR[[#Headers],[2023]:[2025]],0)),"Modeste",IF(V745&lt;=INDEX(TabRFR[[2023]:[2025]],MATCH(BD!U745&amp;"-Intermédiaire",TabRFR[Recherche RFR],0),MATCH(TEXT(YEAR(BD!D745),"Standard"),TabRFR[[#Headers],[2023]:[2025]],0)),"Intermédiaire","Supérieur")))))),IF(D745="","",IF(U745+V745&lt;15,"Données Nb pers ou RFR manquantes",IF(COUNTA(INDIRECT("TabRFR["&amp;YEAR(H745)&amp;"]"))&lt;&gt;COUNTA(TabRFR[Recherche RFR]),"Data RFR manquantes", IF(V745&lt;=INDEX(TabRFR[[2023]:[2025]],MATCH(BD!U745&amp;"-Très modestes",TabRFR[Recherche RFR],0),MATCH(TEXT(YEAR(BD!H745),"Standard"),TabRFR[[#Headers],[2023]:[2025]],0)),"Très Modeste",IF(V745&lt;=INDEX(TabRFR[[2023]:[2025]],MATCH(BD!U745&amp;"-modestes",TabRFR[Recherche RFR],0),MATCH(TEXT(YEAR(BD!H745),"Standard"),TabRFR[[#Headers],[2023]:[2025]],0)),"Modeste",IF(V745&lt;=INDEX(TabRFR[[2023]:[2025]],MATCH(BD!U745&amp;"-Intermédiaire",TabRFR[Recherche RFR],0),MATCH(TEXT(YEAR(BD!H745),"Standard"),TabRFR[[#Headers],[2023]:[2025]],0)),"Intermédiaire","Supérieur")))))))</f>
        <v>Supérieur</v>
      </c>
      <c r="X745" s="144"/>
      <c r="Y745" s="135" t="s">
        <v>434</v>
      </c>
      <c r="Z745" s="144">
        <v>38850</v>
      </c>
      <c r="AA745" s="135" t="s">
        <v>435</v>
      </c>
      <c r="AB745" s="148"/>
      <c r="AC745" s="202"/>
      <c r="AD745" s="135" t="s">
        <v>91</v>
      </c>
      <c r="AE745" s="135"/>
      <c r="AF745" s="135"/>
      <c r="AG745" s="135"/>
      <c r="AH745" s="135"/>
      <c r="AI745" s="135" t="s">
        <v>267</v>
      </c>
      <c r="AJ745" s="135" t="s">
        <v>268</v>
      </c>
      <c r="AK745" s="135" t="s">
        <v>3498</v>
      </c>
      <c r="AL745" s="208" t="s">
        <v>3499</v>
      </c>
      <c r="AM745" s="148">
        <v>437064566</v>
      </c>
      <c r="AN745" s="135" t="s">
        <v>76</v>
      </c>
      <c r="AO745" s="135" t="s">
        <v>102</v>
      </c>
      <c r="AP745" s="135">
        <v>45729</v>
      </c>
      <c r="AQ745" s="135" t="s">
        <v>3413</v>
      </c>
      <c r="AR745" s="153">
        <v>1989</v>
      </c>
      <c r="AS745" s="135" t="s">
        <v>3413</v>
      </c>
      <c r="AT745" s="135" t="s">
        <v>3452</v>
      </c>
      <c r="AU745" s="135" t="s">
        <v>488</v>
      </c>
      <c r="AV745" s="135" t="s">
        <v>3500</v>
      </c>
      <c r="AW745" s="143" t="s">
        <v>2137</v>
      </c>
      <c r="AX745" s="143">
        <v>14</v>
      </c>
      <c r="AY745" s="143" t="s">
        <v>3501</v>
      </c>
      <c r="AZ745" s="143" t="s">
        <v>2302</v>
      </c>
      <c r="BA745" s="135" t="s">
        <v>101</v>
      </c>
      <c r="BB745" s="151">
        <v>5605</v>
      </c>
      <c r="BC745" s="151">
        <f>121.38+99.99+49+18.47+779.51+97.52+59.08+195+25.5+26.51+60.32+70.74+100+87.75</f>
        <v>1790.7699999999998</v>
      </c>
      <c r="BD745" s="151" t="s">
        <v>76</v>
      </c>
      <c r="BE745" s="151">
        <v>980</v>
      </c>
      <c r="BF745" s="151">
        <f>BB745+BC745+BE745</f>
        <v>8375.77</v>
      </c>
      <c r="BG745" s="151">
        <f t="shared" si="98"/>
        <v>460.66735</v>
      </c>
      <c r="BH745" s="151">
        <f t="shared" si="96"/>
        <v>8836.4373500000002</v>
      </c>
      <c r="BI745" s="135"/>
      <c r="BJ745" s="135" t="s">
        <v>144</v>
      </c>
      <c r="BK745" s="135"/>
      <c r="BL745" s="135"/>
      <c r="BM745" s="144" t="s">
        <v>3592</v>
      </c>
      <c r="BN745" s="153">
        <f t="shared" si="97"/>
        <v>2024</v>
      </c>
      <c r="BO745" s="144" t="s">
        <v>143</v>
      </c>
      <c r="BP745" s="143" t="s">
        <v>3583</v>
      </c>
      <c r="BQ745" s="203"/>
    </row>
    <row r="746" spans="1:69" ht="41.1" customHeight="1">
      <c r="A746" s="135" t="s">
        <v>1705</v>
      </c>
      <c r="B746" s="135" t="s">
        <v>3208</v>
      </c>
      <c r="C746" s="143">
        <v>1000</v>
      </c>
      <c r="D746" s="135">
        <v>45338</v>
      </c>
      <c r="E746" s="135">
        <v>45344</v>
      </c>
      <c r="F746" s="135">
        <v>45344</v>
      </c>
      <c r="G746" s="135" t="s">
        <v>3505</v>
      </c>
      <c r="H746" s="135">
        <v>45373</v>
      </c>
      <c r="I746" s="135">
        <v>45373</v>
      </c>
      <c r="J746" s="135">
        <v>45392</v>
      </c>
      <c r="K746" s="135">
        <v>45415</v>
      </c>
      <c r="L746" s="135">
        <v>45404</v>
      </c>
      <c r="M746" s="135" t="s">
        <v>3589</v>
      </c>
      <c r="N746" s="135">
        <v>45429</v>
      </c>
      <c r="O746" s="135">
        <v>45429</v>
      </c>
      <c r="P746" s="135"/>
      <c r="Q746" s="135"/>
      <c r="R746" s="135"/>
      <c r="S746" s="135"/>
      <c r="T746" s="135"/>
      <c r="U746" s="144">
        <v>2</v>
      </c>
      <c r="V746" s="143">
        <v>12376</v>
      </c>
      <c r="W746" s="143" t="str">
        <f ca="1">IF(H746="",IF(D746="","",IF(U746+V746&lt;15,"Données Nb pers ou RFR manquantes",IF(COUNTA(INDIRECT("TabRFR["&amp;YEAR(D746)&amp;"]"))&lt;&gt;COUNTA(TabRFR[Recherche RFR]),"Data RFR manquantes", IF(V746&lt;=INDEX(TabRFR[[2023]:[2025]],MATCH(BD!U746&amp;"-Très modestes",TabRFR[Recherche RFR],0),MATCH(TEXT(YEAR(BD!D746),"Standard"),TabRFR[[#Headers],[2023]:[2025]],0)),"Très Modeste",IF(V746&lt;=INDEX(TabRFR[[2023]:[2025]],MATCH(BD!U746&amp;"-modestes",TabRFR[Recherche RFR],0),MATCH(TEXT(YEAR(BD!D746),"Standard"),TabRFR[[#Headers],[2023]:[2025]],0)),"Modeste",IF(V746&lt;=INDEX(TabRFR[[2023]:[2025]],MATCH(BD!U746&amp;"-Intermédiaire",TabRFR[Recherche RFR],0),MATCH(TEXT(YEAR(BD!D746),"Standard"),TabRFR[[#Headers],[2023]:[2025]],0)),"Intermédiaire","Supérieur")))))),IF(D746="","",IF(U746+V746&lt;15,"Données Nb pers ou RFR manquantes",IF(COUNTA(INDIRECT("TabRFR["&amp;YEAR(H746)&amp;"]"))&lt;&gt;COUNTA(TabRFR[Recherche RFR]),"Data RFR manquantes", IF(V746&lt;=INDEX(TabRFR[[2023]:[2025]],MATCH(BD!U746&amp;"-Très modestes",TabRFR[Recherche RFR],0),MATCH(TEXT(YEAR(BD!H746),"Standard"),TabRFR[[#Headers],[2023]:[2025]],0)),"Très Modeste",IF(V746&lt;=INDEX(TabRFR[[2023]:[2025]],MATCH(BD!U746&amp;"-modestes",TabRFR[Recherche RFR],0),MATCH(TEXT(YEAR(BD!H746),"Standard"),TabRFR[[#Headers],[2023]:[2025]],0)),"Modeste",IF(V746&lt;=INDEX(TabRFR[[2023]:[2025]],MATCH(BD!U746&amp;"-Intermédiaire",TabRFR[Recherche RFR],0),MATCH(TEXT(YEAR(BD!H746),"Standard"),TabRFR[[#Headers],[2023]:[2025]],0)),"Intermédiaire","Supérieur")))))))</f>
        <v>Très Modeste</v>
      </c>
      <c r="X746" s="144"/>
      <c r="Y746" s="135" t="s">
        <v>3503</v>
      </c>
      <c r="Z746" s="144">
        <v>38620</v>
      </c>
      <c r="AA746" s="135" t="s">
        <v>3504</v>
      </c>
      <c r="AB746" s="148"/>
      <c r="AC746" s="202"/>
      <c r="AD746" s="135" t="s">
        <v>91</v>
      </c>
      <c r="AE746" s="135"/>
      <c r="AF746" s="135"/>
      <c r="AG746" s="135"/>
      <c r="AH746" s="135"/>
      <c r="AI746" s="143" t="s">
        <v>1106</v>
      </c>
      <c r="AJ746" s="135" t="s">
        <v>1075</v>
      </c>
      <c r="AK746" s="135" t="s">
        <v>2203</v>
      </c>
      <c r="AL746" s="169" t="s">
        <v>1108</v>
      </c>
      <c r="AM746" s="148" t="s">
        <v>2204</v>
      </c>
      <c r="AN746" s="135" t="s">
        <v>76</v>
      </c>
      <c r="AO746" s="193" t="s">
        <v>102</v>
      </c>
      <c r="AP746" s="135">
        <v>45462</v>
      </c>
      <c r="AQ746" s="135" t="s">
        <v>3496</v>
      </c>
      <c r="AR746" s="153">
        <v>1988</v>
      </c>
      <c r="AS746" s="135" t="s">
        <v>3413</v>
      </c>
      <c r="AT746" s="135" t="s">
        <v>3446</v>
      </c>
      <c r="AU746" s="135" t="s">
        <v>1815</v>
      </c>
      <c r="AV746" s="135" t="s">
        <v>1879</v>
      </c>
      <c r="AW746" s="143">
        <v>38</v>
      </c>
      <c r="AX746" s="143" t="s">
        <v>1880</v>
      </c>
      <c r="AY746" s="143" t="s">
        <v>1881</v>
      </c>
      <c r="AZ746" s="143" t="s">
        <v>1882</v>
      </c>
      <c r="BA746" s="135" t="s">
        <v>101</v>
      </c>
      <c r="BB746" s="151">
        <v>6344</v>
      </c>
      <c r="BC746" s="151">
        <f>445+347+155+235</f>
        <v>1182</v>
      </c>
      <c r="BD746" s="151" t="s">
        <v>76</v>
      </c>
      <c r="BE746" s="151">
        <v>650</v>
      </c>
      <c r="BF746" s="151">
        <f>BB746+BC746+BE746-744-304.49</f>
        <v>7127.51</v>
      </c>
      <c r="BG746" s="151">
        <f t="shared" ref="BG746:BG750" si="99">BF746*0.055</f>
        <v>392.01305000000002</v>
      </c>
      <c r="BH746" s="151">
        <f t="shared" si="96"/>
        <v>7519.5230499999998</v>
      </c>
      <c r="BI746" s="151">
        <v>7519.52</v>
      </c>
      <c r="BJ746" s="135" t="s">
        <v>1391</v>
      </c>
      <c r="BK746" s="135"/>
      <c r="BL746" s="135"/>
      <c r="BM746" s="144" t="s">
        <v>3592</v>
      </c>
      <c r="BN746" s="153">
        <f t="shared" si="97"/>
        <v>2024</v>
      </c>
      <c r="BO746" s="135" t="s">
        <v>155</v>
      </c>
      <c r="BP746" s="135"/>
      <c r="BQ746" s="203"/>
    </row>
    <row r="747" spans="1:69" ht="41.1" customHeight="1">
      <c r="A747" s="135" t="s">
        <v>1705</v>
      </c>
      <c r="B747" s="135" t="s">
        <v>3209</v>
      </c>
      <c r="C747" s="143">
        <v>600</v>
      </c>
      <c r="D747" s="135">
        <v>45340</v>
      </c>
      <c r="E747" s="135" t="s">
        <v>76</v>
      </c>
      <c r="F747" s="135">
        <v>45344</v>
      </c>
      <c r="G747" s="135" t="s">
        <v>3508</v>
      </c>
      <c r="H747" s="135">
        <v>45348</v>
      </c>
      <c r="I747" s="135">
        <v>45348</v>
      </c>
      <c r="J747" s="135">
        <v>45358</v>
      </c>
      <c r="K747" s="135"/>
      <c r="L747" s="135"/>
      <c r="M747" s="135"/>
      <c r="N747" s="135"/>
      <c r="O747" s="135"/>
      <c r="P747" s="135"/>
      <c r="Q747" s="135"/>
      <c r="R747" s="135"/>
      <c r="S747" s="135"/>
      <c r="T747" s="135"/>
      <c r="U747" s="144">
        <v>2</v>
      </c>
      <c r="V747" s="143">
        <v>75625</v>
      </c>
      <c r="W747" s="143" t="str">
        <f ca="1">IF(H747="",IF(D747="","",IF(U747+V747&lt;15,"Données Nb pers ou RFR manquantes",IF(COUNTA(INDIRECT("TabRFR["&amp;YEAR(D747)&amp;"]"))&lt;&gt;COUNTA(TabRFR[Recherche RFR]),"Data RFR manquantes", IF(V747&lt;=INDEX(TabRFR[[2023]:[2025]],MATCH(BD!U747&amp;"-Très modestes",TabRFR[Recherche RFR],0),MATCH(TEXT(YEAR(BD!D747),"Standard"),TabRFR[[#Headers],[2023]:[2025]],0)),"Très Modeste",IF(V747&lt;=INDEX(TabRFR[[2023]:[2025]],MATCH(BD!U747&amp;"-modestes",TabRFR[Recherche RFR],0),MATCH(TEXT(YEAR(BD!D747),"Standard"),TabRFR[[#Headers],[2023]:[2025]],0)),"Modeste",IF(V747&lt;=INDEX(TabRFR[[2023]:[2025]],MATCH(BD!U747&amp;"-Intermédiaire",TabRFR[Recherche RFR],0),MATCH(TEXT(YEAR(BD!D747),"Standard"),TabRFR[[#Headers],[2023]:[2025]],0)),"Intermédiaire","Supérieur")))))),IF(D747="","",IF(U747+V747&lt;15,"Données Nb pers ou RFR manquantes",IF(COUNTA(INDIRECT("TabRFR["&amp;YEAR(H747)&amp;"]"))&lt;&gt;COUNTA(TabRFR[Recherche RFR]),"Data RFR manquantes", IF(V747&lt;=INDEX(TabRFR[[2023]:[2025]],MATCH(BD!U747&amp;"-Très modestes",TabRFR[Recherche RFR],0),MATCH(TEXT(YEAR(BD!H747),"Standard"),TabRFR[[#Headers],[2023]:[2025]],0)),"Très Modeste",IF(V747&lt;=INDEX(TabRFR[[2023]:[2025]],MATCH(BD!U747&amp;"-modestes",TabRFR[Recherche RFR],0),MATCH(TEXT(YEAR(BD!H747),"Standard"),TabRFR[[#Headers],[2023]:[2025]],0)),"Modeste",IF(V747&lt;=INDEX(TabRFR[[2023]:[2025]],MATCH(BD!U747&amp;"-Intermédiaire",TabRFR[Recherche RFR],0),MATCH(TEXT(YEAR(BD!H747),"Standard"),TabRFR[[#Headers],[2023]:[2025]],0)),"Intermédiaire","Supérieur")))))))</f>
        <v>Supérieur</v>
      </c>
      <c r="X747" s="144"/>
      <c r="Y747" s="135" t="s">
        <v>851</v>
      </c>
      <c r="Z747" s="144">
        <v>38500</v>
      </c>
      <c r="AA747" s="135" t="s">
        <v>134</v>
      </c>
      <c r="AB747" s="148"/>
      <c r="AC747" s="202"/>
      <c r="AD747" s="135" t="s">
        <v>91</v>
      </c>
      <c r="AE747" s="135"/>
      <c r="AF747" s="135"/>
      <c r="AG747" s="135"/>
      <c r="AH747" s="135"/>
      <c r="AI747" s="135" t="s">
        <v>2703</v>
      </c>
      <c r="AJ747" s="135" t="s">
        <v>266</v>
      </c>
      <c r="AK747" s="135" t="s">
        <v>2704</v>
      </c>
      <c r="AL747" s="169" t="s">
        <v>318</v>
      </c>
      <c r="AM747" s="148">
        <v>476500550</v>
      </c>
      <c r="AN747" s="135" t="s">
        <v>76</v>
      </c>
      <c r="AO747" s="193" t="s">
        <v>102</v>
      </c>
      <c r="AP747" s="135">
        <v>45503</v>
      </c>
      <c r="AQ747" s="135" t="s">
        <v>3496</v>
      </c>
      <c r="AR747" s="153">
        <v>1994</v>
      </c>
      <c r="AS747" s="135" t="s">
        <v>3413</v>
      </c>
      <c r="AT747" s="135" t="s">
        <v>3446</v>
      </c>
      <c r="AU747" s="135" t="s">
        <v>319</v>
      </c>
      <c r="AV747" s="135" t="s">
        <v>3321</v>
      </c>
      <c r="AW747" s="143">
        <v>40</v>
      </c>
      <c r="AX747" s="143">
        <v>10</v>
      </c>
      <c r="AY747" s="143" t="s">
        <v>3506</v>
      </c>
      <c r="AZ747" s="143" t="s">
        <v>3507</v>
      </c>
      <c r="BA747" s="135" t="s">
        <v>101</v>
      </c>
      <c r="BB747" s="151">
        <v>5075</v>
      </c>
      <c r="BC747" s="151">
        <f>410+83.2+202.28+225.2</f>
        <v>920.68000000000006</v>
      </c>
      <c r="BD747" s="151" t="s">
        <v>76</v>
      </c>
      <c r="BE747" s="151">
        <v>850</v>
      </c>
      <c r="BF747" s="151">
        <f>BB747+BC747+BE747</f>
        <v>6845.68</v>
      </c>
      <c r="BG747" s="151">
        <f t="shared" si="99"/>
        <v>376.51240000000001</v>
      </c>
      <c r="BH747" s="151">
        <f t="shared" si="96"/>
        <v>7222.1923999999999</v>
      </c>
      <c r="BI747" s="135"/>
      <c r="BJ747" s="135" t="s">
        <v>144</v>
      </c>
      <c r="BK747" s="135"/>
      <c r="BL747" s="135"/>
      <c r="BM747" s="144" t="s">
        <v>3592</v>
      </c>
      <c r="BN747" s="153">
        <f t="shared" si="97"/>
        <v>2024</v>
      </c>
      <c r="BO747" s="144" t="s">
        <v>143</v>
      </c>
      <c r="BP747" s="135"/>
      <c r="BQ747" s="203"/>
    </row>
    <row r="748" spans="1:69" ht="41.1" customHeight="1">
      <c r="A748" s="135" t="s">
        <v>1705</v>
      </c>
      <c r="B748" s="135" t="s">
        <v>3210</v>
      </c>
      <c r="C748" s="143">
        <v>1100</v>
      </c>
      <c r="D748" s="135">
        <v>45342</v>
      </c>
      <c r="E748" s="135" t="s">
        <v>76</v>
      </c>
      <c r="F748" s="135" t="s">
        <v>76</v>
      </c>
      <c r="G748" s="135" t="s">
        <v>76</v>
      </c>
      <c r="H748" s="135">
        <v>45344</v>
      </c>
      <c r="I748" s="135">
        <v>45344</v>
      </c>
      <c r="J748" s="135">
        <v>45348</v>
      </c>
      <c r="K748" s="135">
        <v>45404</v>
      </c>
      <c r="L748" s="135">
        <v>45352</v>
      </c>
      <c r="M748" s="135" t="s">
        <v>76</v>
      </c>
      <c r="N748" s="135">
        <v>45419</v>
      </c>
      <c r="O748" s="135">
        <v>45419</v>
      </c>
      <c r="P748" s="135">
        <v>45425</v>
      </c>
      <c r="Q748" s="135"/>
      <c r="R748" s="135"/>
      <c r="S748" s="135"/>
      <c r="T748" s="135"/>
      <c r="U748" s="144">
        <v>2</v>
      </c>
      <c r="V748" s="143">
        <v>68402</v>
      </c>
      <c r="W748" s="143" t="str">
        <f ca="1">IF(H748="",IF(D748="","",IF(U748+V748&lt;15,"Données Nb pers ou RFR manquantes",IF(COUNTA(INDIRECT("TabRFR["&amp;YEAR(D748)&amp;"]"))&lt;&gt;COUNTA(TabRFR[Recherche RFR]),"Data RFR manquantes", IF(V748&lt;=INDEX(TabRFR[[2023]:[2025]],MATCH(BD!U748&amp;"-Très modestes",TabRFR[Recherche RFR],0),MATCH(TEXT(YEAR(BD!D748),"Standard"),TabRFR[[#Headers],[2023]:[2025]],0)),"Très Modeste",IF(V748&lt;=INDEX(TabRFR[[2023]:[2025]],MATCH(BD!U748&amp;"-modestes",TabRFR[Recherche RFR],0),MATCH(TEXT(YEAR(BD!D748),"Standard"),TabRFR[[#Headers],[2023]:[2025]],0)),"Modeste",IF(V748&lt;=INDEX(TabRFR[[2023]:[2025]],MATCH(BD!U748&amp;"-Intermédiaire",TabRFR[Recherche RFR],0),MATCH(TEXT(YEAR(BD!D748),"Standard"),TabRFR[[#Headers],[2023]:[2025]],0)),"Intermédiaire","Supérieur")))))),IF(D748="","",IF(U748+V748&lt;15,"Données Nb pers ou RFR manquantes",IF(COUNTA(INDIRECT("TabRFR["&amp;YEAR(H748)&amp;"]"))&lt;&gt;COUNTA(TabRFR[Recherche RFR]),"Data RFR manquantes", IF(V748&lt;=INDEX(TabRFR[[2023]:[2025]],MATCH(BD!U748&amp;"-Très modestes",TabRFR[Recherche RFR],0),MATCH(TEXT(YEAR(BD!H748),"Standard"),TabRFR[[#Headers],[2023]:[2025]],0)),"Très Modeste",IF(V748&lt;=INDEX(TabRFR[[2023]:[2025]],MATCH(BD!U748&amp;"-modestes",TabRFR[Recherche RFR],0),MATCH(TEXT(YEAR(BD!H748),"Standard"),TabRFR[[#Headers],[2023]:[2025]],0)),"Modeste",IF(V748&lt;=INDEX(TabRFR[[2023]:[2025]],MATCH(BD!U748&amp;"-Intermédiaire",TabRFR[Recherche RFR],0),MATCH(TEXT(YEAR(BD!H748),"Standard"),TabRFR[[#Headers],[2023]:[2025]],0)),"Intermédiaire","Supérieur")))))))</f>
        <v>Supérieur</v>
      </c>
      <c r="X748" s="144"/>
      <c r="Y748" s="135" t="s">
        <v>716</v>
      </c>
      <c r="Z748" s="144">
        <v>38140</v>
      </c>
      <c r="AA748" s="135" t="s">
        <v>3509</v>
      </c>
      <c r="AB748" s="148"/>
      <c r="AC748" s="202"/>
      <c r="AD748" s="135" t="s">
        <v>91</v>
      </c>
      <c r="AE748" s="135"/>
      <c r="AF748" s="135"/>
      <c r="AG748" s="135"/>
      <c r="AH748" s="135"/>
      <c r="AI748" s="143" t="s">
        <v>1106</v>
      </c>
      <c r="AJ748" s="135" t="s">
        <v>1075</v>
      </c>
      <c r="AK748" s="135" t="s">
        <v>2203</v>
      </c>
      <c r="AL748" s="169" t="s">
        <v>1108</v>
      </c>
      <c r="AM748" s="148" t="s">
        <v>2204</v>
      </c>
      <c r="AN748" s="135" t="s">
        <v>76</v>
      </c>
      <c r="AO748" s="193" t="s">
        <v>102</v>
      </c>
      <c r="AP748" s="135">
        <v>45462</v>
      </c>
      <c r="AQ748" s="135" t="s">
        <v>3449</v>
      </c>
      <c r="AR748" s="153">
        <v>1985</v>
      </c>
      <c r="AS748" s="135" t="s">
        <v>3413</v>
      </c>
      <c r="AT748" s="135" t="s">
        <v>3446</v>
      </c>
      <c r="AU748" s="135" t="s">
        <v>1878</v>
      </c>
      <c r="AV748" s="135" t="s">
        <v>3510</v>
      </c>
      <c r="AW748" s="143">
        <v>29</v>
      </c>
      <c r="AX748" s="143" t="s">
        <v>3511</v>
      </c>
      <c r="AY748" s="143">
        <v>75</v>
      </c>
      <c r="AZ748" s="143" t="s">
        <v>3512</v>
      </c>
      <c r="BA748" s="135" t="s">
        <v>101</v>
      </c>
      <c r="BB748" s="151">
        <v>5420.7</v>
      </c>
      <c r="BC748" s="151">
        <f>554.52+197+442.66+98+527+395+211</f>
        <v>2425.1800000000003</v>
      </c>
      <c r="BD748" s="151" t="s">
        <v>76</v>
      </c>
      <c r="BE748" s="151">
        <f>750+350</f>
        <v>1100</v>
      </c>
      <c r="BF748" s="151">
        <f>BB748+BC748+BE748</f>
        <v>8945.880000000001</v>
      </c>
      <c r="BG748" s="151">
        <f t="shared" si="99"/>
        <v>492.02340000000004</v>
      </c>
      <c r="BH748" s="151">
        <f t="shared" si="96"/>
        <v>9437.9034000000011</v>
      </c>
      <c r="BI748" s="151">
        <v>9437.9</v>
      </c>
      <c r="BJ748" s="135" t="s">
        <v>103</v>
      </c>
      <c r="BK748" s="135"/>
      <c r="BL748" s="135"/>
      <c r="BM748" s="144" t="s">
        <v>3592</v>
      </c>
      <c r="BN748" s="153">
        <f t="shared" si="97"/>
        <v>2024</v>
      </c>
      <c r="BO748" s="144" t="s">
        <v>143</v>
      </c>
      <c r="BP748" s="135"/>
      <c r="BQ748" s="203"/>
    </row>
    <row r="749" spans="1:69" ht="41.1" customHeight="1">
      <c r="A749" s="198" t="s">
        <v>1705</v>
      </c>
      <c r="B749" s="198" t="s">
        <v>3211</v>
      </c>
      <c r="C749" s="143"/>
      <c r="D749" s="135"/>
      <c r="E749" s="135"/>
      <c r="F749" s="135"/>
      <c r="G749" s="135"/>
      <c r="H749" s="135"/>
      <c r="I749" s="135"/>
      <c r="J749" s="135"/>
      <c r="K749" s="135"/>
      <c r="L749" s="135"/>
      <c r="M749" s="135"/>
      <c r="N749" s="135"/>
      <c r="O749" s="135"/>
      <c r="P749" s="135"/>
      <c r="Q749" s="135"/>
      <c r="R749" s="135" t="s">
        <v>3581</v>
      </c>
      <c r="S749" s="135"/>
      <c r="T749" s="135"/>
      <c r="U749" s="144"/>
      <c r="V749" s="143"/>
      <c r="W749" s="143"/>
      <c r="X749" s="144"/>
      <c r="Y749" s="135"/>
      <c r="Z749" s="144"/>
      <c r="AA749" s="135"/>
      <c r="AB749" s="148"/>
      <c r="AC749" s="202"/>
      <c r="AD749" s="135"/>
      <c r="AE749" s="135"/>
      <c r="AF749" s="135"/>
      <c r="AG749" s="135"/>
      <c r="AH749" s="135"/>
      <c r="AI749" s="135"/>
      <c r="AJ749" s="135"/>
      <c r="AK749" s="135"/>
      <c r="AL749" s="208"/>
      <c r="AM749" s="148"/>
      <c r="AN749" s="135"/>
      <c r="AO749" s="193"/>
      <c r="AP749" s="135"/>
      <c r="AQ749" s="135"/>
      <c r="AR749" s="135"/>
      <c r="AS749" s="135"/>
      <c r="AT749" s="135"/>
      <c r="AU749" s="135"/>
      <c r="AV749" s="135"/>
      <c r="AW749" s="143"/>
      <c r="AX749" s="143"/>
      <c r="AY749" s="143"/>
      <c r="AZ749" s="143"/>
      <c r="BA749" s="135"/>
      <c r="BB749" s="151"/>
      <c r="BC749" s="151"/>
      <c r="BD749" s="151"/>
      <c r="BE749" s="151"/>
      <c r="BF749" s="151"/>
      <c r="BG749" s="151"/>
      <c r="BH749" s="151"/>
      <c r="BI749" s="135"/>
      <c r="BJ749" s="135"/>
      <c r="BK749" s="135"/>
      <c r="BL749" s="135"/>
      <c r="BM749" s="144">
        <v>0</v>
      </c>
      <c r="BN749" s="153" t="s">
        <v>103</v>
      </c>
      <c r="BO749" s="135" t="s">
        <v>103</v>
      </c>
      <c r="BP749" s="135" t="s">
        <v>3584</v>
      </c>
      <c r="BQ749" s="203" t="s">
        <v>3585</v>
      </c>
    </row>
    <row r="750" spans="1:69" ht="41.1" customHeight="1">
      <c r="A750" s="135" t="s">
        <v>1705</v>
      </c>
      <c r="B750" s="135" t="s">
        <v>3212</v>
      </c>
      <c r="C750" s="143">
        <v>1100</v>
      </c>
      <c r="D750" s="135">
        <v>45344</v>
      </c>
      <c r="E750" s="135" t="s">
        <v>76</v>
      </c>
      <c r="F750" s="135" t="s">
        <v>76</v>
      </c>
      <c r="G750" s="135" t="s">
        <v>76</v>
      </c>
      <c r="H750" s="135">
        <v>45349</v>
      </c>
      <c r="I750" s="135">
        <v>45349</v>
      </c>
      <c r="J750" s="135">
        <v>45358</v>
      </c>
      <c r="K750" s="135">
        <v>45371</v>
      </c>
      <c r="L750" s="135">
        <v>45358</v>
      </c>
      <c r="M750" s="135" t="s">
        <v>76</v>
      </c>
      <c r="N750" s="135">
        <v>45373</v>
      </c>
      <c r="O750" s="135">
        <v>45373</v>
      </c>
      <c r="P750" s="135">
        <v>45376</v>
      </c>
      <c r="Q750" s="135"/>
      <c r="R750" s="135"/>
      <c r="S750" s="135"/>
      <c r="T750" s="135"/>
      <c r="U750" s="144">
        <v>2</v>
      </c>
      <c r="V750" s="143">
        <v>58267</v>
      </c>
      <c r="W750" s="143" t="str">
        <f ca="1">IF(H750="",IF(D750="","",IF(U750+V750&lt;15,"Données Nb pers ou RFR manquantes",IF(COUNTA(INDIRECT("TabRFR["&amp;YEAR(D750)&amp;"]"))&lt;&gt;COUNTA(TabRFR[Recherche RFR]),"Data RFR manquantes", IF(V750&lt;=INDEX(TabRFR[[2023]:[2025]],MATCH(BD!U750&amp;"-Très modestes",TabRFR[Recherche RFR],0),MATCH(TEXT(YEAR(BD!D750),"Standard"),TabRFR[[#Headers],[2023]:[2025]],0)),"Très Modeste",IF(V750&lt;=INDEX(TabRFR[[2023]:[2025]],MATCH(BD!U750&amp;"-modestes",TabRFR[Recherche RFR],0),MATCH(TEXT(YEAR(BD!D750),"Standard"),TabRFR[[#Headers],[2023]:[2025]],0)),"Modeste",IF(V750&lt;=INDEX(TabRFR[[2023]:[2025]],MATCH(BD!U750&amp;"-Intermédiaire",TabRFR[Recherche RFR],0),MATCH(TEXT(YEAR(BD!D750),"Standard"),TabRFR[[#Headers],[2023]:[2025]],0)),"Intermédiaire","Supérieur")))))),IF(D750="","",IF(U750+V750&lt;15,"Données Nb pers ou RFR manquantes",IF(COUNTA(INDIRECT("TabRFR["&amp;YEAR(H750)&amp;"]"))&lt;&gt;COUNTA(TabRFR[Recherche RFR]),"Data RFR manquantes", IF(V750&lt;=INDEX(TabRFR[[2023]:[2025]],MATCH(BD!U750&amp;"-Très modestes",TabRFR[Recherche RFR],0),MATCH(TEXT(YEAR(BD!H750),"Standard"),TabRFR[[#Headers],[2023]:[2025]],0)),"Très Modeste",IF(V750&lt;=INDEX(TabRFR[[2023]:[2025]],MATCH(BD!U750&amp;"-modestes",TabRFR[Recherche RFR],0),MATCH(TEXT(YEAR(BD!H750),"Standard"),TabRFR[[#Headers],[2023]:[2025]],0)),"Modeste",IF(V750&lt;=INDEX(TabRFR[[2023]:[2025]],MATCH(BD!U750&amp;"-Intermédiaire",TabRFR[Recherche RFR],0),MATCH(TEXT(YEAR(BD!H750),"Standard"),TabRFR[[#Headers],[2023]:[2025]],0)),"Intermédiaire","Supérieur")))))))</f>
        <v>Supérieur</v>
      </c>
      <c r="X750" s="144"/>
      <c r="Y750" s="135" t="s">
        <v>3516</v>
      </c>
      <c r="Z750" s="144">
        <v>38430</v>
      </c>
      <c r="AA750" s="135" t="s">
        <v>3517</v>
      </c>
      <c r="AB750" s="148"/>
      <c r="AC750" s="202"/>
      <c r="AD750" s="135" t="s">
        <v>91</v>
      </c>
      <c r="AE750" s="135"/>
      <c r="AF750" s="135"/>
      <c r="AG750" s="135"/>
      <c r="AH750" s="135"/>
      <c r="AI750" s="135" t="s">
        <v>285</v>
      </c>
      <c r="AJ750" s="135" t="s">
        <v>108</v>
      </c>
      <c r="AK750" s="135" t="s">
        <v>2227</v>
      </c>
      <c r="AL750" s="169" t="s">
        <v>287</v>
      </c>
      <c r="AM750" s="148" t="s">
        <v>2184</v>
      </c>
      <c r="AN750" s="135" t="s">
        <v>76</v>
      </c>
      <c r="AO750" s="193" t="s">
        <v>102</v>
      </c>
      <c r="AP750" s="135">
        <v>45553</v>
      </c>
      <c r="AQ750" s="135" t="s">
        <v>3449</v>
      </c>
      <c r="AR750" s="153">
        <v>1984</v>
      </c>
      <c r="AS750" s="135" t="s">
        <v>3450</v>
      </c>
      <c r="AT750" s="135" t="s">
        <v>3451</v>
      </c>
      <c r="AU750" s="135" t="s">
        <v>381</v>
      </c>
      <c r="AV750" s="135" t="s">
        <v>2784</v>
      </c>
      <c r="AW750" s="143">
        <v>40</v>
      </c>
      <c r="AX750" s="143" t="s">
        <v>3518</v>
      </c>
      <c r="AY750" s="143">
        <v>83</v>
      </c>
      <c r="AZ750" s="143" t="s">
        <v>1901</v>
      </c>
      <c r="BA750" s="135" t="s">
        <v>101</v>
      </c>
      <c r="BB750" s="151">
        <v>3100</v>
      </c>
      <c r="BC750" s="151">
        <f>910+605+490+290+1690+89</f>
        <v>4074</v>
      </c>
      <c r="BD750" s="151">
        <v>759</v>
      </c>
      <c r="BE750" s="151">
        <v>840</v>
      </c>
      <c r="BF750" s="151">
        <f>BB750+BC750+BD750+BE750</f>
        <v>8773</v>
      </c>
      <c r="BG750" s="151">
        <f t="shared" si="99"/>
        <v>482.51499999999999</v>
      </c>
      <c r="BH750" s="151">
        <f t="shared" si="96"/>
        <v>9255.5149999999994</v>
      </c>
      <c r="BI750" s="151">
        <v>9255.5300000000007</v>
      </c>
      <c r="BJ750" s="135" t="s">
        <v>102</v>
      </c>
      <c r="BK750" s="135"/>
      <c r="BL750" s="135"/>
      <c r="BM750" s="144" t="s">
        <v>3592</v>
      </c>
      <c r="BN750" s="153">
        <f t="shared" si="97"/>
        <v>2024</v>
      </c>
      <c r="BO750" s="144" t="s">
        <v>143</v>
      </c>
      <c r="BP750" s="135"/>
      <c r="BQ750" s="203"/>
    </row>
    <row r="751" spans="1:69" ht="41.1" customHeight="1">
      <c r="A751" s="198" t="s">
        <v>1705</v>
      </c>
      <c r="B751" s="198" t="s">
        <v>3213</v>
      </c>
      <c r="C751" s="143"/>
      <c r="D751" s="135"/>
      <c r="E751" s="135"/>
      <c r="F751" s="135"/>
      <c r="G751" s="135"/>
      <c r="H751" s="135"/>
      <c r="I751" s="135"/>
      <c r="J751" s="135"/>
      <c r="K751" s="135"/>
      <c r="L751" s="135"/>
      <c r="M751" s="135"/>
      <c r="N751" s="135"/>
      <c r="O751" s="135"/>
      <c r="P751" s="135"/>
      <c r="Q751" s="135"/>
      <c r="R751" s="135" t="s">
        <v>3581</v>
      </c>
      <c r="S751" s="135"/>
      <c r="T751" s="135"/>
      <c r="U751" s="144"/>
      <c r="V751" s="143"/>
      <c r="W751" s="143"/>
      <c r="X751" s="144"/>
      <c r="Y751" s="135"/>
      <c r="Z751" s="144"/>
      <c r="AA751" s="135"/>
      <c r="AB751" s="148"/>
      <c r="AC751" s="202"/>
      <c r="AD751" s="135"/>
      <c r="AE751" s="135"/>
      <c r="AF751" s="135"/>
      <c r="AG751" s="135"/>
      <c r="AH751" s="135"/>
      <c r="AI751" s="135"/>
      <c r="AJ751" s="135"/>
      <c r="AK751" s="135"/>
      <c r="AL751" s="208"/>
      <c r="AM751" s="148"/>
      <c r="AN751" s="135"/>
      <c r="AO751" s="193"/>
      <c r="AP751" s="135"/>
      <c r="AQ751" s="135"/>
      <c r="AR751" s="135"/>
      <c r="AS751" s="135"/>
      <c r="AT751" s="135"/>
      <c r="AU751" s="135"/>
      <c r="AV751" s="135"/>
      <c r="AW751" s="143"/>
      <c r="AX751" s="143"/>
      <c r="AY751" s="143"/>
      <c r="AZ751" s="143"/>
      <c r="BA751" s="135"/>
      <c r="BB751" s="151"/>
      <c r="BC751" s="151"/>
      <c r="BD751" s="151"/>
      <c r="BE751" s="151"/>
      <c r="BF751" s="151"/>
      <c r="BG751" s="151"/>
      <c r="BH751" s="151"/>
      <c r="BI751" s="135"/>
      <c r="BJ751" s="135"/>
      <c r="BK751" s="135"/>
      <c r="BL751" s="135"/>
      <c r="BM751" s="144">
        <v>0</v>
      </c>
      <c r="BN751" s="153" t="s">
        <v>103</v>
      </c>
      <c r="BO751" s="135" t="s">
        <v>103</v>
      </c>
      <c r="BP751" s="135" t="s">
        <v>3584</v>
      </c>
      <c r="BQ751" s="203" t="s">
        <v>3585</v>
      </c>
    </row>
    <row r="752" spans="1:69" ht="41.1" customHeight="1">
      <c r="A752" s="135" t="s">
        <v>1705</v>
      </c>
      <c r="B752" s="135" t="s">
        <v>3214</v>
      </c>
      <c r="C752" s="143">
        <v>600</v>
      </c>
      <c r="D752" s="135">
        <v>45347</v>
      </c>
      <c r="E752" s="135" t="s">
        <v>76</v>
      </c>
      <c r="F752" s="135" t="s">
        <v>76</v>
      </c>
      <c r="G752" s="135" t="s">
        <v>76</v>
      </c>
      <c r="H752" s="135">
        <v>45350</v>
      </c>
      <c r="I752" s="135">
        <v>45350</v>
      </c>
      <c r="J752" s="135">
        <v>45359</v>
      </c>
      <c r="K752" s="135">
        <v>45394</v>
      </c>
      <c r="L752" s="135">
        <v>45392</v>
      </c>
      <c r="M752" s="135" t="s">
        <v>76</v>
      </c>
      <c r="N752" s="135">
        <v>45400</v>
      </c>
      <c r="O752" s="135">
        <v>45400</v>
      </c>
      <c r="P752" s="135">
        <v>45401</v>
      </c>
      <c r="Q752" s="135"/>
      <c r="R752" s="135"/>
      <c r="S752" s="135"/>
      <c r="T752" s="135"/>
      <c r="U752" s="144">
        <v>2</v>
      </c>
      <c r="V752" s="143">
        <v>131636</v>
      </c>
      <c r="W752" s="143" t="str">
        <f ca="1">IF(H752="",IF(D752="","",IF(U752+V752&lt;15,"Données Nb pers ou RFR manquantes",IF(COUNTA(INDIRECT("TabRFR["&amp;YEAR(D752)&amp;"]"))&lt;&gt;COUNTA(TabRFR[Recherche RFR]),"Data RFR manquantes", IF(V752&lt;=INDEX(TabRFR[[2023]:[2025]],MATCH(BD!U752&amp;"-Très modestes",TabRFR[Recherche RFR],0),MATCH(TEXT(YEAR(BD!D752),"Standard"),TabRFR[[#Headers],[2023]:[2025]],0)),"Très Modeste",IF(V752&lt;=INDEX(TabRFR[[2023]:[2025]],MATCH(BD!U752&amp;"-modestes",TabRFR[Recherche RFR],0),MATCH(TEXT(YEAR(BD!D752),"Standard"),TabRFR[[#Headers],[2023]:[2025]],0)),"Modeste",IF(V752&lt;=INDEX(TabRFR[[2023]:[2025]],MATCH(BD!U752&amp;"-Intermédiaire",TabRFR[Recherche RFR],0),MATCH(TEXT(YEAR(BD!D752),"Standard"),TabRFR[[#Headers],[2023]:[2025]],0)),"Intermédiaire","Supérieur")))))),IF(D752="","",IF(U752+V752&lt;15,"Données Nb pers ou RFR manquantes",IF(COUNTA(INDIRECT("TabRFR["&amp;YEAR(H752)&amp;"]"))&lt;&gt;COUNTA(TabRFR[Recherche RFR]),"Data RFR manquantes", IF(V752&lt;=INDEX(TabRFR[[2023]:[2025]],MATCH(BD!U752&amp;"-Très modestes",TabRFR[Recherche RFR],0),MATCH(TEXT(YEAR(BD!H752),"Standard"),TabRFR[[#Headers],[2023]:[2025]],0)),"Très Modeste",IF(V752&lt;=INDEX(TabRFR[[2023]:[2025]],MATCH(BD!U752&amp;"-modestes",TabRFR[Recherche RFR],0),MATCH(TEXT(YEAR(BD!H752),"Standard"),TabRFR[[#Headers],[2023]:[2025]],0)),"Modeste",IF(V752&lt;=INDEX(TabRFR[[2023]:[2025]],MATCH(BD!U752&amp;"-Intermédiaire",TabRFR[Recherche RFR],0),MATCH(TEXT(YEAR(BD!H752),"Standard"),TabRFR[[#Headers],[2023]:[2025]],0)),"Intermédiaire","Supérieur")))))))</f>
        <v>Supérieur</v>
      </c>
      <c r="X752" s="144"/>
      <c r="Y752" s="135" t="s">
        <v>3519</v>
      </c>
      <c r="Z752" s="144">
        <v>38140</v>
      </c>
      <c r="AA752" s="135" t="s">
        <v>184</v>
      </c>
      <c r="AB752" s="148"/>
      <c r="AC752" s="202"/>
      <c r="AD752" s="135" t="s">
        <v>91</v>
      </c>
      <c r="AE752" s="135"/>
      <c r="AF752" s="135"/>
      <c r="AG752" s="135"/>
      <c r="AH752" s="135"/>
      <c r="AI752" s="135" t="s">
        <v>285</v>
      </c>
      <c r="AJ752" s="135" t="s">
        <v>108</v>
      </c>
      <c r="AK752" s="135" t="s">
        <v>2227</v>
      </c>
      <c r="AL752" s="169" t="s">
        <v>287</v>
      </c>
      <c r="AM752" s="148" t="s">
        <v>2184</v>
      </c>
      <c r="AN752" s="135" t="s">
        <v>76</v>
      </c>
      <c r="AO752" s="193" t="s">
        <v>102</v>
      </c>
      <c r="AP752" s="135">
        <v>45553</v>
      </c>
      <c r="AQ752" s="135" t="s">
        <v>3450</v>
      </c>
      <c r="AR752" s="153">
        <v>1998</v>
      </c>
      <c r="AS752" s="135" t="s">
        <v>3413</v>
      </c>
      <c r="AT752" s="135" t="s">
        <v>3446</v>
      </c>
      <c r="AU752" s="135" t="s">
        <v>532</v>
      </c>
      <c r="AV752" s="135" t="s">
        <v>1930</v>
      </c>
      <c r="AW752" s="143">
        <v>15</v>
      </c>
      <c r="AX752" s="143">
        <v>4</v>
      </c>
      <c r="AY752" s="143" t="s">
        <v>2314</v>
      </c>
      <c r="AZ752" s="143" t="s">
        <v>3520</v>
      </c>
      <c r="BA752" s="135" t="s">
        <v>101</v>
      </c>
      <c r="BB752" s="151">
        <v>2168</v>
      </c>
      <c r="BC752" s="151">
        <f>690+490+315+89+590+165</f>
        <v>2339</v>
      </c>
      <c r="BD752" s="151">
        <v>605</v>
      </c>
      <c r="BE752" s="151">
        <v>330</v>
      </c>
      <c r="BF752" s="151">
        <f>BB752+BC752+BD752+BE752</f>
        <v>5442</v>
      </c>
      <c r="BG752" s="151">
        <f t="shared" ref="BG752:BG759" si="100">BF752*0.055</f>
        <v>299.31</v>
      </c>
      <c r="BH752" s="151">
        <f t="shared" si="96"/>
        <v>5741.31</v>
      </c>
      <c r="BI752" s="151">
        <v>5844.72</v>
      </c>
      <c r="BJ752" s="135" t="s">
        <v>102</v>
      </c>
      <c r="BK752" s="135"/>
      <c r="BL752" s="135"/>
      <c r="BM752" s="144" t="s">
        <v>3592</v>
      </c>
      <c r="BN752" s="153">
        <f t="shared" si="97"/>
        <v>2024</v>
      </c>
      <c r="BO752" s="144" t="s">
        <v>143</v>
      </c>
      <c r="BP752" s="135"/>
      <c r="BQ752" s="203"/>
    </row>
    <row r="753" spans="1:69" ht="41.1" customHeight="1">
      <c r="A753" s="135" t="s">
        <v>1705</v>
      </c>
      <c r="B753" s="135" t="s">
        <v>3215</v>
      </c>
      <c r="C753" s="143">
        <v>1100</v>
      </c>
      <c r="D753" s="135">
        <v>45348</v>
      </c>
      <c r="E753" s="135" t="s">
        <v>76</v>
      </c>
      <c r="F753" s="135" t="s">
        <v>76</v>
      </c>
      <c r="G753" s="135" t="s">
        <v>76</v>
      </c>
      <c r="H753" s="135">
        <v>45350</v>
      </c>
      <c r="I753" s="135">
        <v>45350</v>
      </c>
      <c r="J753" s="135">
        <v>45359</v>
      </c>
      <c r="K753" s="135">
        <v>45400</v>
      </c>
      <c r="L753" s="135">
        <v>45390</v>
      </c>
      <c r="M753" s="135" t="s">
        <v>76</v>
      </c>
      <c r="N753" s="135">
        <v>45429</v>
      </c>
      <c r="O753" s="135">
        <v>45429</v>
      </c>
      <c r="P753" s="135"/>
      <c r="Q753" s="135"/>
      <c r="R753" s="135"/>
      <c r="S753" s="135"/>
      <c r="T753" s="135"/>
      <c r="U753" s="144">
        <v>2</v>
      </c>
      <c r="V753" s="143">
        <v>86205</v>
      </c>
      <c r="W753" s="143" t="str">
        <f ca="1">IF(H753="",IF(D753="","",IF(U753+V753&lt;15,"Données Nb pers ou RFR manquantes",IF(COUNTA(INDIRECT("TabRFR["&amp;YEAR(D753)&amp;"]"))&lt;&gt;COUNTA(TabRFR[Recherche RFR]),"Data RFR manquantes", IF(V753&lt;=INDEX(TabRFR[[2023]:[2025]],MATCH(BD!U753&amp;"-Très modestes",TabRFR[Recherche RFR],0),MATCH(TEXT(YEAR(BD!D753),"Standard"),TabRFR[[#Headers],[2023]:[2025]],0)),"Très Modeste",IF(V753&lt;=INDEX(TabRFR[[2023]:[2025]],MATCH(BD!U753&amp;"-modestes",TabRFR[Recherche RFR],0),MATCH(TEXT(YEAR(BD!D753),"Standard"),TabRFR[[#Headers],[2023]:[2025]],0)),"Modeste",IF(V753&lt;=INDEX(TabRFR[[2023]:[2025]],MATCH(BD!U753&amp;"-Intermédiaire",TabRFR[Recherche RFR],0),MATCH(TEXT(YEAR(BD!D753),"Standard"),TabRFR[[#Headers],[2023]:[2025]],0)),"Intermédiaire","Supérieur")))))),IF(D753="","",IF(U753+V753&lt;15,"Données Nb pers ou RFR manquantes",IF(COUNTA(INDIRECT("TabRFR["&amp;YEAR(H753)&amp;"]"))&lt;&gt;COUNTA(TabRFR[Recherche RFR]),"Data RFR manquantes", IF(V753&lt;=INDEX(TabRFR[[2023]:[2025]],MATCH(BD!U753&amp;"-Très modestes",TabRFR[Recherche RFR],0),MATCH(TEXT(YEAR(BD!H753),"Standard"),TabRFR[[#Headers],[2023]:[2025]],0)),"Très Modeste",IF(V753&lt;=INDEX(TabRFR[[2023]:[2025]],MATCH(BD!U753&amp;"-modestes",TabRFR[Recherche RFR],0),MATCH(TEXT(YEAR(BD!H753),"Standard"),TabRFR[[#Headers],[2023]:[2025]],0)),"Modeste",IF(V753&lt;=INDEX(TabRFR[[2023]:[2025]],MATCH(BD!U753&amp;"-Intermédiaire",TabRFR[Recherche RFR],0),MATCH(TEXT(YEAR(BD!H753),"Standard"),TabRFR[[#Headers],[2023]:[2025]],0)),"Intermédiaire","Supérieur")))))))</f>
        <v>Supérieur</v>
      </c>
      <c r="X753" s="144"/>
      <c r="Y753" s="135" t="s">
        <v>3521</v>
      </c>
      <c r="Z753" s="144">
        <v>38340</v>
      </c>
      <c r="AA753" s="135" t="s">
        <v>266</v>
      </c>
      <c r="AB753" s="148"/>
      <c r="AC753" s="202"/>
      <c r="AD753" s="135" t="s">
        <v>91</v>
      </c>
      <c r="AE753" s="135"/>
      <c r="AF753" s="135"/>
      <c r="AG753" s="135"/>
      <c r="AH753" s="135"/>
      <c r="AI753" s="135" t="s">
        <v>120</v>
      </c>
      <c r="AJ753" s="135" t="s">
        <v>121</v>
      </c>
      <c r="AK753" s="135" t="s">
        <v>2232</v>
      </c>
      <c r="AL753" s="150" t="s">
        <v>123</v>
      </c>
      <c r="AM753" s="135" t="s">
        <v>1469</v>
      </c>
      <c r="AN753" s="135" t="s">
        <v>2233</v>
      </c>
      <c r="AO753" s="193" t="s">
        <v>102</v>
      </c>
      <c r="AP753" s="135">
        <v>45513</v>
      </c>
      <c r="AQ753" s="135" t="s">
        <v>3449</v>
      </c>
      <c r="AR753" s="153">
        <v>1988</v>
      </c>
      <c r="AS753" s="135" t="s">
        <v>3450</v>
      </c>
      <c r="AT753" s="135" t="s">
        <v>3446</v>
      </c>
      <c r="AU753" s="135" t="s">
        <v>2179</v>
      </c>
      <c r="AV753" s="135" t="s">
        <v>3522</v>
      </c>
      <c r="AW753" s="143">
        <v>15</v>
      </c>
      <c r="AX753" s="143">
        <v>6.9</v>
      </c>
      <c r="AY753" s="143">
        <v>82.3</v>
      </c>
      <c r="AZ753" s="143">
        <v>1177</v>
      </c>
      <c r="BA753" s="135" t="s">
        <v>1401</v>
      </c>
      <c r="BB753" s="151">
        <v>2350</v>
      </c>
      <c r="BC753" s="151">
        <f>120+135+250+158+430+88</f>
        <v>1181</v>
      </c>
      <c r="BD753" s="151" t="s">
        <v>76</v>
      </c>
      <c r="BE753" s="151">
        <f>680+80</f>
        <v>760</v>
      </c>
      <c r="BF753" s="151">
        <f>BB753+BC753+BE753</f>
        <v>4291</v>
      </c>
      <c r="BG753" s="151">
        <f t="shared" si="100"/>
        <v>236.005</v>
      </c>
      <c r="BH753" s="151">
        <f t="shared" si="96"/>
        <v>4527.0050000000001</v>
      </c>
      <c r="BI753" s="151">
        <v>4500</v>
      </c>
      <c r="BJ753" s="135" t="s">
        <v>1391</v>
      </c>
      <c r="BK753" s="135"/>
      <c r="BL753" s="135"/>
      <c r="BM753" s="144" t="s">
        <v>3592</v>
      </c>
      <c r="BN753" s="153">
        <f t="shared" si="97"/>
        <v>2024</v>
      </c>
      <c r="BO753" s="144" t="s">
        <v>143</v>
      </c>
      <c r="BP753" s="135"/>
      <c r="BQ753" s="203"/>
    </row>
    <row r="754" spans="1:69" ht="41.1" customHeight="1">
      <c r="A754" s="135" t="s">
        <v>1705</v>
      </c>
      <c r="B754" s="135" t="s">
        <v>3216</v>
      </c>
      <c r="C754" s="143">
        <v>600</v>
      </c>
      <c r="D754" s="135">
        <v>45348</v>
      </c>
      <c r="E754" s="135" t="s">
        <v>76</v>
      </c>
      <c r="F754" s="135" t="s">
        <v>76</v>
      </c>
      <c r="G754" s="135" t="s">
        <v>76</v>
      </c>
      <c r="H754" s="135">
        <v>45350</v>
      </c>
      <c r="I754" s="135">
        <v>45350</v>
      </c>
      <c r="J754" s="135">
        <v>45359</v>
      </c>
      <c r="K754" s="135"/>
      <c r="L754" s="135"/>
      <c r="M754" s="135"/>
      <c r="N754" s="135"/>
      <c r="O754" s="135"/>
      <c r="P754" s="135"/>
      <c r="Q754" s="135"/>
      <c r="R754" s="135"/>
      <c r="S754" s="135"/>
      <c r="T754" s="135"/>
      <c r="U754" s="144">
        <v>2</v>
      </c>
      <c r="V754" s="143">
        <v>38520</v>
      </c>
      <c r="W754" s="143" t="str">
        <f ca="1">IF(H754="",IF(D754="","",IF(U754+V754&lt;15,"Données Nb pers ou RFR manquantes",IF(COUNTA(INDIRECT("TabRFR["&amp;YEAR(D754)&amp;"]"))&lt;&gt;COUNTA(TabRFR[Recherche RFR]),"Data RFR manquantes", IF(V754&lt;=INDEX(TabRFR[[2023]:[2025]],MATCH(BD!U754&amp;"-Très modestes",TabRFR[Recherche RFR],0),MATCH(TEXT(YEAR(BD!D754),"Standard"),TabRFR[[#Headers],[2023]:[2025]],0)),"Très Modeste",IF(V754&lt;=INDEX(TabRFR[[2023]:[2025]],MATCH(BD!U754&amp;"-modestes",TabRFR[Recherche RFR],0),MATCH(TEXT(YEAR(BD!D754),"Standard"),TabRFR[[#Headers],[2023]:[2025]],0)),"Modeste",IF(V754&lt;=INDEX(TabRFR[[2023]:[2025]],MATCH(BD!U754&amp;"-Intermédiaire",TabRFR[Recherche RFR],0),MATCH(TEXT(YEAR(BD!D754),"Standard"),TabRFR[[#Headers],[2023]:[2025]],0)),"Intermédiaire","Supérieur")))))),IF(D754="","",IF(U754+V754&lt;15,"Données Nb pers ou RFR manquantes",IF(COUNTA(INDIRECT("TabRFR["&amp;YEAR(H754)&amp;"]"))&lt;&gt;COUNTA(TabRFR[Recherche RFR]),"Data RFR manquantes", IF(V754&lt;=INDEX(TabRFR[[2023]:[2025]],MATCH(BD!U754&amp;"-Très modestes",TabRFR[Recherche RFR],0),MATCH(TEXT(YEAR(BD!H754),"Standard"),TabRFR[[#Headers],[2023]:[2025]],0)),"Très Modeste",IF(V754&lt;=INDEX(TabRFR[[2023]:[2025]],MATCH(BD!U754&amp;"-modestes",TabRFR[Recherche RFR],0),MATCH(TEXT(YEAR(BD!H754),"Standard"),TabRFR[[#Headers],[2023]:[2025]],0)),"Modeste",IF(V754&lt;=INDEX(TabRFR[[2023]:[2025]],MATCH(BD!U754&amp;"-Intermédiaire",TabRFR[Recherche RFR],0),MATCH(TEXT(YEAR(BD!H754),"Standard"),TabRFR[[#Headers],[2023]:[2025]],0)),"Intermédiaire","Supérieur")))))))</f>
        <v>Intermédiaire</v>
      </c>
      <c r="X754" s="144"/>
      <c r="Y754" s="135" t="s">
        <v>3523</v>
      </c>
      <c r="Z754" s="144">
        <v>38500</v>
      </c>
      <c r="AA754" s="135" t="s">
        <v>3524</v>
      </c>
      <c r="AB754" s="148"/>
      <c r="AC754" s="202"/>
      <c r="AD754" s="135" t="s">
        <v>91</v>
      </c>
      <c r="AE754" s="135"/>
      <c r="AF754" s="135"/>
      <c r="AG754" s="135"/>
      <c r="AH754" s="135"/>
      <c r="AI754" s="135" t="s">
        <v>285</v>
      </c>
      <c r="AJ754" s="135" t="s">
        <v>108</v>
      </c>
      <c r="AK754" s="135" t="s">
        <v>2227</v>
      </c>
      <c r="AL754" s="169" t="s">
        <v>287</v>
      </c>
      <c r="AM754" s="148" t="s">
        <v>2184</v>
      </c>
      <c r="AN754" s="135" t="s">
        <v>76</v>
      </c>
      <c r="AO754" s="193" t="s">
        <v>102</v>
      </c>
      <c r="AP754" s="135">
        <v>45553</v>
      </c>
      <c r="AQ754" s="135" t="s">
        <v>3450</v>
      </c>
      <c r="AR754" s="153">
        <v>1988</v>
      </c>
      <c r="AS754" s="135" t="s">
        <v>3413</v>
      </c>
      <c r="AT754" s="135" t="s">
        <v>3446</v>
      </c>
      <c r="AU754" s="135" t="s">
        <v>532</v>
      </c>
      <c r="AV754" s="135" t="s">
        <v>3525</v>
      </c>
      <c r="AW754" s="143">
        <v>15</v>
      </c>
      <c r="AX754" s="143" t="s">
        <v>3526</v>
      </c>
      <c r="AY754" s="143" t="s">
        <v>3527</v>
      </c>
      <c r="AZ754" s="143" t="s">
        <v>3528</v>
      </c>
      <c r="BA754" s="135" t="s">
        <v>101</v>
      </c>
      <c r="BB754" s="151">
        <v>3527.5</v>
      </c>
      <c r="BC754" s="151">
        <f>390+490+315</f>
        <v>1195</v>
      </c>
      <c r="BD754" s="151">
        <v>1290</v>
      </c>
      <c r="BE754" s="151">
        <v>330</v>
      </c>
      <c r="BF754" s="151">
        <f>BB754+BC754+BD754+BE754</f>
        <v>6342.5</v>
      </c>
      <c r="BG754" s="151">
        <f t="shared" si="100"/>
        <v>348.83749999999998</v>
      </c>
      <c r="BH754" s="151">
        <f t="shared" si="96"/>
        <v>6691.3374999999996</v>
      </c>
      <c r="BI754" s="135"/>
      <c r="BJ754" s="135" t="s">
        <v>102</v>
      </c>
      <c r="BK754" s="135"/>
      <c r="BL754" s="135"/>
      <c r="BM754" s="144" t="s">
        <v>3592</v>
      </c>
      <c r="BN754" s="153">
        <f t="shared" ref="BN754:BN775" si="101">(IF(R754=0,IF(H754&lt;&gt;0,YEAR(H754),""),""))</f>
        <v>2024</v>
      </c>
      <c r="BO754" s="144" t="s">
        <v>143</v>
      </c>
      <c r="BP754" s="135"/>
      <c r="BQ754" s="203"/>
    </row>
    <row r="755" spans="1:69" ht="41.1" customHeight="1">
      <c r="A755" s="135" t="s">
        <v>1705</v>
      </c>
      <c r="B755" s="135" t="s">
        <v>3455</v>
      </c>
      <c r="C755" s="143">
        <v>1000</v>
      </c>
      <c r="D755" s="135">
        <v>45349</v>
      </c>
      <c r="E755" s="135">
        <v>45352</v>
      </c>
      <c r="F755" s="135" t="s">
        <v>76</v>
      </c>
      <c r="G755" s="135" t="s">
        <v>76</v>
      </c>
      <c r="H755" s="135">
        <v>45357</v>
      </c>
      <c r="I755" s="135">
        <v>45358</v>
      </c>
      <c r="J755" s="135">
        <v>45373</v>
      </c>
      <c r="K755" s="135"/>
      <c r="L755" s="135"/>
      <c r="M755" s="135"/>
      <c r="N755" s="135"/>
      <c r="O755" s="135"/>
      <c r="P755" s="135"/>
      <c r="Q755" s="135"/>
      <c r="R755" s="135"/>
      <c r="S755" s="135"/>
      <c r="T755" s="135"/>
      <c r="U755" s="144">
        <v>5</v>
      </c>
      <c r="V755" s="143">
        <v>31079</v>
      </c>
      <c r="W755" s="143" t="str">
        <f ca="1">IF(H755="",IF(D755="","",IF(U755+V755&lt;15,"Données Nb pers ou RFR manquantes",IF(COUNTA(INDIRECT("TabRFR["&amp;YEAR(D755)&amp;"]"))&lt;&gt;COUNTA(TabRFR[Recherche RFR]),"Data RFR manquantes", IF(V755&lt;=INDEX(TabRFR[[2023]:[2025]],MATCH(BD!U755&amp;"-Très modestes",TabRFR[Recherche RFR],0),MATCH(TEXT(YEAR(BD!D755),"Standard"),TabRFR[[#Headers],[2023]:[2025]],0)),"Très Modeste",IF(V755&lt;=INDEX(TabRFR[[2023]:[2025]],MATCH(BD!U755&amp;"-modestes",TabRFR[Recherche RFR],0),MATCH(TEXT(YEAR(BD!D755),"Standard"),TabRFR[[#Headers],[2023]:[2025]],0)),"Modeste",IF(V755&lt;=INDEX(TabRFR[[2023]:[2025]],MATCH(BD!U755&amp;"-Intermédiaire",TabRFR[Recherche RFR],0),MATCH(TEXT(YEAR(BD!D755),"Standard"),TabRFR[[#Headers],[2023]:[2025]],0)),"Intermédiaire","Supérieur")))))),IF(D755="","",IF(U755+V755&lt;15,"Données Nb pers ou RFR manquantes",IF(COUNTA(INDIRECT("TabRFR["&amp;YEAR(H755)&amp;"]"))&lt;&gt;COUNTA(TabRFR[Recherche RFR]),"Data RFR manquantes", IF(V755&lt;=INDEX(TabRFR[[2023]:[2025]],MATCH(BD!U755&amp;"-Très modestes",TabRFR[Recherche RFR],0),MATCH(TEXT(YEAR(BD!H755),"Standard"),TabRFR[[#Headers],[2023]:[2025]],0)),"Très Modeste",IF(V755&lt;=INDEX(TabRFR[[2023]:[2025]],MATCH(BD!U755&amp;"-modestes",TabRFR[Recherche RFR],0),MATCH(TEXT(YEAR(BD!H755),"Standard"),TabRFR[[#Headers],[2023]:[2025]],0)),"Modeste",IF(V755&lt;=INDEX(TabRFR[[2023]:[2025]],MATCH(BD!U755&amp;"-Intermédiaire",TabRFR[Recherche RFR],0),MATCH(TEXT(YEAR(BD!H755),"Standard"),TabRFR[[#Headers],[2023]:[2025]],0)),"Intermédiaire","Supérieur")))))))</f>
        <v>Très Modeste</v>
      </c>
      <c r="X755" s="144"/>
      <c r="Y755" s="135" t="s">
        <v>3529</v>
      </c>
      <c r="Z755" s="144">
        <v>38140</v>
      </c>
      <c r="AA755" s="135" t="s">
        <v>3509</v>
      </c>
      <c r="AB755" s="148"/>
      <c r="AC755" s="202"/>
      <c r="AD755" s="135" t="s">
        <v>91</v>
      </c>
      <c r="AE755" s="135"/>
      <c r="AF755" s="135"/>
      <c r="AG755" s="135"/>
      <c r="AH755" s="135"/>
      <c r="AI755" s="135" t="s">
        <v>285</v>
      </c>
      <c r="AJ755" s="135" t="s">
        <v>108</v>
      </c>
      <c r="AK755" s="135" t="s">
        <v>2227</v>
      </c>
      <c r="AL755" s="169" t="s">
        <v>287</v>
      </c>
      <c r="AM755" s="148" t="s">
        <v>2184</v>
      </c>
      <c r="AN755" s="135" t="s">
        <v>76</v>
      </c>
      <c r="AO755" s="193" t="s">
        <v>102</v>
      </c>
      <c r="AP755" s="135">
        <v>45553</v>
      </c>
      <c r="AQ755" s="135" t="s">
        <v>3450</v>
      </c>
      <c r="AR755" s="153">
        <v>1978</v>
      </c>
      <c r="AS755" s="135" t="s">
        <v>3413</v>
      </c>
      <c r="AT755" s="135" t="s">
        <v>3446</v>
      </c>
      <c r="AU755" s="135" t="s">
        <v>532</v>
      </c>
      <c r="AV755" s="135" t="s">
        <v>3532</v>
      </c>
      <c r="AW755" s="143">
        <v>40</v>
      </c>
      <c r="AX755" s="143">
        <v>9</v>
      </c>
      <c r="AY755" s="143" t="s">
        <v>3533</v>
      </c>
      <c r="AZ755" s="143" t="s">
        <v>3534</v>
      </c>
      <c r="BA755" s="135" t="s">
        <v>101</v>
      </c>
      <c r="BB755" s="151">
        <v>2950</v>
      </c>
      <c r="BC755" s="151">
        <f>490+315+275+150</f>
        <v>1230</v>
      </c>
      <c r="BD755" s="151">
        <v>705</v>
      </c>
      <c r="BE755" s="151">
        <v>330</v>
      </c>
      <c r="BF755" s="151">
        <f>BB755+BC755+BD755+BE755</f>
        <v>5215</v>
      </c>
      <c r="BG755" s="151">
        <f t="shared" si="100"/>
        <v>286.82499999999999</v>
      </c>
      <c r="BH755" s="151">
        <f t="shared" si="96"/>
        <v>5501.8249999999998</v>
      </c>
      <c r="BI755" s="135"/>
      <c r="BJ755" s="135" t="s">
        <v>102</v>
      </c>
      <c r="BK755" s="135"/>
      <c r="BL755" s="135"/>
      <c r="BM755" s="144" t="s">
        <v>3592</v>
      </c>
      <c r="BN755" s="153">
        <f t="shared" si="101"/>
        <v>2024</v>
      </c>
      <c r="BO755" s="135" t="s">
        <v>155</v>
      </c>
      <c r="BP755" s="135"/>
      <c r="BQ755" s="203"/>
    </row>
    <row r="756" spans="1:69" ht="41.1" customHeight="1">
      <c r="A756" s="205" t="s">
        <v>1705</v>
      </c>
      <c r="B756" s="205" t="s">
        <v>3456</v>
      </c>
      <c r="C756" s="143">
        <v>1100</v>
      </c>
      <c r="D756" s="135">
        <v>45350</v>
      </c>
      <c r="E756" s="135">
        <v>45352</v>
      </c>
      <c r="F756" s="135">
        <v>45357</v>
      </c>
      <c r="G756" s="135" t="s">
        <v>3542</v>
      </c>
      <c r="H756" s="135">
        <v>45358</v>
      </c>
      <c r="I756" s="135">
        <v>45358</v>
      </c>
      <c r="J756" s="135">
        <v>45341</v>
      </c>
      <c r="K756" s="135">
        <v>45415</v>
      </c>
      <c r="L756" s="135">
        <v>45366</v>
      </c>
      <c r="M756" s="135" t="s">
        <v>76</v>
      </c>
      <c r="N756" s="135">
        <v>45419</v>
      </c>
      <c r="O756" s="135">
        <v>45419</v>
      </c>
      <c r="P756" s="135">
        <v>45425</v>
      </c>
      <c r="Q756" s="135"/>
      <c r="R756" s="135"/>
      <c r="S756" s="135"/>
      <c r="T756" s="135"/>
      <c r="U756" s="144">
        <v>1</v>
      </c>
      <c r="V756" s="143">
        <v>28167</v>
      </c>
      <c r="W756" s="143" t="str">
        <f ca="1">IF(H756="",IF(D756="","",IF(U756+V756&lt;15,"Données Nb pers ou RFR manquantes",IF(COUNTA(INDIRECT("TabRFR["&amp;YEAR(D756)&amp;"]"))&lt;&gt;COUNTA(TabRFR[Recherche RFR]),"Data RFR manquantes", IF(V756&lt;=INDEX(TabRFR[[2023]:[2025]],MATCH(BD!U756&amp;"-Très modestes",TabRFR[Recherche RFR],0),MATCH(TEXT(YEAR(BD!D756),"Standard"),TabRFR[[#Headers],[2023]:[2025]],0)),"Très Modeste",IF(V756&lt;=INDEX(TabRFR[[2023]:[2025]],MATCH(BD!U756&amp;"-modestes",TabRFR[Recherche RFR],0),MATCH(TEXT(YEAR(BD!D756),"Standard"),TabRFR[[#Headers],[2023]:[2025]],0)),"Modeste",IF(V756&lt;=INDEX(TabRFR[[2023]:[2025]],MATCH(BD!U756&amp;"-Intermédiaire",TabRFR[Recherche RFR],0),MATCH(TEXT(YEAR(BD!D756),"Standard"),TabRFR[[#Headers],[2023]:[2025]],0)),"Intermédiaire","Supérieur")))))),IF(D756="","",IF(U756+V756&lt;15,"Données Nb pers ou RFR manquantes",IF(COUNTA(INDIRECT("TabRFR["&amp;YEAR(H756)&amp;"]"))&lt;&gt;COUNTA(TabRFR[Recherche RFR]),"Data RFR manquantes", IF(V756&lt;=INDEX(TabRFR[[2023]:[2025]],MATCH(BD!U756&amp;"-Très modestes",TabRFR[Recherche RFR],0),MATCH(TEXT(YEAR(BD!H756),"Standard"),TabRFR[[#Headers],[2023]:[2025]],0)),"Très Modeste",IF(V756&lt;=INDEX(TabRFR[[2023]:[2025]],MATCH(BD!U756&amp;"-modestes",TabRFR[Recherche RFR],0),MATCH(TEXT(YEAR(BD!H756),"Standard"),TabRFR[[#Headers],[2023]:[2025]],0)),"Modeste",IF(V756&lt;=INDEX(TabRFR[[2023]:[2025]],MATCH(BD!U756&amp;"-Intermédiaire",TabRFR[Recherche RFR],0),MATCH(TEXT(YEAR(BD!H756),"Standard"),TabRFR[[#Headers],[2023]:[2025]],0)),"Intermédiaire","Supérieur")))))))</f>
        <v>Intermédiaire</v>
      </c>
      <c r="X756" s="144"/>
      <c r="Y756" s="135" t="s">
        <v>3530</v>
      </c>
      <c r="Z756" s="144">
        <v>38340</v>
      </c>
      <c r="AA756" s="135" t="s">
        <v>266</v>
      </c>
      <c r="AB756" s="148"/>
      <c r="AC756" s="202"/>
      <c r="AD756" s="135" t="s">
        <v>91</v>
      </c>
      <c r="AE756" s="135"/>
      <c r="AF756" s="135"/>
      <c r="AG756" s="135"/>
      <c r="AH756" s="135"/>
      <c r="AI756" s="135" t="s">
        <v>3535</v>
      </c>
      <c r="AJ756" s="135" t="s">
        <v>887</v>
      </c>
      <c r="AK756" s="135" t="s">
        <v>3536</v>
      </c>
      <c r="AL756" s="202" t="s">
        <v>3537</v>
      </c>
      <c r="AM756" s="148">
        <v>476479232</v>
      </c>
      <c r="AN756" s="135" t="s">
        <v>76</v>
      </c>
      <c r="AO756" s="135" t="s">
        <v>102</v>
      </c>
      <c r="AP756" s="135">
        <v>45654</v>
      </c>
      <c r="AQ756" s="135" t="s">
        <v>3449</v>
      </c>
      <c r="AR756" s="135" t="s">
        <v>139</v>
      </c>
      <c r="AS756" s="135" t="s">
        <v>3450</v>
      </c>
      <c r="AT756" s="135" t="s">
        <v>3446</v>
      </c>
      <c r="AU756" s="135" t="s">
        <v>2709</v>
      </c>
      <c r="AV756" s="135" t="s">
        <v>3538</v>
      </c>
      <c r="AW756" s="143">
        <v>29</v>
      </c>
      <c r="AX756" s="143" t="s">
        <v>3539</v>
      </c>
      <c r="AY756" s="143" t="s">
        <v>3541</v>
      </c>
      <c r="AZ756" s="143" t="s">
        <v>3540</v>
      </c>
      <c r="BA756" s="135" t="s">
        <v>101</v>
      </c>
      <c r="BB756" s="151" t="s">
        <v>76</v>
      </c>
      <c r="BC756" s="151">
        <v>3572</v>
      </c>
      <c r="BD756" s="151">
        <v>1800</v>
      </c>
      <c r="BE756" s="151">
        <v>189.13</v>
      </c>
      <c r="BF756" s="151">
        <f>BC756+BD756+BE756</f>
        <v>5561.13</v>
      </c>
      <c r="BG756" s="151">
        <f t="shared" si="100"/>
        <v>305.86214999999999</v>
      </c>
      <c r="BH756" s="151">
        <f t="shared" si="96"/>
        <v>5866.99215</v>
      </c>
      <c r="BI756" s="151">
        <v>5867</v>
      </c>
      <c r="BJ756" s="135" t="s">
        <v>102</v>
      </c>
      <c r="BK756" s="135"/>
      <c r="BL756" s="135"/>
      <c r="BM756" s="144" t="s">
        <v>3592</v>
      </c>
      <c r="BN756" s="153">
        <f t="shared" si="101"/>
        <v>2024</v>
      </c>
      <c r="BO756" s="144" t="s">
        <v>143</v>
      </c>
      <c r="BP756" s="135"/>
      <c r="BQ756" s="203"/>
    </row>
    <row r="757" spans="1:69" ht="41.1" customHeight="1">
      <c r="A757" s="135" t="s">
        <v>1705</v>
      </c>
      <c r="B757" s="135" t="s">
        <v>3457</v>
      </c>
      <c r="C757" s="143">
        <v>1100</v>
      </c>
      <c r="D757" s="135">
        <v>45349</v>
      </c>
      <c r="E757" s="135">
        <v>45352</v>
      </c>
      <c r="F757" s="135" t="s">
        <v>76</v>
      </c>
      <c r="G757" s="135" t="s">
        <v>76</v>
      </c>
      <c r="H757" s="135">
        <v>45358</v>
      </c>
      <c r="I757" s="135">
        <v>45358</v>
      </c>
      <c r="J757" s="135">
        <v>45373</v>
      </c>
      <c r="K757" s="135">
        <v>45415</v>
      </c>
      <c r="L757" s="135">
        <v>45400</v>
      </c>
      <c r="M757" s="135" t="s">
        <v>76</v>
      </c>
      <c r="N757" s="135">
        <v>45419</v>
      </c>
      <c r="O757" s="135">
        <v>45419</v>
      </c>
      <c r="P757" s="135">
        <v>45425</v>
      </c>
      <c r="Q757" s="135"/>
      <c r="R757" s="135"/>
      <c r="S757" s="135"/>
      <c r="T757" s="135"/>
      <c r="U757" s="144">
        <v>4</v>
      </c>
      <c r="V757" s="143">
        <v>46055</v>
      </c>
      <c r="W757" s="143" t="str">
        <f ca="1">IF(H757="",IF(D757="","",IF(U757+V757&lt;15,"Données Nb pers ou RFR manquantes",IF(COUNTA(INDIRECT("TabRFR["&amp;YEAR(D757)&amp;"]"))&lt;&gt;COUNTA(TabRFR[Recherche RFR]),"Data RFR manquantes", IF(V757&lt;=INDEX(TabRFR[[2023]:[2025]],MATCH(BD!U757&amp;"-Très modestes",TabRFR[Recherche RFR],0),MATCH(TEXT(YEAR(BD!D757),"Standard"),TabRFR[[#Headers],[2023]:[2025]],0)),"Très Modeste",IF(V757&lt;=INDEX(TabRFR[[2023]:[2025]],MATCH(BD!U757&amp;"-modestes",TabRFR[Recherche RFR],0),MATCH(TEXT(YEAR(BD!D757),"Standard"),TabRFR[[#Headers],[2023]:[2025]],0)),"Modeste",IF(V757&lt;=INDEX(TabRFR[[2023]:[2025]],MATCH(BD!U757&amp;"-Intermédiaire",TabRFR[Recherche RFR],0),MATCH(TEXT(YEAR(BD!D757),"Standard"),TabRFR[[#Headers],[2023]:[2025]],0)),"Intermédiaire","Supérieur")))))),IF(D757="","",IF(U757+V757&lt;15,"Données Nb pers ou RFR manquantes",IF(COUNTA(INDIRECT("TabRFR["&amp;YEAR(H757)&amp;"]"))&lt;&gt;COUNTA(TabRFR[Recherche RFR]),"Data RFR manquantes", IF(V757&lt;=INDEX(TabRFR[[2023]:[2025]],MATCH(BD!U757&amp;"-Très modestes",TabRFR[Recherche RFR],0),MATCH(TEXT(YEAR(BD!H757),"Standard"),TabRFR[[#Headers],[2023]:[2025]],0)),"Très Modeste",IF(V757&lt;=INDEX(TabRFR[[2023]:[2025]],MATCH(BD!U757&amp;"-modestes",TabRFR[Recherche RFR],0),MATCH(TEXT(YEAR(BD!H757),"Standard"),TabRFR[[#Headers],[2023]:[2025]],0)),"Modeste",IF(V757&lt;=INDEX(TabRFR[[2023]:[2025]],MATCH(BD!U757&amp;"-Intermédiaire",TabRFR[Recherche RFR],0),MATCH(TEXT(YEAR(BD!H757),"Standard"),TabRFR[[#Headers],[2023]:[2025]],0)),"Intermédiaire","Supérieur")))))))</f>
        <v>Intermédiaire</v>
      </c>
      <c r="X757" s="144"/>
      <c r="Y757" s="135" t="s">
        <v>3531</v>
      </c>
      <c r="Z757" s="144">
        <v>38140</v>
      </c>
      <c r="AA757" s="135" t="s">
        <v>435</v>
      </c>
      <c r="AB757" s="148"/>
      <c r="AC757" s="202"/>
      <c r="AD757" s="135" t="s">
        <v>91</v>
      </c>
      <c r="AE757" s="135"/>
      <c r="AF757" s="135"/>
      <c r="AG757" s="135"/>
      <c r="AH757" s="135"/>
      <c r="AI757" s="135" t="s">
        <v>120</v>
      </c>
      <c r="AJ757" s="135" t="s">
        <v>121</v>
      </c>
      <c r="AK757" s="135" t="s">
        <v>2232</v>
      </c>
      <c r="AL757" s="150" t="s">
        <v>123</v>
      </c>
      <c r="AM757" s="135" t="s">
        <v>1469</v>
      </c>
      <c r="AN757" s="135" t="s">
        <v>2233</v>
      </c>
      <c r="AO757" s="193" t="s">
        <v>102</v>
      </c>
      <c r="AP757" s="135">
        <v>45513</v>
      </c>
      <c r="AQ757" s="135" t="s">
        <v>3449</v>
      </c>
      <c r="AR757" s="153">
        <v>1988</v>
      </c>
      <c r="AS757" s="135" t="s">
        <v>3413</v>
      </c>
      <c r="AT757" s="135" t="s">
        <v>3446</v>
      </c>
      <c r="AU757" s="135" t="s">
        <v>2179</v>
      </c>
      <c r="AV757" s="135" t="s">
        <v>3544</v>
      </c>
      <c r="AW757" s="143">
        <v>29</v>
      </c>
      <c r="AX757" s="143">
        <v>12.4</v>
      </c>
      <c r="AY757" s="143">
        <v>81.099999999999994</v>
      </c>
      <c r="AZ757" s="143">
        <v>1337</v>
      </c>
      <c r="BA757" s="135" t="s">
        <v>1401</v>
      </c>
      <c r="BB757" s="151">
        <v>4760</v>
      </c>
      <c r="BC757" s="151">
        <f>135+320+250+152+115+135</f>
        <v>1107</v>
      </c>
      <c r="BD757" s="151">
        <v>585</v>
      </c>
      <c r="BE757" s="151">
        <f>750+90</f>
        <v>840</v>
      </c>
      <c r="BF757" s="151">
        <f>BB757+BC757+BD757+BE757</f>
        <v>7292</v>
      </c>
      <c r="BG757" s="151">
        <f t="shared" si="100"/>
        <v>401.06</v>
      </c>
      <c r="BH757" s="151">
        <f t="shared" si="96"/>
        <v>7693.06</v>
      </c>
      <c r="BI757" s="151">
        <v>7400</v>
      </c>
      <c r="BJ757" s="135" t="s">
        <v>1391</v>
      </c>
      <c r="BK757" s="135"/>
      <c r="BL757" s="135"/>
      <c r="BM757" s="144" t="s">
        <v>3592</v>
      </c>
      <c r="BN757" s="153">
        <f t="shared" si="101"/>
        <v>2024</v>
      </c>
      <c r="BO757" s="144" t="s">
        <v>143</v>
      </c>
      <c r="BP757" s="135"/>
      <c r="BQ757" s="203"/>
    </row>
    <row r="758" spans="1:69" ht="41.1" customHeight="1">
      <c r="A758" s="135" t="s">
        <v>1705</v>
      </c>
      <c r="B758" s="135" t="s">
        <v>3458</v>
      </c>
      <c r="C758" s="143">
        <v>600</v>
      </c>
      <c r="D758" s="135">
        <v>45354</v>
      </c>
      <c r="E758" s="135" t="s">
        <v>76</v>
      </c>
      <c r="F758" s="135" t="s">
        <v>76</v>
      </c>
      <c r="G758" s="135" t="s">
        <v>76</v>
      </c>
      <c r="H758" s="135">
        <v>45358</v>
      </c>
      <c r="I758" s="135">
        <v>45358</v>
      </c>
      <c r="J758" s="135">
        <v>45373</v>
      </c>
      <c r="K758" s="135">
        <v>45414</v>
      </c>
      <c r="L758" s="135">
        <v>45398</v>
      </c>
      <c r="M758" s="135" t="s">
        <v>76</v>
      </c>
      <c r="N758" s="135">
        <v>45419</v>
      </c>
      <c r="O758" s="135">
        <v>45419</v>
      </c>
      <c r="P758" s="135">
        <v>45425</v>
      </c>
      <c r="Q758" s="135"/>
      <c r="R758" s="135"/>
      <c r="S758" s="135"/>
      <c r="T758" s="135"/>
      <c r="U758" s="144">
        <v>2</v>
      </c>
      <c r="V758" s="143">
        <v>35884</v>
      </c>
      <c r="W758" s="143" t="str">
        <f ca="1">IF(H758="",IF(D758="","",IF(U758+V758&lt;15,"Données Nb pers ou RFR manquantes",IF(COUNTA(INDIRECT("TabRFR["&amp;YEAR(D758)&amp;"]"))&lt;&gt;COUNTA(TabRFR[Recherche RFR]),"Data RFR manquantes", IF(V758&lt;=INDEX(TabRFR[[2023]:[2025]],MATCH(BD!U758&amp;"-Très modestes",TabRFR[Recherche RFR],0),MATCH(TEXT(YEAR(BD!D758),"Standard"),TabRFR[[#Headers],[2023]:[2025]],0)),"Très Modeste",IF(V758&lt;=INDEX(TabRFR[[2023]:[2025]],MATCH(BD!U758&amp;"-modestes",TabRFR[Recherche RFR],0),MATCH(TEXT(YEAR(BD!D758),"Standard"),TabRFR[[#Headers],[2023]:[2025]],0)),"Modeste",IF(V758&lt;=INDEX(TabRFR[[2023]:[2025]],MATCH(BD!U758&amp;"-Intermédiaire",TabRFR[Recherche RFR],0),MATCH(TEXT(YEAR(BD!D758),"Standard"),TabRFR[[#Headers],[2023]:[2025]],0)),"Intermédiaire","Supérieur")))))),IF(D758="","",IF(U758+V758&lt;15,"Données Nb pers ou RFR manquantes",IF(COUNTA(INDIRECT("TabRFR["&amp;YEAR(H758)&amp;"]"))&lt;&gt;COUNTA(TabRFR[Recherche RFR]),"Data RFR manquantes", IF(V758&lt;=INDEX(TabRFR[[2023]:[2025]],MATCH(BD!U758&amp;"-Très modestes",TabRFR[Recherche RFR],0),MATCH(TEXT(YEAR(BD!H758),"Standard"),TabRFR[[#Headers],[2023]:[2025]],0)),"Très Modeste",IF(V758&lt;=INDEX(TabRFR[[2023]:[2025]],MATCH(BD!U758&amp;"-modestes",TabRFR[Recherche RFR],0),MATCH(TEXT(YEAR(BD!H758),"Standard"),TabRFR[[#Headers],[2023]:[2025]],0)),"Modeste",IF(V758&lt;=INDEX(TabRFR[[2023]:[2025]],MATCH(BD!U758&amp;"-Intermédiaire",TabRFR[Recherche RFR],0),MATCH(TEXT(YEAR(BD!H758),"Standard"),TabRFR[[#Headers],[2023]:[2025]],0)),"Intermédiaire","Supérieur")))))))</f>
        <v>Intermédiaire</v>
      </c>
      <c r="X758" s="144"/>
      <c r="Y758" s="135" t="s">
        <v>3543</v>
      </c>
      <c r="Z758" s="144">
        <v>38430</v>
      </c>
      <c r="AA758" s="135" t="s">
        <v>3517</v>
      </c>
      <c r="AB758" s="148"/>
      <c r="AC758" s="202"/>
      <c r="AD758" s="135" t="s">
        <v>91</v>
      </c>
      <c r="AE758" s="135"/>
      <c r="AF758" s="135"/>
      <c r="AG758" s="135"/>
      <c r="AH758" s="135"/>
      <c r="AI758" s="135" t="s">
        <v>169</v>
      </c>
      <c r="AJ758" s="135" t="s">
        <v>119</v>
      </c>
      <c r="AK758" s="135" t="s">
        <v>2192</v>
      </c>
      <c r="AL758" s="169" t="s">
        <v>171</v>
      </c>
      <c r="AM758" s="148" t="s">
        <v>1406</v>
      </c>
      <c r="AN758" s="135" t="str">
        <f>AN754</f>
        <v>-</v>
      </c>
      <c r="AO758" s="135" t="str">
        <f>AO754</f>
        <v>oui</v>
      </c>
      <c r="AP758" s="135">
        <v>45614</v>
      </c>
      <c r="AQ758" s="135" t="s">
        <v>3450</v>
      </c>
      <c r="AR758" s="153">
        <v>2000</v>
      </c>
      <c r="AS758" s="135" t="s">
        <v>3413</v>
      </c>
      <c r="AT758" s="135" t="s">
        <v>3446</v>
      </c>
      <c r="AU758" s="135" t="s">
        <v>2348</v>
      </c>
      <c r="AV758" s="135" t="s">
        <v>2349</v>
      </c>
      <c r="AW758" s="143">
        <v>18</v>
      </c>
      <c r="AX758" s="143" t="s">
        <v>2313</v>
      </c>
      <c r="AY758" s="143">
        <v>88</v>
      </c>
      <c r="AZ758" s="143" t="s">
        <v>3545</v>
      </c>
      <c r="BA758" s="135" t="s">
        <v>101</v>
      </c>
      <c r="BB758" s="151">
        <v>2952</v>
      </c>
      <c r="BC758" s="151">
        <f>295+35+75.9+89.35+106.25+99.09+565+38.36+207.25+110+45.35</f>
        <v>1666.55</v>
      </c>
      <c r="BD758" s="151">
        <v>482.94</v>
      </c>
      <c r="BE758" s="151">
        <f>550+525</f>
        <v>1075</v>
      </c>
      <c r="BF758" s="151">
        <f>BB758+BC758+BD758+BE758</f>
        <v>6176.49</v>
      </c>
      <c r="BG758" s="151">
        <f t="shared" si="100"/>
        <v>339.70695000000001</v>
      </c>
      <c r="BH758" s="151">
        <f t="shared" si="96"/>
        <v>6516.1969499999996</v>
      </c>
      <c r="BI758" s="151">
        <v>6516.72</v>
      </c>
      <c r="BJ758" s="135" t="s">
        <v>102</v>
      </c>
      <c r="BK758" s="135"/>
      <c r="BL758" s="135"/>
      <c r="BM758" s="144" t="s">
        <v>3592</v>
      </c>
      <c r="BN758" s="153">
        <f t="shared" si="101"/>
        <v>2024</v>
      </c>
      <c r="BO758" s="144" t="s">
        <v>143</v>
      </c>
      <c r="BP758" s="135"/>
      <c r="BQ758" s="203"/>
    </row>
    <row r="759" spans="1:69" ht="41.1" customHeight="1">
      <c r="A759" s="198" t="s">
        <v>1705</v>
      </c>
      <c r="B759" s="198" t="s">
        <v>3459</v>
      </c>
      <c r="C759" s="143" t="s">
        <v>76</v>
      </c>
      <c r="D759" s="135">
        <v>45355</v>
      </c>
      <c r="E759" s="135"/>
      <c r="F759" s="135"/>
      <c r="G759" s="135"/>
      <c r="H759" s="135"/>
      <c r="I759" s="135"/>
      <c r="J759" s="135"/>
      <c r="K759" s="135"/>
      <c r="L759" s="135"/>
      <c r="M759" s="135"/>
      <c r="N759" s="135"/>
      <c r="O759" s="135"/>
      <c r="P759" s="135"/>
      <c r="Q759" s="135">
        <v>45358</v>
      </c>
      <c r="R759" s="135" t="s">
        <v>3553</v>
      </c>
      <c r="S759" s="135"/>
      <c r="T759" s="135"/>
      <c r="U759" s="144">
        <v>2</v>
      </c>
      <c r="V759" s="143">
        <v>33619</v>
      </c>
      <c r="W759" s="143" t="str">
        <f ca="1">IF(H759="",IF(D759="","",IF(U759+V759&lt;15,"Données Nb pers ou RFR manquantes",IF(COUNTA(INDIRECT("TabRFR["&amp;YEAR(D759)&amp;"]"))&lt;&gt;COUNTA(TabRFR[Recherche RFR]),"Data RFR manquantes", IF(V759&lt;=INDEX(TabRFR[[2023]:[2025]],MATCH(BD!U759&amp;"-Très modestes",TabRFR[Recherche RFR],0),MATCH(TEXT(YEAR(BD!D759),"Standard"),TabRFR[[#Headers],[2023]:[2025]],0)),"Très Modeste",IF(V759&lt;=INDEX(TabRFR[[2023]:[2025]],MATCH(BD!U759&amp;"-modestes",TabRFR[Recherche RFR],0),MATCH(TEXT(YEAR(BD!D759),"Standard"),TabRFR[[#Headers],[2023]:[2025]],0)),"Modeste",IF(V759&lt;=INDEX(TabRFR[[2023]:[2025]],MATCH(BD!U759&amp;"-Intermédiaire",TabRFR[Recherche RFR],0),MATCH(TEXT(YEAR(BD!D759),"Standard"),TabRFR[[#Headers],[2023]:[2025]],0)),"Intermédiaire","Supérieur")))))),IF(D759="","",IF(U759+V759&lt;15,"Données Nb pers ou RFR manquantes",IF(COUNTA(INDIRECT("TabRFR["&amp;YEAR(H759)&amp;"]"))&lt;&gt;COUNTA(TabRFR[Recherche RFR]),"Data RFR manquantes", IF(V759&lt;=INDEX(TabRFR[[2023]:[2025]],MATCH(BD!U759&amp;"-Très modestes",TabRFR[Recherche RFR],0),MATCH(TEXT(YEAR(BD!H759),"Standard"),TabRFR[[#Headers],[2023]:[2025]],0)),"Très Modeste",IF(V759&lt;=INDEX(TabRFR[[2023]:[2025]],MATCH(BD!U759&amp;"-modestes",TabRFR[Recherche RFR],0),MATCH(TEXT(YEAR(BD!H759),"Standard"),TabRFR[[#Headers],[2023]:[2025]],0)),"Modeste",IF(V759&lt;=INDEX(TabRFR[[2023]:[2025]],MATCH(BD!U759&amp;"-Intermédiaire",TabRFR[Recherche RFR],0),MATCH(TEXT(YEAR(BD!H759),"Standard"),TabRFR[[#Headers],[2023]:[2025]],0)),"Intermédiaire","Supérieur")))))))</f>
        <v>Intermédiaire</v>
      </c>
      <c r="X759" s="144"/>
      <c r="Y759" s="135" t="s">
        <v>218</v>
      </c>
      <c r="Z759" s="144">
        <v>38620</v>
      </c>
      <c r="AA759" s="135" t="s">
        <v>262</v>
      </c>
      <c r="AB759" s="148"/>
      <c r="AC759" s="202"/>
      <c r="AD759" s="135" t="s">
        <v>91</v>
      </c>
      <c r="AE759" s="135"/>
      <c r="AF759" s="135"/>
      <c r="AG759" s="135"/>
      <c r="AH759" s="135"/>
      <c r="AI759" s="135" t="s">
        <v>3546</v>
      </c>
      <c r="AJ759" s="135" t="s">
        <v>3547</v>
      </c>
      <c r="AK759" s="135" t="s">
        <v>3548</v>
      </c>
      <c r="AL759" s="202" t="s">
        <v>3549</v>
      </c>
      <c r="AM759" s="148">
        <v>474979051</v>
      </c>
      <c r="AN759" s="135" t="s">
        <v>76</v>
      </c>
      <c r="AO759" s="135" t="s">
        <v>102</v>
      </c>
      <c r="AP759" s="135">
        <v>45647</v>
      </c>
      <c r="AQ759" s="135" t="s">
        <v>1955</v>
      </c>
      <c r="AR759" s="153">
        <v>2015</v>
      </c>
      <c r="AS759" s="135" t="s">
        <v>1955</v>
      </c>
      <c r="AT759" s="135" t="s">
        <v>3446</v>
      </c>
      <c r="AU759" s="135" t="s">
        <v>1079</v>
      </c>
      <c r="AV759" s="135" t="s">
        <v>3550</v>
      </c>
      <c r="AW759" s="143">
        <v>12</v>
      </c>
      <c r="AX759" s="143">
        <v>14</v>
      </c>
      <c r="AY759" s="143" t="s">
        <v>3551</v>
      </c>
      <c r="AZ759" s="143" t="s">
        <v>3552</v>
      </c>
      <c r="BA759" s="135" t="s">
        <v>101</v>
      </c>
      <c r="BB759" s="151">
        <v>11562.98</v>
      </c>
      <c r="BC759" s="151">
        <f>2621+295+3601.89+1759.92+369.1+2302.86+55.85</f>
        <v>11005.62</v>
      </c>
      <c r="BD759" s="151" t="s">
        <v>76</v>
      </c>
      <c r="BE759" s="151">
        <f>584.26+640.11</f>
        <v>1224.3699999999999</v>
      </c>
      <c r="BF759" s="151">
        <f>BB759+BC759+BE759</f>
        <v>23792.969999999998</v>
      </c>
      <c r="BG759" s="151">
        <f t="shared" si="100"/>
        <v>1308.6133499999999</v>
      </c>
      <c r="BH759" s="151">
        <f t="shared" si="96"/>
        <v>25101.583349999997</v>
      </c>
      <c r="BI759" s="135"/>
      <c r="BJ759" s="135" t="s">
        <v>102</v>
      </c>
      <c r="BK759" s="135"/>
      <c r="BL759" s="135"/>
      <c r="BM759" s="144">
        <v>0</v>
      </c>
      <c r="BN759" s="153" t="s">
        <v>1496</v>
      </c>
      <c r="BO759" s="144" t="s">
        <v>103</v>
      </c>
      <c r="BP759" s="203" t="s">
        <v>3582</v>
      </c>
      <c r="BQ759" s="203" t="s">
        <v>3273</v>
      </c>
    </row>
    <row r="760" spans="1:69" ht="41.1" customHeight="1">
      <c r="A760" s="135" t="s">
        <v>1705</v>
      </c>
      <c r="B760" s="135" t="s">
        <v>3460</v>
      </c>
      <c r="C760" s="143">
        <v>1100</v>
      </c>
      <c r="D760" s="135">
        <v>45359</v>
      </c>
      <c r="E760" s="135" t="s">
        <v>76</v>
      </c>
      <c r="F760" s="135" t="s">
        <v>76</v>
      </c>
      <c r="G760" s="135" t="s">
        <v>76</v>
      </c>
      <c r="H760" s="135">
        <v>45359</v>
      </c>
      <c r="I760" s="135">
        <v>45359</v>
      </c>
      <c r="J760" s="135">
        <v>45373</v>
      </c>
      <c r="K760" s="135">
        <v>45378</v>
      </c>
      <c r="L760" s="135">
        <v>45376</v>
      </c>
      <c r="M760" s="135" t="s">
        <v>76</v>
      </c>
      <c r="N760" s="135">
        <v>45391</v>
      </c>
      <c r="O760" s="135">
        <v>45391</v>
      </c>
      <c r="P760" s="135">
        <v>45398</v>
      </c>
      <c r="Q760" s="135"/>
      <c r="R760" s="135"/>
      <c r="S760" s="135"/>
      <c r="T760" s="135"/>
      <c r="U760" s="144">
        <v>2</v>
      </c>
      <c r="V760" s="143">
        <v>38727</v>
      </c>
      <c r="W760" s="143" t="str">
        <f ca="1">IF(H760="",IF(D760="","",IF(U760+V760&lt;15,"Données Nb pers ou RFR manquantes",IF(COUNTA(INDIRECT("TabRFR["&amp;YEAR(D760)&amp;"]"))&lt;&gt;COUNTA(TabRFR[Recherche RFR]),"Data RFR manquantes", IF(V760&lt;=INDEX(TabRFR[[2023]:[2025]],MATCH(BD!U760&amp;"-Très modestes",TabRFR[Recherche RFR],0),MATCH(TEXT(YEAR(BD!D760),"Standard"),TabRFR[[#Headers],[2023]:[2025]],0)),"Très Modeste",IF(V760&lt;=INDEX(TabRFR[[2023]:[2025]],MATCH(BD!U760&amp;"-modestes",TabRFR[Recherche RFR],0),MATCH(TEXT(YEAR(BD!D760),"Standard"),TabRFR[[#Headers],[2023]:[2025]],0)),"Modeste",IF(V760&lt;=INDEX(TabRFR[[2023]:[2025]],MATCH(BD!U760&amp;"-Intermédiaire",TabRFR[Recherche RFR],0),MATCH(TEXT(YEAR(BD!D760),"Standard"),TabRFR[[#Headers],[2023]:[2025]],0)),"Intermédiaire","Supérieur")))))),IF(D760="","",IF(U760+V760&lt;15,"Données Nb pers ou RFR manquantes",IF(COUNTA(INDIRECT("TabRFR["&amp;YEAR(H760)&amp;"]"))&lt;&gt;COUNTA(TabRFR[Recherche RFR]),"Data RFR manquantes", IF(V760&lt;=INDEX(TabRFR[[2023]:[2025]],MATCH(BD!U760&amp;"-Très modestes",TabRFR[Recherche RFR],0),MATCH(TEXT(YEAR(BD!H760),"Standard"),TabRFR[[#Headers],[2023]:[2025]],0)),"Très Modeste",IF(V760&lt;=INDEX(TabRFR[[2023]:[2025]],MATCH(BD!U760&amp;"-modestes",TabRFR[Recherche RFR],0),MATCH(TEXT(YEAR(BD!H760),"Standard"),TabRFR[[#Headers],[2023]:[2025]],0)),"Modeste",IF(V760&lt;=INDEX(TabRFR[[2023]:[2025]],MATCH(BD!U760&amp;"-Intermédiaire",TabRFR[Recherche RFR],0),MATCH(TEXT(YEAR(BD!H760),"Standard"),TabRFR[[#Headers],[2023]:[2025]],0)),"Intermédiaire","Supérieur")))))))</f>
        <v>Intermédiaire</v>
      </c>
      <c r="X760" s="144"/>
      <c r="Y760" s="135" t="s">
        <v>3555</v>
      </c>
      <c r="Z760" s="144">
        <v>38430</v>
      </c>
      <c r="AA760" s="135" t="s">
        <v>3517</v>
      </c>
      <c r="AB760" s="148"/>
      <c r="AC760" s="202"/>
      <c r="AD760" s="135" t="s">
        <v>91</v>
      </c>
      <c r="AE760" s="135"/>
      <c r="AF760" s="135"/>
      <c r="AG760" s="135"/>
      <c r="AH760" s="135"/>
      <c r="AI760" s="135" t="s">
        <v>169</v>
      </c>
      <c r="AJ760" s="135" t="s">
        <v>119</v>
      </c>
      <c r="AK760" s="135" t="s">
        <v>2192</v>
      </c>
      <c r="AL760" s="169" t="s">
        <v>171</v>
      </c>
      <c r="AM760" s="148" t="s">
        <v>1406</v>
      </c>
      <c r="AN760" s="135" t="str">
        <f>AN756</f>
        <v>-</v>
      </c>
      <c r="AO760" s="135" t="str">
        <f>AO756</f>
        <v>oui</v>
      </c>
      <c r="AP760" s="135">
        <v>45614</v>
      </c>
      <c r="AQ760" s="135" t="s">
        <v>3449</v>
      </c>
      <c r="AR760" s="153">
        <v>1990</v>
      </c>
      <c r="AS760" s="135" t="s">
        <v>3413</v>
      </c>
      <c r="AT760" s="135" t="s">
        <v>3446</v>
      </c>
      <c r="AU760" s="135" t="s">
        <v>173</v>
      </c>
      <c r="AV760" s="135" t="s">
        <v>2777</v>
      </c>
      <c r="AW760" s="143">
        <v>15</v>
      </c>
      <c r="AX760" s="143" t="s">
        <v>3556</v>
      </c>
      <c r="AY760" s="143">
        <v>77</v>
      </c>
      <c r="AZ760" s="143" t="s">
        <v>1901</v>
      </c>
      <c r="BA760" s="135" t="s">
        <v>101</v>
      </c>
      <c r="BB760" s="151">
        <v>2300</v>
      </c>
      <c r="BC760" s="151">
        <f>640+35.5+75.9+99.09+114+675+89.35+106.85+238+110+45.35+65.25</f>
        <v>2294.2899999999995</v>
      </c>
      <c r="BD760" s="151">
        <v>382.94</v>
      </c>
      <c r="BE760" s="151">
        <f>550+525</f>
        <v>1075</v>
      </c>
      <c r="BF760" s="151">
        <f>BB760+BC760+BD760+BE760</f>
        <v>6052.2299999999987</v>
      </c>
      <c r="BG760" s="151">
        <f t="shared" ref="BG760:BG768" si="102">BF760*0.055</f>
        <v>332.87264999999991</v>
      </c>
      <c r="BH760" s="151">
        <f t="shared" si="96"/>
        <v>6385.1026499999989</v>
      </c>
      <c r="BI760" s="151">
        <v>6385.1</v>
      </c>
      <c r="BJ760" s="135" t="s">
        <v>1391</v>
      </c>
      <c r="BK760" s="135"/>
      <c r="BL760" s="135"/>
      <c r="BM760" s="144" t="s">
        <v>3592</v>
      </c>
      <c r="BN760" s="153">
        <f t="shared" si="101"/>
        <v>2024</v>
      </c>
      <c r="BO760" s="144" t="s">
        <v>143</v>
      </c>
      <c r="BP760" s="135"/>
      <c r="BQ760" s="203"/>
    </row>
    <row r="761" spans="1:69" ht="41.1" customHeight="1">
      <c r="A761" s="135" t="s">
        <v>1705</v>
      </c>
      <c r="B761" s="135" t="s">
        <v>3461</v>
      </c>
      <c r="C761" s="143">
        <v>600</v>
      </c>
      <c r="D761" s="135">
        <v>45358</v>
      </c>
      <c r="E761" s="135" t="s">
        <v>76</v>
      </c>
      <c r="F761" s="135">
        <v>45364</v>
      </c>
      <c r="G761" s="135" t="s">
        <v>3558</v>
      </c>
      <c r="H761" s="135">
        <v>45365</v>
      </c>
      <c r="I761" s="135">
        <v>45365</v>
      </c>
      <c r="J761" s="135">
        <v>45376</v>
      </c>
      <c r="K761" s="135"/>
      <c r="L761" s="135"/>
      <c r="M761" s="135"/>
      <c r="N761" s="135"/>
      <c r="O761" s="135"/>
      <c r="P761" s="135"/>
      <c r="Q761" s="135"/>
      <c r="R761" s="135"/>
      <c r="S761" s="135"/>
      <c r="T761" s="135"/>
      <c r="U761" s="144">
        <v>2</v>
      </c>
      <c r="V761" s="143">
        <v>42145</v>
      </c>
      <c r="W761" s="143" t="str">
        <f ca="1">IF(H761="",IF(D761="","",IF(U761+V761&lt;15,"Données Nb pers ou RFR manquantes",IF(COUNTA(INDIRECT("TabRFR["&amp;YEAR(D761)&amp;"]"))&lt;&gt;COUNTA(TabRFR[Recherche RFR]),"Data RFR manquantes", IF(V761&lt;=INDEX(TabRFR[[2023]:[2025]],MATCH(BD!U761&amp;"-Très modestes",TabRFR[Recherche RFR],0),MATCH(TEXT(YEAR(BD!D761),"Standard"),TabRFR[[#Headers],[2023]:[2025]],0)),"Très Modeste",IF(V761&lt;=INDEX(TabRFR[[2023]:[2025]],MATCH(BD!U761&amp;"-modestes",TabRFR[Recherche RFR],0),MATCH(TEXT(YEAR(BD!D761),"Standard"),TabRFR[[#Headers],[2023]:[2025]],0)),"Modeste",IF(V761&lt;=INDEX(TabRFR[[2023]:[2025]],MATCH(BD!U761&amp;"-Intermédiaire",TabRFR[Recherche RFR],0),MATCH(TEXT(YEAR(BD!D761),"Standard"),TabRFR[[#Headers],[2023]:[2025]],0)),"Intermédiaire","Supérieur")))))),IF(D761="","",IF(U761+V761&lt;15,"Données Nb pers ou RFR manquantes",IF(COUNTA(INDIRECT("TabRFR["&amp;YEAR(H761)&amp;"]"))&lt;&gt;COUNTA(TabRFR[Recherche RFR]),"Data RFR manquantes", IF(V761&lt;=INDEX(TabRFR[[2023]:[2025]],MATCH(BD!U761&amp;"-Très modestes",TabRFR[Recherche RFR],0),MATCH(TEXT(YEAR(BD!H761),"Standard"),TabRFR[[#Headers],[2023]:[2025]],0)),"Très Modeste",IF(V761&lt;=INDEX(TabRFR[[2023]:[2025]],MATCH(BD!U761&amp;"-modestes",TabRFR[Recherche RFR],0),MATCH(TEXT(YEAR(BD!H761),"Standard"),TabRFR[[#Headers],[2023]:[2025]],0)),"Modeste",IF(V761&lt;=INDEX(TabRFR[[2023]:[2025]],MATCH(BD!U761&amp;"-Intermédiaire",TabRFR[Recherche RFR],0),MATCH(TEXT(YEAR(BD!H761),"Standard"),TabRFR[[#Headers],[2023]:[2025]],0)),"Intermédiaire","Supérieur")))))))</f>
        <v>Intermédiaire</v>
      </c>
      <c r="X761" s="144"/>
      <c r="Y761" s="135" t="s">
        <v>947</v>
      </c>
      <c r="Z761" s="144">
        <v>38340</v>
      </c>
      <c r="AA761" s="135" t="s">
        <v>266</v>
      </c>
      <c r="AB761" s="148"/>
      <c r="AC761" s="202"/>
      <c r="AD761" s="135" t="s">
        <v>91</v>
      </c>
      <c r="AE761" s="135"/>
      <c r="AF761" s="135"/>
      <c r="AG761" s="135"/>
      <c r="AH761" s="135"/>
      <c r="AI761" s="135" t="s">
        <v>2703</v>
      </c>
      <c r="AJ761" s="135" t="s">
        <v>266</v>
      </c>
      <c r="AK761" s="135" t="s">
        <v>2704</v>
      </c>
      <c r="AL761" s="169" t="s">
        <v>318</v>
      </c>
      <c r="AM761" s="148">
        <v>476500550</v>
      </c>
      <c r="AN761" s="135" t="s">
        <v>76</v>
      </c>
      <c r="AO761" s="193" t="s">
        <v>102</v>
      </c>
      <c r="AP761" s="135">
        <v>45503</v>
      </c>
      <c r="AQ761" s="135" t="s">
        <v>3450</v>
      </c>
      <c r="AR761" s="135" t="s">
        <v>172</v>
      </c>
      <c r="AS761" s="135" t="s">
        <v>3413</v>
      </c>
      <c r="AT761" s="135" t="s">
        <v>3446</v>
      </c>
      <c r="AU761" s="135" t="s">
        <v>319</v>
      </c>
      <c r="AV761" s="135" t="s">
        <v>320</v>
      </c>
      <c r="AW761" s="143">
        <v>40</v>
      </c>
      <c r="AX761" s="143">
        <v>10</v>
      </c>
      <c r="AY761" s="143" t="s">
        <v>3560</v>
      </c>
      <c r="AZ761" s="143" t="s">
        <v>3507</v>
      </c>
      <c r="BA761" s="135" t="s">
        <v>101</v>
      </c>
      <c r="BB761" s="151">
        <v>5000</v>
      </c>
      <c r="BC761" s="151">
        <f>520+145.8+799.2+71.09+182.49+245</f>
        <v>1963.58</v>
      </c>
      <c r="BD761" s="151" t="s">
        <v>76</v>
      </c>
      <c r="BE761" s="151">
        <v>900</v>
      </c>
      <c r="BF761" s="151">
        <f>BB761+BC761+BE761-284.36-418.08</f>
        <v>7161.14</v>
      </c>
      <c r="BG761" s="151">
        <f t="shared" si="102"/>
        <v>393.86270000000002</v>
      </c>
      <c r="BH761" s="151">
        <f t="shared" si="96"/>
        <v>7555.0027</v>
      </c>
      <c r="BI761" s="135"/>
      <c r="BJ761" s="135" t="s">
        <v>102</v>
      </c>
      <c r="BK761" s="135"/>
      <c r="BL761" s="135"/>
      <c r="BM761" s="144" t="s">
        <v>3592</v>
      </c>
      <c r="BN761" s="153">
        <f t="shared" si="101"/>
        <v>2024</v>
      </c>
      <c r="BO761" s="144" t="s">
        <v>143</v>
      </c>
      <c r="BP761" s="135"/>
      <c r="BQ761" s="203"/>
    </row>
    <row r="762" spans="1:69" ht="41.1" customHeight="1">
      <c r="A762" s="198" t="s">
        <v>1705</v>
      </c>
      <c r="B762" s="198" t="s">
        <v>3462</v>
      </c>
      <c r="C762" s="143"/>
      <c r="D762" s="135"/>
      <c r="E762" s="135"/>
      <c r="F762" s="135"/>
      <c r="G762" s="135"/>
      <c r="H762" s="135"/>
      <c r="I762" s="135"/>
      <c r="J762" s="135"/>
      <c r="K762" s="135"/>
      <c r="L762" s="135"/>
      <c r="M762" s="135"/>
      <c r="N762" s="135"/>
      <c r="O762" s="135"/>
      <c r="P762" s="135"/>
      <c r="Q762" s="135"/>
      <c r="R762" s="135" t="s">
        <v>3581</v>
      </c>
      <c r="S762" s="135"/>
      <c r="T762" s="135"/>
      <c r="U762" s="144"/>
      <c r="V762" s="143"/>
      <c r="W762" s="143"/>
      <c r="X762" s="144"/>
      <c r="Y762" s="135"/>
      <c r="Z762" s="144"/>
      <c r="AA762" s="135"/>
      <c r="AB762" s="148"/>
      <c r="AC762" s="202"/>
      <c r="AD762" s="135"/>
      <c r="AE762" s="135"/>
      <c r="AF762" s="135"/>
      <c r="AG762" s="135"/>
      <c r="AH762" s="135"/>
      <c r="AI762" s="135"/>
      <c r="AJ762" s="135"/>
      <c r="AK762" s="135"/>
      <c r="AL762" s="169"/>
      <c r="AM762" s="148"/>
      <c r="AN762" s="135"/>
      <c r="AO762" s="193"/>
      <c r="AP762" s="135"/>
      <c r="AQ762" s="135"/>
      <c r="AR762" s="135"/>
      <c r="AS762" s="135"/>
      <c r="AT762" s="135"/>
      <c r="AU762" s="135"/>
      <c r="AV762" s="135"/>
      <c r="AW762" s="143"/>
      <c r="AX762" s="143"/>
      <c r="AY762" s="143"/>
      <c r="AZ762" s="143"/>
      <c r="BA762" s="135"/>
      <c r="BB762" s="151"/>
      <c r="BC762" s="151"/>
      <c r="BD762" s="151"/>
      <c r="BE762" s="151"/>
      <c r="BF762" s="151"/>
      <c r="BG762" s="151"/>
      <c r="BH762" s="151"/>
      <c r="BI762" s="135"/>
      <c r="BJ762" s="135"/>
      <c r="BK762" s="135"/>
      <c r="BL762" s="135"/>
      <c r="BM762" s="144">
        <v>0</v>
      </c>
      <c r="BN762" s="153" t="s">
        <v>103</v>
      </c>
      <c r="BO762" s="135" t="s">
        <v>103</v>
      </c>
      <c r="BP762" s="135" t="s">
        <v>3584</v>
      </c>
      <c r="BQ762" s="203" t="s">
        <v>3585</v>
      </c>
    </row>
    <row r="763" spans="1:69" ht="41.1" customHeight="1">
      <c r="A763" s="198" t="s">
        <v>1705</v>
      </c>
      <c r="B763" s="198" t="s">
        <v>3463</v>
      </c>
      <c r="C763" s="143"/>
      <c r="D763" s="135"/>
      <c r="E763" s="135"/>
      <c r="F763" s="135"/>
      <c r="G763" s="135"/>
      <c r="H763" s="135"/>
      <c r="I763" s="135"/>
      <c r="J763" s="135"/>
      <c r="K763" s="135"/>
      <c r="L763" s="135"/>
      <c r="M763" s="135"/>
      <c r="N763" s="135"/>
      <c r="O763" s="135"/>
      <c r="P763" s="135"/>
      <c r="Q763" s="135"/>
      <c r="R763" s="135" t="s">
        <v>3581</v>
      </c>
      <c r="S763" s="135"/>
      <c r="T763" s="135"/>
      <c r="U763" s="144"/>
      <c r="V763" s="143"/>
      <c r="W763" s="143"/>
      <c r="X763" s="144"/>
      <c r="Y763" s="135"/>
      <c r="Z763" s="144"/>
      <c r="AA763" s="135"/>
      <c r="AB763" s="148"/>
      <c r="AC763" s="202"/>
      <c r="AD763" s="135"/>
      <c r="AE763" s="135"/>
      <c r="AF763" s="135"/>
      <c r="AG763" s="135"/>
      <c r="AH763" s="135"/>
      <c r="AI763" s="143"/>
      <c r="AJ763" s="143"/>
      <c r="AK763" s="143"/>
      <c r="AL763" s="150"/>
      <c r="AM763" s="148"/>
      <c r="AN763" s="143"/>
      <c r="AO763" s="159"/>
      <c r="AP763" s="147"/>
      <c r="AQ763" s="135"/>
      <c r="AR763" s="153"/>
      <c r="AS763" s="135"/>
      <c r="AT763" s="135"/>
      <c r="AU763" s="135"/>
      <c r="AV763" s="135"/>
      <c r="AW763" s="143"/>
      <c r="AX763" s="143"/>
      <c r="AY763" s="143"/>
      <c r="AZ763" s="143"/>
      <c r="BA763" s="135"/>
      <c r="BB763" s="151"/>
      <c r="BC763" s="151"/>
      <c r="BD763" s="151"/>
      <c r="BE763" s="151"/>
      <c r="BF763" s="151"/>
      <c r="BG763" s="151"/>
      <c r="BH763" s="151"/>
      <c r="BI763" s="135"/>
      <c r="BJ763" s="135"/>
      <c r="BK763" s="135"/>
      <c r="BL763" s="135"/>
      <c r="BM763" s="144">
        <v>0</v>
      </c>
      <c r="BN763" s="153" t="s">
        <v>103</v>
      </c>
      <c r="BO763" s="135" t="s">
        <v>103</v>
      </c>
      <c r="BP763" s="135" t="s">
        <v>3584</v>
      </c>
      <c r="BQ763" s="203" t="s">
        <v>3585</v>
      </c>
    </row>
    <row r="764" spans="1:69" ht="41.1" customHeight="1">
      <c r="A764" s="198" t="s">
        <v>1705</v>
      </c>
      <c r="B764" s="198" t="s">
        <v>3464</v>
      </c>
      <c r="C764" s="143"/>
      <c r="D764" s="135"/>
      <c r="E764" s="135"/>
      <c r="F764" s="135"/>
      <c r="G764" s="135"/>
      <c r="H764" s="135"/>
      <c r="I764" s="135"/>
      <c r="J764" s="135"/>
      <c r="K764" s="135"/>
      <c r="L764" s="135"/>
      <c r="M764" s="135"/>
      <c r="N764" s="135"/>
      <c r="O764" s="135"/>
      <c r="P764" s="135"/>
      <c r="Q764" s="135"/>
      <c r="R764" s="135" t="s">
        <v>3581</v>
      </c>
      <c r="S764" s="135"/>
      <c r="T764" s="135"/>
      <c r="U764" s="144"/>
      <c r="V764" s="143"/>
      <c r="W764" s="143"/>
      <c r="X764" s="144"/>
      <c r="Y764" s="135"/>
      <c r="Z764" s="144"/>
      <c r="AA764" s="135"/>
      <c r="AB764" s="148"/>
      <c r="AC764" s="202"/>
      <c r="AD764" s="135"/>
      <c r="AE764" s="135"/>
      <c r="AF764" s="135"/>
      <c r="AG764" s="135"/>
      <c r="AH764" s="135"/>
      <c r="AI764" s="135"/>
      <c r="AJ764" s="135"/>
      <c r="AK764" s="135"/>
      <c r="AL764" s="208"/>
      <c r="AM764" s="148"/>
      <c r="AN764" s="135"/>
      <c r="AO764" s="193"/>
      <c r="AP764" s="135"/>
      <c r="AQ764" s="135"/>
      <c r="AR764" s="135"/>
      <c r="AS764" s="135"/>
      <c r="AT764" s="135"/>
      <c r="AU764" s="135"/>
      <c r="AV764" s="135"/>
      <c r="AW764" s="143"/>
      <c r="AX764" s="143"/>
      <c r="AY764" s="143"/>
      <c r="AZ764" s="143"/>
      <c r="BA764" s="135"/>
      <c r="BB764" s="151"/>
      <c r="BC764" s="151"/>
      <c r="BD764" s="151"/>
      <c r="BE764" s="151"/>
      <c r="BF764" s="151"/>
      <c r="BG764" s="151"/>
      <c r="BH764" s="151"/>
      <c r="BI764" s="135"/>
      <c r="BJ764" s="135"/>
      <c r="BK764" s="135"/>
      <c r="BL764" s="135"/>
      <c r="BM764" s="144">
        <v>0</v>
      </c>
      <c r="BN764" s="153" t="s">
        <v>103</v>
      </c>
      <c r="BO764" s="135" t="s">
        <v>103</v>
      </c>
      <c r="BP764" s="135" t="s">
        <v>3584</v>
      </c>
      <c r="BQ764" s="203" t="s">
        <v>3585</v>
      </c>
    </row>
    <row r="765" spans="1:69" ht="41.1" customHeight="1">
      <c r="A765" s="198" t="s">
        <v>1705</v>
      </c>
      <c r="B765" s="198" t="s">
        <v>3465</v>
      </c>
      <c r="C765" s="143"/>
      <c r="D765" s="135"/>
      <c r="E765" s="135"/>
      <c r="F765" s="135"/>
      <c r="G765" s="135"/>
      <c r="H765" s="135"/>
      <c r="I765" s="135"/>
      <c r="J765" s="135"/>
      <c r="K765" s="135"/>
      <c r="L765" s="135"/>
      <c r="M765" s="135"/>
      <c r="N765" s="135"/>
      <c r="O765" s="135"/>
      <c r="P765" s="135"/>
      <c r="Q765" s="135"/>
      <c r="R765" s="135" t="s">
        <v>3581</v>
      </c>
      <c r="S765" s="135"/>
      <c r="T765" s="135"/>
      <c r="U765" s="144"/>
      <c r="V765" s="143"/>
      <c r="W765" s="143"/>
      <c r="X765" s="144"/>
      <c r="Y765" s="135"/>
      <c r="Z765" s="144"/>
      <c r="AA765" s="135"/>
      <c r="AB765" s="148"/>
      <c r="AC765" s="202"/>
      <c r="AD765" s="135"/>
      <c r="AE765" s="135"/>
      <c r="AF765" s="135"/>
      <c r="AG765" s="135"/>
      <c r="AH765" s="135"/>
      <c r="AI765" s="135"/>
      <c r="AJ765" s="135"/>
      <c r="AK765" s="135"/>
      <c r="AL765" s="150"/>
      <c r="AM765" s="135"/>
      <c r="AN765" s="135"/>
      <c r="AO765" s="150"/>
      <c r="AP765" s="135"/>
      <c r="AQ765" s="135"/>
      <c r="AR765" s="153"/>
      <c r="AS765" s="135"/>
      <c r="AT765" s="135"/>
      <c r="AU765" s="135"/>
      <c r="AV765" s="135"/>
      <c r="AW765" s="143"/>
      <c r="AX765" s="143"/>
      <c r="AY765" s="143"/>
      <c r="AZ765" s="143"/>
      <c r="BA765" s="135"/>
      <c r="BB765" s="151"/>
      <c r="BC765" s="151"/>
      <c r="BD765" s="151"/>
      <c r="BE765" s="151"/>
      <c r="BF765" s="151"/>
      <c r="BG765" s="151"/>
      <c r="BH765" s="151"/>
      <c r="BI765" s="135"/>
      <c r="BJ765" s="135"/>
      <c r="BK765" s="135"/>
      <c r="BL765" s="135"/>
      <c r="BM765" s="144">
        <v>0</v>
      </c>
      <c r="BN765" s="153" t="s">
        <v>103</v>
      </c>
      <c r="BO765" s="135" t="s">
        <v>103</v>
      </c>
      <c r="BP765" s="135" t="s">
        <v>3584</v>
      </c>
      <c r="BQ765" s="203" t="s">
        <v>3585</v>
      </c>
    </row>
    <row r="766" spans="1:69" ht="41.1" customHeight="1">
      <c r="A766" s="198" t="s">
        <v>1705</v>
      </c>
      <c r="B766" s="198" t="s">
        <v>3466</v>
      </c>
      <c r="C766" s="143"/>
      <c r="D766" s="135"/>
      <c r="E766" s="135"/>
      <c r="F766" s="135"/>
      <c r="G766" s="135"/>
      <c r="H766" s="135"/>
      <c r="I766" s="135"/>
      <c r="J766" s="135"/>
      <c r="K766" s="135"/>
      <c r="L766" s="135"/>
      <c r="M766" s="135"/>
      <c r="N766" s="135"/>
      <c r="O766" s="135"/>
      <c r="P766" s="135"/>
      <c r="Q766" s="135"/>
      <c r="R766" s="135" t="s">
        <v>3581</v>
      </c>
      <c r="S766" s="135"/>
      <c r="T766" s="135"/>
      <c r="U766" s="144"/>
      <c r="V766" s="143"/>
      <c r="W766" s="143"/>
      <c r="X766" s="144"/>
      <c r="Y766" s="135"/>
      <c r="Z766" s="144"/>
      <c r="AA766" s="135"/>
      <c r="AB766" s="148"/>
      <c r="AC766" s="202"/>
      <c r="AD766" s="135"/>
      <c r="AE766" s="135"/>
      <c r="AF766" s="135"/>
      <c r="AG766" s="135"/>
      <c r="AH766" s="135"/>
      <c r="AI766" s="135"/>
      <c r="AJ766" s="135"/>
      <c r="AK766" s="135"/>
      <c r="AL766" s="150"/>
      <c r="AM766" s="135"/>
      <c r="AN766" s="135"/>
      <c r="AO766" s="193"/>
      <c r="AP766" s="135"/>
      <c r="AQ766" s="135"/>
      <c r="AR766" s="153"/>
      <c r="AS766" s="135"/>
      <c r="AT766" s="135"/>
      <c r="AU766" s="135"/>
      <c r="AV766" s="135"/>
      <c r="AW766" s="143"/>
      <c r="AX766" s="143"/>
      <c r="AY766" s="143"/>
      <c r="AZ766" s="143"/>
      <c r="BA766" s="135"/>
      <c r="BB766" s="151"/>
      <c r="BC766" s="151"/>
      <c r="BD766" s="151"/>
      <c r="BE766" s="151"/>
      <c r="BF766" s="151"/>
      <c r="BG766" s="151"/>
      <c r="BH766" s="151"/>
      <c r="BI766" s="135"/>
      <c r="BJ766" s="135"/>
      <c r="BK766" s="135"/>
      <c r="BL766" s="135"/>
      <c r="BM766" s="144">
        <v>0</v>
      </c>
      <c r="BN766" s="153" t="s">
        <v>103</v>
      </c>
      <c r="BO766" s="135" t="s">
        <v>103</v>
      </c>
      <c r="BP766" s="135" t="s">
        <v>3584</v>
      </c>
      <c r="BQ766" s="203" t="s">
        <v>3585</v>
      </c>
    </row>
    <row r="767" spans="1:69" ht="41.1" customHeight="1">
      <c r="A767" s="198" t="s">
        <v>1705</v>
      </c>
      <c r="B767" s="198" t="s">
        <v>3467</v>
      </c>
      <c r="C767" s="143"/>
      <c r="D767" s="135"/>
      <c r="E767" s="135"/>
      <c r="F767" s="135"/>
      <c r="G767" s="135"/>
      <c r="H767" s="135"/>
      <c r="I767" s="135"/>
      <c r="J767" s="135"/>
      <c r="K767" s="135"/>
      <c r="L767" s="135"/>
      <c r="M767" s="135"/>
      <c r="N767" s="135"/>
      <c r="O767" s="135"/>
      <c r="P767" s="135"/>
      <c r="Q767" s="135"/>
      <c r="R767" s="135" t="s">
        <v>3581</v>
      </c>
      <c r="S767" s="135"/>
      <c r="T767" s="135"/>
      <c r="U767" s="144"/>
      <c r="V767" s="143"/>
      <c r="W767" s="143"/>
      <c r="X767" s="144"/>
      <c r="Y767" s="135"/>
      <c r="Z767" s="144"/>
      <c r="AA767" s="135"/>
      <c r="AB767" s="148"/>
      <c r="AC767" s="202"/>
      <c r="AD767" s="135"/>
      <c r="AE767" s="135"/>
      <c r="AF767" s="135"/>
      <c r="AG767" s="135"/>
      <c r="AH767" s="135"/>
      <c r="AI767" s="135"/>
      <c r="AJ767" s="135"/>
      <c r="AK767" s="135"/>
      <c r="AL767" s="202"/>
      <c r="AM767" s="148"/>
      <c r="AN767" s="135"/>
      <c r="AO767" s="150"/>
      <c r="AP767" s="135"/>
      <c r="AQ767" s="135"/>
      <c r="AR767" s="153"/>
      <c r="AS767" s="135"/>
      <c r="AT767" s="135"/>
      <c r="AU767" s="135"/>
      <c r="AV767" s="135"/>
      <c r="AW767" s="143"/>
      <c r="AX767" s="143"/>
      <c r="AY767" s="143"/>
      <c r="AZ767" s="143"/>
      <c r="BA767" s="135"/>
      <c r="BB767" s="151"/>
      <c r="BC767" s="151"/>
      <c r="BD767" s="151"/>
      <c r="BE767" s="151"/>
      <c r="BF767" s="151"/>
      <c r="BG767" s="151"/>
      <c r="BH767" s="151"/>
      <c r="BI767" s="135"/>
      <c r="BJ767" s="135"/>
      <c r="BK767" s="135"/>
      <c r="BL767" s="135"/>
      <c r="BM767" s="144">
        <v>0</v>
      </c>
      <c r="BN767" s="153" t="s">
        <v>103</v>
      </c>
      <c r="BO767" s="135" t="s">
        <v>103</v>
      </c>
      <c r="BP767" s="135" t="s">
        <v>3584</v>
      </c>
      <c r="BQ767" s="203" t="s">
        <v>3585</v>
      </c>
    </row>
    <row r="768" spans="1:69" ht="41.1" customHeight="1">
      <c r="A768" s="135" t="s">
        <v>1705</v>
      </c>
      <c r="B768" s="135" t="s">
        <v>3468</v>
      </c>
      <c r="C768" s="143">
        <v>1100</v>
      </c>
      <c r="D768" s="135">
        <v>45366</v>
      </c>
      <c r="E768" s="135" t="s">
        <v>76</v>
      </c>
      <c r="F768" s="135">
        <v>45372</v>
      </c>
      <c r="G768" s="135" t="s">
        <v>2952</v>
      </c>
      <c r="H768" s="135">
        <v>45373</v>
      </c>
      <c r="I768" s="135">
        <v>45373</v>
      </c>
      <c r="J768" s="135">
        <v>45392</v>
      </c>
      <c r="K768" s="135">
        <v>45427</v>
      </c>
      <c r="L768" s="135">
        <v>45425</v>
      </c>
      <c r="M768" s="135" t="s">
        <v>76</v>
      </c>
      <c r="N768" s="135">
        <v>45429</v>
      </c>
      <c r="O768" s="135">
        <v>45429</v>
      </c>
      <c r="P768" s="135"/>
      <c r="Q768" s="135"/>
      <c r="R768" s="135"/>
      <c r="S768" s="135"/>
      <c r="T768" s="135"/>
      <c r="U768" s="144">
        <v>2</v>
      </c>
      <c r="V768" s="143">
        <v>53045</v>
      </c>
      <c r="W768" s="143" t="str">
        <f ca="1">IF(H768="",IF(D768="","",IF(U768+V768&lt;15,"Données Nb pers ou RFR manquantes",IF(COUNTA(INDIRECT("TabRFR["&amp;YEAR(D768)&amp;"]"))&lt;&gt;COUNTA(TabRFR[Recherche RFR]),"Data RFR manquantes", IF(V768&lt;=INDEX(TabRFR[[2023]:[2025]],MATCH(BD!U768&amp;"-Très modestes",TabRFR[Recherche RFR],0),MATCH(TEXT(YEAR(BD!D768),"Standard"),TabRFR[[#Headers],[2023]:[2025]],0)),"Très Modeste",IF(V768&lt;=INDEX(TabRFR[[2023]:[2025]],MATCH(BD!U768&amp;"-modestes",TabRFR[Recherche RFR],0),MATCH(TEXT(YEAR(BD!D768),"Standard"),TabRFR[[#Headers],[2023]:[2025]],0)),"Modeste",IF(V768&lt;=INDEX(TabRFR[[2023]:[2025]],MATCH(BD!U768&amp;"-Intermédiaire",TabRFR[Recherche RFR],0),MATCH(TEXT(YEAR(BD!D768),"Standard"),TabRFR[[#Headers],[2023]:[2025]],0)),"Intermédiaire","Supérieur")))))),IF(D768="","",IF(U768+V768&lt;15,"Données Nb pers ou RFR manquantes",IF(COUNTA(INDIRECT("TabRFR["&amp;YEAR(H768)&amp;"]"))&lt;&gt;COUNTA(TabRFR[Recherche RFR]),"Data RFR manquantes", IF(V768&lt;=INDEX(TabRFR[[2023]:[2025]],MATCH(BD!U768&amp;"-Très modestes",TabRFR[Recherche RFR],0),MATCH(TEXT(YEAR(BD!H768),"Standard"),TabRFR[[#Headers],[2023]:[2025]],0)),"Très Modeste",IF(V768&lt;=INDEX(TabRFR[[2023]:[2025]],MATCH(BD!U768&amp;"-modestes",TabRFR[Recherche RFR],0),MATCH(TEXT(YEAR(BD!H768),"Standard"),TabRFR[[#Headers],[2023]:[2025]],0)),"Modeste",IF(V768&lt;=INDEX(TabRFR[[2023]:[2025]],MATCH(BD!U768&amp;"-Intermédiaire",TabRFR[Recherche RFR],0),MATCH(TEXT(YEAR(BD!H768),"Standard"),TabRFR[[#Headers],[2023]:[2025]],0)),"Intermédiaire","Supérieur")))))))</f>
        <v>Supérieur</v>
      </c>
      <c r="X768" s="144"/>
      <c r="Y768" s="135" t="s">
        <v>3562</v>
      </c>
      <c r="Z768" s="144">
        <v>38430</v>
      </c>
      <c r="AA768" s="135" t="s">
        <v>3517</v>
      </c>
      <c r="AB768" s="148"/>
      <c r="AC768" s="202"/>
      <c r="AD768" s="135" t="s">
        <v>91</v>
      </c>
      <c r="AE768" s="135"/>
      <c r="AF768" s="135"/>
      <c r="AG768" s="135"/>
      <c r="AH768" s="135"/>
      <c r="AI768" s="135" t="s">
        <v>120</v>
      </c>
      <c r="AJ768" s="135" t="s">
        <v>121</v>
      </c>
      <c r="AK768" s="135" t="s">
        <v>2232</v>
      </c>
      <c r="AL768" s="150" t="s">
        <v>123</v>
      </c>
      <c r="AM768" s="135" t="s">
        <v>1469</v>
      </c>
      <c r="AN768" s="135" t="s">
        <v>2233</v>
      </c>
      <c r="AO768" s="193" t="s">
        <v>102</v>
      </c>
      <c r="AP768" s="135">
        <v>45513</v>
      </c>
      <c r="AQ768" s="135" t="s">
        <v>3449</v>
      </c>
      <c r="AR768" s="153">
        <v>1982</v>
      </c>
      <c r="AS768" s="135" t="s">
        <v>3413</v>
      </c>
      <c r="AT768" s="135" t="s">
        <v>3446</v>
      </c>
      <c r="AU768" s="135" t="s">
        <v>194</v>
      </c>
      <c r="AV768" s="135" t="s">
        <v>3569</v>
      </c>
      <c r="AW768" s="143">
        <v>39</v>
      </c>
      <c r="AX768" s="143">
        <v>6</v>
      </c>
      <c r="AY768" s="143">
        <v>82</v>
      </c>
      <c r="AZ768" s="143" t="s">
        <v>2028</v>
      </c>
      <c r="BA768" s="135" t="s">
        <v>101</v>
      </c>
      <c r="BB768" s="151">
        <f>(3290)/1.055</f>
        <v>3118.4834123222749</v>
      </c>
      <c r="BC768" s="151">
        <f>(280+161+700+422+55+290)/1.055</f>
        <v>1808.5308056872038</v>
      </c>
      <c r="BD768" s="151" t="s">
        <v>76</v>
      </c>
      <c r="BE768" s="151">
        <f>(650+80)/1.055</f>
        <v>691.94312796208533</v>
      </c>
      <c r="BF768" s="151">
        <f t="shared" ref="BF768" si="103">BB768+BC768+BE768</f>
        <v>5618.9573459715648</v>
      </c>
      <c r="BG768" s="151">
        <f t="shared" si="102"/>
        <v>309.04265402843606</v>
      </c>
      <c r="BH768" s="151">
        <f t="shared" si="96"/>
        <v>5928.0000000000009</v>
      </c>
      <c r="BI768" s="151">
        <v>5400</v>
      </c>
      <c r="BJ768" s="135" t="s">
        <v>102</v>
      </c>
      <c r="BK768" s="135"/>
      <c r="BL768" s="135"/>
      <c r="BM768" s="144" t="s">
        <v>3592</v>
      </c>
      <c r="BN768" s="153">
        <f t="shared" si="101"/>
        <v>2024</v>
      </c>
      <c r="BO768" s="144" t="s">
        <v>143</v>
      </c>
      <c r="BP768" s="135"/>
      <c r="BQ768" s="203"/>
    </row>
    <row r="769" spans="1:69" ht="41.1" customHeight="1">
      <c r="A769" s="198" t="s">
        <v>1705</v>
      </c>
      <c r="B769" s="198" t="s">
        <v>3469</v>
      </c>
      <c r="C769" s="143"/>
      <c r="D769" s="135"/>
      <c r="E769" s="135"/>
      <c r="F769" s="135"/>
      <c r="G769" s="135"/>
      <c r="H769" s="135"/>
      <c r="I769" s="135"/>
      <c r="J769" s="135"/>
      <c r="K769" s="135"/>
      <c r="L769" s="135"/>
      <c r="M769" s="135"/>
      <c r="N769" s="135"/>
      <c r="O769" s="135"/>
      <c r="P769" s="135"/>
      <c r="Q769" s="135"/>
      <c r="R769" s="135" t="s">
        <v>3581</v>
      </c>
      <c r="S769" s="135"/>
      <c r="T769" s="135"/>
      <c r="U769" s="144"/>
      <c r="V769" s="143"/>
      <c r="W769" s="143"/>
      <c r="X769" s="144"/>
      <c r="Y769" s="135"/>
      <c r="Z769" s="144"/>
      <c r="AA769" s="135"/>
      <c r="AB769" s="148"/>
      <c r="AC769" s="202"/>
      <c r="AD769" s="135"/>
      <c r="AE769" s="135"/>
      <c r="AF769" s="135"/>
      <c r="AG769" s="135"/>
      <c r="AH769" s="135"/>
      <c r="AI769" s="135"/>
      <c r="AJ769" s="135"/>
      <c r="AK769" s="135"/>
      <c r="AL769" s="217"/>
      <c r="AM769" s="148"/>
      <c r="AN769" s="135"/>
      <c r="AO769" s="135"/>
      <c r="AP769" s="135"/>
      <c r="AQ769" s="135"/>
      <c r="AR769" s="153"/>
      <c r="AS769" s="135"/>
      <c r="AT769" s="135"/>
      <c r="AU769" s="135"/>
      <c r="AV769" s="135"/>
      <c r="AW769" s="143"/>
      <c r="AX769" s="143"/>
      <c r="AY769" s="143"/>
      <c r="AZ769" s="143"/>
      <c r="BA769" s="135"/>
      <c r="BB769" s="151"/>
      <c r="BC769" s="151"/>
      <c r="BD769" s="151"/>
      <c r="BE769" s="151"/>
      <c r="BF769" s="151"/>
      <c r="BG769" s="151"/>
      <c r="BH769" s="151"/>
      <c r="BI769" s="135"/>
      <c r="BJ769" s="135"/>
      <c r="BK769" s="135"/>
      <c r="BL769" s="135"/>
      <c r="BM769" s="144">
        <v>0</v>
      </c>
      <c r="BN769" s="153" t="s">
        <v>103</v>
      </c>
      <c r="BO769" s="135" t="s">
        <v>103</v>
      </c>
      <c r="BP769" s="135" t="s">
        <v>3584</v>
      </c>
      <c r="BQ769" s="203" t="s">
        <v>3585</v>
      </c>
    </row>
    <row r="770" spans="1:69" ht="41.1" customHeight="1">
      <c r="A770" s="135" t="s">
        <v>1705</v>
      </c>
      <c r="B770" s="135" t="s">
        <v>3470</v>
      </c>
      <c r="C770" s="143">
        <v>600</v>
      </c>
      <c r="D770" s="135">
        <v>45367</v>
      </c>
      <c r="E770" s="135" t="s">
        <v>76</v>
      </c>
      <c r="F770" s="135">
        <v>45372</v>
      </c>
      <c r="G770" s="135" t="s">
        <v>3566</v>
      </c>
      <c r="H770" s="135">
        <v>45373</v>
      </c>
      <c r="I770" s="135">
        <v>45373</v>
      </c>
      <c r="J770" s="135">
        <v>45392</v>
      </c>
      <c r="K770" s="135"/>
      <c r="L770" s="135"/>
      <c r="M770" s="135"/>
      <c r="N770" s="135"/>
      <c r="O770" s="135"/>
      <c r="P770" s="135"/>
      <c r="Q770" s="135"/>
      <c r="R770" s="135"/>
      <c r="S770" s="135"/>
      <c r="T770" s="135"/>
      <c r="U770" s="144">
        <v>4</v>
      </c>
      <c r="V770" s="143">
        <v>104699</v>
      </c>
      <c r="W770" s="143" t="str">
        <f ca="1">IF(H770="",IF(D770="","",IF(U770+V770&lt;15,"Données Nb pers ou RFR manquantes",IF(COUNTA(INDIRECT("TabRFR["&amp;YEAR(D770)&amp;"]"))&lt;&gt;COUNTA(TabRFR[Recherche RFR]),"Data RFR manquantes", IF(V770&lt;=INDEX(TabRFR[[2023]:[2025]],MATCH(BD!U770&amp;"-Très modestes",TabRFR[Recherche RFR],0),MATCH(TEXT(YEAR(BD!D770),"Standard"),TabRFR[[#Headers],[2023]:[2025]],0)),"Très Modeste",IF(V770&lt;=INDEX(TabRFR[[2023]:[2025]],MATCH(BD!U770&amp;"-modestes",TabRFR[Recherche RFR],0),MATCH(TEXT(YEAR(BD!D770),"Standard"),TabRFR[[#Headers],[2023]:[2025]],0)),"Modeste",IF(V770&lt;=INDEX(TabRFR[[2023]:[2025]],MATCH(BD!U770&amp;"-Intermédiaire",TabRFR[Recherche RFR],0),MATCH(TEXT(YEAR(BD!D770),"Standard"),TabRFR[[#Headers],[2023]:[2025]],0)),"Intermédiaire","Supérieur")))))),IF(D770="","",IF(U770+V770&lt;15,"Données Nb pers ou RFR manquantes",IF(COUNTA(INDIRECT("TabRFR["&amp;YEAR(H770)&amp;"]"))&lt;&gt;COUNTA(TabRFR[Recherche RFR]),"Data RFR manquantes", IF(V770&lt;=INDEX(TabRFR[[2023]:[2025]],MATCH(BD!U770&amp;"-Très modestes",TabRFR[Recherche RFR],0),MATCH(TEXT(YEAR(BD!H770),"Standard"),TabRFR[[#Headers],[2023]:[2025]],0)),"Très Modeste",IF(V770&lt;=INDEX(TabRFR[[2023]:[2025]],MATCH(BD!U770&amp;"-modestes",TabRFR[Recherche RFR],0),MATCH(TEXT(YEAR(BD!H770),"Standard"),TabRFR[[#Headers],[2023]:[2025]],0)),"Modeste",IF(V770&lt;=INDEX(TabRFR[[2023]:[2025]],MATCH(BD!U770&amp;"-Intermédiaire",TabRFR[Recherche RFR],0),MATCH(TEXT(YEAR(BD!H770),"Standard"),TabRFR[[#Headers],[2023]:[2025]],0)),"Intermédiaire","Supérieur")))))))</f>
        <v>Supérieur</v>
      </c>
      <c r="X770" s="144"/>
      <c r="Y770" s="135" t="s">
        <v>3563</v>
      </c>
      <c r="Z770" s="144">
        <v>38850</v>
      </c>
      <c r="AA770" s="135" t="s">
        <v>168</v>
      </c>
      <c r="AB770" s="148"/>
      <c r="AC770" s="202"/>
      <c r="AD770" s="135" t="s">
        <v>91</v>
      </c>
      <c r="AE770" s="135"/>
      <c r="AF770" s="135"/>
      <c r="AG770" s="135"/>
      <c r="AH770" s="135"/>
      <c r="AI770" s="135" t="s">
        <v>285</v>
      </c>
      <c r="AJ770" s="135" t="s">
        <v>108</v>
      </c>
      <c r="AK770" s="135" t="s">
        <v>2227</v>
      </c>
      <c r="AL770" s="169" t="s">
        <v>287</v>
      </c>
      <c r="AM770" s="148" t="s">
        <v>2184</v>
      </c>
      <c r="AN770" s="135" t="s">
        <v>76</v>
      </c>
      <c r="AO770" s="193" t="s">
        <v>102</v>
      </c>
      <c r="AP770" s="135">
        <v>45553</v>
      </c>
      <c r="AQ770" s="135" t="s">
        <v>3450</v>
      </c>
      <c r="AR770" s="153">
        <v>1985</v>
      </c>
      <c r="AS770" s="135" t="s">
        <v>3413</v>
      </c>
      <c r="AT770" s="135" t="s">
        <v>3446</v>
      </c>
      <c r="AU770" s="135" t="s">
        <v>430</v>
      </c>
      <c r="AV770" s="135" t="s">
        <v>3574</v>
      </c>
      <c r="AW770" s="143">
        <v>21</v>
      </c>
      <c r="AX770" s="143">
        <v>5.5</v>
      </c>
      <c r="AY770" s="143">
        <v>80.5</v>
      </c>
      <c r="AZ770" s="143">
        <v>965</v>
      </c>
      <c r="BA770" s="135" t="s">
        <v>1401</v>
      </c>
      <c r="BB770" s="151">
        <v>1715</v>
      </c>
      <c r="BC770" s="151">
        <f>490+1970+335+89+150</f>
        <v>3034</v>
      </c>
      <c r="BD770" s="151" t="s">
        <v>76</v>
      </c>
      <c r="BE770" s="151">
        <v>330</v>
      </c>
      <c r="BF770" s="151">
        <f>BB770+BC770+BE770</f>
        <v>5079</v>
      </c>
      <c r="BG770" s="151">
        <f>BF770*0.055</f>
        <v>279.34500000000003</v>
      </c>
      <c r="BH770" s="151">
        <f t="shared" ref="BH770:BH775" si="104">BF770+BG770</f>
        <v>5358.3450000000003</v>
      </c>
      <c r="BI770" s="135"/>
      <c r="BJ770" s="135" t="s">
        <v>1391</v>
      </c>
      <c r="BK770" s="135"/>
      <c r="BL770" s="135"/>
      <c r="BM770" s="144" t="s">
        <v>3592</v>
      </c>
      <c r="BN770" s="153">
        <f t="shared" si="101"/>
        <v>2024</v>
      </c>
      <c r="BO770" s="144" t="s">
        <v>143</v>
      </c>
      <c r="BP770" s="135"/>
      <c r="BQ770" s="203"/>
    </row>
    <row r="771" spans="1:69" ht="41.1" customHeight="1">
      <c r="A771" s="135" t="s">
        <v>3322</v>
      </c>
      <c r="B771" s="135" t="s">
        <v>3471</v>
      </c>
      <c r="C771" s="143">
        <v>600</v>
      </c>
      <c r="D771" s="135">
        <v>45371</v>
      </c>
      <c r="E771" s="135" t="s">
        <v>76</v>
      </c>
      <c r="F771" s="135">
        <v>45372</v>
      </c>
      <c r="G771" s="135" t="s">
        <v>3561</v>
      </c>
      <c r="H771" s="135">
        <v>45373</v>
      </c>
      <c r="I771" s="135">
        <v>45373</v>
      </c>
      <c r="J771" s="135">
        <v>45392</v>
      </c>
      <c r="K771" s="135"/>
      <c r="L771" s="135"/>
      <c r="M771" s="135"/>
      <c r="N771" s="135"/>
      <c r="O771" s="135"/>
      <c r="P771" s="135"/>
      <c r="Q771" s="135"/>
      <c r="R771" s="135"/>
      <c r="S771" s="135"/>
      <c r="T771" s="135"/>
      <c r="U771" s="144">
        <v>2</v>
      </c>
      <c r="V771" s="143">
        <v>34958</v>
      </c>
      <c r="W771" s="143" t="str">
        <f ca="1">IF(H771="",IF(D771="","",IF(U771+V771&lt;15,"Données Nb pers ou RFR manquantes",IF(COUNTA(INDIRECT("TabRFR["&amp;YEAR(D771)&amp;"]"))&lt;&gt;COUNTA(TabRFR[Recherche RFR]),"Data RFR manquantes", IF(V771&lt;=INDEX(TabRFR[[2023]:[2025]],MATCH(BD!U771&amp;"-Très modestes",TabRFR[Recherche RFR],0),MATCH(TEXT(YEAR(BD!D771),"Standard"),TabRFR[[#Headers],[2023]:[2025]],0)),"Très Modeste",IF(V771&lt;=INDEX(TabRFR[[2023]:[2025]],MATCH(BD!U771&amp;"-modestes",TabRFR[Recherche RFR],0),MATCH(TEXT(YEAR(BD!D771),"Standard"),TabRFR[[#Headers],[2023]:[2025]],0)),"Modeste",IF(V771&lt;=INDEX(TabRFR[[2023]:[2025]],MATCH(BD!U771&amp;"-Intermédiaire",TabRFR[Recherche RFR],0),MATCH(TEXT(YEAR(BD!D771),"Standard"),TabRFR[[#Headers],[2023]:[2025]],0)),"Intermédiaire","Supérieur")))))),IF(D771="","",IF(U771+V771&lt;15,"Données Nb pers ou RFR manquantes",IF(COUNTA(INDIRECT("TabRFR["&amp;YEAR(H771)&amp;"]"))&lt;&gt;COUNTA(TabRFR[Recherche RFR]),"Data RFR manquantes", IF(V771&lt;=INDEX(TabRFR[[2023]:[2025]],MATCH(BD!U771&amp;"-Très modestes",TabRFR[Recherche RFR],0),MATCH(TEXT(YEAR(BD!H771),"Standard"),TabRFR[[#Headers],[2023]:[2025]],0)),"Très Modeste",IF(V771&lt;=INDEX(TabRFR[[2023]:[2025]],MATCH(BD!U771&amp;"-modestes",TabRFR[Recherche RFR],0),MATCH(TEXT(YEAR(BD!H771),"Standard"),TabRFR[[#Headers],[2023]:[2025]],0)),"Modeste",IF(V771&lt;=INDEX(TabRFR[[2023]:[2025]],MATCH(BD!U771&amp;"-Intermédiaire",TabRFR[Recherche RFR],0),MATCH(TEXT(YEAR(BD!H771),"Standard"),TabRFR[[#Headers],[2023]:[2025]],0)),"Intermédiaire","Supérieur")))))))</f>
        <v>Intermédiaire</v>
      </c>
      <c r="X771" s="144"/>
      <c r="Y771" s="135" t="s">
        <v>208</v>
      </c>
      <c r="Z771" s="144">
        <v>38960</v>
      </c>
      <c r="AA771" s="135" t="s">
        <v>3564</v>
      </c>
      <c r="AB771" s="148"/>
      <c r="AC771" s="202"/>
      <c r="AD771" s="135" t="s">
        <v>91</v>
      </c>
      <c r="AE771" s="135"/>
      <c r="AF771" s="135"/>
      <c r="AG771" s="135"/>
      <c r="AH771" s="135"/>
      <c r="AI771" s="135" t="s">
        <v>220</v>
      </c>
      <c r="AJ771" s="135" t="s">
        <v>108</v>
      </c>
      <c r="AK771" s="135" t="s">
        <v>2059</v>
      </c>
      <c r="AL771" s="169" t="s">
        <v>1947</v>
      </c>
      <c r="AM771" s="148">
        <v>476323235</v>
      </c>
      <c r="AN771" s="135" t="s">
        <v>76</v>
      </c>
      <c r="AO771" s="193" t="s">
        <v>102</v>
      </c>
      <c r="AP771" s="135">
        <v>45525</v>
      </c>
      <c r="AQ771" s="135" t="s">
        <v>3450</v>
      </c>
      <c r="AR771" s="153">
        <v>1997</v>
      </c>
      <c r="AS771" s="135" t="s">
        <v>3413</v>
      </c>
      <c r="AT771" s="135" t="s">
        <v>3446</v>
      </c>
      <c r="AU771" s="135" t="s">
        <v>369</v>
      </c>
      <c r="AV771" s="135" t="s">
        <v>2344</v>
      </c>
      <c r="AW771" s="143">
        <v>7</v>
      </c>
      <c r="AX771" s="143" t="s">
        <v>3511</v>
      </c>
      <c r="AY771" s="143">
        <v>79</v>
      </c>
      <c r="AZ771" s="143" t="s">
        <v>3567</v>
      </c>
      <c r="BA771" s="135" t="s">
        <v>101</v>
      </c>
      <c r="BB771" s="151">
        <f>(3146.01)/1.055</f>
        <v>2982.0000000000005</v>
      </c>
      <c r="BC771" s="151">
        <f>(31.65+1590.94+68.58+432.55+122.38+68.58+53.81+31.65+44.31+564.43+155.09+548.6)/1.055</f>
        <v>3519.023696682465</v>
      </c>
      <c r="BD771" s="151" t="s">
        <v>76</v>
      </c>
      <c r="BE771" s="151">
        <f>(68.58+295.4)/1.055</f>
        <v>345.00473933649289</v>
      </c>
      <c r="BF771" s="151">
        <f>BB771+BC771+BE771-260</f>
        <v>6586.028436018958</v>
      </c>
      <c r="BG771" s="151">
        <f>BF771*0.055</f>
        <v>362.23156398104271</v>
      </c>
      <c r="BH771" s="151">
        <f t="shared" si="104"/>
        <v>6948.2600000000011</v>
      </c>
      <c r="BI771" s="135"/>
      <c r="BJ771" s="135" t="s">
        <v>144</v>
      </c>
      <c r="BK771" s="135"/>
      <c r="BL771" s="135"/>
      <c r="BM771" s="144" t="s">
        <v>3592</v>
      </c>
      <c r="BN771" s="153">
        <f t="shared" si="101"/>
        <v>2024</v>
      </c>
      <c r="BO771" s="144" t="s">
        <v>143</v>
      </c>
      <c r="BP771" s="135"/>
      <c r="BQ771" s="203"/>
    </row>
    <row r="772" spans="1:69" ht="41.1" customHeight="1">
      <c r="A772" s="198" t="s">
        <v>1705</v>
      </c>
      <c r="B772" s="198" t="s">
        <v>3472</v>
      </c>
      <c r="C772" s="143"/>
      <c r="D772" s="135"/>
      <c r="E772" s="135"/>
      <c r="F772" s="135"/>
      <c r="G772" s="135"/>
      <c r="H772" s="135"/>
      <c r="I772" s="135"/>
      <c r="J772" s="135"/>
      <c r="K772" s="135"/>
      <c r="L772" s="135"/>
      <c r="M772" s="135"/>
      <c r="N772" s="135"/>
      <c r="O772" s="135"/>
      <c r="P772" s="135"/>
      <c r="Q772" s="135"/>
      <c r="R772" s="135" t="s">
        <v>3581</v>
      </c>
      <c r="S772" s="135"/>
      <c r="T772" s="135"/>
      <c r="U772" s="144"/>
      <c r="V772" s="143"/>
      <c r="W772" s="143"/>
      <c r="X772" s="144"/>
      <c r="Y772" s="135"/>
      <c r="Z772" s="144"/>
      <c r="AA772" s="135"/>
      <c r="AB772" s="148"/>
      <c r="AC772" s="202"/>
      <c r="AD772" s="135"/>
      <c r="AE772" s="135"/>
      <c r="AF772" s="135"/>
      <c r="AG772" s="135"/>
      <c r="AH772" s="135"/>
      <c r="AI772" s="135"/>
      <c r="AJ772" s="135"/>
      <c r="AK772" s="135"/>
      <c r="AL772" s="208"/>
      <c r="AM772" s="148"/>
      <c r="AN772" s="135"/>
      <c r="AO772" s="193"/>
      <c r="AP772" s="135"/>
      <c r="AQ772" s="135"/>
      <c r="AR772" s="153"/>
      <c r="AS772" s="135"/>
      <c r="AT772" s="135"/>
      <c r="AU772" s="135"/>
      <c r="AV772" s="135"/>
      <c r="AW772" s="143"/>
      <c r="AX772" s="143"/>
      <c r="AY772" s="143"/>
      <c r="AZ772" s="143"/>
      <c r="BA772" s="135"/>
      <c r="BB772" s="151"/>
      <c r="BC772" s="151"/>
      <c r="BD772" s="151"/>
      <c r="BE772" s="151"/>
      <c r="BF772" s="151"/>
      <c r="BG772" s="151"/>
      <c r="BH772" s="151"/>
      <c r="BI772" s="135"/>
      <c r="BJ772" s="135"/>
      <c r="BK772" s="135"/>
      <c r="BL772" s="135"/>
      <c r="BM772" s="144">
        <v>0</v>
      </c>
      <c r="BN772" s="153" t="s">
        <v>103</v>
      </c>
      <c r="BO772" s="135" t="s">
        <v>103</v>
      </c>
      <c r="BP772" s="135" t="s">
        <v>3584</v>
      </c>
      <c r="BQ772" s="203" t="s">
        <v>3585</v>
      </c>
    </row>
    <row r="773" spans="1:69" ht="41.1" customHeight="1">
      <c r="A773" s="135" t="s">
        <v>1705</v>
      </c>
      <c r="B773" s="135" t="s">
        <v>3473</v>
      </c>
      <c r="C773" s="143">
        <v>600</v>
      </c>
      <c r="D773" s="135">
        <v>45369</v>
      </c>
      <c r="E773" s="135" t="s">
        <v>76</v>
      </c>
      <c r="F773" s="135">
        <v>45372</v>
      </c>
      <c r="G773" s="135" t="s">
        <v>3573</v>
      </c>
      <c r="H773" s="135">
        <v>45373</v>
      </c>
      <c r="I773" s="135">
        <v>45344</v>
      </c>
      <c r="J773" s="135">
        <v>45392</v>
      </c>
      <c r="K773" s="135"/>
      <c r="L773" s="135"/>
      <c r="M773" s="135"/>
      <c r="N773" s="135"/>
      <c r="O773" s="135"/>
      <c r="P773" s="135"/>
      <c r="Q773" s="135"/>
      <c r="R773" s="135"/>
      <c r="S773" s="135"/>
      <c r="T773" s="135"/>
      <c r="U773" s="144">
        <v>2</v>
      </c>
      <c r="V773" s="143">
        <v>52443</v>
      </c>
      <c r="W773" s="143" t="str">
        <f ca="1">IF(H773="",IF(D773="","",IF(U773+V773&lt;15,"Données Nb pers ou RFR manquantes",IF(COUNTA(INDIRECT("TabRFR["&amp;YEAR(D773)&amp;"]"))&lt;&gt;COUNTA(TabRFR[Recherche RFR]),"Data RFR manquantes", IF(V773&lt;=INDEX(TabRFR[[2023]:[2025]],MATCH(BD!U773&amp;"-Très modestes",TabRFR[Recherche RFR],0),MATCH(TEXT(YEAR(BD!D773),"Standard"),TabRFR[[#Headers],[2023]:[2025]],0)),"Très Modeste",IF(V773&lt;=INDEX(TabRFR[[2023]:[2025]],MATCH(BD!U773&amp;"-modestes",TabRFR[Recherche RFR],0),MATCH(TEXT(YEAR(BD!D773),"Standard"),TabRFR[[#Headers],[2023]:[2025]],0)),"Modeste",IF(V773&lt;=INDEX(TabRFR[[2023]:[2025]],MATCH(BD!U773&amp;"-Intermédiaire",TabRFR[Recherche RFR],0),MATCH(TEXT(YEAR(BD!D773),"Standard"),TabRFR[[#Headers],[2023]:[2025]],0)),"Intermédiaire","Supérieur")))))),IF(D773="","",IF(U773+V773&lt;15,"Données Nb pers ou RFR manquantes",IF(COUNTA(INDIRECT("TabRFR["&amp;YEAR(H773)&amp;"]"))&lt;&gt;COUNTA(TabRFR[Recherche RFR]),"Data RFR manquantes", IF(V773&lt;=INDEX(TabRFR[[2023]:[2025]],MATCH(BD!U773&amp;"-Très modestes",TabRFR[Recherche RFR],0),MATCH(TEXT(YEAR(BD!H773),"Standard"),TabRFR[[#Headers],[2023]:[2025]],0)),"Très Modeste",IF(V773&lt;=INDEX(TabRFR[[2023]:[2025]],MATCH(BD!U773&amp;"-modestes",TabRFR[Recherche RFR],0),MATCH(TEXT(YEAR(BD!H773),"Standard"),TabRFR[[#Headers],[2023]:[2025]],0)),"Modeste",IF(V773&lt;=INDEX(TabRFR[[2023]:[2025]],MATCH(BD!U773&amp;"-Intermédiaire",TabRFR[Recherche RFR],0),MATCH(TEXT(YEAR(BD!H773),"Standard"),TabRFR[[#Headers],[2023]:[2025]],0)),"Intermédiaire","Supérieur")))))))</f>
        <v>Supérieur</v>
      </c>
      <c r="X773" s="144"/>
      <c r="Y773" s="135" t="s">
        <v>133</v>
      </c>
      <c r="Z773" s="144">
        <v>38500</v>
      </c>
      <c r="AA773" s="135" t="s">
        <v>134</v>
      </c>
      <c r="AB773" s="148"/>
      <c r="AC773" s="202"/>
      <c r="AD773" s="135" t="s">
        <v>91</v>
      </c>
      <c r="AE773" s="135"/>
      <c r="AF773" s="135"/>
      <c r="AG773" s="135"/>
      <c r="AH773" s="135"/>
      <c r="AI773" s="135" t="s">
        <v>220</v>
      </c>
      <c r="AJ773" s="135" t="s">
        <v>108</v>
      </c>
      <c r="AK773" s="135" t="s">
        <v>2059</v>
      </c>
      <c r="AL773" s="169" t="s">
        <v>1947</v>
      </c>
      <c r="AM773" s="148">
        <v>476323235</v>
      </c>
      <c r="AN773" s="135" t="s">
        <v>76</v>
      </c>
      <c r="AO773" s="193" t="s">
        <v>102</v>
      </c>
      <c r="AP773" s="135">
        <v>45525</v>
      </c>
      <c r="AQ773" s="135" t="s">
        <v>3450</v>
      </c>
      <c r="AR773" s="153">
        <v>1993</v>
      </c>
      <c r="AS773" s="135" t="s">
        <v>3413</v>
      </c>
      <c r="AT773" s="135" t="s">
        <v>3446</v>
      </c>
      <c r="AU773" s="135" t="s">
        <v>369</v>
      </c>
      <c r="AV773" s="135" t="s">
        <v>3570</v>
      </c>
      <c r="AW773" s="143">
        <v>4</v>
      </c>
      <c r="AX773" s="143" t="s">
        <v>3571</v>
      </c>
      <c r="AY773" s="143">
        <v>78</v>
      </c>
      <c r="AZ773" s="143" t="s">
        <v>3572</v>
      </c>
      <c r="BA773" s="135" t="s">
        <v>101</v>
      </c>
      <c r="BB773" s="151">
        <v>3308</v>
      </c>
      <c r="BC773" s="151">
        <f>30+1532+365+51+65+30+38</f>
        <v>2111</v>
      </c>
      <c r="BD773" s="151" t="s">
        <v>76</v>
      </c>
      <c r="BE773" s="151">
        <f>80+280+385+80</f>
        <v>825</v>
      </c>
      <c r="BF773" s="151">
        <f>BB773+BC773+BE773</f>
        <v>6244</v>
      </c>
      <c r="BG773" s="151">
        <v>430.14</v>
      </c>
      <c r="BH773" s="151">
        <f t="shared" si="104"/>
        <v>6674.14</v>
      </c>
      <c r="BI773" s="135"/>
      <c r="BJ773" s="135" t="s">
        <v>144</v>
      </c>
      <c r="BK773" s="135"/>
      <c r="BL773" s="135"/>
      <c r="BM773" s="144" t="s">
        <v>3592</v>
      </c>
      <c r="BN773" s="153">
        <f t="shared" si="101"/>
        <v>2024</v>
      </c>
      <c r="BO773" s="144" t="s">
        <v>143</v>
      </c>
      <c r="BP773" s="135"/>
      <c r="BQ773" s="203"/>
    </row>
    <row r="774" spans="1:69" ht="41.1" customHeight="1">
      <c r="A774" s="198" t="s">
        <v>1705</v>
      </c>
      <c r="B774" s="198" t="s">
        <v>3474</v>
      </c>
      <c r="C774" s="143"/>
      <c r="D774" s="135"/>
      <c r="E774" s="135"/>
      <c r="F774" s="135"/>
      <c r="G774" s="135"/>
      <c r="H774" s="135"/>
      <c r="I774" s="135"/>
      <c r="J774" s="135"/>
      <c r="K774" s="135"/>
      <c r="L774" s="135"/>
      <c r="M774" s="135"/>
      <c r="N774" s="135"/>
      <c r="O774" s="135"/>
      <c r="P774" s="135"/>
      <c r="Q774" s="135"/>
      <c r="R774" s="135" t="s">
        <v>3581</v>
      </c>
      <c r="S774" s="135"/>
      <c r="T774" s="135"/>
      <c r="U774" s="144"/>
      <c r="V774" s="143"/>
      <c r="W774" s="143"/>
      <c r="X774" s="144"/>
      <c r="Y774" s="135"/>
      <c r="Z774" s="144"/>
      <c r="AA774" s="135"/>
      <c r="AB774" s="148"/>
      <c r="AC774" s="202"/>
      <c r="AD774" s="135"/>
      <c r="AE774" s="135"/>
      <c r="AF774" s="135"/>
      <c r="AG774" s="135"/>
      <c r="AH774" s="135"/>
      <c r="AI774" s="143"/>
      <c r="AJ774" s="135"/>
      <c r="AK774" s="135"/>
      <c r="AL774" s="169"/>
      <c r="AM774" s="148"/>
      <c r="AN774" s="135"/>
      <c r="AO774" s="193"/>
      <c r="AP774" s="135"/>
      <c r="AQ774" s="135"/>
      <c r="AR774" s="153"/>
      <c r="AS774" s="135"/>
      <c r="AT774" s="135"/>
      <c r="AU774" s="135"/>
      <c r="AV774" s="135"/>
      <c r="AW774" s="143"/>
      <c r="AX774" s="143"/>
      <c r="AY774" s="143"/>
      <c r="AZ774" s="143"/>
      <c r="BA774" s="135"/>
      <c r="BB774" s="151"/>
      <c r="BC774" s="151"/>
      <c r="BD774" s="151"/>
      <c r="BE774" s="151"/>
      <c r="BF774" s="151"/>
      <c r="BG774" s="151"/>
      <c r="BH774" s="151"/>
      <c r="BI774" s="135"/>
      <c r="BJ774" s="135"/>
      <c r="BK774" s="135"/>
      <c r="BL774" s="135"/>
      <c r="BM774" s="144">
        <v>0</v>
      </c>
      <c r="BN774" s="153" t="s">
        <v>103</v>
      </c>
      <c r="BO774" s="135" t="s">
        <v>103</v>
      </c>
      <c r="BP774" s="135" t="s">
        <v>3584</v>
      </c>
      <c r="BQ774" s="203" t="s">
        <v>3585</v>
      </c>
    </row>
    <row r="775" spans="1:69" ht="41.1" customHeight="1">
      <c r="A775" s="135" t="s">
        <v>1705</v>
      </c>
      <c r="B775" s="135" t="s">
        <v>3475</v>
      </c>
      <c r="C775" s="143">
        <v>600</v>
      </c>
      <c r="D775" s="135">
        <v>45371</v>
      </c>
      <c r="E775" s="135" t="s">
        <v>76</v>
      </c>
      <c r="F775" s="135" t="s">
        <v>76</v>
      </c>
      <c r="G775" s="135" t="s">
        <v>76</v>
      </c>
      <c r="H775" s="135">
        <v>45373</v>
      </c>
      <c r="I775" s="135">
        <v>45373</v>
      </c>
      <c r="J775" s="135">
        <v>45392</v>
      </c>
      <c r="K775" s="135"/>
      <c r="L775" s="135"/>
      <c r="M775" s="135"/>
      <c r="N775" s="135"/>
      <c r="O775" s="135"/>
      <c r="P775" s="135"/>
      <c r="Q775" s="135"/>
      <c r="R775" s="135"/>
      <c r="S775" s="135"/>
      <c r="T775" s="135"/>
      <c r="U775" s="144">
        <v>2</v>
      </c>
      <c r="V775" s="143">
        <v>44885</v>
      </c>
      <c r="W775" s="143" t="str">
        <f ca="1">IF(H775="",IF(D775="","",IF(U775+V775&lt;15,"Données Nb pers ou RFR manquantes",IF(COUNTA(INDIRECT("TabRFR["&amp;YEAR(D775)&amp;"]"))&lt;&gt;COUNTA(TabRFR[Recherche RFR]),"Data RFR manquantes", IF(V775&lt;=INDEX(TabRFR[[2023]:[2025]],MATCH(BD!U775&amp;"-Très modestes",TabRFR[Recherche RFR],0),MATCH(TEXT(YEAR(BD!D775),"Standard"),TabRFR[[#Headers],[2023]:[2025]],0)),"Très Modeste",IF(V775&lt;=INDEX(TabRFR[[2023]:[2025]],MATCH(BD!U775&amp;"-modestes",TabRFR[Recherche RFR],0),MATCH(TEXT(YEAR(BD!D775),"Standard"),TabRFR[[#Headers],[2023]:[2025]],0)),"Modeste",IF(V775&lt;=INDEX(TabRFR[[2023]:[2025]],MATCH(BD!U775&amp;"-Intermédiaire",TabRFR[Recherche RFR],0),MATCH(TEXT(YEAR(BD!D775),"Standard"),TabRFR[[#Headers],[2023]:[2025]],0)),"Intermédiaire","Supérieur")))))),IF(D775="","",IF(U775+V775&lt;15,"Données Nb pers ou RFR manquantes",IF(COUNTA(INDIRECT("TabRFR["&amp;YEAR(H775)&amp;"]"))&lt;&gt;COUNTA(TabRFR[Recherche RFR]),"Data RFR manquantes", IF(V775&lt;=INDEX(TabRFR[[2023]:[2025]],MATCH(BD!U775&amp;"-Très modestes",TabRFR[Recherche RFR],0),MATCH(TEXT(YEAR(BD!H775),"Standard"),TabRFR[[#Headers],[2023]:[2025]],0)),"Très Modeste",IF(V775&lt;=INDEX(TabRFR[[2023]:[2025]],MATCH(BD!U775&amp;"-modestes",TabRFR[Recherche RFR],0),MATCH(TEXT(YEAR(BD!H775),"Standard"),TabRFR[[#Headers],[2023]:[2025]],0)),"Modeste",IF(V775&lt;=INDEX(TabRFR[[2023]:[2025]],MATCH(BD!U775&amp;"-Intermédiaire",TabRFR[Recherche RFR],0),MATCH(TEXT(YEAR(BD!H775),"Standard"),TabRFR[[#Headers],[2023]:[2025]],0)),"Intermédiaire","Supérieur")))))))</f>
        <v>Intermédiaire</v>
      </c>
      <c r="X775" s="144"/>
      <c r="Y775" s="135" t="s">
        <v>1664</v>
      </c>
      <c r="Z775" s="144">
        <v>38210</v>
      </c>
      <c r="AA775" s="135" t="s">
        <v>3565</v>
      </c>
      <c r="AB775" s="148"/>
      <c r="AC775" s="202"/>
      <c r="AD775" s="135" t="s">
        <v>91</v>
      </c>
      <c r="AE775" s="135"/>
      <c r="AF775" s="135"/>
      <c r="AG775" s="135"/>
      <c r="AH775" s="135"/>
      <c r="AI775" s="135" t="s">
        <v>544</v>
      </c>
      <c r="AJ775" s="135" t="s">
        <v>545</v>
      </c>
      <c r="AK775" s="135" t="s">
        <v>546</v>
      </c>
      <c r="AL775" s="169" t="s">
        <v>2600</v>
      </c>
      <c r="AM775" s="148">
        <v>970825050</v>
      </c>
      <c r="AN775" s="135" t="s">
        <v>76</v>
      </c>
      <c r="AO775" s="150" t="s">
        <v>144</v>
      </c>
      <c r="AP775" s="135">
        <v>45655</v>
      </c>
      <c r="AQ775" s="135" t="s">
        <v>3450</v>
      </c>
      <c r="AR775" s="153">
        <v>1996</v>
      </c>
      <c r="AS775" s="135" t="s">
        <v>3413</v>
      </c>
      <c r="AT775" s="135" t="s">
        <v>3446</v>
      </c>
      <c r="AU775" s="135" t="s">
        <v>271</v>
      </c>
      <c r="AV775" s="135" t="s">
        <v>3568</v>
      </c>
      <c r="AW775" s="143">
        <v>25</v>
      </c>
      <c r="AX775" s="143">
        <v>6</v>
      </c>
      <c r="AY775" s="143">
        <v>81</v>
      </c>
      <c r="AZ775" s="143" t="s">
        <v>2565</v>
      </c>
      <c r="BA775" s="135" t="s">
        <v>101</v>
      </c>
      <c r="BB775" s="151">
        <f>(1317.87)/1.05</f>
        <v>1255.1142857142856</v>
      </c>
      <c r="BC775" s="151">
        <f>(1074+22.99+120+120)/1.055</f>
        <v>1267.2890995260664</v>
      </c>
      <c r="BD775" s="151" t="s">
        <v>76</v>
      </c>
      <c r="BE775" s="151">
        <f>(796)/1.055</f>
        <v>754.5023696682465</v>
      </c>
      <c r="BF775" s="151">
        <f>BB775+BC775+BE775-113.74-94.79</f>
        <v>3068.3757549085985</v>
      </c>
      <c r="BG775" s="151">
        <f t="shared" ref="BG775" si="105">BF775*0.055</f>
        <v>168.76066651997292</v>
      </c>
      <c r="BH775" s="151">
        <f t="shared" si="104"/>
        <v>3237.1364214285713</v>
      </c>
      <c r="BI775" s="135"/>
      <c r="BJ775" s="135" t="s">
        <v>1391</v>
      </c>
      <c r="BK775" s="135"/>
      <c r="BL775" s="135"/>
      <c r="BM775" s="144" t="s">
        <v>3592</v>
      </c>
      <c r="BN775" s="153">
        <f t="shared" si="101"/>
        <v>2024</v>
      </c>
      <c r="BO775" s="144" t="s">
        <v>143</v>
      </c>
      <c r="BP775" s="135"/>
      <c r="BQ775" s="203"/>
    </row>
    <row r="776" spans="1:69" ht="41.1" customHeight="1">
      <c r="A776" s="198" t="s">
        <v>1705</v>
      </c>
      <c r="B776" s="198" t="s">
        <v>3476</v>
      </c>
      <c r="C776" s="143"/>
      <c r="D776" s="135"/>
      <c r="E776" s="135"/>
      <c r="F776" s="135"/>
      <c r="G776" s="135"/>
      <c r="H776" s="135"/>
      <c r="I776" s="135"/>
      <c r="J776" s="135"/>
      <c r="K776" s="135"/>
      <c r="L776" s="135"/>
      <c r="M776" s="135"/>
      <c r="N776" s="135"/>
      <c r="O776" s="135"/>
      <c r="P776" s="135"/>
      <c r="Q776" s="135"/>
      <c r="R776" s="135" t="s">
        <v>3581</v>
      </c>
      <c r="S776" s="135"/>
      <c r="T776" s="135"/>
      <c r="U776" s="144"/>
      <c r="V776" s="143"/>
      <c r="W776" s="143"/>
      <c r="X776" s="144"/>
      <c r="Y776" s="135"/>
      <c r="Z776" s="144"/>
      <c r="AA776" s="135"/>
      <c r="AB776" s="148"/>
      <c r="AC776" s="202"/>
      <c r="AD776" s="135"/>
      <c r="AE776" s="135"/>
      <c r="AF776" s="135"/>
      <c r="AG776" s="135"/>
      <c r="AH776" s="135"/>
      <c r="AI776" s="135"/>
      <c r="AJ776" s="135"/>
      <c r="AK776" s="135"/>
      <c r="AL776" s="169"/>
      <c r="AM776" s="148"/>
      <c r="AN776" s="135"/>
      <c r="AO776" s="193"/>
      <c r="AP776" s="135"/>
      <c r="AQ776" s="135"/>
      <c r="AR776" s="153"/>
      <c r="AS776" s="135"/>
      <c r="AT776" s="135"/>
      <c r="AU776" s="135"/>
      <c r="AV776" s="135"/>
      <c r="AW776" s="143"/>
      <c r="AX776" s="143"/>
      <c r="AY776" s="143"/>
      <c r="AZ776" s="143"/>
      <c r="BA776" s="135"/>
      <c r="BB776" s="151"/>
      <c r="BC776" s="151"/>
      <c r="BD776" s="151"/>
      <c r="BE776" s="151"/>
      <c r="BF776" s="151"/>
      <c r="BG776" s="151"/>
      <c r="BH776" s="151"/>
      <c r="BI776" s="135"/>
      <c r="BJ776" s="135"/>
      <c r="BK776" s="135"/>
      <c r="BL776" s="135"/>
      <c r="BM776" s="144">
        <v>0</v>
      </c>
      <c r="BN776" s="153" t="s">
        <v>103</v>
      </c>
      <c r="BO776" s="135" t="s">
        <v>103</v>
      </c>
      <c r="BP776" s="135" t="s">
        <v>3584</v>
      </c>
      <c r="BQ776" s="203" t="s">
        <v>3585</v>
      </c>
    </row>
    <row r="777" spans="1:69" ht="41.1" customHeight="1">
      <c r="A777" s="198" t="s">
        <v>1705</v>
      </c>
      <c r="B777" s="198" t="s">
        <v>3477</v>
      </c>
      <c r="C777" s="143"/>
      <c r="D777" s="135"/>
      <c r="E777" s="135"/>
      <c r="F777" s="135"/>
      <c r="G777" s="135"/>
      <c r="H777" s="135"/>
      <c r="I777" s="135"/>
      <c r="J777" s="135"/>
      <c r="K777" s="135"/>
      <c r="L777" s="135"/>
      <c r="M777" s="135"/>
      <c r="N777" s="135"/>
      <c r="O777" s="135"/>
      <c r="P777" s="135"/>
      <c r="Q777" s="135"/>
      <c r="R777" s="135" t="s">
        <v>3581</v>
      </c>
      <c r="S777" s="135"/>
      <c r="T777" s="135"/>
      <c r="U777" s="144"/>
      <c r="V777" s="143"/>
      <c r="W777" s="143"/>
      <c r="X777" s="144"/>
      <c r="Y777" s="135"/>
      <c r="Z777" s="144"/>
      <c r="AA777" s="135"/>
      <c r="AB777" s="148"/>
      <c r="AC777" s="202"/>
      <c r="AD777" s="135"/>
      <c r="AE777" s="135"/>
      <c r="AF777" s="135"/>
      <c r="AG777" s="135"/>
      <c r="AH777" s="135"/>
      <c r="AI777" s="143"/>
      <c r="AJ777" s="135"/>
      <c r="AK777" s="135"/>
      <c r="AL777" s="169"/>
      <c r="AM777" s="148"/>
      <c r="AN777" s="135"/>
      <c r="AO777" s="193"/>
      <c r="AP777" s="135"/>
      <c r="AQ777" s="135"/>
      <c r="AR777" s="153"/>
      <c r="AS777" s="135"/>
      <c r="AT777" s="135"/>
      <c r="AU777" s="135"/>
      <c r="AV777" s="135"/>
      <c r="AW777" s="143"/>
      <c r="AX777" s="143"/>
      <c r="AY777" s="143"/>
      <c r="AZ777" s="143"/>
      <c r="BA777" s="135"/>
      <c r="BB777" s="151"/>
      <c r="BC777" s="151"/>
      <c r="BD777" s="151"/>
      <c r="BE777" s="151"/>
      <c r="BF777" s="151"/>
      <c r="BG777" s="151"/>
      <c r="BH777" s="151"/>
      <c r="BI777" s="135"/>
      <c r="BJ777" s="135"/>
      <c r="BK777" s="135"/>
      <c r="BL777" s="135"/>
      <c r="BM777" s="144">
        <v>0</v>
      </c>
      <c r="BN777" s="153" t="s">
        <v>103</v>
      </c>
      <c r="BO777" s="135" t="s">
        <v>103</v>
      </c>
      <c r="BP777" s="135" t="s">
        <v>3584</v>
      </c>
      <c r="BQ777" s="203" t="s">
        <v>3585</v>
      </c>
    </row>
    <row r="778" spans="1:69" ht="41.1" customHeight="1">
      <c r="A778" s="198" t="s">
        <v>1705</v>
      </c>
      <c r="B778" s="198" t="s">
        <v>3478</v>
      </c>
      <c r="C778" s="143"/>
      <c r="D778" s="135"/>
      <c r="E778" s="135"/>
      <c r="F778" s="135"/>
      <c r="G778" s="135"/>
      <c r="H778" s="135"/>
      <c r="I778" s="135"/>
      <c r="J778" s="135"/>
      <c r="K778" s="135"/>
      <c r="L778" s="135"/>
      <c r="M778" s="135"/>
      <c r="N778" s="135"/>
      <c r="O778" s="135"/>
      <c r="P778" s="135"/>
      <c r="Q778" s="135"/>
      <c r="R778" s="135" t="s">
        <v>3581</v>
      </c>
      <c r="S778" s="135"/>
      <c r="T778" s="135"/>
      <c r="U778" s="144"/>
      <c r="V778" s="143"/>
      <c r="W778" s="143"/>
      <c r="X778" s="144"/>
      <c r="Y778" s="135"/>
      <c r="Z778" s="144"/>
      <c r="AA778" s="135"/>
      <c r="AB778" s="148"/>
      <c r="AC778" s="202"/>
      <c r="AD778" s="135"/>
      <c r="AE778" s="135"/>
      <c r="AF778" s="135"/>
      <c r="AG778" s="135"/>
      <c r="AH778" s="135"/>
      <c r="AI778" s="143"/>
      <c r="AJ778" s="143"/>
      <c r="AK778" s="143"/>
      <c r="AL778" s="149"/>
      <c r="AM778" s="148"/>
      <c r="AN778" s="143"/>
      <c r="AO778" s="150"/>
      <c r="AP778" s="147"/>
      <c r="AQ778" s="135"/>
      <c r="AR778" s="153"/>
      <c r="AS778" s="135"/>
      <c r="AT778" s="135"/>
      <c r="AU778" s="135"/>
      <c r="AV778" s="135"/>
      <c r="AW778" s="143"/>
      <c r="AX778" s="143"/>
      <c r="AY778" s="143"/>
      <c r="AZ778" s="143"/>
      <c r="BA778" s="135"/>
      <c r="BB778" s="151"/>
      <c r="BC778" s="151"/>
      <c r="BD778" s="151"/>
      <c r="BE778" s="151"/>
      <c r="BF778" s="151"/>
      <c r="BG778" s="151"/>
      <c r="BH778" s="151"/>
      <c r="BI778" s="135"/>
      <c r="BJ778" s="135"/>
      <c r="BK778" s="135"/>
      <c r="BL778" s="135"/>
      <c r="BM778" s="144">
        <v>0</v>
      </c>
      <c r="BN778" s="153" t="s">
        <v>103</v>
      </c>
      <c r="BO778" s="135" t="s">
        <v>103</v>
      </c>
      <c r="BP778" s="135" t="s">
        <v>3584</v>
      </c>
      <c r="BQ778" s="203" t="s">
        <v>3585</v>
      </c>
    </row>
    <row r="779" spans="1:69" ht="41.1" customHeight="1">
      <c r="A779" s="198" t="s">
        <v>1705</v>
      </c>
      <c r="B779" s="198" t="s">
        <v>3479</v>
      </c>
      <c r="C779" s="143"/>
      <c r="D779" s="135"/>
      <c r="E779" s="135"/>
      <c r="F779" s="135"/>
      <c r="G779" s="135"/>
      <c r="H779" s="135"/>
      <c r="I779" s="135"/>
      <c r="J779" s="135"/>
      <c r="K779" s="135"/>
      <c r="L779" s="135"/>
      <c r="M779" s="135"/>
      <c r="N779" s="135"/>
      <c r="O779" s="135"/>
      <c r="P779" s="135"/>
      <c r="Q779" s="135"/>
      <c r="R779" s="135" t="s">
        <v>3581</v>
      </c>
      <c r="S779" s="135"/>
      <c r="T779" s="135"/>
      <c r="U779" s="144"/>
      <c r="V779" s="143"/>
      <c r="W779" s="143"/>
      <c r="X779" s="144"/>
      <c r="Y779" s="135"/>
      <c r="Z779" s="144"/>
      <c r="AA779" s="135"/>
      <c r="AB779" s="148"/>
      <c r="AC779" s="202"/>
      <c r="AD779" s="135"/>
      <c r="AE779" s="135"/>
      <c r="AF779" s="135"/>
      <c r="AG779" s="135"/>
      <c r="AH779" s="135"/>
      <c r="AI779" s="135"/>
      <c r="AJ779" s="135"/>
      <c r="AK779" s="135"/>
      <c r="AL779" s="169"/>
      <c r="AM779" s="148"/>
      <c r="AN779" s="135"/>
      <c r="AO779" s="193"/>
      <c r="AP779" s="135"/>
      <c r="AQ779" s="135"/>
      <c r="AR779" s="153"/>
      <c r="AS779" s="135"/>
      <c r="AT779" s="135"/>
      <c r="AU779" s="135"/>
      <c r="AV779" s="135"/>
      <c r="AW779" s="143"/>
      <c r="AX779" s="143"/>
      <c r="AY779" s="143"/>
      <c r="AZ779" s="143"/>
      <c r="BA779" s="135"/>
      <c r="BB779" s="151"/>
      <c r="BC779" s="151"/>
      <c r="BD779" s="151"/>
      <c r="BE779" s="151"/>
      <c r="BF779" s="151"/>
      <c r="BG779" s="151"/>
      <c r="BH779" s="151"/>
      <c r="BI779" s="135"/>
      <c r="BJ779" s="135"/>
      <c r="BK779" s="135"/>
      <c r="BL779" s="135"/>
      <c r="BM779" s="144">
        <v>0</v>
      </c>
      <c r="BN779" s="153" t="s">
        <v>103</v>
      </c>
      <c r="BO779" s="135" t="s">
        <v>103</v>
      </c>
      <c r="BP779" s="135" t="s">
        <v>3584</v>
      </c>
      <c r="BQ779" s="203" t="s">
        <v>3585</v>
      </c>
    </row>
    <row r="780" spans="1:69" ht="41.1" customHeight="1">
      <c r="A780" s="198" t="s">
        <v>1705</v>
      </c>
      <c r="B780" s="198" t="s">
        <v>3480</v>
      </c>
      <c r="C780" s="143"/>
      <c r="D780" s="135"/>
      <c r="E780" s="135"/>
      <c r="F780" s="135"/>
      <c r="G780" s="135"/>
      <c r="H780" s="135"/>
      <c r="I780" s="135"/>
      <c r="J780" s="135"/>
      <c r="K780" s="135"/>
      <c r="L780" s="135"/>
      <c r="M780" s="135"/>
      <c r="N780" s="135"/>
      <c r="O780" s="135"/>
      <c r="P780" s="135"/>
      <c r="Q780" s="135"/>
      <c r="R780" s="135" t="s">
        <v>3581</v>
      </c>
      <c r="S780" s="135"/>
      <c r="T780" s="135"/>
      <c r="U780" s="144"/>
      <c r="V780" s="143"/>
      <c r="W780" s="143"/>
      <c r="X780" s="144"/>
      <c r="Y780" s="135"/>
      <c r="Z780" s="144"/>
      <c r="AA780" s="135"/>
      <c r="AB780" s="148"/>
      <c r="AC780" s="202"/>
      <c r="AD780" s="135"/>
      <c r="AE780" s="135"/>
      <c r="AF780" s="135"/>
      <c r="AG780" s="135"/>
      <c r="AH780" s="135"/>
      <c r="AI780" s="135"/>
      <c r="AJ780" s="135"/>
      <c r="AK780" s="135"/>
      <c r="AL780" s="202"/>
      <c r="AM780" s="148"/>
      <c r="AN780" s="135"/>
      <c r="AO780" s="150"/>
      <c r="AP780" s="135"/>
      <c r="AQ780" s="135"/>
      <c r="AR780" s="153"/>
      <c r="AS780" s="135"/>
      <c r="AT780" s="135"/>
      <c r="AU780" s="135"/>
      <c r="AV780" s="135"/>
      <c r="AW780" s="143"/>
      <c r="AX780" s="143"/>
      <c r="AY780" s="143"/>
      <c r="AZ780" s="143"/>
      <c r="BA780" s="135"/>
      <c r="BB780" s="151"/>
      <c r="BC780" s="151"/>
      <c r="BD780" s="151"/>
      <c r="BE780" s="151"/>
      <c r="BF780" s="151"/>
      <c r="BG780" s="151"/>
      <c r="BH780" s="151"/>
      <c r="BI780" s="135"/>
      <c r="BJ780" s="135"/>
      <c r="BK780" s="135"/>
      <c r="BL780" s="135"/>
      <c r="BM780" s="144">
        <v>0</v>
      </c>
      <c r="BN780" s="153" t="s">
        <v>103</v>
      </c>
      <c r="BO780" s="135" t="s">
        <v>103</v>
      </c>
      <c r="BP780" s="135" t="s">
        <v>3584</v>
      </c>
      <c r="BQ780" s="203" t="s">
        <v>3585</v>
      </c>
    </row>
    <row r="781" spans="1:69" ht="41.1" customHeight="1">
      <c r="A781" s="198" t="s">
        <v>1705</v>
      </c>
      <c r="B781" s="198" t="s">
        <v>3481</v>
      </c>
      <c r="C781" s="143"/>
      <c r="D781" s="135"/>
      <c r="E781" s="135"/>
      <c r="F781" s="135"/>
      <c r="G781" s="135"/>
      <c r="H781" s="135"/>
      <c r="I781" s="135"/>
      <c r="J781" s="135"/>
      <c r="K781" s="135"/>
      <c r="L781" s="135"/>
      <c r="M781" s="135"/>
      <c r="N781" s="135"/>
      <c r="O781" s="135"/>
      <c r="P781" s="135"/>
      <c r="Q781" s="135"/>
      <c r="R781" s="135" t="s">
        <v>3581</v>
      </c>
      <c r="S781" s="135"/>
      <c r="T781" s="135"/>
      <c r="U781" s="144"/>
      <c r="V781" s="143"/>
      <c r="W781" s="143"/>
      <c r="X781" s="144"/>
      <c r="Y781" s="135"/>
      <c r="Z781" s="144"/>
      <c r="AA781" s="135"/>
      <c r="AB781" s="148"/>
      <c r="AC781" s="202"/>
      <c r="AD781" s="135"/>
      <c r="AE781" s="135"/>
      <c r="AF781" s="135"/>
      <c r="AG781" s="135"/>
      <c r="AH781" s="135"/>
      <c r="AI781" s="135"/>
      <c r="AJ781" s="135"/>
      <c r="AK781" s="135"/>
      <c r="AL781" s="202"/>
      <c r="AM781" s="148"/>
      <c r="AN781" s="135"/>
      <c r="AO781" s="135"/>
      <c r="AP781" s="135"/>
      <c r="AQ781" s="135"/>
      <c r="AR781" s="153"/>
      <c r="AS781" s="135"/>
      <c r="AT781" s="135"/>
      <c r="AU781" s="135"/>
      <c r="AV781" s="135"/>
      <c r="AW781" s="143"/>
      <c r="AX781" s="143"/>
      <c r="AY781" s="143"/>
      <c r="AZ781" s="143"/>
      <c r="BA781" s="135"/>
      <c r="BB781" s="151"/>
      <c r="BC781" s="151"/>
      <c r="BD781" s="151"/>
      <c r="BE781" s="151"/>
      <c r="BF781" s="151"/>
      <c r="BG781" s="151"/>
      <c r="BH781" s="151"/>
      <c r="BI781" s="135"/>
      <c r="BJ781" s="135"/>
      <c r="BK781" s="135"/>
      <c r="BL781" s="135"/>
      <c r="BM781" s="144">
        <v>0</v>
      </c>
      <c r="BN781" s="153" t="s">
        <v>103</v>
      </c>
      <c r="BO781" s="135" t="s">
        <v>103</v>
      </c>
      <c r="BP781" s="135" t="s">
        <v>3584</v>
      </c>
      <c r="BQ781" s="203" t="s">
        <v>3585</v>
      </c>
    </row>
    <row r="782" spans="1:69" ht="41.1" customHeight="1">
      <c r="A782" s="198" t="s">
        <v>1705</v>
      </c>
      <c r="B782" s="198" t="s">
        <v>3482</v>
      </c>
      <c r="C782" s="143"/>
      <c r="D782" s="135"/>
      <c r="E782" s="135"/>
      <c r="F782" s="135"/>
      <c r="G782" s="135"/>
      <c r="H782" s="135"/>
      <c r="I782" s="135"/>
      <c r="J782" s="135"/>
      <c r="K782" s="135"/>
      <c r="L782" s="135"/>
      <c r="M782" s="135"/>
      <c r="N782" s="135"/>
      <c r="O782" s="135"/>
      <c r="P782" s="135"/>
      <c r="Q782" s="135"/>
      <c r="R782" s="135" t="s">
        <v>3581</v>
      </c>
      <c r="S782" s="135"/>
      <c r="T782" s="135"/>
      <c r="U782" s="144"/>
      <c r="V782" s="143"/>
      <c r="W782" s="143"/>
      <c r="X782" s="144"/>
      <c r="Y782" s="135"/>
      <c r="Z782" s="144"/>
      <c r="AA782" s="135"/>
      <c r="AB782" s="148"/>
      <c r="AC782" s="202"/>
      <c r="AD782" s="135"/>
      <c r="AE782" s="135"/>
      <c r="AF782" s="135"/>
      <c r="AG782" s="135"/>
      <c r="AH782" s="135"/>
      <c r="AI782" s="135"/>
      <c r="AJ782" s="135"/>
      <c r="AK782" s="143"/>
      <c r="AL782" s="169"/>
      <c r="AM782" s="135"/>
      <c r="AN782" s="135"/>
      <c r="AO782" s="135"/>
      <c r="AP782" s="135"/>
      <c r="AQ782" s="135"/>
      <c r="AR782" s="153"/>
      <c r="AS782" s="135"/>
      <c r="AT782" s="135"/>
      <c r="AU782" s="135"/>
      <c r="AV782" s="135"/>
      <c r="AW782" s="143"/>
      <c r="AX782" s="143"/>
      <c r="AY782" s="143"/>
      <c r="AZ782" s="143"/>
      <c r="BA782" s="135"/>
      <c r="BB782" s="151"/>
      <c r="BC782" s="151"/>
      <c r="BD782" s="151"/>
      <c r="BE782" s="151"/>
      <c r="BF782" s="151"/>
      <c r="BG782" s="151"/>
      <c r="BH782" s="151"/>
      <c r="BI782" s="135"/>
      <c r="BJ782" s="135"/>
      <c r="BK782" s="135"/>
      <c r="BL782" s="135"/>
      <c r="BM782" s="144">
        <v>0</v>
      </c>
      <c r="BN782" s="153" t="s">
        <v>103</v>
      </c>
      <c r="BO782" s="135" t="s">
        <v>103</v>
      </c>
      <c r="BP782" s="135" t="s">
        <v>3584</v>
      </c>
      <c r="BQ782" s="203" t="s">
        <v>3585</v>
      </c>
    </row>
    <row r="783" spans="1:69" ht="41.1" customHeight="1">
      <c r="A783" s="198" t="s">
        <v>1705</v>
      </c>
      <c r="B783" s="198" t="s">
        <v>3483</v>
      </c>
      <c r="C783" s="143"/>
      <c r="D783" s="135">
        <v>45380</v>
      </c>
      <c r="E783" s="135"/>
      <c r="F783" s="135"/>
      <c r="G783" s="135"/>
      <c r="H783" s="135"/>
      <c r="I783" s="135"/>
      <c r="J783" s="135"/>
      <c r="K783" s="135"/>
      <c r="L783" s="135"/>
      <c r="M783" s="135"/>
      <c r="N783" s="135"/>
      <c r="O783" s="135"/>
      <c r="P783" s="135"/>
      <c r="Q783" s="135">
        <v>45390</v>
      </c>
      <c r="R783" s="135" t="s">
        <v>3578</v>
      </c>
      <c r="S783" s="135"/>
      <c r="T783" s="135"/>
      <c r="U783" s="144">
        <v>3</v>
      </c>
      <c r="V783" s="143">
        <v>37358</v>
      </c>
      <c r="W783" s="143" t="str">
        <f ca="1">IF(H783="",IF(D783="","",IF(U783+V783&lt;15,"Données Nb pers ou RFR manquantes",IF(COUNTA(INDIRECT("TabRFR["&amp;YEAR(D783)&amp;"]"))&lt;&gt;COUNTA(TabRFR[Recherche RFR]),"Data RFR manquantes", IF(V783&lt;=INDEX(TabRFR[[2023]:[2025]],MATCH(BD!U783&amp;"-Très modestes",TabRFR[Recherche RFR],0),MATCH(TEXT(YEAR(BD!D783),"Standard"),TabRFR[[#Headers],[2023]:[2025]],0)),"Très Modeste",IF(V783&lt;=INDEX(TabRFR[[2023]:[2025]],MATCH(BD!U783&amp;"-modestes",TabRFR[Recherche RFR],0),MATCH(TEXT(YEAR(BD!D783),"Standard"),TabRFR[[#Headers],[2023]:[2025]],0)),"Modeste",IF(V783&lt;=INDEX(TabRFR[[2023]:[2025]],MATCH(BD!U783&amp;"-Intermédiaire",TabRFR[Recherche RFR],0),MATCH(TEXT(YEAR(BD!D783),"Standard"),TabRFR[[#Headers],[2023]:[2025]],0)),"Intermédiaire","Supérieur")))))),IF(D783="","",IF(U783+V783&lt;15,"Données Nb pers ou RFR manquantes",IF(COUNTA(INDIRECT("TabRFR["&amp;YEAR(H783)&amp;"]"))&lt;&gt;COUNTA(TabRFR[Recherche RFR]),"Data RFR manquantes", IF(V783&lt;=INDEX(TabRFR[[2023]:[2025]],MATCH(BD!U783&amp;"-Très modestes",TabRFR[Recherche RFR],0),MATCH(TEXT(YEAR(BD!H783),"Standard"),TabRFR[[#Headers],[2023]:[2025]],0)),"Très Modeste",IF(V783&lt;=INDEX(TabRFR[[2023]:[2025]],MATCH(BD!U783&amp;"-modestes",TabRFR[Recherche RFR],0),MATCH(TEXT(YEAR(BD!H783),"Standard"),TabRFR[[#Headers],[2023]:[2025]],0)),"Modeste",IF(V783&lt;=INDEX(TabRFR[[2023]:[2025]],MATCH(BD!U783&amp;"-Intermédiaire",TabRFR[Recherche RFR],0),MATCH(TEXT(YEAR(BD!H783),"Standard"),TabRFR[[#Headers],[2023]:[2025]],0)),"Intermédiaire","Supérieur")))))))</f>
        <v>Modeste</v>
      </c>
      <c r="X783" s="144"/>
      <c r="Y783" s="135" t="s">
        <v>3577</v>
      </c>
      <c r="Z783" s="144">
        <v>38210</v>
      </c>
      <c r="AA783" s="135"/>
      <c r="AB783" s="148"/>
      <c r="AC783" s="202"/>
      <c r="AD783" s="135" t="s">
        <v>76</v>
      </c>
      <c r="AE783" s="135" t="s">
        <v>76</v>
      </c>
      <c r="AF783" s="135" t="s">
        <v>76</v>
      </c>
      <c r="AG783" s="135" t="s">
        <v>76</v>
      </c>
      <c r="AH783" s="135" t="s">
        <v>76</v>
      </c>
      <c r="AI783" s="135" t="s">
        <v>76</v>
      </c>
      <c r="AJ783" s="135" t="s">
        <v>76</v>
      </c>
      <c r="AK783" s="135" t="s">
        <v>76</v>
      </c>
      <c r="AL783" s="135" t="s">
        <v>76</v>
      </c>
      <c r="AM783" s="135" t="s">
        <v>76</v>
      </c>
      <c r="AN783" s="135" t="s">
        <v>76</v>
      </c>
      <c r="AO783" s="135" t="s">
        <v>76</v>
      </c>
      <c r="AP783" s="135" t="s">
        <v>76</v>
      </c>
      <c r="AQ783" s="135"/>
      <c r="AR783" s="153" t="s">
        <v>76</v>
      </c>
      <c r="AS783" s="135"/>
      <c r="AT783" s="135"/>
      <c r="AU783" s="135" t="s">
        <v>76</v>
      </c>
      <c r="AV783" s="135" t="s">
        <v>76</v>
      </c>
      <c r="AW783" s="143" t="s">
        <v>76</v>
      </c>
      <c r="AX783" s="143" t="s">
        <v>76</v>
      </c>
      <c r="AY783" s="143" t="s">
        <v>76</v>
      </c>
      <c r="AZ783" s="143" t="s">
        <v>76</v>
      </c>
      <c r="BA783" s="135" t="s">
        <v>76</v>
      </c>
      <c r="BB783" s="151" t="s">
        <v>76</v>
      </c>
      <c r="BC783" s="151" t="s">
        <v>76</v>
      </c>
      <c r="BD783" s="151" t="s">
        <v>76</v>
      </c>
      <c r="BE783" s="151" t="s">
        <v>76</v>
      </c>
      <c r="BF783" s="151" t="s">
        <v>76</v>
      </c>
      <c r="BG783" s="151" t="s">
        <v>76</v>
      </c>
      <c r="BH783" s="151" t="s">
        <v>76</v>
      </c>
      <c r="BI783" s="135" t="s">
        <v>76</v>
      </c>
      <c r="BJ783" s="135" t="s">
        <v>76</v>
      </c>
      <c r="BK783" s="135"/>
      <c r="BL783" s="135"/>
      <c r="BM783" s="144">
        <v>0</v>
      </c>
      <c r="BN783" s="153" t="s">
        <v>1496</v>
      </c>
      <c r="BO783" s="144" t="s">
        <v>103</v>
      </c>
      <c r="BP783" s="203" t="s">
        <v>3582</v>
      </c>
      <c r="BQ783" s="203" t="s">
        <v>3273</v>
      </c>
    </row>
    <row r="784" spans="1:69" ht="41.1" customHeight="1">
      <c r="A784" s="198" t="s">
        <v>1705</v>
      </c>
      <c r="B784" s="198" t="s">
        <v>3484</v>
      </c>
      <c r="C784" s="143"/>
      <c r="D784" s="135"/>
      <c r="E784" s="135"/>
      <c r="F784" s="135"/>
      <c r="G784" s="135"/>
      <c r="H784" s="135"/>
      <c r="I784" s="135"/>
      <c r="J784" s="135"/>
      <c r="K784" s="135"/>
      <c r="L784" s="135"/>
      <c r="M784" s="135"/>
      <c r="N784" s="135"/>
      <c r="O784" s="135"/>
      <c r="P784" s="135"/>
      <c r="Q784" s="135"/>
      <c r="R784" s="135" t="s">
        <v>3581</v>
      </c>
      <c r="S784" s="135"/>
      <c r="T784" s="135"/>
      <c r="U784" s="144"/>
      <c r="V784" s="143"/>
      <c r="W784" s="143"/>
      <c r="X784" s="144"/>
      <c r="Y784" s="135"/>
      <c r="Z784" s="144"/>
      <c r="AA784" s="135"/>
      <c r="AB784" s="148"/>
      <c r="AC784" s="202"/>
      <c r="AD784" s="135"/>
      <c r="AE784" s="135"/>
      <c r="AF784" s="135"/>
      <c r="AG784" s="135"/>
      <c r="AH784" s="135"/>
      <c r="AI784" s="135"/>
      <c r="AJ784" s="135"/>
      <c r="AK784" s="135"/>
      <c r="AL784" s="169"/>
      <c r="AM784" s="148"/>
      <c r="AN784" s="135"/>
      <c r="AO784" s="193"/>
      <c r="AP784" s="135"/>
      <c r="AQ784" s="135"/>
      <c r="AR784" s="153"/>
      <c r="AS784" s="135"/>
      <c r="AT784" s="135"/>
      <c r="AU784" s="135"/>
      <c r="AV784" s="135"/>
      <c r="AW784" s="143"/>
      <c r="AX784" s="143"/>
      <c r="AY784" s="143"/>
      <c r="AZ784" s="143"/>
      <c r="BA784" s="135"/>
      <c r="BB784" s="151"/>
      <c r="BC784" s="151"/>
      <c r="BD784" s="151"/>
      <c r="BE784" s="151"/>
      <c r="BF784" s="151"/>
      <c r="BG784" s="151"/>
      <c r="BH784" s="151"/>
      <c r="BI784" s="135"/>
      <c r="BJ784" s="135"/>
      <c r="BK784" s="135"/>
      <c r="BL784" s="135"/>
      <c r="BM784" s="144">
        <v>0</v>
      </c>
      <c r="BN784" s="153" t="s">
        <v>103</v>
      </c>
      <c r="BO784" s="135" t="s">
        <v>103</v>
      </c>
      <c r="BP784" s="135" t="s">
        <v>3584</v>
      </c>
      <c r="BQ784" s="203" t="s">
        <v>3585</v>
      </c>
    </row>
    <row r="785" spans="1:69" ht="41.1" customHeight="1">
      <c r="A785" s="198" t="s">
        <v>1705</v>
      </c>
      <c r="B785" s="198" t="s">
        <v>3485</v>
      </c>
      <c r="C785" s="143"/>
      <c r="D785" s="135"/>
      <c r="E785" s="135"/>
      <c r="F785" s="135"/>
      <c r="G785" s="135"/>
      <c r="H785" s="135"/>
      <c r="I785" s="135"/>
      <c r="J785" s="135"/>
      <c r="K785" s="135"/>
      <c r="L785" s="135"/>
      <c r="M785" s="135"/>
      <c r="N785" s="135"/>
      <c r="O785" s="135"/>
      <c r="P785" s="135"/>
      <c r="Q785" s="135"/>
      <c r="R785" s="135" t="s">
        <v>3581</v>
      </c>
      <c r="S785" s="135"/>
      <c r="T785" s="135"/>
      <c r="U785" s="144"/>
      <c r="V785" s="143"/>
      <c r="W785" s="143"/>
      <c r="X785" s="144"/>
      <c r="Y785" s="135"/>
      <c r="Z785" s="144"/>
      <c r="AA785" s="135"/>
      <c r="AB785" s="148"/>
      <c r="AC785" s="202"/>
      <c r="AD785" s="135"/>
      <c r="AE785" s="135"/>
      <c r="AF785" s="135"/>
      <c r="AG785" s="135"/>
      <c r="AH785" s="135"/>
      <c r="AI785" s="135"/>
      <c r="AJ785" s="135"/>
      <c r="AK785" s="135"/>
      <c r="AL785" s="208"/>
      <c r="AM785" s="148"/>
      <c r="AN785" s="135"/>
      <c r="AO785" s="193"/>
      <c r="AP785" s="135"/>
      <c r="AQ785" s="135"/>
      <c r="AR785" s="135"/>
      <c r="AS785" s="135"/>
      <c r="AT785" s="135"/>
      <c r="AU785" s="135"/>
      <c r="AV785" s="135"/>
      <c r="AW785" s="143"/>
      <c r="AX785" s="143"/>
      <c r="AY785" s="143"/>
      <c r="AZ785" s="143"/>
      <c r="BA785" s="135"/>
      <c r="BB785" s="151"/>
      <c r="BC785" s="151"/>
      <c r="BD785" s="151"/>
      <c r="BE785" s="151"/>
      <c r="BF785" s="151"/>
      <c r="BG785" s="151"/>
      <c r="BH785" s="151"/>
      <c r="BI785" s="135"/>
      <c r="BJ785" s="135"/>
      <c r="BK785" s="135"/>
      <c r="BL785" s="135"/>
      <c r="BM785" s="144">
        <v>0</v>
      </c>
      <c r="BN785" s="153" t="s">
        <v>103</v>
      </c>
      <c r="BO785" s="135" t="s">
        <v>103</v>
      </c>
      <c r="BP785" s="135" t="s">
        <v>3584</v>
      </c>
      <c r="BQ785" s="203" t="s">
        <v>3585</v>
      </c>
    </row>
    <row r="786" spans="1:69" ht="41.1" customHeight="1">
      <c r="A786" s="198" t="s">
        <v>1705</v>
      </c>
      <c r="B786" s="198" t="s">
        <v>3486</v>
      </c>
      <c r="C786" s="143"/>
      <c r="D786" s="135"/>
      <c r="E786" s="135"/>
      <c r="F786" s="135"/>
      <c r="G786" s="135"/>
      <c r="H786" s="135"/>
      <c r="I786" s="135"/>
      <c r="J786" s="135"/>
      <c r="K786" s="135"/>
      <c r="L786" s="135"/>
      <c r="M786" s="135"/>
      <c r="N786" s="135"/>
      <c r="O786" s="135"/>
      <c r="P786" s="135"/>
      <c r="Q786" s="135"/>
      <c r="R786" s="135" t="s">
        <v>3581</v>
      </c>
      <c r="S786" s="135"/>
      <c r="T786" s="135"/>
      <c r="U786" s="144"/>
      <c r="V786" s="143"/>
      <c r="W786" s="143"/>
      <c r="X786" s="144"/>
      <c r="Y786" s="135"/>
      <c r="Z786" s="144"/>
      <c r="AA786" s="135"/>
      <c r="AB786" s="148"/>
      <c r="AC786" s="202"/>
      <c r="AD786" s="135"/>
      <c r="AE786" s="135"/>
      <c r="AF786" s="135"/>
      <c r="AG786" s="135"/>
      <c r="AH786" s="135"/>
      <c r="AI786" s="135"/>
      <c r="AJ786" s="135"/>
      <c r="AK786" s="135"/>
      <c r="AL786" s="208"/>
      <c r="AM786" s="148"/>
      <c r="AN786" s="135"/>
      <c r="AO786" s="193"/>
      <c r="AP786" s="135"/>
      <c r="AQ786" s="135"/>
      <c r="AR786" s="135"/>
      <c r="AS786" s="135"/>
      <c r="AT786" s="135"/>
      <c r="AU786" s="135"/>
      <c r="AV786" s="135"/>
      <c r="AW786" s="143"/>
      <c r="AX786" s="143"/>
      <c r="AY786" s="143"/>
      <c r="AZ786" s="143"/>
      <c r="BA786" s="135"/>
      <c r="BB786" s="151"/>
      <c r="BC786" s="151"/>
      <c r="BD786" s="151"/>
      <c r="BE786" s="151"/>
      <c r="BF786" s="151"/>
      <c r="BG786" s="151"/>
      <c r="BH786" s="151"/>
      <c r="BI786" s="135"/>
      <c r="BJ786" s="135"/>
      <c r="BK786" s="135"/>
      <c r="BL786" s="135"/>
      <c r="BM786" s="144">
        <v>0</v>
      </c>
      <c r="BN786" s="153" t="s">
        <v>103</v>
      </c>
      <c r="BO786" s="135" t="s">
        <v>103</v>
      </c>
      <c r="BP786" s="135" t="s">
        <v>3584</v>
      </c>
      <c r="BQ786" s="203" t="s">
        <v>3585</v>
      </c>
    </row>
    <row r="787" spans="1:69" ht="41.1" customHeight="1">
      <c r="A787" s="198" t="s">
        <v>1705</v>
      </c>
      <c r="B787" s="198" t="s">
        <v>3487</v>
      </c>
      <c r="C787" s="143"/>
      <c r="D787" s="135"/>
      <c r="E787" s="135"/>
      <c r="F787" s="135"/>
      <c r="G787" s="135"/>
      <c r="H787" s="135"/>
      <c r="I787" s="135"/>
      <c r="J787" s="135"/>
      <c r="K787" s="135"/>
      <c r="L787" s="135"/>
      <c r="M787" s="135"/>
      <c r="N787" s="135"/>
      <c r="O787" s="135"/>
      <c r="P787" s="135"/>
      <c r="Q787" s="135"/>
      <c r="R787" s="135" t="s">
        <v>3581</v>
      </c>
      <c r="S787" s="135"/>
      <c r="T787" s="135"/>
      <c r="U787" s="144"/>
      <c r="V787" s="143"/>
      <c r="W787" s="143"/>
      <c r="X787" s="144"/>
      <c r="Y787" s="135"/>
      <c r="Z787" s="144"/>
      <c r="AA787" s="135"/>
      <c r="AB787" s="148"/>
      <c r="AC787" s="202"/>
      <c r="AD787" s="135"/>
      <c r="AE787" s="135"/>
      <c r="AF787" s="135"/>
      <c r="AG787" s="135"/>
      <c r="AH787" s="135"/>
      <c r="AI787" s="135"/>
      <c r="AJ787" s="135"/>
      <c r="AK787" s="135"/>
      <c r="AL787" s="208"/>
      <c r="AM787" s="148"/>
      <c r="AN787" s="135"/>
      <c r="AO787" s="193"/>
      <c r="AP787" s="135"/>
      <c r="AQ787" s="135"/>
      <c r="AR787" s="135"/>
      <c r="AS787" s="135"/>
      <c r="AT787" s="135"/>
      <c r="AU787" s="135"/>
      <c r="AV787" s="135"/>
      <c r="AW787" s="143"/>
      <c r="AX787" s="143"/>
      <c r="AY787" s="143"/>
      <c r="AZ787" s="143"/>
      <c r="BA787" s="135"/>
      <c r="BB787" s="151"/>
      <c r="BC787" s="151"/>
      <c r="BD787" s="151"/>
      <c r="BE787" s="151"/>
      <c r="BF787" s="151"/>
      <c r="BG787" s="151"/>
      <c r="BH787" s="151"/>
      <c r="BI787" s="135"/>
      <c r="BJ787" s="135"/>
      <c r="BK787" s="135"/>
      <c r="BL787" s="135"/>
      <c r="BM787" s="144">
        <v>0</v>
      </c>
      <c r="BN787" s="153" t="s">
        <v>103</v>
      </c>
      <c r="BO787" s="135" t="s">
        <v>103</v>
      </c>
      <c r="BP787" s="135" t="s">
        <v>3584</v>
      </c>
      <c r="BQ787" s="203" t="s">
        <v>3585</v>
      </c>
    </row>
    <row r="788" spans="1:69" ht="41.1" customHeight="1">
      <c r="A788" s="198" t="s">
        <v>1705</v>
      </c>
      <c r="B788" s="198" t="s">
        <v>3488</v>
      </c>
      <c r="C788" s="143"/>
      <c r="D788" s="135"/>
      <c r="E788" s="135"/>
      <c r="F788" s="135"/>
      <c r="G788" s="135"/>
      <c r="H788" s="135"/>
      <c r="I788" s="135"/>
      <c r="J788" s="135"/>
      <c r="K788" s="135"/>
      <c r="L788" s="135"/>
      <c r="M788" s="135"/>
      <c r="N788" s="135"/>
      <c r="O788" s="135"/>
      <c r="P788" s="135"/>
      <c r="Q788" s="135"/>
      <c r="R788" s="135" t="s">
        <v>3581</v>
      </c>
      <c r="S788" s="135"/>
      <c r="T788" s="135"/>
      <c r="U788" s="144"/>
      <c r="V788" s="143"/>
      <c r="W788" s="143"/>
      <c r="X788" s="144"/>
      <c r="Y788" s="135"/>
      <c r="Z788" s="144"/>
      <c r="AA788" s="135"/>
      <c r="AB788" s="148"/>
      <c r="AC788" s="202"/>
      <c r="AD788" s="135"/>
      <c r="AE788" s="144"/>
      <c r="AF788" s="135"/>
      <c r="AG788" s="144"/>
      <c r="AH788" s="135"/>
      <c r="AI788" s="135"/>
      <c r="AJ788" s="135"/>
      <c r="AK788" s="135"/>
      <c r="AL788" s="208"/>
      <c r="AM788" s="148"/>
      <c r="AN788" s="135"/>
      <c r="AO788" s="135"/>
      <c r="AP788" s="135"/>
      <c r="AQ788" s="135"/>
      <c r="AR788" s="153"/>
      <c r="AS788" s="135"/>
      <c r="AT788" s="135"/>
      <c r="AU788" s="135"/>
      <c r="AV788" s="135"/>
      <c r="AW788" s="143"/>
      <c r="AX788" s="143"/>
      <c r="AY788" s="143"/>
      <c r="AZ788" s="143"/>
      <c r="BA788" s="135"/>
      <c r="BB788" s="151"/>
      <c r="BC788" s="151"/>
      <c r="BD788" s="151"/>
      <c r="BE788" s="151"/>
      <c r="BF788" s="151"/>
      <c r="BG788" s="151"/>
      <c r="BH788" s="151"/>
      <c r="BI788" s="135"/>
      <c r="BJ788" s="135"/>
      <c r="BK788" s="135"/>
      <c r="BL788" s="135"/>
      <c r="BM788" s="144">
        <v>0</v>
      </c>
      <c r="BN788" s="153" t="s">
        <v>103</v>
      </c>
      <c r="BO788" s="135" t="s">
        <v>103</v>
      </c>
      <c r="BP788" s="135" t="s">
        <v>3584</v>
      </c>
      <c r="BQ788" s="203" t="s">
        <v>3585</v>
      </c>
    </row>
    <row r="789" spans="1:69" ht="41.1" customHeight="1">
      <c r="A789" s="198" t="s">
        <v>1705</v>
      </c>
      <c r="B789" s="198" t="s">
        <v>3489</v>
      </c>
      <c r="C789" s="143"/>
      <c r="D789" s="135"/>
      <c r="E789" s="135"/>
      <c r="F789" s="135"/>
      <c r="G789" s="135"/>
      <c r="H789" s="135"/>
      <c r="I789" s="135"/>
      <c r="J789" s="135"/>
      <c r="K789" s="135"/>
      <c r="L789" s="135"/>
      <c r="M789" s="135"/>
      <c r="N789" s="135"/>
      <c r="O789" s="135"/>
      <c r="P789" s="135"/>
      <c r="Q789" s="135"/>
      <c r="R789" s="135" t="s">
        <v>3581</v>
      </c>
      <c r="S789" s="135"/>
      <c r="T789" s="135"/>
      <c r="U789" s="144"/>
      <c r="V789" s="143"/>
      <c r="W789" s="143"/>
      <c r="X789" s="144"/>
      <c r="Y789" s="135"/>
      <c r="Z789" s="144"/>
      <c r="AA789" s="135"/>
      <c r="AB789" s="148"/>
      <c r="AC789" s="202"/>
      <c r="AD789" s="135"/>
      <c r="AE789" s="135"/>
      <c r="AF789" s="135"/>
      <c r="AG789" s="135"/>
      <c r="AH789" s="135"/>
      <c r="AI789" s="135"/>
      <c r="AJ789" s="135"/>
      <c r="AK789" s="135"/>
      <c r="AL789" s="208"/>
      <c r="AM789" s="148"/>
      <c r="AN789" s="135"/>
      <c r="AO789" s="193"/>
      <c r="AP789" s="135"/>
      <c r="AQ789" s="135"/>
      <c r="AR789" s="135"/>
      <c r="AS789" s="135"/>
      <c r="AT789" s="135"/>
      <c r="AU789" s="135"/>
      <c r="AV789" s="135"/>
      <c r="AW789" s="143"/>
      <c r="AX789" s="143"/>
      <c r="AY789" s="143"/>
      <c r="AZ789" s="143"/>
      <c r="BA789" s="135"/>
      <c r="BB789" s="151"/>
      <c r="BC789" s="151"/>
      <c r="BD789" s="151"/>
      <c r="BE789" s="151"/>
      <c r="BF789" s="151"/>
      <c r="BG789" s="151"/>
      <c r="BH789" s="151"/>
      <c r="BI789" s="135"/>
      <c r="BJ789" s="135"/>
      <c r="BK789" s="135"/>
      <c r="BL789" s="135"/>
      <c r="BM789" s="144">
        <v>0</v>
      </c>
      <c r="BN789" s="153" t="s">
        <v>103</v>
      </c>
      <c r="BO789" s="135" t="s">
        <v>103</v>
      </c>
      <c r="BP789" s="135" t="s">
        <v>3584</v>
      </c>
      <c r="BQ789" s="203" t="s">
        <v>3585</v>
      </c>
    </row>
    <row r="790" spans="1:69" ht="41.1" customHeight="1">
      <c r="A790" s="198" t="s">
        <v>1705</v>
      </c>
      <c r="B790" s="198" t="s">
        <v>3490</v>
      </c>
      <c r="C790" s="143"/>
      <c r="D790" s="135"/>
      <c r="E790" s="135"/>
      <c r="F790" s="135"/>
      <c r="G790" s="135"/>
      <c r="H790" s="135"/>
      <c r="I790" s="135"/>
      <c r="J790" s="135"/>
      <c r="K790" s="135"/>
      <c r="L790" s="135"/>
      <c r="M790" s="135"/>
      <c r="N790" s="135"/>
      <c r="O790" s="135"/>
      <c r="P790" s="135"/>
      <c r="Q790" s="135"/>
      <c r="R790" s="135" t="s">
        <v>3581</v>
      </c>
      <c r="S790" s="135"/>
      <c r="T790" s="135"/>
      <c r="U790" s="144"/>
      <c r="V790" s="143"/>
      <c r="W790" s="143"/>
      <c r="X790" s="144"/>
      <c r="Y790" s="135"/>
      <c r="Z790" s="144"/>
      <c r="AA790" s="135"/>
      <c r="AB790" s="148"/>
      <c r="AC790" s="202"/>
      <c r="AD790" s="135"/>
      <c r="AE790" s="135"/>
      <c r="AF790" s="135"/>
      <c r="AG790" s="135"/>
      <c r="AH790" s="135"/>
      <c r="AI790" s="135"/>
      <c r="AJ790" s="135"/>
      <c r="AK790" s="135"/>
      <c r="AL790" s="169"/>
      <c r="AM790" s="148"/>
      <c r="AN790" s="135"/>
      <c r="AO790" s="135"/>
      <c r="AP790" s="135"/>
      <c r="AQ790" s="135"/>
      <c r="AR790" s="153"/>
      <c r="AS790" s="135"/>
      <c r="AT790" s="135"/>
      <c r="AU790" s="135"/>
      <c r="AV790" s="135"/>
      <c r="AW790" s="143"/>
      <c r="AX790" s="143"/>
      <c r="AY790" s="143"/>
      <c r="AZ790" s="143"/>
      <c r="BA790" s="135"/>
      <c r="BB790" s="151"/>
      <c r="BC790" s="151"/>
      <c r="BD790" s="151"/>
      <c r="BE790" s="151"/>
      <c r="BF790" s="151"/>
      <c r="BG790" s="151"/>
      <c r="BH790" s="151"/>
      <c r="BI790" s="135"/>
      <c r="BJ790" s="135"/>
      <c r="BK790" s="135"/>
      <c r="BL790" s="135"/>
      <c r="BM790" s="144">
        <v>0</v>
      </c>
      <c r="BN790" s="153" t="s">
        <v>103</v>
      </c>
      <c r="BO790" s="135" t="s">
        <v>103</v>
      </c>
      <c r="BP790" s="135" t="s">
        <v>3584</v>
      </c>
      <c r="BQ790" s="203" t="s">
        <v>3585</v>
      </c>
    </row>
    <row r="791" spans="1:69" ht="41.1" customHeight="1">
      <c r="A791" s="198" t="s">
        <v>1705</v>
      </c>
      <c r="B791" s="198" t="s">
        <v>3491</v>
      </c>
      <c r="C791" s="143"/>
      <c r="D791" s="135"/>
      <c r="E791" s="135"/>
      <c r="F791" s="135"/>
      <c r="G791" s="135"/>
      <c r="H791" s="135"/>
      <c r="I791" s="135"/>
      <c r="J791" s="135"/>
      <c r="K791" s="135"/>
      <c r="L791" s="135"/>
      <c r="M791" s="135"/>
      <c r="N791" s="135"/>
      <c r="O791" s="135"/>
      <c r="P791" s="135"/>
      <c r="Q791" s="135"/>
      <c r="R791" s="135" t="s">
        <v>3581</v>
      </c>
      <c r="S791" s="135"/>
      <c r="T791" s="135"/>
      <c r="U791" s="144"/>
      <c r="V791" s="143"/>
      <c r="W791" s="143"/>
      <c r="X791" s="144"/>
      <c r="Y791" s="135"/>
      <c r="Z791" s="144"/>
      <c r="AA791" s="135"/>
      <c r="AB791" s="148"/>
      <c r="AC791" s="202"/>
      <c r="AD791" s="135"/>
      <c r="AE791" s="135"/>
      <c r="AF791" s="135"/>
      <c r="AG791" s="135"/>
      <c r="AH791" s="135"/>
      <c r="AI791" s="135"/>
      <c r="AJ791" s="135"/>
      <c r="AK791" s="135"/>
      <c r="AL791" s="208"/>
      <c r="AM791" s="148"/>
      <c r="AN791" s="135"/>
      <c r="AO791" s="193"/>
      <c r="AP791" s="135"/>
      <c r="AQ791" s="135"/>
      <c r="AR791" s="135"/>
      <c r="AS791" s="135"/>
      <c r="AT791" s="135"/>
      <c r="AU791" s="135"/>
      <c r="AV791" s="135"/>
      <c r="AW791" s="143"/>
      <c r="AX791" s="143"/>
      <c r="AY791" s="143"/>
      <c r="AZ791" s="143"/>
      <c r="BA791" s="135"/>
      <c r="BB791" s="151"/>
      <c r="BC791" s="151"/>
      <c r="BD791" s="151"/>
      <c r="BE791" s="151"/>
      <c r="BF791" s="151"/>
      <c r="BG791" s="151"/>
      <c r="BH791" s="151"/>
      <c r="BI791" s="135"/>
      <c r="BJ791" s="135"/>
      <c r="BK791" s="135"/>
      <c r="BL791" s="135"/>
      <c r="BM791" s="144">
        <v>0</v>
      </c>
      <c r="BN791" s="153" t="s">
        <v>103</v>
      </c>
      <c r="BO791" s="135" t="s">
        <v>103</v>
      </c>
      <c r="BP791" s="135" t="s">
        <v>3584</v>
      </c>
      <c r="BQ791" s="203" t="s">
        <v>3585</v>
      </c>
    </row>
    <row r="792" spans="1:69" ht="41.1" customHeight="1">
      <c r="A792" s="198" t="s">
        <v>1705</v>
      </c>
      <c r="B792" s="198" t="s">
        <v>3492</v>
      </c>
      <c r="C792" s="143"/>
      <c r="D792" s="135"/>
      <c r="E792" s="135"/>
      <c r="F792" s="135"/>
      <c r="G792" s="135"/>
      <c r="H792" s="135"/>
      <c r="I792" s="135"/>
      <c r="J792" s="135"/>
      <c r="K792" s="135"/>
      <c r="L792" s="135"/>
      <c r="M792" s="135"/>
      <c r="N792" s="135"/>
      <c r="O792" s="135"/>
      <c r="P792" s="135"/>
      <c r="Q792" s="135"/>
      <c r="R792" s="135" t="s">
        <v>3581</v>
      </c>
      <c r="S792" s="135"/>
      <c r="T792" s="135"/>
      <c r="U792" s="144"/>
      <c r="V792" s="143"/>
      <c r="W792" s="143"/>
      <c r="X792" s="144"/>
      <c r="Y792" s="135"/>
      <c r="Z792" s="144"/>
      <c r="AA792" s="135"/>
      <c r="AB792" s="148"/>
      <c r="AC792" s="202"/>
      <c r="AD792" s="135"/>
      <c r="AE792" s="135"/>
      <c r="AF792" s="135"/>
      <c r="AG792" s="135"/>
      <c r="AH792" s="135"/>
      <c r="AI792" s="135"/>
      <c r="AJ792" s="135"/>
      <c r="AK792" s="135"/>
      <c r="AL792" s="208"/>
      <c r="AM792" s="148"/>
      <c r="AN792" s="135"/>
      <c r="AO792" s="193"/>
      <c r="AP792" s="135"/>
      <c r="AQ792" s="135"/>
      <c r="AR792" s="135"/>
      <c r="AS792" s="135"/>
      <c r="AT792" s="135"/>
      <c r="AU792" s="135"/>
      <c r="AV792" s="135"/>
      <c r="AW792" s="143"/>
      <c r="AX792" s="143"/>
      <c r="AY792" s="143"/>
      <c r="AZ792" s="143"/>
      <c r="BA792" s="135"/>
      <c r="BB792" s="151"/>
      <c r="BC792" s="151"/>
      <c r="BD792" s="151"/>
      <c r="BE792" s="151"/>
      <c r="BF792" s="151"/>
      <c r="BG792" s="151"/>
      <c r="BH792" s="151"/>
      <c r="BI792" s="135"/>
      <c r="BJ792" s="135"/>
      <c r="BK792" s="135"/>
      <c r="BL792" s="135"/>
      <c r="BM792" s="144">
        <v>0</v>
      </c>
      <c r="BN792" s="153" t="s">
        <v>103</v>
      </c>
      <c r="BO792" s="135" t="s">
        <v>103</v>
      </c>
      <c r="BP792" s="135" t="s">
        <v>3584</v>
      </c>
      <c r="BQ792" s="203" t="s">
        <v>3585</v>
      </c>
    </row>
    <row r="793" spans="1:69" ht="41.1" customHeight="1">
      <c r="A793" s="198" t="s">
        <v>1705</v>
      </c>
      <c r="B793" s="198" t="s">
        <v>3493</v>
      </c>
      <c r="C793" s="143"/>
      <c r="D793" s="135"/>
      <c r="E793" s="135"/>
      <c r="F793" s="135"/>
      <c r="G793" s="135"/>
      <c r="H793" s="135"/>
      <c r="I793" s="135"/>
      <c r="J793" s="135"/>
      <c r="K793" s="135"/>
      <c r="L793" s="135"/>
      <c r="M793" s="135"/>
      <c r="N793" s="135"/>
      <c r="O793" s="135"/>
      <c r="P793" s="135"/>
      <c r="Q793" s="135"/>
      <c r="R793" s="135" t="s">
        <v>3581</v>
      </c>
      <c r="S793" s="135"/>
      <c r="T793" s="135"/>
      <c r="U793" s="144"/>
      <c r="V793" s="143"/>
      <c r="W793" s="143"/>
      <c r="X793" s="144"/>
      <c r="Y793" s="135"/>
      <c r="Z793" s="144"/>
      <c r="AA793" s="135"/>
      <c r="AB793" s="148"/>
      <c r="AC793" s="202"/>
      <c r="AD793" s="135"/>
      <c r="AE793" s="135"/>
      <c r="AF793" s="135"/>
      <c r="AG793" s="135"/>
      <c r="AH793" s="135"/>
      <c r="AI793" s="135"/>
      <c r="AJ793" s="135"/>
      <c r="AK793" s="135"/>
      <c r="AL793" s="208"/>
      <c r="AM793" s="148"/>
      <c r="AN793" s="135"/>
      <c r="AO793" s="193"/>
      <c r="AP793" s="135"/>
      <c r="AQ793" s="135"/>
      <c r="AR793" s="135"/>
      <c r="AS793" s="135"/>
      <c r="AT793" s="135"/>
      <c r="AU793" s="135"/>
      <c r="AV793" s="135"/>
      <c r="AW793" s="143"/>
      <c r="AX793" s="143"/>
      <c r="AY793" s="143"/>
      <c r="AZ793" s="143"/>
      <c r="BA793" s="135"/>
      <c r="BB793" s="151"/>
      <c r="BC793" s="151"/>
      <c r="BD793" s="151"/>
      <c r="BE793" s="151"/>
      <c r="BF793" s="151"/>
      <c r="BG793" s="151"/>
      <c r="BH793" s="151"/>
      <c r="BI793" s="135"/>
      <c r="BJ793" s="135"/>
      <c r="BK793" s="135"/>
      <c r="BL793" s="135"/>
      <c r="BM793" s="144">
        <v>0</v>
      </c>
      <c r="BN793" s="153" t="s">
        <v>103</v>
      </c>
      <c r="BO793" s="135" t="s">
        <v>103</v>
      </c>
      <c r="BP793" s="135" t="s">
        <v>3584</v>
      </c>
      <c r="BQ793" s="203" t="s">
        <v>3585</v>
      </c>
    </row>
    <row r="794" spans="1:69" ht="41.1" customHeight="1">
      <c r="A794" s="198" t="s">
        <v>1705</v>
      </c>
      <c r="B794" s="198" t="s">
        <v>3494</v>
      </c>
      <c r="C794" s="143"/>
      <c r="D794" s="135"/>
      <c r="E794" s="135"/>
      <c r="F794" s="135"/>
      <c r="G794" s="135"/>
      <c r="H794" s="135"/>
      <c r="I794" s="135"/>
      <c r="J794" s="135"/>
      <c r="K794" s="135"/>
      <c r="L794" s="135"/>
      <c r="M794" s="135"/>
      <c r="N794" s="135"/>
      <c r="O794" s="135"/>
      <c r="P794" s="135"/>
      <c r="Q794" s="135"/>
      <c r="R794" s="135" t="s">
        <v>3581</v>
      </c>
      <c r="S794" s="135"/>
      <c r="T794" s="135"/>
      <c r="U794" s="144"/>
      <c r="V794" s="143"/>
      <c r="W794" s="143"/>
      <c r="X794" s="144"/>
      <c r="Y794" s="135"/>
      <c r="Z794" s="144"/>
      <c r="AA794" s="135"/>
      <c r="AB794" s="148"/>
      <c r="AC794" s="202"/>
      <c r="AD794" s="135"/>
      <c r="AE794" s="135"/>
      <c r="AF794" s="135"/>
      <c r="AG794" s="135"/>
      <c r="AH794" s="135"/>
      <c r="AI794" s="135"/>
      <c r="AJ794" s="135"/>
      <c r="AK794" s="135"/>
      <c r="AL794" s="208"/>
      <c r="AM794" s="148"/>
      <c r="AN794" s="135"/>
      <c r="AO794" s="193"/>
      <c r="AP794" s="135"/>
      <c r="AQ794" s="135"/>
      <c r="AR794" s="135"/>
      <c r="AS794" s="135"/>
      <c r="AT794" s="135"/>
      <c r="AU794" s="135"/>
      <c r="AV794" s="135"/>
      <c r="AW794" s="143"/>
      <c r="AX794" s="143"/>
      <c r="AY794" s="143"/>
      <c r="AZ794" s="143"/>
      <c r="BA794" s="135"/>
      <c r="BB794" s="151"/>
      <c r="BC794" s="151"/>
      <c r="BD794" s="151"/>
      <c r="BE794" s="151"/>
      <c r="BF794" s="151"/>
      <c r="BG794" s="151"/>
      <c r="BH794" s="151"/>
      <c r="BI794" s="135"/>
      <c r="BJ794" s="135"/>
      <c r="BK794" s="135"/>
      <c r="BL794" s="135"/>
      <c r="BM794" s="144">
        <v>0</v>
      </c>
      <c r="BN794" s="153" t="s">
        <v>103</v>
      </c>
      <c r="BO794" s="135" t="s">
        <v>103</v>
      </c>
      <c r="BP794" s="135" t="s">
        <v>3584</v>
      </c>
      <c r="BQ794" s="203" t="s">
        <v>3585</v>
      </c>
    </row>
    <row r="795" spans="1:69" ht="41.1" customHeight="1">
      <c r="A795" s="198" t="s">
        <v>1705</v>
      </c>
      <c r="B795" s="198" t="s">
        <v>3495</v>
      </c>
      <c r="C795" s="143"/>
      <c r="D795" s="135"/>
      <c r="E795" s="135"/>
      <c r="F795" s="135"/>
      <c r="G795" s="135"/>
      <c r="H795" s="135"/>
      <c r="I795" s="135"/>
      <c r="J795" s="135"/>
      <c r="K795" s="135"/>
      <c r="L795" s="135"/>
      <c r="M795" s="135"/>
      <c r="N795" s="135"/>
      <c r="O795" s="135"/>
      <c r="P795" s="135"/>
      <c r="Q795" s="135"/>
      <c r="R795" s="135" t="s">
        <v>3581</v>
      </c>
      <c r="S795" s="135"/>
      <c r="T795" s="135"/>
      <c r="U795" s="144"/>
      <c r="V795" s="143"/>
      <c r="W795" s="143"/>
      <c r="X795" s="144"/>
      <c r="Y795" s="135"/>
      <c r="Z795" s="144"/>
      <c r="AA795" s="135"/>
      <c r="AB795" s="148"/>
      <c r="AC795" s="202"/>
      <c r="AD795" s="135"/>
      <c r="AE795" s="135"/>
      <c r="AF795" s="135"/>
      <c r="AG795" s="135"/>
      <c r="AH795" s="135"/>
      <c r="AI795" s="135"/>
      <c r="AJ795" s="135"/>
      <c r="AK795" s="135"/>
      <c r="AL795" s="208"/>
      <c r="AM795" s="148"/>
      <c r="AN795" s="135"/>
      <c r="AO795" s="193"/>
      <c r="AP795" s="135"/>
      <c r="AQ795" s="135"/>
      <c r="AR795" s="135"/>
      <c r="AS795" s="135"/>
      <c r="AT795" s="135"/>
      <c r="AU795" s="135"/>
      <c r="AV795" s="135"/>
      <c r="AW795" s="143"/>
      <c r="AX795" s="143"/>
      <c r="AY795" s="143"/>
      <c r="AZ795" s="143"/>
      <c r="BA795" s="135"/>
      <c r="BB795" s="151"/>
      <c r="BC795" s="151"/>
      <c r="BD795" s="151"/>
      <c r="BE795" s="151"/>
      <c r="BF795" s="151"/>
      <c r="BG795" s="151"/>
      <c r="BH795" s="151"/>
      <c r="BI795" s="135"/>
      <c r="BJ795" s="135"/>
      <c r="BK795" s="135"/>
      <c r="BL795" s="135"/>
      <c r="BM795" s="144">
        <v>0</v>
      </c>
      <c r="BN795" s="153" t="s">
        <v>103</v>
      </c>
      <c r="BO795" s="135" t="s">
        <v>103</v>
      </c>
      <c r="BP795" s="135" t="s">
        <v>3584</v>
      </c>
      <c r="BQ795" s="203" t="s">
        <v>3585</v>
      </c>
    </row>
    <row r="796" spans="1:69" ht="41.1" customHeight="1">
      <c r="A796" s="220"/>
      <c r="B796" s="220"/>
      <c r="C796" s="220"/>
      <c r="D796" s="220"/>
      <c r="E796" s="220"/>
      <c r="F796" s="220"/>
      <c r="G796" s="220"/>
      <c r="H796" s="220"/>
      <c r="I796" s="220"/>
      <c r="J796" s="220"/>
      <c r="K796" s="220"/>
      <c r="L796" s="220"/>
      <c r="M796" s="220"/>
      <c r="N796" s="220"/>
      <c r="O796" s="220"/>
      <c r="P796" s="220"/>
      <c r="Q796" s="220"/>
      <c r="R796" s="220"/>
      <c r="S796" s="220"/>
      <c r="T796" s="220"/>
      <c r="U796" s="220"/>
      <c r="V796" s="220"/>
      <c r="W796" s="220"/>
      <c r="X796" s="220"/>
      <c r="Y796" s="220"/>
      <c r="Z796" s="220"/>
      <c r="AA796" s="220"/>
      <c r="AB796" s="220"/>
      <c r="AC796" s="220"/>
      <c r="AD796" s="220"/>
      <c r="AE796" s="220"/>
      <c r="AF796" s="220"/>
      <c r="AG796" s="220"/>
      <c r="AH796" s="220"/>
      <c r="AI796" s="220"/>
      <c r="AJ796" s="220"/>
      <c r="AK796" s="220"/>
      <c r="AL796" s="220"/>
      <c r="AM796" s="220"/>
      <c r="AN796" s="220"/>
      <c r="AO796" s="220"/>
      <c r="AP796" s="220"/>
      <c r="AQ796" s="220"/>
      <c r="AR796" s="220"/>
      <c r="AS796" s="220"/>
      <c r="AT796" s="220"/>
      <c r="AU796" s="220"/>
      <c r="AV796" s="220"/>
      <c r="AW796" s="220"/>
      <c r="AX796" s="220"/>
      <c r="AY796" s="220"/>
      <c r="AZ796" s="220"/>
      <c r="BA796" s="220"/>
      <c r="BB796" s="220"/>
      <c r="BC796" s="220"/>
      <c r="BD796" s="220"/>
      <c r="BE796" s="220"/>
      <c r="BF796" s="220"/>
      <c r="BG796" s="220"/>
      <c r="BH796" s="220"/>
      <c r="BI796" s="220"/>
      <c r="BJ796" s="220"/>
      <c r="BK796" s="220"/>
      <c r="BL796" s="220"/>
      <c r="BM796" s="220"/>
      <c r="BN796" s="220"/>
      <c r="BO796" s="220"/>
      <c r="BP796" s="220"/>
      <c r="BQ796" s="220"/>
    </row>
  </sheetData>
  <autoFilter ref="A3:BQ795"/>
  <sortState ref="A3:AML755">
    <sortCondition ref="B1:B755"/>
  </sortState>
  <conditionalFormatting sqref="T412">
    <cfRule type="expression" dxfId="11" priority="24">
      <formula>IF(S412=1,T412&lt;19565,IF(S412=2,T412&lt;28614,IF(S412=3,T412&lt;34411,IF(S412=4,T412&lt;40201,IF(S412=5,T412&lt;46015,IF(S412=6,T412&lt;51812,IF(S412=7,T412&lt;57609)))))))</formula>
    </cfRule>
  </conditionalFormatting>
  <dataValidations count="1">
    <dataValidation allowBlank="1" errorTitle="Entrée non valide" error="Sélectionnez une ville dans la liste" sqref="AA4:AA5">
      <formula1>0</formula1>
      <formula2>0</formula2>
    </dataValidation>
  </dataValidations>
  <hyperlinks>
    <hyperlink ref="AO5" r:id="rId1"/>
    <hyperlink ref="AL768" r:id="rId2"/>
    <hyperlink ref="AL8" r:id="rId3"/>
    <hyperlink ref="AL771" r:id="rId4"/>
    <hyperlink ref="AL11" r:id="rId5"/>
    <hyperlink ref="AL775" r:id="rId6"/>
    <hyperlink ref="AL761" r:id="rId7"/>
    <hyperlink ref="AL760" r:id="rId8"/>
    <hyperlink ref="AL744" r:id="rId9"/>
    <hyperlink ref="AL759" r:id="rId10"/>
    <hyperlink ref="AL758" r:id="rId11"/>
    <hyperlink ref="AL757" r:id="rId12"/>
    <hyperlink ref="AL756" r:id="rId13"/>
    <hyperlink ref="AL755" r:id="rId14"/>
    <hyperlink ref="AL754" r:id="rId15"/>
    <hyperlink ref="AL753" r:id="rId16"/>
    <hyperlink ref="AL752" r:id="rId17"/>
    <hyperlink ref="AL750" r:id="rId18"/>
    <hyperlink ref="AL748" r:id="rId19"/>
    <hyperlink ref="AL747" r:id="rId20"/>
    <hyperlink ref="AL746" r:id="rId21"/>
    <hyperlink ref="AL745" r:id="rId22"/>
    <hyperlink ref="AL743" r:id="rId23"/>
    <hyperlink ref="AL742" r:id="rId24"/>
    <hyperlink ref="AL741" r:id="rId25"/>
    <hyperlink ref="AL740" r:id="rId26"/>
    <hyperlink ref="AL733" r:id="rId27"/>
    <hyperlink ref="AL739" r:id="rId28"/>
    <hyperlink ref="AL738" r:id="rId29"/>
    <hyperlink ref="AL737" r:id="rId30"/>
    <hyperlink ref="AL736" r:id="rId31"/>
    <hyperlink ref="AL734" r:id="rId32"/>
    <hyperlink ref="AL732" r:id="rId33"/>
    <hyperlink ref="AL731" r:id="rId34"/>
    <hyperlink ref="AL730" r:id="rId35"/>
    <hyperlink ref="AL729" r:id="rId36"/>
    <hyperlink ref="AL728" r:id="rId37"/>
    <hyperlink ref="AL726" r:id="rId38"/>
    <hyperlink ref="AL725" r:id="rId39"/>
    <hyperlink ref="AL724" r:id="rId40"/>
    <hyperlink ref="AL723" r:id="rId41"/>
    <hyperlink ref="AL722" r:id="rId42"/>
    <hyperlink ref="AL721" r:id="rId43"/>
    <hyperlink ref="AL720" r:id="rId44"/>
    <hyperlink ref="AO719" r:id="rId45"/>
    <hyperlink ref="AL718" r:id="rId46"/>
    <hyperlink ref="AL717" r:id="rId47"/>
    <hyperlink ref="AL716" r:id="rId48"/>
    <hyperlink ref="AL715" r:id="rId49"/>
    <hyperlink ref="AL714" r:id="rId50"/>
    <hyperlink ref="AL713" r:id="rId51"/>
    <hyperlink ref="AL712" r:id="rId52"/>
    <hyperlink ref="AO711" r:id="rId53"/>
    <hyperlink ref="AL711" r:id="rId54"/>
    <hyperlink ref="AL710" r:id="rId55"/>
    <hyperlink ref="AL709" r:id="rId56"/>
    <hyperlink ref="AL708" r:id="rId57"/>
    <hyperlink ref="AL707" r:id="rId58"/>
    <hyperlink ref="AL706" r:id="rId59"/>
    <hyperlink ref="AL705" r:id="rId60"/>
    <hyperlink ref="AL704" r:id="rId61"/>
    <hyperlink ref="AL703" r:id="rId62"/>
    <hyperlink ref="AO702" r:id="rId63"/>
    <hyperlink ref="AL702" r:id="rId64"/>
    <hyperlink ref="AL701" r:id="rId65"/>
    <hyperlink ref="AL699" r:id="rId66"/>
    <hyperlink ref="AL698" r:id="rId67"/>
    <hyperlink ref="AL697" r:id="rId68"/>
    <hyperlink ref="AL695" r:id="rId69"/>
    <hyperlink ref="AL694" r:id="rId70"/>
    <hyperlink ref="AL693" r:id="rId71"/>
    <hyperlink ref="AL692" r:id="rId72"/>
    <hyperlink ref="AL690" r:id="rId73"/>
    <hyperlink ref="AO689" r:id="rId74"/>
    <hyperlink ref="AL688" r:id="rId75"/>
    <hyperlink ref="AL686" r:id="rId76"/>
    <hyperlink ref="AL685" r:id="rId77"/>
    <hyperlink ref="AL684" r:id="rId78"/>
    <hyperlink ref="AL683" r:id="rId79"/>
    <hyperlink ref="AL682" r:id="rId80"/>
    <hyperlink ref="AL680" r:id="rId81"/>
    <hyperlink ref="AL679" r:id="rId82"/>
    <hyperlink ref="AL678" r:id="rId83"/>
    <hyperlink ref="AL676" r:id="rId84"/>
    <hyperlink ref="AL674" r:id="rId85"/>
    <hyperlink ref="AL673" r:id="rId86"/>
    <hyperlink ref="AL672" r:id="rId87"/>
    <hyperlink ref="AL671" r:id="rId88"/>
    <hyperlink ref="AL670" r:id="rId89"/>
    <hyperlink ref="AL669" r:id="rId90"/>
    <hyperlink ref="AL668" r:id="rId91"/>
    <hyperlink ref="AL667" r:id="rId92"/>
    <hyperlink ref="AL666" r:id="rId93"/>
    <hyperlink ref="AL664" r:id="rId94"/>
    <hyperlink ref="AL663" r:id="rId95"/>
    <hyperlink ref="AL662" r:id="rId96"/>
    <hyperlink ref="AL661" r:id="rId97"/>
    <hyperlink ref="AL660" r:id="rId98"/>
    <hyperlink ref="AL659" r:id="rId99"/>
    <hyperlink ref="AL657" r:id="rId100"/>
    <hyperlink ref="AO656" r:id="rId101"/>
    <hyperlink ref="AL656" r:id="rId102"/>
    <hyperlink ref="AL655" r:id="rId103"/>
    <hyperlink ref="AL654" r:id="rId104"/>
    <hyperlink ref="AL653" r:id="rId105"/>
    <hyperlink ref="AL652" r:id="rId106"/>
    <hyperlink ref="AL651" r:id="rId107"/>
    <hyperlink ref="AL650" r:id="rId108"/>
    <hyperlink ref="AL648" r:id="rId109"/>
    <hyperlink ref="AL647" r:id="rId110"/>
    <hyperlink ref="AL646" r:id="rId111"/>
    <hyperlink ref="AL645" r:id="rId112"/>
    <hyperlink ref="AL644" r:id="rId113"/>
    <hyperlink ref="AL643" r:id="rId114"/>
    <hyperlink ref="AL642" r:id="rId115"/>
    <hyperlink ref="AL641" r:id="rId116"/>
    <hyperlink ref="AL639" r:id="rId117"/>
    <hyperlink ref="AL634" r:id="rId118"/>
    <hyperlink ref="AL630" r:id="rId119"/>
    <hyperlink ref="AL629" r:id="rId120"/>
    <hyperlink ref="AL628" r:id="rId121"/>
    <hyperlink ref="AL627" r:id="rId122"/>
    <hyperlink ref="AL626" r:id="rId123"/>
    <hyperlink ref="AL625" r:id="rId124"/>
    <hyperlink ref="AL623" r:id="rId125"/>
    <hyperlink ref="AL622" r:id="rId126"/>
    <hyperlink ref="AL618" r:id="rId127"/>
    <hyperlink ref="AL616" r:id="rId128"/>
    <hyperlink ref="AL615" r:id="rId129"/>
    <hyperlink ref="AL614" r:id="rId130"/>
    <hyperlink ref="AL613" r:id="rId131"/>
    <hyperlink ref="AL612" r:id="rId132"/>
    <hyperlink ref="AL611" r:id="rId133"/>
    <hyperlink ref="AL609" r:id="rId134"/>
    <hyperlink ref="AL608" r:id="rId135"/>
    <hyperlink ref="AL606" r:id="rId136"/>
    <hyperlink ref="AL603" r:id="rId137"/>
    <hyperlink ref="AL600" r:id="rId138"/>
    <hyperlink ref="AL596" r:id="rId139"/>
    <hyperlink ref="AL587" r:id="rId140"/>
    <hyperlink ref="AO586" r:id="rId141"/>
    <hyperlink ref="AL586" r:id="rId142"/>
    <hyperlink ref="AL585" r:id="rId143"/>
    <hyperlink ref="AL583" r:id="rId144"/>
    <hyperlink ref="AL582" r:id="rId145"/>
    <hyperlink ref="AL581" r:id="rId146"/>
    <hyperlink ref="AO580" r:id="rId147"/>
    <hyperlink ref="AL580" r:id="rId148"/>
    <hyperlink ref="AO579" r:id="rId149"/>
    <hyperlink ref="AL579" r:id="rId150"/>
    <hyperlink ref="AL578" r:id="rId151"/>
    <hyperlink ref="AL577" r:id="rId152"/>
    <hyperlink ref="AL576" r:id="rId153"/>
    <hyperlink ref="AO575" r:id="rId154"/>
    <hyperlink ref="AL575" r:id="rId155"/>
    <hyperlink ref="AL574" r:id="rId156"/>
    <hyperlink ref="AL573" r:id="rId157"/>
    <hyperlink ref="AL572" r:id="rId158"/>
    <hyperlink ref="AO571" r:id="rId159"/>
    <hyperlink ref="AL571" r:id="rId160"/>
    <hyperlink ref="AL570" r:id="rId161"/>
    <hyperlink ref="AL569" r:id="rId162"/>
    <hyperlink ref="AL568" r:id="rId163"/>
    <hyperlink ref="AL567" r:id="rId164"/>
    <hyperlink ref="AO566" r:id="rId165"/>
    <hyperlink ref="AL566" r:id="rId166"/>
    <hyperlink ref="AL565" r:id="rId167"/>
    <hyperlink ref="AL564" r:id="rId168"/>
    <hyperlink ref="AO563" r:id="rId169"/>
    <hyperlink ref="AL563" r:id="rId170"/>
    <hyperlink ref="AL562" r:id="rId171"/>
    <hyperlink ref="AL561" r:id="rId172"/>
    <hyperlink ref="AO560" r:id="rId173"/>
    <hyperlink ref="AL560" r:id="rId174"/>
    <hyperlink ref="AL559" r:id="rId175"/>
    <hyperlink ref="AL558" r:id="rId176"/>
    <hyperlink ref="AL557" r:id="rId177"/>
    <hyperlink ref="AO556" r:id="rId178"/>
    <hyperlink ref="AL556" r:id="rId179"/>
    <hyperlink ref="AL555" r:id="rId180"/>
    <hyperlink ref="AO554" r:id="rId181"/>
    <hyperlink ref="AL554" r:id="rId182"/>
    <hyperlink ref="AO553" r:id="rId183"/>
    <hyperlink ref="AL553" r:id="rId184"/>
    <hyperlink ref="AO552" r:id="rId185"/>
    <hyperlink ref="AL552" r:id="rId186"/>
    <hyperlink ref="AL551" r:id="rId187"/>
    <hyperlink ref="AL550" r:id="rId188"/>
    <hyperlink ref="AO549" r:id="rId189"/>
    <hyperlink ref="AL549" r:id="rId190"/>
    <hyperlink ref="AL548" r:id="rId191"/>
    <hyperlink ref="AL547" r:id="rId192"/>
    <hyperlink ref="AL546" r:id="rId193"/>
    <hyperlink ref="AO545" r:id="rId194"/>
    <hyperlink ref="AL545" r:id="rId195"/>
    <hyperlink ref="AL544" r:id="rId196"/>
    <hyperlink ref="AO542" r:id="rId197"/>
    <hyperlink ref="AL542" r:id="rId198"/>
    <hyperlink ref="AL541" r:id="rId199"/>
    <hyperlink ref="AO540" r:id="rId200"/>
    <hyperlink ref="AL540" r:id="rId201"/>
    <hyperlink ref="AL539" r:id="rId202"/>
    <hyperlink ref="AL538" r:id="rId203"/>
    <hyperlink ref="AO537" r:id="rId204"/>
    <hyperlink ref="AL537" r:id="rId205"/>
    <hyperlink ref="AL536" r:id="rId206"/>
    <hyperlink ref="AO535" r:id="rId207"/>
    <hyperlink ref="AL535" r:id="rId208"/>
    <hyperlink ref="AL534" r:id="rId209"/>
    <hyperlink ref="AL533" r:id="rId210"/>
    <hyperlink ref="AL532" r:id="rId211"/>
    <hyperlink ref="AO531" r:id="rId212"/>
    <hyperlink ref="AO530" r:id="rId213"/>
    <hyperlink ref="AL530" r:id="rId214"/>
    <hyperlink ref="AL529" r:id="rId215"/>
    <hyperlink ref="AL528" r:id="rId216"/>
    <hyperlink ref="AO527" r:id="rId217"/>
    <hyperlink ref="AL527" r:id="rId218"/>
    <hyperlink ref="AL526" r:id="rId219"/>
    <hyperlink ref="AO525" r:id="rId220"/>
    <hyperlink ref="AL525" r:id="rId221"/>
    <hyperlink ref="AO523" r:id="rId222"/>
    <hyperlink ref="AL523" r:id="rId223"/>
    <hyperlink ref="AO522" r:id="rId224"/>
    <hyperlink ref="AL522" r:id="rId225"/>
    <hyperlink ref="AL521" r:id="rId226"/>
    <hyperlink ref="AL520" r:id="rId227"/>
    <hyperlink ref="AL519" r:id="rId228"/>
    <hyperlink ref="AL518" r:id="rId229"/>
    <hyperlink ref="AO517" r:id="rId230"/>
    <hyperlink ref="AL517" r:id="rId231"/>
    <hyperlink ref="AO516" r:id="rId232"/>
    <hyperlink ref="AL516" r:id="rId233"/>
    <hyperlink ref="AL515" r:id="rId234"/>
    <hyperlink ref="AL514" r:id="rId235"/>
    <hyperlink ref="AO513" r:id="rId236"/>
    <hyperlink ref="AL513" r:id="rId237"/>
    <hyperlink ref="AL512" r:id="rId238"/>
    <hyperlink ref="AL511" r:id="rId239"/>
    <hyperlink ref="AL510" r:id="rId240"/>
    <hyperlink ref="AL509" r:id="rId241"/>
    <hyperlink ref="AO508" r:id="rId242"/>
    <hyperlink ref="AL508" r:id="rId243"/>
    <hyperlink ref="AL507" r:id="rId244"/>
    <hyperlink ref="AL506" r:id="rId245"/>
    <hyperlink ref="AL505" r:id="rId246"/>
    <hyperlink ref="AL504" r:id="rId247"/>
    <hyperlink ref="AL503" r:id="rId248"/>
    <hyperlink ref="AL502" r:id="rId249"/>
    <hyperlink ref="AL501" r:id="rId250"/>
    <hyperlink ref="AL500" r:id="rId251"/>
    <hyperlink ref="AL499" r:id="rId252"/>
    <hyperlink ref="AL498" r:id="rId253"/>
    <hyperlink ref="AL497" r:id="rId254"/>
    <hyperlink ref="AL496" r:id="rId255"/>
    <hyperlink ref="AL495" r:id="rId256"/>
    <hyperlink ref="AL494" r:id="rId257"/>
    <hyperlink ref="AL492" r:id="rId258"/>
    <hyperlink ref="AL491" r:id="rId259"/>
    <hyperlink ref="AL490" r:id="rId260"/>
    <hyperlink ref="AL489" r:id="rId261"/>
    <hyperlink ref="AL487" r:id="rId262"/>
    <hyperlink ref="AL486" r:id="rId263"/>
    <hyperlink ref="AL485" r:id="rId264"/>
    <hyperlink ref="AL484" r:id="rId265"/>
    <hyperlink ref="AL483" r:id="rId266"/>
    <hyperlink ref="AL482" r:id="rId267"/>
    <hyperlink ref="AL481" r:id="rId268"/>
    <hyperlink ref="AO480" r:id="rId269"/>
    <hyperlink ref="AL480" r:id="rId270"/>
    <hyperlink ref="AO479" r:id="rId271"/>
    <hyperlink ref="AL479" r:id="rId272"/>
    <hyperlink ref="AO478" r:id="rId273"/>
    <hyperlink ref="AL478" r:id="rId274"/>
    <hyperlink ref="AO477" r:id="rId275"/>
    <hyperlink ref="AO476" r:id="rId276"/>
    <hyperlink ref="AL476" r:id="rId277"/>
    <hyperlink ref="AO475" r:id="rId278"/>
    <hyperlink ref="AL475" r:id="rId279"/>
    <hyperlink ref="AO474" r:id="rId280"/>
    <hyperlink ref="AL474" r:id="rId281"/>
    <hyperlink ref="AO473" r:id="rId282"/>
    <hyperlink ref="AL473" r:id="rId283"/>
    <hyperlink ref="AO472" r:id="rId284"/>
    <hyperlink ref="AL472" r:id="rId285"/>
    <hyperlink ref="AL471" r:id="rId286"/>
    <hyperlink ref="AL469" r:id="rId287"/>
    <hyperlink ref="AL468" r:id="rId288"/>
    <hyperlink ref="AL467" r:id="rId289"/>
    <hyperlink ref="AL466" r:id="rId290"/>
    <hyperlink ref="AL465" r:id="rId291"/>
    <hyperlink ref="AL464" r:id="rId292"/>
    <hyperlink ref="AL463" r:id="rId293"/>
    <hyperlink ref="AO462" r:id="rId294"/>
    <hyperlink ref="AL462" r:id="rId295"/>
    <hyperlink ref="AL461" r:id="rId296"/>
    <hyperlink ref="AL460" r:id="rId297"/>
    <hyperlink ref="AL459" r:id="rId298"/>
    <hyperlink ref="AO458" r:id="rId299"/>
    <hyperlink ref="AL458" r:id="rId300"/>
    <hyperlink ref="AL457" r:id="rId301"/>
    <hyperlink ref="AO456" r:id="rId302"/>
    <hyperlink ref="AL456" r:id="rId303"/>
    <hyperlink ref="AL455" r:id="rId304"/>
    <hyperlink ref="AO454" r:id="rId305"/>
    <hyperlink ref="AL454" r:id="rId306"/>
    <hyperlink ref="AL453" r:id="rId307"/>
    <hyperlink ref="AL452" r:id="rId308"/>
    <hyperlink ref="AO451" r:id="rId309"/>
    <hyperlink ref="AL451" r:id="rId310"/>
    <hyperlink ref="AO450" r:id="rId311"/>
    <hyperlink ref="AL450" r:id="rId312"/>
    <hyperlink ref="AL449" r:id="rId313"/>
    <hyperlink ref="AL447" r:id="rId314"/>
    <hyperlink ref="AL446" r:id="rId315"/>
    <hyperlink ref="AO445" r:id="rId316"/>
    <hyperlink ref="AL445" r:id="rId317"/>
    <hyperlink ref="AL444" r:id="rId318"/>
    <hyperlink ref="AL443" r:id="rId319"/>
    <hyperlink ref="AL442" r:id="rId320"/>
    <hyperlink ref="AL441" r:id="rId321"/>
    <hyperlink ref="AO440" r:id="rId322"/>
    <hyperlink ref="AL440" r:id="rId323"/>
    <hyperlink ref="AO439" r:id="rId324"/>
    <hyperlink ref="AL439" r:id="rId325"/>
    <hyperlink ref="AO438" r:id="rId326"/>
    <hyperlink ref="AL438" r:id="rId327"/>
    <hyperlink ref="AO436" r:id="rId328"/>
    <hyperlink ref="AL436" r:id="rId329"/>
    <hyperlink ref="AO435" r:id="rId330"/>
    <hyperlink ref="AL435" r:id="rId331"/>
    <hyperlink ref="AO434" r:id="rId332"/>
    <hyperlink ref="AL434" r:id="rId333"/>
    <hyperlink ref="AO433" r:id="rId334"/>
    <hyperlink ref="AL433" r:id="rId335"/>
    <hyperlink ref="AO432" r:id="rId336"/>
    <hyperlink ref="AL432" r:id="rId337"/>
    <hyperlink ref="AO431" r:id="rId338"/>
    <hyperlink ref="AL431" r:id="rId339"/>
    <hyperlink ref="AO430" r:id="rId340"/>
    <hyperlink ref="AL430" r:id="rId341"/>
    <hyperlink ref="AO429" r:id="rId342"/>
    <hyperlink ref="AL429" r:id="rId343"/>
    <hyperlink ref="AO428" r:id="rId344"/>
    <hyperlink ref="AL428" r:id="rId345"/>
    <hyperlink ref="AO427" r:id="rId346"/>
    <hyperlink ref="AL427" r:id="rId347"/>
    <hyperlink ref="AO426" r:id="rId348"/>
    <hyperlink ref="AL426" r:id="rId349"/>
    <hyperlink ref="AO425" r:id="rId350"/>
    <hyperlink ref="AL425" r:id="rId351"/>
    <hyperlink ref="AO424" r:id="rId352"/>
    <hyperlink ref="AL424" r:id="rId353"/>
    <hyperlink ref="AO423" r:id="rId354"/>
    <hyperlink ref="AL423" r:id="rId355"/>
    <hyperlink ref="AO422" r:id="rId356"/>
    <hyperlink ref="AL422" r:id="rId357"/>
    <hyperlink ref="AO421" r:id="rId358"/>
    <hyperlink ref="AL421" r:id="rId359"/>
    <hyperlink ref="AO420" r:id="rId360"/>
    <hyperlink ref="AL420" r:id="rId361"/>
    <hyperlink ref="AO419" r:id="rId362"/>
    <hyperlink ref="AL419" r:id="rId363"/>
    <hyperlink ref="AO418" r:id="rId364"/>
    <hyperlink ref="AL418" r:id="rId365"/>
    <hyperlink ref="AO417" r:id="rId366"/>
    <hyperlink ref="AL417" r:id="rId367"/>
    <hyperlink ref="AO416" r:id="rId368"/>
    <hyperlink ref="AL416" r:id="rId369"/>
    <hyperlink ref="AO415" r:id="rId370"/>
    <hyperlink ref="AL415" r:id="rId371"/>
    <hyperlink ref="AO414" r:id="rId372"/>
    <hyperlink ref="AO413" r:id="rId373"/>
    <hyperlink ref="AL413" r:id="rId374"/>
    <hyperlink ref="AO412" r:id="rId375"/>
    <hyperlink ref="AL412" r:id="rId376"/>
    <hyperlink ref="AL411" r:id="rId377"/>
    <hyperlink ref="AO410" r:id="rId378"/>
    <hyperlink ref="AL410" r:id="rId379"/>
    <hyperlink ref="AO408" r:id="rId380"/>
    <hyperlink ref="AL408" r:id="rId381"/>
    <hyperlink ref="AO407" r:id="rId382"/>
    <hyperlink ref="AL407" r:id="rId383"/>
    <hyperlink ref="AO406" r:id="rId384"/>
    <hyperlink ref="AL406" r:id="rId385"/>
    <hyperlink ref="AO405" r:id="rId386"/>
    <hyperlink ref="AL405" r:id="rId387"/>
    <hyperlink ref="AO404" r:id="rId388"/>
    <hyperlink ref="AL404" r:id="rId389"/>
    <hyperlink ref="AO403" r:id="rId390"/>
    <hyperlink ref="AO402" r:id="rId391"/>
    <hyperlink ref="AL402" r:id="rId392"/>
    <hyperlink ref="AO401" r:id="rId393"/>
    <hyperlink ref="AL401" r:id="rId394"/>
    <hyperlink ref="AO400" r:id="rId395"/>
    <hyperlink ref="AL400" r:id="rId396"/>
    <hyperlink ref="AO399" r:id="rId397"/>
    <hyperlink ref="AL399" r:id="rId398"/>
    <hyperlink ref="AO398" r:id="rId399"/>
    <hyperlink ref="AL398" r:id="rId400"/>
    <hyperlink ref="AO397" r:id="rId401"/>
    <hyperlink ref="AL397" r:id="rId402"/>
    <hyperlink ref="AO396" r:id="rId403"/>
    <hyperlink ref="AL396" r:id="rId404"/>
    <hyperlink ref="AO395" r:id="rId405"/>
    <hyperlink ref="AO394" r:id="rId406"/>
    <hyperlink ref="AL394" r:id="rId407"/>
    <hyperlink ref="AO393" r:id="rId408"/>
    <hyperlink ref="AL393" r:id="rId409"/>
    <hyperlink ref="AO392" r:id="rId410"/>
    <hyperlink ref="AL392" r:id="rId411"/>
    <hyperlink ref="AO390" r:id="rId412"/>
    <hyperlink ref="AL390" r:id="rId413"/>
    <hyperlink ref="AO389" r:id="rId414"/>
    <hyperlink ref="AL389" r:id="rId415"/>
    <hyperlink ref="AO388" r:id="rId416"/>
    <hyperlink ref="AL388" r:id="rId417"/>
    <hyperlink ref="AO387" r:id="rId418"/>
    <hyperlink ref="AL387" r:id="rId419"/>
    <hyperlink ref="AO386" r:id="rId420"/>
    <hyperlink ref="AO385" r:id="rId421"/>
    <hyperlink ref="AL385" r:id="rId422"/>
    <hyperlink ref="AO384" r:id="rId423"/>
    <hyperlink ref="AL384" r:id="rId424"/>
    <hyperlink ref="AO383" r:id="rId425"/>
    <hyperlink ref="AL383" r:id="rId426"/>
    <hyperlink ref="AO382" r:id="rId427"/>
    <hyperlink ref="AL382" r:id="rId428"/>
    <hyperlink ref="AO381" r:id="rId429"/>
    <hyperlink ref="AO380" r:id="rId430"/>
    <hyperlink ref="AO379" r:id="rId431"/>
    <hyperlink ref="AL379" r:id="rId432"/>
    <hyperlink ref="AO378" r:id="rId433"/>
    <hyperlink ref="AL378" r:id="rId434"/>
    <hyperlink ref="AO377" r:id="rId435"/>
    <hyperlink ref="AL377" r:id="rId436"/>
    <hyperlink ref="AO376" r:id="rId437"/>
    <hyperlink ref="AO375" r:id="rId438"/>
    <hyperlink ref="AL375" r:id="rId439"/>
    <hyperlink ref="AO374" r:id="rId440"/>
    <hyperlink ref="AL374" r:id="rId441"/>
    <hyperlink ref="AO373" r:id="rId442"/>
    <hyperlink ref="AL373" r:id="rId443"/>
    <hyperlink ref="AO372" r:id="rId444"/>
    <hyperlink ref="AL372" r:id="rId445"/>
    <hyperlink ref="AO371" r:id="rId446"/>
    <hyperlink ref="AL371" r:id="rId447"/>
    <hyperlink ref="AO370" r:id="rId448"/>
    <hyperlink ref="AL370" r:id="rId449"/>
    <hyperlink ref="AO369" r:id="rId450"/>
    <hyperlink ref="AL369" r:id="rId451"/>
    <hyperlink ref="AO368" r:id="rId452"/>
    <hyperlink ref="AL368" r:id="rId453"/>
    <hyperlink ref="AO367" r:id="rId454"/>
    <hyperlink ref="AO364" r:id="rId455"/>
    <hyperlink ref="AL364" r:id="rId456"/>
    <hyperlink ref="AO363" r:id="rId457"/>
    <hyperlink ref="AL363" r:id="rId458"/>
    <hyperlink ref="AO362" r:id="rId459"/>
    <hyperlink ref="AL362" r:id="rId460"/>
    <hyperlink ref="AO361" r:id="rId461"/>
    <hyperlink ref="AL361" r:id="rId462"/>
    <hyperlink ref="AO359" r:id="rId463"/>
    <hyperlink ref="AL359" r:id="rId464"/>
    <hyperlink ref="AO358" r:id="rId465"/>
    <hyperlink ref="AL358" r:id="rId466"/>
    <hyperlink ref="AO356" r:id="rId467"/>
    <hyperlink ref="AL356" r:id="rId468"/>
    <hyperlink ref="AO355" r:id="rId469"/>
    <hyperlink ref="AO354" r:id="rId470"/>
    <hyperlink ref="AL354" r:id="rId471"/>
    <hyperlink ref="AO353" r:id="rId472"/>
    <hyperlink ref="AL353" r:id="rId473"/>
    <hyperlink ref="AO352" r:id="rId474"/>
    <hyperlink ref="AL352" r:id="rId475"/>
    <hyperlink ref="AL351" r:id="rId476"/>
    <hyperlink ref="AO350" r:id="rId477"/>
    <hyperlink ref="AL350" r:id="rId478"/>
    <hyperlink ref="AO349" r:id="rId479"/>
    <hyperlink ref="AL349" r:id="rId480"/>
    <hyperlink ref="AO348" r:id="rId481"/>
    <hyperlink ref="AL348" r:id="rId482"/>
    <hyperlink ref="AO347" r:id="rId483"/>
    <hyperlink ref="AL347" r:id="rId484"/>
    <hyperlink ref="AO346" r:id="rId485"/>
    <hyperlink ref="AO345" r:id="rId486"/>
    <hyperlink ref="AL345" r:id="rId487"/>
    <hyperlink ref="AO344" r:id="rId488"/>
    <hyperlink ref="AL344" r:id="rId489"/>
    <hyperlink ref="AO343" r:id="rId490"/>
    <hyperlink ref="AL343" r:id="rId491"/>
    <hyperlink ref="AO342" r:id="rId492"/>
    <hyperlink ref="AL342" r:id="rId493"/>
    <hyperlink ref="AO341" r:id="rId494"/>
    <hyperlink ref="AL341" r:id="rId495"/>
    <hyperlink ref="AO340" r:id="rId496"/>
    <hyperlink ref="AL340" r:id="rId497"/>
    <hyperlink ref="AO339" r:id="rId498"/>
    <hyperlink ref="AL339" r:id="rId499"/>
    <hyperlink ref="AO337" r:id="rId500"/>
    <hyperlink ref="AL337" r:id="rId501"/>
    <hyperlink ref="AO336" r:id="rId502"/>
    <hyperlink ref="AL336" r:id="rId503"/>
    <hyperlink ref="AO335" r:id="rId504"/>
    <hyperlink ref="AO334" r:id="rId505"/>
    <hyperlink ref="AL334" r:id="rId506"/>
    <hyperlink ref="AO333" r:id="rId507"/>
    <hyperlink ref="AL333" r:id="rId508"/>
    <hyperlink ref="AO332" r:id="rId509"/>
    <hyperlink ref="AL332" r:id="rId510"/>
    <hyperlink ref="AO330" r:id="rId511"/>
    <hyperlink ref="AL330" r:id="rId512"/>
    <hyperlink ref="AO329" r:id="rId513"/>
    <hyperlink ref="AL329" r:id="rId514"/>
    <hyperlink ref="AO328" r:id="rId515"/>
    <hyperlink ref="AL328" r:id="rId516"/>
    <hyperlink ref="AO327" r:id="rId517"/>
    <hyperlink ref="AL327" r:id="rId518"/>
    <hyperlink ref="AO326" r:id="rId519"/>
    <hyperlink ref="AL326" r:id="rId520"/>
    <hyperlink ref="AO325" r:id="rId521"/>
    <hyperlink ref="AL325" r:id="rId522"/>
    <hyperlink ref="AO324" r:id="rId523"/>
    <hyperlink ref="AL324" r:id="rId524"/>
    <hyperlink ref="AO323" r:id="rId525"/>
    <hyperlink ref="AO322" r:id="rId526"/>
    <hyperlink ref="AL322" r:id="rId527"/>
    <hyperlink ref="AO321" r:id="rId528"/>
    <hyperlink ref="AL321" r:id="rId529"/>
    <hyperlink ref="AO320" r:id="rId530"/>
    <hyperlink ref="AL320" r:id="rId531"/>
    <hyperlink ref="AO319" r:id="rId532"/>
    <hyperlink ref="AL319" r:id="rId533"/>
    <hyperlink ref="AO318" r:id="rId534"/>
    <hyperlink ref="AL318" r:id="rId535"/>
    <hyperlink ref="AO317" r:id="rId536"/>
    <hyperlink ref="AL317" r:id="rId537"/>
    <hyperlink ref="AO316" r:id="rId538"/>
    <hyperlink ref="AL316" r:id="rId539"/>
    <hyperlink ref="AO315" r:id="rId540"/>
    <hyperlink ref="AL315" r:id="rId541"/>
    <hyperlink ref="AO314" r:id="rId542"/>
    <hyperlink ref="AL314" r:id="rId543"/>
    <hyperlink ref="AO313" r:id="rId544"/>
    <hyperlink ref="AL313" r:id="rId545"/>
    <hyperlink ref="AL312" r:id="rId546"/>
    <hyperlink ref="AO311" r:id="rId547"/>
    <hyperlink ref="AL311" r:id="rId548"/>
    <hyperlink ref="AO310" r:id="rId549"/>
    <hyperlink ref="AL310" r:id="rId550"/>
    <hyperlink ref="AO309" r:id="rId551"/>
    <hyperlink ref="AL309" r:id="rId552"/>
    <hyperlink ref="AO308" r:id="rId553"/>
    <hyperlink ref="AL308" r:id="rId554"/>
    <hyperlink ref="AO307" r:id="rId555"/>
    <hyperlink ref="AL307" r:id="rId556"/>
    <hyperlink ref="AO306" r:id="rId557"/>
    <hyperlink ref="AL306" r:id="rId558"/>
    <hyperlink ref="AO305" r:id="rId559"/>
    <hyperlink ref="AO304" r:id="rId560"/>
    <hyperlink ref="AL304" r:id="rId561"/>
    <hyperlink ref="AO303" r:id="rId562"/>
    <hyperlink ref="AO302" r:id="rId563"/>
    <hyperlink ref="AO301" r:id="rId564"/>
    <hyperlink ref="AL301" r:id="rId565"/>
    <hyperlink ref="AO300" r:id="rId566"/>
    <hyperlink ref="AL300" r:id="rId567"/>
    <hyperlink ref="AO299" r:id="rId568"/>
    <hyperlink ref="AL299" r:id="rId569"/>
    <hyperlink ref="AO298" r:id="rId570"/>
    <hyperlink ref="AL298" r:id="rId571"/>
    <hyperlink ref="AO297" r:id="rId572"/>
    <hyperlink ref="AL297" r:id="rId573"/>
    <hyperlink ref="AO296" r:id="rId574"/>
    <hyperlink ref="AL296" r:id="rId575"/>
    <hyperlink ref="AO295" r:id="rId576"/>
    <hyperlink ref="AO294" r:id="rId577"/>
    <hyperlink ref="AO293" r:id="rId578"/>
    <hyperlink ref="AL293" r:id="rId579"/>
    <hyperlink ref="AO292" r:id="rId580"/>
    <hyperlink ref="AO291" r:id="rId581"/>
    <hyperlink ref="AL291" r:id="rId582"/>
    <hyperlink ref="AO290" r:id="rId583"/>
    <hyperlink ref="AL290" r:id="rId584"/>
    <hyperlink ref="AO289" r:id="rId585"/>
    <hyperlink ref="AO288" r:id="rId586"/>
    <hyperlink ref="AL288" r:id="rId587"/>
    <hyperlink ref="AO287" r:id="rId588"/>
    <hyperlink ref="AO286" r:id="rId589"/>
    <hyperlink ref="AL286" r:id="rId590"/>
    <hyperlink ref="AO285" r:id="rId591"/>
    <hyperlink ref="AO284" r:id="rId592"/>
    <hyperlink ref="AO283" r:id="rId593"/>
    <hyperlink ref="AL283" r:id="rId594"/>
    <hyperlink ref="AO282" r:id="rId595"/>
    <hyperlink ref="AL282" r:id="rId596"/>
    <hyperlink ref="AO281" r:id="rId597"/>
    <hyperlink ref="AL281" r:id="rId598"/>
    <hyperlink ref="AO280" r:id="rId599"/>
    <hyperlink ref="AL280" r:id="rId600"/>
    <hyperlink ref="AO279" r:id="rId601"/>
    <hyperlink ref="AL279" r:id="rId602"/>
    <hyperlink ref="AO278" r:id="rId603"/>
    <hyperlink ref="AL278" r:id="rId604"/>
    <hyperlink ref="AO277" r:id="rId605"/>
    <hyperlink ref="AL277" r:id="rId606"/>
    <hyperlink ref="AO276" r:id="rId607"/>
    <hyperlink ref="AL276" r:id="rId608"/>
    <hyperlink ref="AO275" r:id="rId609"/>
    <hyperlink ref="AL275" r:id="rId610"/>
    <hyperlink ref="AO274" r:id="rId611"/>
    <hyperlink ref="AO273" r:id="rId612"/>
    <hyperlink ref="AL273" r:id="rId613"/>
    <hyperlink ref="AO272" r:id="rId614"/>
    <hyperlink ref="AL272" r:id="rId615"/>
    <hyperlink ref="AO271" r:id="rId616"/>
    <hyperlink ref="AL271" r:id="rId617"/>
    <hyperlink ref="AO270" r:id="rId618"/>
    <hyperlink ref="AL270" r:id="rId619"/>
    <hyperlink ref="AO269" r:id="rId620"/>
    <hyperlink ref="AL269" r:id="rId621"/>
    <hyperlink ref="AO268" r:id="rId622"/>
    <hyperlink ref="AO267" r:id="rId623"/>
    <hyperlink ref="AL267" r:id="rId624"/>
    <hyperlink ref="AO266" r:id="rId625"/>
    <hyperlink ref="AL266" r:id="rId626"/>
    <hyperlink ref="AO265" r:id="rId627"/>
    <hyperlink ref="AL265" r:id="rId628"/>
    <hyperlink ref="AO264" r:id="rId629"/>
    <hyperlink ref="AL264" r:id="rId630"/>
    <hyperlink ref="AO263" r:id="rId631"/>
    <hyperlink ref="AO262" r:id="rId632"/>
    <hyperlink ref="AO261" r:id="rId633"/>
    <hyperlink ref="AL261" r:id="rId634"/>
    <hyperlink ref="AO260" r:id="rId635"/>
    <hyperlink ref="AL260" r:id="rId636"/>
    <hyperlink ref="AO259" r:id="rId637"/>
    <hyperlink ref="AL259" r:id="rId638"/>
    <hyperlink ref="AO258" r:id="rId639"/>
    <hyperlink ref="AL258" r:id="rId640"/>
    <hyperlink ref="AO257" r:id="rId641"/>
    <hyperlink ref="AL257" r:id="rId642"/>
    <hyperlink ref="AO256" r:id="rId643"/>
    <hyperlink ref="AL256" r:id="rId644"/>
    <hyperlink ref="AO255" r:id="rId645"/>
    <hyperlink ref="AL255" r:id="rId646"/>
    <hyperlink ref="AO254" r:id="rId647"/>
    <hyperlink ref="AL254" r:id="rId648"/>
    <hyperlink ref="AO253" r:id="rId649"/>
    <hyperlink ref="AO252" r:id="rId650"/>
    <hyperlink ref="AL252" r:id="rId651"/>
    <hyperlink ref="AO251" r:id="rId652"/>
    <hyperlink ref="AL251" r:id="rId653"/>
    <hyperlink ref="AO250" r:id="rId654"/>
    <hyperlink ref="AO249" r:id="rId655"/>
    <hyperlink ref="AL249" r:id="rId656"/>
    <hyperlink ref="AO248" r:id="rId657"/>
    <hyperlink ref="AL248" r:id="rId658"/>
    <hyperlink ref="AO247" r:id="rId659"/>
    <hyperlink ref="AO246" r:id="rId660"/>
    <hyperlink ref="AO245" r:id="rId661"/>
    <hyperlink ref="AO244" r:id="rId662"/>
    <hyperlink ref="AL244" r:id="rId663"/>
    <hyperlink ref="AO243" r:id="rId664"/>
    <hyperlink ref="AO242" r:id="rId665"/>
    <hyperlink ref="AL242" r:id="rId666"/>
    <hyperlink ref="AO241" r:id="rId667"/>
    <hyperlink ref="AL241" r:id="rId668"/>
    <hyperlink ref="AO240" r:id="rId669"/>
    <hyperlink ref="AO239" r:id="rId670"/>
    <hyperlink ref="AO238" r:id="rId671"/>
    <hyperlink ref="AL238" r:id="rId672"/>
    <hyperlink ref="AO237" r:id="rId673"/>
    <hyperlink ref="AO236" r:id="rId674"/>
    <hyperlink ref="AL236" r:id="rId675"/>
    <hyperlink ref="AO235" r:id="rId676"/>
    <hyperlink ref="AL235" r:id="rId677"/>
    <hyperlink ref="AO234" r:id="rId678"/>
    <hyperlink ref="AO233" r:id="rId679"/>
    <hyperlink ref="AO232" r:id="rId680"/>
    <hyperlink ref="AL232" r:id="rId681"/>
    <hyperlink ref="AO231" r:id="rId682"/>
    <hyperlink ref="AL231" r:id="rId683"/>
    <hyperlink ref="AO230" r:id="rId684"/>
    <hyperlink ref="AL230" r:id="rId685"/>
    <hyperlink ref="AO229" r:id="rId686"/>
    <hyperlink ref="AL229" r:id="rId687"/>
    <hyperlink ref="AO228" r:id="rId688"/>
    <hyperlink ref="AL228" r:id="rId689"/>
    <hyperlink ref="AO227" r:id="rId690"/>
    <hyperlink ref="AL227" r:id="rId691"/>
    <hyperlink ref="AO226" r:id="rId692"/>
    <hyperlink ref="AO225" r:id="rId693"/>
    <hyperlink ref="AL225" r:id="rId694"/>
    <hyperlink ref="AO224" r:id="rId695"/>
    <hyperlink ref="AL224" r:id="rId696"/>
    <hyperlink ref="AO223" r:id="rId697"/>
    <hyperlink ref="AL223" r:id="rId698"/>
    <hyperlink ref="AO222" r:id="rId699"/>
    <hyperlink ref="AL222" r:id="rId700"/>
    <hyperlink ref="AO221" r:id="rId701"/>
    <hyperlink ref="AL221" r:id="rId702"/>
    <hyperlink ref="AO220" r:id="rId703"/>
    <hyperlink ref="AO219" r:id="rId704"/>
    <hyperlink ref="AL219" r:id="rId705"/>
    <hyperlink ref="AO218" r:id="rId706"/>
    <hyperlink ref="AL218" r:id="rId707"/>
    <hyperlink ref="AO217" r:id="rId708"/>
    <hyperlink ref="AO216" r:id="rId709"/>
    <hyperlink ref="AL216" r:id="rId710"/>
    <hyperlink ref="AO215" r:id="rId711"/>
    <hyperlink ref="AL215" r:id="rId712"/>
    <hyperlink ref="AO214" r:id="rId713"/>
    <hyperlink ref="AL214" r:id="rId714"/>
    <hyperlink ref="AO213" r:id="rId715"/>
    <hyperlink ref="AL213" r:id="rId716"/>
    <hyperlink ref="AO212" r:id="rId717"/>
    <hyperlink ref="AO211" r:id="rId718"/>
    <hyperlink ref="AO210" r:id="rId719"/>
    <hyperlink ref="AL210" r:id="rId720"/>
    <hyperlink ref="AO209" r:id="rId721"/>
    <hyperlink ref="AO208" r:id="rId722"/>
    <hyperlink ref="AO207" r:id="rId723"/>
    <hyperlink ref="AL207" r:id="rId724"/>
    <hyperlink ref="AO206" r:id="rId725"/>
    <hyperlink ref="AL206" r:id="rId726"/>
    <hyperlink ref="AO205" r:id="rId727"/>
    <hyperlink ref="AL205" r:id="rId728"/>
    <hyperlink ref="AO204" r:id="rId729"/>
    <hyperlink ref="AL204" r:id="rId730"/>
    <hyperlink ref="AO203" r:id="rId731"/>
    <hyperlink ref="AL203" r:id="rId732"/>
    <hyperlink ref="AO202" r:id="rId733"/>
    <hyperlink ref="AO201" r:id="rId734"/>
    <hyperlink ref="AL201" r:id="rId735"/>
    <hyperlink ref="AO200" r:id="rId736"/>
    <hyperlink ref="AO199" r:id="rId737"/>
    <hyperlink ref="AL199" r:id="rId738"/>
    <hyperlink ref="AO198" r:id="rId739"/>
    <hyperlink ref="AL198" r:id="rId740"/>
    <hyperlink ref="AO197" r:id="rId741"/>
    <hyperlink ref="AL197" r:id="rId742"/>
    <hyperlink ref="AO196" r:id="rId743"/>
    <hyperlink ref="AL196" r:id="rId744"/>
    <hyperlink ref="AO195" r:id="rId745"/>
    <hyperlink ref="AO194" r:id="rId746"/>
    <hyperlink ref="AL194" r:id="rId747"/>
    <hyperlink ref="AO193" r:id="rId748"/>
    <hyperlink ref="AO192" r:id="rId749"/>
    <hyperlink ref="AL192" r:id="rId750"/>
    <hyperlink ref="AO191" r:id="rId751"/>
    <hyperlink ref="AL191" r:id="rId752"/>
    <hyperlink ref="AO190" r:id="rId753"/>
    <hyperlink ref="AO189" r:id="rId754"/>
    <hyperlink ref="AL189" r:id="rId755"/>
    <hyperlink ref="AO188" r:id="rId756"/>
    <hyperlink ref="AO187" r:id="rId757"/>
    <hyperlink ref="AL187" r:id="rId758"/>
    <hyperlink ref="AO186" r:id="rId759"/>
    <hyperlink ref="AL186" r:id="rId760"/>
    <hyperlink ref="AO185" r:id="rId761"/>
    <hyperlink ref="AO184" r:id="rId762"/>
    <hyperlink ref="AL184" r:id="rId763"/>
    <hyperlink ref="AO183" r:id="rId764"/>
    <hyperlink ref="AO182" r:id="rId765"/>
    <hyperlink ref="AL182" r:id="rId766"/>
    <hyperlink ref="AO181" r:id="rId767"/>
    <hyperlink ref="AL181" r:id="rId768"/>
    <hyperlink ref="AO180" r:id="rId769"/>
    <hyperlink ref="AL180" r:id="rId770"/>
    <hyperlink ref="AO179" r:id="rId771"/>
    <hyperlink ref="AL179" r:id="rId772"/>
    <hyperlink ref="AO178" r:id="rId773"/>
    <hyperlink ref="AO177" r:id="rId774"/>
    <hyperlink ref="AL177" r:id="rId775"/>
    <hyperlink ref="AO176" r:id="rId776"/>
    <hyperlink ref="AL176" r:id="rId777"/>
    <hyperlink ref="AO175" r:id="rId778"/>
    <hyperlink ref="AL175" r:id="rId779"/>
    <hyperlink ref="AO174" r:id="rId780"/>
    <hyperlink ref="AL174" r:id="rId781"/>
    <hyperlink ref="AO173" r:id="rId782"/>
    <hyperlink ref="AL173" r:id="rId783"/>
    <hyperlink ref="AO172" r:id="rId784"/>
    <hyperlink ref="AL172" r:id="rId785"/>
    <hyperlink ref="AO171" r:id="rId786"/>
    <hyperlink ref="AL171" r:id="rId787"/>
    <hyperlink ref="AO170" r:id="rId788"/>
    <hyperlink ref="AL170" r:id="rId789"/>
    <hyperlink ref="AO169" r:id="rId790"/>
    <hyperlink ref="AO168" r:id="rId791"/>
    <hyperlink ref="AL168" r:id="rId792"/>
    <hyperlink ref="AO167" r:id="rId793"/>
    <hyperlink ref="AL167" r:id="rId794"/>
    <hyperlink ref="AO166" r:id="rId795"/>
    <hyperlink ref="AL166" r:id="rId796"/>
    <hyperlink ref="AO165" r:id="rId797"/>
    <hyperlink ref="AL165" r:id="rId798"/>
    <hyperlink ref="AO164" r:id="rId799"/>
    <hyperlink ref="AL164" r:id="rId800"/>
    <hyperlink ref="AO163" r:id="rId801"/>
    <hyperlink ref="AL163" r:id="rId802"/>
    <hyperlink ref="AO162" r:id="rId803"/>
    <hyperlink ref="AL162" r:id="rId804"/>
    <hyperlink ref="AO161" r:id="rId805"/>
    <hyperlink ref="AL161" r:id="rId806"/>
    <hyperlink ref="AO160" r:id="rId807"/>
    <hyperlink ref="AO159" r:id="rId808"/>
    <hyperlink ref="AL159" r:id="rId809"/>
    <hyperlink ref="AO158" r:id="rId810"/>
    <hyperlink ref="AL158" r:id="rId811"/>
    <hyperlink ref="AO157" r:id="rId812"/>
    <hyperlink ref="AL157" r:id="rId813"/>
    <hyperlink ref="AO156" r:id="rId814"/>
    <hyperlink ref="AL156" r:id="rId815"/>
    <hyperlink ref="AO155" r:id="rId816"/>
    <hyperlink ref="AO154" r:id="rId817"/>
    <hyperlink ref="AL154" r:id="rId818"/>
    <hyperlink ref="AO153" r:id="rId819"/>
    <hyperlink ref="AL153" r:id="rId820"/>
    <hyperlink ref="AO152" r:id="rId821"/>
    <hyperlink ref="AL152" r:id="rId822"/>
    <hyperlink ref="AO151" r:id="rId823"/>
    <hyperlink ref="AO150" r:id="rId824"/>
    <hyperlink ref="AL150" r:id="rId825"/>
    <hyperlink ref="AO149" r:id="rId826"/>
    <hyperlink ref="AL149" r:id="rId827"/>
    <hyperlink ref="AO148" r:id="rId828"/>
    <hyperlink ref="AL148" r:id="rId829"/>
    <hyperlink ref="AO147" r:id="rId830"/>
    <hyperlink ref="AO146" r:id="rId831"/>
    <hyperlink ref="AL146" r:id="rId832"/>
    <hyperlink ref="AO145" r:id="rId833"/>
    <hyperlink ref="AL145" r:id="rId834"/>
    <hyperlink ref="AO144" r:id="rId835"/>
    <hyperlink ref="AL144" r:id="rId836"/>
    <hyperlink ref="AO143" r:id="rId837"/>
    <hyperlink ref="AO142" r:id="rId838"/>
    <hyperlink ref="AL142" r:id="rId839"/>
    <hyperlink ref="AO141" r:id="rId840"/>
    <hyperlink ref="AO140" r:id="rId841"/>
    <hyperlink ref="AL140" r:id="rId842"/>
    <hyperlink ref="AO139" r:id="rId843"/>
    <hyperlink ref="AL139" r:id="rId844"/>
    <hyperlink ref="AO138" r:id="rId845"/>
    <hyperlink ref="AO137" r:id="rId846"/>
    <hyperlink ref="AO136" r:id="rId847"/>
    <hyperlink ref="AL136" r:id="rId848"/>
    <hyperlink ref="AO135" r:id="rId849"/>
    <hyperlink ref="AO134" r:id="rId850"/>
    <hyperlink ref="AL134" r:id="rId851"/>
    <hyperlink ref="AO133" r:id="rId852"/>
    <hyperlink ref="AL133" r:id="rId853"/>
    <hyperlink ref="AO132" r:id="rId854"/>
    <hyperlink ref="AL132" r:id="rId855"/>
    <hyperlink ref="AO131" r:id="rId856"/>
    <hyperlink ref="AL131" r:id="rId857"/>
    <hyperlink ref="AO130" r:id="rId858"/>
    <hyperlink ref="AO129" r:id="rId859"/>
    <hyperlink ref="AO128" r:id="rId860"/>
    <hyperlink ref="AL128" r:id="rId861"/>
    <hyperlink ref="AO127" r:id="rId862"/>
    <hyperlink ref="AL127" r:id="rId863"/>
    <hyperlink ref="AO126" r:id="rId864"/>
    <hyperlink ref="AO125" r:id="rId865"/>
    <hyperlink ref="AL125" r:id="rId866"/>
    <hyperlink ref="AO124" r:id="rId867"/>
    <hyperlink ref="AL124" r:id="rId868"/>
    <hyperlink ref="AO123" r:id="rId869"/>
    <hyperlink ref="AL123" r:id="rId870"/>
    <hyperlink ref="AO122" r:id="rId871"/>
    <hyperlink ref="AL122" r:id="rId872"/>
    <hyperlink ref="AO121" r:id="rId873"/>
    <hyperlink ref="AL121" r:id="rId874"/>
    <hyperlink ref="AO120" r:id="rId875"/>
    <hyperlink ref="AO119" r:id="rId876"/>
    <hyperlink ref="AL119" r:id="rId877"/>
    <hyperlink ref="AO118" r:id="rId878"/>
    <hyperlink ref="AL118" r:id="rId879"/>
    <hyperlink ref="AO117" r:id="rId880"/>
    <hyperlink ref="AL117" r:id="rId881"/>
    <hyperlink ref="AO116" r:id="rId882"/>
    <hyperlink ref="AL116" r:id="rId883"/>
    <hyperlink ref="AO115" r:id="rId884"/>
    <hyperlink ref="AL115" r:id="rId885"/>
    <hyperlink ref="AO114" r:id="rId886"/>
    <hyperlink ref="AL114" r:id="rId887"/>
    <hyperlink ref="AO113" r:id="rId888"/>
    <hyperlink ref="AO112" r:id="rId889"/>
    <hyperlink ref="AL112" r:id="rId890"/>
    <hyperlink ref="AO111" r:id="rId891"/>
    <hyperlink ref="AL111" r:id="rId892"/>
    <hyperlink ref="AO110" r:id="rId893"/>
    <hyperlink ref="AL110" r:id="rId894"/>
    <hyperlink ref="AO109" r:id="rId895"/>
    <hyperlink ref="AO108" r:id="rId896"/>
    <hyperlink ref="AL108" r:id="rId897"/>
    <hyperlink ref="AO107" r:id="rId898"/>
    <hyperlink ref="AO106" r:id="rId899"/>
    <hyperlink ref="AL106" r:id="rId900"/>
    <hyperlink ref="AO105" r:id="rId901"/>
    <hyperlink ref="AL105" r:id="rId902"/>
    <hyperlink ref="AO104" r:id="rId903"/>
    <hyperlink ref="AL104" r:id="rId904"/>
    <hyperlink ref="AO103" r:id="rId905"/>
    <hyperlink ref="AL103" r:id="rId906"/>
    <hyperlink ref="AO102" r:id="rId907"/>
    <hyperlink ref="AL102" r:id="rId908"/>
    <hyperlink ref="AO101" r:id="rId909"/>
    <hyperlink ref="AL101" r:id="rId910"/>
    <hyperlink ref="AO100" r:id="rId911"/>
    <hyperlink ref="AO99" r:id="rId912"/>
    <hyperlink ref="AL99" r:id="rId913"/>
    <hyperlink ref="AO98" r:id="rId914"/>
    <hyperlink ref="AO97" r:id="rId915"/>
    <hyperlink ref="AL97" r:id="rId916"/>
    <hyperlink ref="AO96" r:id="rId917"/>
    <hyperlink ref="AL96" r:id="rId918"/>
    <hyperlink ref="AO95" r:id="rId919"/>
    <hyperlink ref="AL95" r:id="rId920"/>
    <hyperlink ref="AO94" r:id="rId921"/>
    <hyperlink ref="AL94" r:id="rId922"/>
    <hyperlink ref="AO93" r:id="rId923"/>
    <hyperlink ref="AL93" r:id="rId924"/>
    <hyperlink ref="AO92" r:id="rId925"/>
    <hyperlink ref="AL92" r:id="rId926"/>
    <hyperlink ref="AO91" r:id="rId927"/>
    <hyperlink ref="AL91" r:id="rId928"/>
    <hyperlink ref="AO90" r:id="rId929"/>
    <hyperlink ref="AO89" r:id="rId930"/>
    <hyperlink ref="AO88" r:id="rId931"/>
    <hyperlink ref="AL88" r:id="rId932"/>
    <hyperlink ref="AO87" r:id="rId933"/>
    <hyperlink ref="AO85" r:id="rId934"/>
    <hyperlink ref="AO84" r:id="rId935"/>
    <hyperlink ref="AL84" r:id="rId936"/>
    <hyperlink ref="AO83" r:id="rId937"/>
    <hyperlink ref="AL83" r:id="rId938"/>
    <hyperlink ref="AO82" r:id="rId939"/>
    <hyperlink ref="AO81" r:id="rId940"/>
    <hyperlink ref="AL81" r:id="rId941"/>
    <hyperlink ref="AO80" r:id="rId942"/>
    <hyperlink ref="AO79" r:id="rId943"/>
    <hyperlink ref="AO78" r:id="rId944"/>
    <hyperlink ref="AL78" r:id="rId945"/>
    <hyperlink ref="AO77" r:id="rId946"/>
    <hyperlink ref="AL77" r:id="rId947"/>
    <hyperlink ref="AO76" r:id="rId948"/>
    <hyperlink ref="AO75" r:id="rId949"/>
    <hyperlink ref="AO74" r:id="rId950"/>
    <hyperlink ref="AL74" r:id="rId951"/>
    <hyperlink ref="AO73" r:id="rId952"/>
    <hyperlink ref="AL73" r:id="rId953"/>
    <hyperlink ref="AO72" r:id="rId954"/>
    <hyperlink ref="AL72" r:id="rId955"/>
    <hyperlink ref="AO71" r:id="rId956"/>
    <hyperlink ref="AL71" r:id="rId957"/>
    <hyperlink ref="AO70" r:id="rId958"/>
    <hyperlink ref="AL70" r:id="rId959"/>
    <hyperlink ref="AO69" r:id="rId960"/>
    <hyperlink ref="AO68" r:id="rId961"/>
    <hyperlink ref="AL68" r:id="rId962"/>
    <hyperlink ref="AO67" r:id="rId963"/>
    <hyperlink ref="AL67" r:id="rId964"/>
    <hyperlink ref="AO66" r:id="rId965"/>
    <hyperlink ref="AO65" r:id="rId966"/>
    <hyperlink ref="AL65" r:id="rId967"/>
    <hyperlink ref="AO64" r:id="rId968"/>
    <hyperlink ref="AL64" r:id="rId969"/>
    <hyperlink ref="AO63" r:id="rId970"/>
    <hyperlink ref="AL63" r:id="rId971"/>
    <hyperlink ref="AO62" r:id="rId972"/>
    <hyperlink ref="AL62" r:id="rId973"/>
    <hyperlink ref="AO61" r:id="rId974"/>
    <hyperlink ref="AO60" r:id="rId975"/>
    <hyperlink ref="AL60" r:id="rId976"/>
    <hyperlink ref="AO59" r:id="rId977"/>
    <hyperlink ref="AL59" r:id="rId978"/>
    <hyperlink ref="AO58" r:id="rId979"/>
    <hyperlink ref="AL58" r:id="rId980"/>
    <hyperlink ref="AO57" r:id="rId981"/>
    <hyperlink ref="AL57" r:id="rId982"/>
    <hyperlink ref="AO56" r:id="rId983"/>
    <hyperlink ref="AL56" r:id="rId984"/>
    <hyperlink ref="AO55" r:id="rId985"/>
    <hyperlink ref="AL55" r:id="rId986"/>
    <hyperlink ref="AO54" r:id="rId987"/>
    <hyperlink ref="AO53" r:id="rId988"/>
    <hyperlink ref="AL53" r:id="rId989"/>
    <hyperlink ref="AO52" r:id="rId990"/>
    <hyperlink ref="AL52" r:id="rId991"/>
    <hyperlink ref="AO51" r:id="rId992"/>
    <hyperlink ref="AO50" r:id="rId993"/>
    <hyperlink ref="AL50" r:id="rId994"/>
    <hyperlink ref="AO49" r:id="rId995"/>
    <hyperlink ref="AL49" r:id="rId996"/>
    <hyperlink ref="AO48" r:id="rId997"/>
    <hyperlink ref="AO47" r:id="rId998"/>
    <hyperlink ref="AL47" r:id="rId999"/>
    <hyperlink ref="AO46" r:id="rId1000"/>
    <hyperlink ref="AO45" r:id="rId1001"/>
    <hyperlink ref="AO44" r:id="rId1002"/>
    <hyperlink ref="AL44" r:id="rId1003"/>
    <hyperlink ref="AO43" r:id="rId1004"/>
    <hyperlink ref="AL43" r:id="rId1005"/>
    <hyperlink ref="AO42" r:id="rId1006"/>
    <hyperlink ref="AO41" r:id="rId1007"/>
    <hyperlink ref="AL41" r:id="rId1008"/>
    <hyperlink ref="AO40" r:id="rId1009"/>
    <hyperlink ref="AO39" r:id="rId1010"/>
    <hyperlink ref="AL39" r:id="rId1011"/>
    <hyperlink ref="AO38" r:id="rId1012"/>
    <hyperlink ref="AL38" r:id="rId1013"/>
    <hyperlink ref="AO37" r:id="rId1014"/>
    <hyperlink ref="AL37" r:id="rId1015"/>
    <hyperlink ref="AO36" r:id="rId1016"/>
    <hyperlink ref="AL36" r:id="rId1017"/>
    <hyperlink ref="AO35" r:id="rId1018"/>
    <hyperlink ref="AL35" r:id="rId1019"/>
    <hyperlink ref="AO34" r:id="rId1020"/>
    <hyperlink ref="AL34" r:id="rId1021"/>
    <hyperlink ref="AO33" r:id="rId1022"/>
    <hyperlink ref="AL33" r:id="rId1023"/>
    <hyperlink ref="AO32" r:id="rId1024"/>
    <hyperlink ref="AL32" r:id="rId1025"/>
    <hyperlink ref="AO31" r:id="rId1026"/>
    <hyperlink ref="AL31" r:id="rId1027"/>
    <hyperlink ref="AO30" r:id="rId1028"/>
    <hyperlink ref="AL30" r:id="rId1029"/>
    <hyperlink ref="AO29" r:id="rId1030"/>
    <hyperlink ref="AL29" r:id="rId1031"/>
    <hyperlink ref="AO28" r:id="rId1032"/>
    <hyperlink ref="AL28" r:id="rId1033"/>
    <hyperlink ref="AO27" r:id="rId1034"/>
    <hyperlink ref="AL27" r:id="rId1035"/>
    <hyperlink ref="AO26" r:id="rId1036"/>
    <hyperlink ref="AO25" r:id="rId1037"/>
    <hyperlink ref="AO24" r:id="rId1038"/>
    <hyperlink ref="AL24" r:id="rId1039"/>
    <hyperlink ref="AO23" r:id="rId1040"/>
    <hyperlink ref="AO22" r:id="rId1041"/>
    <hyperlink ref="AO21" r:id="rId1042"/>
    <hyperlink ref="AO20" r:id="rId1043"/>
    <hyperlink ref="AL20" r:id="rId1044"/>
    <hyperlink ref="AO19" r:id="rId1045"/>
    <hyperlink ref="AL19" r:id="rId1046"/>
    <hyperlink ref="AO18" r:id="rId1047"/>
    <hyperlink ref="AL18" r:id="rId1048"/>
    <hyperlink ref="AO17" r:id="rId1049"/>
    <hyperlink ref="AL17" r:id="rId1050"/>
    <hyperlink ref="AO16" r:id="rId1051"/>
    <hyperlink ref="AL16" r:id="rId1052"/>
    <hyperlink ref="AO15" r:id="rId1053"/>
    <hyperlink ref="AL15" r:id="rId1054"/>
    <hyperlink ref="AO14" r:id="rId1055"/>
    <hyperlink ref="AL14" r:id="rId1056"/>
    <hyperlink ref="AO13" r:id="rId1057"/>
    <hyperlink ref="AO12" r:id="rId1058"/>
    <hyperlink ref="AO11" r:id="rId1059"/>
    <hyperlink ref="AO10" r:id="rId1060"/>
    <hyperlink ref="AL10" r:id="rId1061"/>
    <hyperlink ref="AO9" r:id="rId1062"/>
    <hyperlink ref="AO8" r:id="rId1063"/>
    <hyperlink ref="AO7" r:id="rId1064"/>
    <hyperlink ref="AL7" r:id="rId1065"/>
    <hyperlink ref="AO6" r:id="rId1066"/>
  </hyperlinks>
  <pageMargins left="0.7" right="0.7" top="0.75" bottom="0.75" header="0.51180555555555496" footer="0.51180555555555496"/>
  <pageSetup paperSize="9" firstPageNumber="0" orientation="portrait" horizontalDpi="300" verticalDpi="300" r:id="rId1067"/>
  <drawing r:id="rId1068"/>
  <legacyDrawing r:id="rId1069"/>
  <extLst>
    <ext xmlns:x14="http://schemas.microsoft.com/office/spreadsheetml/2009/9/main" uri="{CCE6A557-97BC-4b89-ADB6-D9C93CAAB3DF}">
      <x14:dataValidations xmlns:xm="http://schemas.microsoft.com/office/excel/2006/main" count="5">
        <x14:dataValidation type="list" allowBlank="1" showInputMessage="1" showErrorMessage="1">
          <x14:formula1>
            <xm:f>Données!$G$3:$G$93</xm:f>
          </x14:formula1>
          <x14:formula2>
            <xm:f>0</xm:f>
          </x14:formula2>
          <xm:sqref>AJ785:AJ795 AJ635 AJ640 AJ646:AJ649 AJ652 AJ657 AJ660:AJ663 AJ6:AJ625 AJ668:AJ671 AJ673:AJ677 AJ679 AJ681 AJ685:AJ686 AJ689:AJ691 AJ696:AJ697 AJ700:AJ702 AJ709:AJ711 AJ715 AJ718:AJ720 AJ722:AJ726 AJ665:AJ666 AJ737:AJ742 AJ732:AJ735 AJ746:AJ749 AJ753 AJ757:AJ758 AJ751 AJ766 AJ768 AJ771:AJ778 AJ760:AJ764</xm:sqref>
        </x14:dataValidation>
        <x14:dataValidation type="list" allowBlank="1" showErrorMessage="1" errorTitle="Entrée non valide" error="Sélectionnez une ville dans la liste">
          <x14:formula1>
            <xm:f>Données!$D$3:$D$33</xm:f>
          </x14:formula1>
          <x14:formula2>
            <xm:f>0</xm:f>
          </x14:formula2>
          <xm:sqref>AA1:AA3 AH788 AA6:AA795 AA797:AA1668</xm:sqref>
        </x14:dataValidation>
        <x14:dataValidation type="list" errorStyle="warning" allowBlank="1" showInputMessage="1" showErrorMessage="1">
          <x14:formula1>
            <xm:f>Données!$M$3:$M$5</xm:f>
          </x14:formula1>
          <xm:sqref>AT735 AT543 AT584 AT598 AT665 AT675 AT691 AT696 AT700 AT745:AT795</xm:sqref>
        </x14:dataValidation>
        <x14:dataValidation type="list" allowBlank="1" showInputMessage="1" showErrorMessage="1">
          <x14:formula1>
            <xm:f>Données!$I$3:$I$6</xm:f>
          </x14:formula1>
          <xm:sqref>AS735 AS543 AS584 AS598 AS665 AS675 AS691 AS696 AS700 AS745:AS795</xm:sqref>
        </x14:dataValidation>
        <x14:dataValidation type="list" allowBlank="1" showInputMessage="1" showErrorMessage="1">
          <x14:formula1>
            <xm:f>Données!$K$3:$K$7</xm:f>
          </x14:formula1>
          <xm:sqref>AQ745 AQ735 AQ543 AQ584 AQ598 AQ665 AQ675 AQ691 AQ696 AQ700 AQ748:AQ795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L27" sqref="L27"/>
    </sheetView>
  </sheetViews>
  <sheetFormatPr baseColWidth="10" defaultRowHeight="15"/>
  <cols>
    <col min="1" max="1" width="15.42578125" customWidth="1"/>
    <col min="2" max="2" width="12.85546875" style="2" customWidth="1"/>
    <col min="3" max="3" width="14" customWidth="1"/>
    <col min="4" max="5" width="11.42578125" customWidth="1"/>
  </cols>
  <sheetData>
    <row r="2" spans="1:8" ht="30">
      <c r="A2" s="71" t="s">
        <v>3228</v>
      </c>
      <c r="B2" s="72" t="s">
        <v>3132</v>
      </c>
      <c r="C2" s="72" t="s">
        <v>3229</v>
      </c>
      <c r="D2" s="73" t="s">
        <v>3239</v>
      </c>
      <c r="E2" s="73" t="s">
        <v>3240</v>
      </c>
      <c r="F2" s="73" t="s">
        <v>3230</v>
      </c>
      <c r="G2" s="73" t="s">
        <v>3231</v>
      </c>
      <c r="H2" s="74" t="s">
        <v>3232</v>
      </c>
    </row>
    <row r="3" spans="1:8">
      <c r="A3" s="71" t="str">
        <f>B3&amp;"-"&amp;C3</f>
        <v>1-Très modestes</v>
      </c>
      <c r="B3" s="73">
        <v>1</v>
      </c>
      <c r="C3" s="75" t="s">
        <v>3233</v>
      </c>
      <c r="D3" s="215">
        <v>14879</v>
      </c>
      <c r="E3" s="215">
        <v>15262</v>
      </c>
      <c r="F3" s="76">
        <v>16229</v>
      </c>
      <c r="G3" s="76">
        <v>17009</v>
      </c>
      <c r="H3" s="78"/>
    </row>
    <row r="4" spans="1:8">
      <c r="A4" s="71" t="str">
        <f t="shared" ref="A4:A23" si="0">B4&amp;"-"&amp;C4</f>
        <v>2-Très modestes</v>
      </c>
      <c r="B4" s="73">
        <v>2</v>
      </c>
      <c r="C4" s="75" t="s">
        <v>3233</v>
      </c>
      <c r="D4" s="215">
        <v>21760</v>
      </c>
      <c r="E4" s="215">
        <v>22320</v>
      </c>
      <c r="F4" s="76">
        <v>23734</v>
      </c>
      <c r="G4" s="76">
        <v>24875</v>
      </c>
      <c r="H4" s="78"/>
    </row>
    <row r="5" spans="1:8">
      <c r="A5" s="71" t="str">
        <f t="shared" si="0"/>
        <v>3-Très modestes</v>
      </c>
      <c r="B5" s="73">
        <v>3</v>
      </c>
      <c r="C5" s="75" t="s">
        <v>3233</v>
      </c>
      <c r="D5" s="215">
        <v>26170</v>
      </c>
      <c r="E5" s="215">
        <v>26844</v>
      </c>
      <c r="F5" s="76">
        <v>18545</v>
      </c>
      <c r="G5" s="76">
        <v>29917</v>
      </c>
      <c r="H5" s="78"/>
    </row>
    <row r="6" spans="1:8">
      <c r="A6" s="71" t="str">
        <f t="shared" si="0"/>
        <v>4-Très modestes</v>
      </c>
      <c r="B6" s="73">
        <v>4</v>
      </c>
      <c r="C6" s="75" t="s">
        <v>3233</v>
      </c>
      <c r="D6" s="215">
        <v>30572</v>
      </c>
      <c r="E6" s="215">
        <v>31359</v>
      </c>
      <c r="F6" s="76">
        <v>33346</v>
      </c>
      <c r="G6" s="76">
        <v>34948</v>
      </c>
      <c r="H6" s="77"/>
    </row>
    <row r="7" spans="1:8">
      <c r="A7" s="71" t="str">
        <f t="shared" si="0"/>
        <v>5-Très modestes</v>
      </c>
      <c r="B7" s="73">
        <v>5</v>
      </c>
      <c r="C7" s="75" t="s">
        <v>3233</v>
      </c>
      <c r="D7" s="215">
        <v>34993</v>
      </c>
      <c r="E7" s="215">
        <v>35894</v>
      </c>
      <c r="F7" s="76">
        <v>38168</v>
      </c>
      <c r="G7" s="76">
        <v>40002</v>
      </c>
      <c r="H7" s="77"/>
    </row>
    <row r="8" spans="1:8">
      <c r="A8" s="71" t="str">
        <f t="shared" si="0"/>
        <v>6-Très modestes</v>
      </c>
      <c r="B8" s="73">
        <v>6</v>
      </c>
      <c r="C8" s="75" t="s">
        <v>3233</v>
      </c>
      <c r="D8" s="215">
        <f>D7+4412</f>
        <v>39405</v>
      </c>
      <c r="E8" s="215">
        <f>E7+4526</f>
        <v>40420</v>
      </c>
      <c r="F8" s="76">
        <f>38168+4813</f>
        <v>42981</v>
      </c>
      <c r="G8" s="76">
        <f>G7+5045</f>
        <v>45047</v>
      </c>
      <c r="H8" s="77"/>
    </row>
    <row r="9" spans="1:8">
      <c r="A9" s="71" t="str">
        <f t="shared" si="0"/>
        <v>7-Très modestes</v>
      </c>
      <c r="B9" s="73">
        <v>7</v>
      </c>
      <c r="C9" s="75" t="s">
        <v>3233</v>
      </c>
      <c r="D9" s="215">
        <f>D8+4412</f>
        <v>43817</v>
      </c>
      <c r="E9" s="215">
        <f>E8+4526</f>
        <v>44946</v>
      </c>
      <c r="F9" s="76">
        <f>F8+4813</f>
        <v>47794</v>
      </c>
      <c r="G9" s="76">
        <f>G8+5045</f>
        <v>50092</v>
      </c>
      <c r="H9" s="77"/>
    </row>
    <row r="10" spans="1:8">
      <c r="A10" s="71" t="str">
        <f t="shared" si="0"/>
        <v>1-Modestes</v>
      </c>
      <c r="B10" s="73">
        <v>1</v>
      </c>
      <c r="C10" s="75" t="s">
        <v>3234</v>
      </c>
      <c r="D10" s="215">
        <v>19074</v>
      </c>
      <c r="E10" s="215">
        <v>19565</v>
      </c>
      <c r="F10" s="76">
        <v>20805</v>
      </c>
      <c r="G10" s="76">
        <v>21805</v>
      </c>
      <c r="H10" s="77"/>
    </row>
    <row r="11" spans="1:8">
      <c r="A11" s="71" t="str">
        <f t="shared" si="0"/>
        <v>2-Modestes</v>
      </c>
      <c r="B11" s="73">
        <v>2</v>
      </c>
      <c r="C11" s="75" t="s">
        <v>3234</v>
      </c>
      <c r="D11" s="215">
        <v>27896</v>
      </c>
      <c r="E11" s="215">
        <v>28614</v>
      </c>
      <c r="F11" s="76">
        <v>30427</v>
      </c>
      <c r="G11" s="76">
        <v>31889</v>
      </c>
      <c r="H11" s="77"/>
    </row>
    <row r="12" spans="1:8">
      <c r="A12" s="71" t="str">
        <f t="shared" si="0"/>
        <v>3-Modestes</v>
      </c>
      <c r="B12" s="73">
        <v>3</v>
      </c>
      <c r="C12" s="75" t="s">
        <v>3234</v>
      </c>
      <c r="D12" s="215">
        <v>33547</v>
      </c>
      <c r="E12" s="215">
        <v>34411</v>
      </c>
      <c r="F12" s="76">
        <v>36591</v>
      </c>
      <c r="G12" s="76">
        <v>38349</v>
      </c>
      <c r="H12" s="77"/>
    </row>
    <row r="13" spans="1:8">
      <c r="A13" s="71" t="str">
        <f t="shared" si="0"/>
        <v>4-Modestes</v>
      </c>
      <c r="B13" s="73">
        <v>4</v>
      </c>
      <c r="C13" s="75" t="s">
        <v>3234</v>
      </c>
      <c r="D13" s="215">
        <v>39192</v>
      </c>
      <c r="E13" s="215">
        <v>40201</v>
      </c>
      <c r="F13" s="76">
        <v>42748</v>
      </c>
      <c r="G13" s="76">
        <v>44802</v>
      </c>
      <c r="H13" s="77"/>
    </row>
    <row r="14" spans="1:8">
      <c r="A14" s="71" t="str">
        <f t="shared" si="0"/>
        <v>5-Modestes</v>
      </c>
      <c r="B14" s="73">
        <v>5</v>
      </c>
      <c r="C14" s="75" t="s">
        <v>3234</v>
      </c>
      <c r="D14" s="215">
        <v>44860</v>
      </c>
      <c r="E14" s="215">
        <v>46015</v>
      </c>
      <c r="F14" s="76">
        <v>48930</v>
      </c>
      <c r="G14" s="76">
        <v>51281</v>
      </c>
      <c r="H14" s="77"/>
    </row>
    <row r="15" spans="1:8">
      <c r="A15" s="71" t="str">
        <f t="shared" si="0"/>
        <v>6-Modestes</v>
      </c>
      <c r="B15" s="73">
        <v>6</v>
      </c>
      <c r="C15" s="75" t="s">
        <v>3234</v>
      </c>
      <c r="D15" s="215">
        <f>D14+5651</f>
        <v>50511</v>
      </c>
      <c r="E15" s="215">
        <f>E14+5797</f>
        <v>51812</v>
      </c>
      <c r="F15" s="76">
        <f>F14+6165</f>
        <v>55095</v>
      </c>
      <c r="G15" s="76">
        <f>G14+6462</f>
        <v>57743</v>
      </c>
      <c r="H15" s="77"/>
    </row>
    <row r="16" spans="1:8">
      <c r="A16" s="71" t="str">
        <f t="shared" si="0"/>
        <v>7-Modestes</v>
      </c>
      <c r="B16" s="73">
        <v>7</v>
      </c>
      <c r="C16" s="75" t="s">
        <v>3234</v>
      </c>
      <c r="D16" s="215">
        <f>D15+5651</f>
        <v>56162</v>
      </c>
      <c r="E16" s="215">
        <f>E15+5797</f>
        <v>57609</v>
      </c>
      <c r="F16" s="76">
        <f>F15+6165</f>
        <v>61260</v>
      </c>
      <c r="G16" s="76">
        <f>G15+6462</f>
        <v>64205</v>
      </c>
      <c r="H16" s="77"/>
    </row>
    <row r="17" spans="1:8">
      <c r="A17" s="71" t="str">
        <f t="shared" si="0"/>
        <v>1-Intermédiaire</v>
      </c>
      <c r="B17" s="73">
        <v>1</v>
      </c>
      <c r="C17" s="75" t="s">
        <v>3235</v>
      </c>
      <c r="D17" s="215">
        <v>29148</v>
      </c>
      <c r="E17" s="215">
        <v>29148</v>
      </c>
      <c r="F17" s="76">
        <v>29148</v>
      </c>
      <c r="G17" s="76">
        <v>30549</v>
      </c>
      <c r="H17" s="77"/>
    </row>
    <row r="18" spans="1:8">
      <c r="A18" s="71" t="str">
        <f t="shared" si="0"/>
        <v>2-Intermédiaire</v>
      </c>
      <c r="B18" s="73">
        <v>2</v>
      </c>
      <c r="C18" s="75" t="s">
        <v>3235</v>
      </c>
      <c r="D18" s="215">
        <v>42848</v>
      </c>
      <c r="E18" s="215">
        <v>42848</v>
      </c>
      <c r="F18" s="76">
        <v>42848</v>
      </c>
      <c r="G18" s="76">
        <v>44907</v>
      </c>
      <c r="H18" s="77"/>
    </row>
    <row r="19" spans="1:8">
      <c r="A19" s="71" t="str">
        <f t="shared" si="0"/>
        <v>3-Intermédiaire</v>
      </c>
      <c r="B19" s="73">
        <v>3</v>
      </c>
      <c r="C19" s="75" t="s">
        <v>3235</v>
      </c>
      <c r="D19" s="215">
        <v>51592</v>
      </c>
      <c r="E19" s="215">
        <v>51592</v>
      </c>
      <c r="F19" s="76">
        <v>51592</v>
      </c>
      <c r="G19" s="76">
        <v>54071</v>
      </c>
      <c r="H19" s="77"/>
    </row>
    <row r="20" spans="1:8">
      <c r="A20" s="71" t="str">
        <f t="shared" si="0"/>
        <v>4-Intermédiaire</v>
      </c>
      <c r="B20" s="73">
        <v>4</v>
      </c>
      <c r="C20" s="75" t="s">
        <v>3235</v>
      </c>
      <c r="D20" s="215">
        <v>60336</v>
      </c>
      <c r="E20" s="215">
        <v>60336</v>
      </c>
      <c r="F20" s="76">
        <v>60336</v>
      </c>
      <c r="G20" s="76">
        <v>63235</v>
      </c>
      <c r="H20" s="77"/>
    </row>
    <row r="21" spans="1:8">
      <c r="A21" s="71" t="str">
        <f t="shared" si="0"/>
        <v>5-Intermédiaire</v>
      </c>
      <c r="B21" s="73">
        <v>5</v>
      </c>
      <c r="C21" s="75" t="s">
        <v>3235</v>
      </c>
      <c r="D21" s="215">
        <v>69081</v>
      </c>
      <c r="E21" s="215">
        <v>69081</v>
      </c>
      <c r="F21" s="76">
        <v>69081</v>
      </c>
      <c r="G21" s="76">
        <v>72400</v>
      </c>
      <c r="H21" s="77"/>
    </row>
    <row r="22" spans="1:8">
      <c r="A22" s="71" t="str">
        <f t="shared" si="0"/>
        <v>6-Intermédiaire</v>
      </c>
      <c r="B22" s="73">
        <v>6</v>
      </c>
      <c r="C22" s="75" t="s">
        <v>3235</v>
      </c>
      <c r="D22" s="215">
        <f>D21+8744</f>
        <v>77825</v>
      </c>
      <c r="E22" s="215">
        <f>E21+8744</f>
        <v>77825</v>
      </c>
      <c r="F22" s="76">
        <f>69081+8744</f>
        <v>77825</v>
      </c>
      <c r="G22" s="76">
        <f>G21+9165</f>
        <v>81565</v>
      </c>
      <c r="H22" s="78"/>
    </row>
    <row r="23" spans="1:8">
      <c r="A23" s="71" t="str">
        <f t="shared" si="0"/>
        <v>7-Intermédiaire</v>
      </c>
      <c r="B23" s="73">
        <v>7</v>
      </c>
      <c r="C23" s="75" t="s">
        <v>3235</v>
      </c>
      <c r="D23" s="215">
        <f>D22+8744</f>
        <v>86569</v>
      </c>
      <c r="E23" s="215">
        <f>E22+8744</f>
        <v>86569</v>
      </c>
      <c r="F23" s="76">
        <f>F22+8744</f>
        <v>86569</v>
      </c>
      <c r="G23" s="76">
        <f>G22+9165</f>
        <v>90730</v>
      </c>
      <c r="H23" s="78"/>
    </row>
    <row r="24" spans="1:8">
      <c r="A24" s="2"/>
    </row>
    <row r="25" spans="1:8">
      <c r="A25" s="2"/>
    </row>
    <row r="26" spans="1:8">
      <c r="A26" s="2"/>
    </row>
    <row r="27" spans="1:8">
      <c r="A27" s="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4"/>
  <sheetViews>
    <sheetView workbookViewId="0">
      <selection activeCell="H12" sqref="H12"/>
    </sheetView>
  </sheetViews>
  <sheetFormatPr baseColWidth="10" defaultColWidth="11.5703125" defaultRowHeight="15"/>
  <cols>
    <col min="1" max="1" width="19.5703125" style="66" customWidth="1"/>
    <col min="2" max="16384" width="11.5703125" style="66"/>
  </cols>
  <sheetData>
    <row r="2" spans="1:7">
      <c r="A2" s="64" t="s">
        <v>3132</v>
      </c>
      <c r="B2" s="65">
        <v>2020</v>
      </c>
      <c r="C2" s="65">
        <v>2021</v>
      </c>
      <c r="D2" s="65">
        <v>2022</v>
      </c>
      <c r="E2" s="65">
        <v>2023</v>
      </c>
      <c r="F2" s="65">
        <v>2024</v>
      </c>
      <c r="G2" s="65">
        <v>2025</v>
      </c>
    </row>
    <row r="3" spans="1:7">
      <c r="A3" s="65">
        <v>1</v>
      </c>
      <c r="B3" s="67">
        <v>19074</v>
      </c>
      <c r="C3" s="68">
        <v>19074</v>
      </c>
      <c r="D3" s="68">
        <v>19565</v>
      </c>
      <c r="E3" s="68">
        <v>20805</v>
      </c>
      <c r="F3" s="70"/>
      <c r="G3" s="70"/>
    </row>
    <row r="4" spans="1:7">
      <c r="A4" s="65">
        <v>2</v>
      </c>
      <c r="B4" s="67">
        <v>27896</v>
      </c>
      <c r="C4" s="68">
        <v>27896</v>
      </c>
      <c r="D4" s="68">
        <v>28614</v>
      </c>
      <c r="E4" s="68">
        <v>30427</v>
      </c>
      <c r="F4" s="70"/>
      <c r="G4" s="70"/>
    </row>
    <row r="5" spans="1:7">
      <c r="A5" s="65">
        <v>3</v>
      </c>
      <c r="B5" s="67">
        <v>33547</v>
      </c>
      <c r="C5" s="68">
        <v>33547</v>
      </c>
      <c r="D5" s="68">
        <v>34411</v>
      </c>
      <c r="E5" s="68">
        <v>36591</v>
      </c>
      <c r="F5" s="70"/>
      <c r="G5" s="70"/>
    </row>
    <row r="6" spans="1:7">
      <c r="A6" s="65">
        <v>4</v>
      </c>
      <c r="B6" s="67">
        <v>39192</v>
      </c>
      <c r="C6" s="68">
        <v>39192</v>
      </c>
      <c r="D6" s="68">
        <v>40201</v>
      </c>
      <c r="E6" s="68">
        <v>42748</v>
      </c>
      <c r="F6" s="70"/>
      <c r="G6" s="70"/>
    </row>
    <row r="7" spans="1:7">
      <c r="A7" s="65">
        <v>5</v>
      </c>
      <c r="B7" s="67">
        <v>44860</v>
      </c>
      <c r="C7" s="68">
        <v>44860</v>
      </c>
      <c r="D7" s="68">
        <v>46015</v>
      </c>
      <c r="E7" s="68">
        <v>48930</v>
      </c>
      <c r="F7" s="70"/>
      <c r="G7" s="70"/>
    </row>
    <row r="8" spans="1:7">
      <c r="A8" s="65">
        <v>6</v>
      </c>
      <c r="B8" s="67">
        <f>B7+5651</f>
        <v>50511</v>
      </c>
      <c r="C8" s="68">
        <f>C7+5651</f>
        <v>50511</v>
      </c>
      <c r="D8" s="68">
        <f>D7+5797</f>
        <v>51812</v>
      </c>
      <c r="E8" s="68">
        <f>E7+6165</f>
        <v>55095</v>
      </c>
      <c r="F8" s="70"/>
      <c r="G8" s="70"/>
    </row>
    <row r="9" spans="1:7">
      <c r="A9" s="65">
        <v>7</v>
      </c>
      <c r="B9" s="67">
        <f>B8+5651</f>
        <v>56162</v>
      </c>
      <c r="C9" s="68">
        <f>C8+5651</f>
        <v>56162</v>
      </c>
      <c r="D9" s="68">
        <f>D8+5797</f>
        <v>57609</v>
      </c>
      <c r="E9" s="68">
        <f>E8+6165</f>
        <v>61260</v>
      </c>
      <c r="F9" s="70"/>
      <c r="G9" s="70"/>
    </row>
    <row r="12" spans="1:7" ht="75">
      <c r="A12" s="69" t="s">
        <v>3133</v>
      </c>
      <c r="B12" s="65">
        <v>2020</v>
      </c>
      <c r="C12" s="65">
        <v>2021</v>
      </c>
      <c r="D12" s="65">
        <v>2022</v>
      </c>
      <c r="E12" s="65">
        <v>2023</v>
      </c>
      <c r="F12" s="65">
        <v>2024</v>
      </c>
      <c r="G12" s="65">
        <v>2025</v>
      </c>
    </row>
    <row r="13" spans="1:7">
      <c r="A13" s="65">
        <v>1</v>
      </c>
      <c r="B13" s="68">
        <v>400</v>
      </c>
      <c r="C13" s="68">
        <v>600</v>
      </c>
      <c r="D13" s="68">
        <v>600</v>
      </c>
      <c r="E13" s="68">
        <v>600</v>
      </c>
      <c r="F13" s="68"/>
      <c r="G13" s="68"/>
    </row>
    <row r="14" spans="1:7">
      <c r="A14" s="65">
        <v>2</v>
      </c>
      <c r="B14" s="68">
        <v>800</v>
      </c>
      <c r="C14" s="68">
        <v>1000</v>
      </c>
      <c r="D14" s="68">
        <v>1000</v>
      </c>
      <c r="E14" s="68">
        <v>1000</v>
      </c>
      <c r="F14" s="68"/>
      <c r="G14" s="6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zoomScale="125" zoomScaleNormal="125" workbookViewId="0">
      <selection activeCell="D16" sqref="D16"/>
    </sheetView>
  </sheetViews>
  <sheetFormatPr baseColWidth="10" defaultColWidth="12" defaultRowHeight="15"/>
  <cols>
    <col min="1" max="1" width="70.5703125" customWidth="1"/>
    <col min="2" max="2" width="20.42578125" customWidth="1"/>
    <col min="3" max="3" width="13" style="2" customWidth="1"/>
    <col min="8" max="8" width="13.140625" customWidth="1"/>
  </cols>
  <sheetData>
    <row r="1" spans="1:12" ht="26.25">
      <c r="A1" s="221" t="s">
        <v>2887</v>
      </c>
      <c r="B1" s="221"/>
      <c r="C1" s="221"/>
      <c r="D1" s="3"/>
      <c r="E1" s="4"/>
      <c r="F1" s="222" t="s">
        <v>2888</v>
      </c>
      <c r="G1" s="222"/>
      <c r="H1" s="222"/>
      <c r="I1" s="222"/>
      <c r="J1" s="222"/>
      <c r="K1" s="222"/>
      <c r="L1" s="222"/>
    </row>
    <row r="2" spans="1:12">
      <c r="A2" s="3"/>
      <c r="B2" s="3"/>
      <c r="C2" s="5"/>
      <c r="D2" s="3"/>
      <c r="E2" s="6"/>
      <c r="F2" s="7"/>
      <c r="G2" s="7"/>
      <c r="H2" s="7"/>
      <c r="I2" s="7"/>
      <c r="J2" s="7"/>
      <c r="K2" s="7"/>
      <c r="L2" s="8"/>
    </row>
    <row r="3" spans="1:12">
      <c r="A3" s="6" t="s">
        <v>2889</v>
      </c>
      <c r="B3" s="9">
        <f>COUNTIFS(BD!D4:D1512,"&gt;=01/01/2016",BD!D4:D1512,"&lt;31/12/2025")</f>
        <v>750</v>
      </c>
      <c r="C3" s="10" t="s">
        <v>2890</v>
      </c>
      <c r="D3" s="3"/>
      <c r="E3" s="6"/>
      <c r="F3" s="7"/>
      <c r="G3" s="7">
        <v>2020</v>
      </c>
      <c r="H3" s="7">
        <v>2021</v>
      </c>
      <c r="I3" s="7">
        <v>2022</v>
      </c>
      <c r="J3" s="7">
        <v>2023</v>
      </c>
      <c r="K3" s="7">
        <v>2024</v>
      </c>
      <c r="L3" s="8"/>
    </row>
    <row r="4" spans="1:12">
      <c r="A4" s="7" t="s">
        <v>2891</v>
      </c>
      <c r="B4" s="11">
        <f>COUNTIFS(BD!I4:I1512,"&gt;=01/01/2015",BD!I4:I1512,"&lt;31/12/2025")</f>
        <v>701</v>
      </c>
      <c r="C4" s="10" t="s">
        <v>2890</v>
      </c>
      <c r="D4" s="3"/>
      <c r="E4" s="6"/>
      <c r="F4" s="7" t="s">
        <v>2892</v>
      </c>
      <c r="G4" s="7">
        <f>SUMPRODUCT((BD!D4:D1512&gt;="01/01/2020"*1)*(BD!D4:D1512&lt;="31/01/2020"*1))</f>
        <v>2</v>
      </c>
      <c r="H4" s="7">
        <f>SUMPRODUCT((BD!D4:D1512&gt;="01/01/2021"*1)*(BD!D4:D1512&lt;="31/01/2021"*1))</f>
        <v>10</v>
      </c>
      <c r="I4" s="7">
        <f>SUMPRODUCT((BD!D4:D1512&gt;="01/01/2022"*1)*(BD!D4:D1512&lt;="31/01/2022"*1))</f>
        <v>22</v>
      </c>
      <c r="J4" s="7">
        <f>SUMPRODUCT((BD!D4:D1512&gt;="01/01/2023"*1)*(BD!D4:D1512&lt;="31/01/2023"*1))</f>
        <v>11</v>
      </c>
      <c r="K4" s="7">
        <f>SUMPRODUCT((BD!D4:D1512&gt;="01/01/2024"*1)*(BD!D4:D1512&lt;="31/01/2024"*1))</f>
        <v>15</v>
      </c>
      <c r="L4" s="8"/>
    </row>
    <row r="5" spans="1:12">
      <c r="A5" s="6" t="s">
        <v>2893</v>
      </c>
      <c r="B5" s="9" t="e">
        <f>COUNTIF(BD!#REF!,"-")</f>
        <v>#REF!</v>
      </c>
      <c r="C5" s="12" t="s">
        <v>2890</v>
      </c>
      <c r="D5" s="3"/>
      <c r="E5" s="6"/>
      <c r="F5" s="7" t="s">
        <v>2894</v>
      </c>
      <c r="G5" s="7">
        <f>SUMPRODUCT((BD!D4:D1512&gt;="01/02/2020"*1)*(BD!D4:D1512&lt;="28/02/2020"*1))</f>
        <v>1</v>
      </c>
      <c r="H5" s="7">
        <f>SUMPRODUCT((BD!$D$4:$D$1512&gt;="01/02/2021"*1)*(BD!$D$4:$D$1512&lt;="28/02/2021"*1))</f>
        <v>17</v>
      </c>
      <c r="I5" s="7">
        <f>SUMPRODUCT((BD!$D$4:$D$1512&gt;="01/02/2022"*1)*(BD!$D$4:$D$1512&lt;="28/02/2022"*1))</f>
        <v>22</v>
      </c>
      <c r="J5" s="7">
        <f>SUMPRODUCT((BD!$D$4:$D$1512&gt;="01/02/2023"*1)*(BD!$D$4:$D$1512&lt;="28/02/2023"*1))</f>
        <v>16</v>
      </c>
      <c r="K5" s="7">
        <f>SUMPRODUCT((BD!$D$4:$D$1512&gt;="01/02/2024"*1)*(BD!$D$4:$D$1512&lt;="28/02/2024"*1))</f>
        <v>15</v>
      </c>
      <c r="L5" s="8"/>
    </row>
    <row r="6" spans="1:12">
      <c r="A6" s="6" t="s">
        <v>2895</v>
      </c>
      <c r="B6" s="9">
        <f>COUNTIFS(BD!O4:O1512,"&gt;=01/01/2015",BD!O4:O1512,"&lt;31/12/2025")</f>
        <v>626</v>
      </c>
      <c r="C6" s="12" t="s">
        <v>2890</v>
      </c>
      <c r="D6" s="3"/>
      <c r="E6" s="6"/>
      <c r="F6" s="7" t="s">
        <v>2896</v>
      </c>
      <c r="G6" s="7">
        <f>SUMPRODUCT((BD!D4:D1512&gt;="01/03/2020"*1)*(BD!D4:D1512&lt;="31/03/2020"*1))</f>
        <v>0</v>
      </c>
      <c r="H6" s="7">
        <f>SUMPRODUCT((BD!$D$4:$D$1512&gt;="01/03/2021"*1)*(BD!$D$4:$D$1512&lt;="31/03/2021"*1))</f>
        <v>24</v>
      </c>
      <c r="I6" s="7">
        <f>SUMPRODUCT((BD!$D$4:$D$1512&gt;="01/03/2022"*1)*(BD!$D$4:$D$1512&lt;="31/03/2022"*1))</f>
        <v>27</v>
      </c>
      <c r="J6" s="7">
        <f>SUMPRODUCT((BD!$D$4:$D$1512&gt;="01/03/2023"*1)*(BD!$D$4:$D$1512&lt;="31/03/2023"*1))</f>
        <v>20</v>
      </c>
      <c r="K6" s="7">
        <f>SUMPRODUCT((BD!$D$4:$D$1512&gt;="01/03/2024"*1)*(BD!$D$4:$D$1512&lt;="31/03/2024"*1))</f>
        <v>10</v>
      </c>
      <c r="L6" s="8"/>
    </row>
    <row r="7" spans="1:12">
      <c r="A7" s="13" t="s">
        <v>2897</v>
      </c>
      <c r="B7" s="14" t="e">
        <f>COUNTIFS(BD!D4:D1512,"&gt;=01/01/2015",BD!N4:N1512,"&lt;31/12/2025",BD!#REF!,"=800")+COUNTIFS(BD!D4:D1512,"&gt;=01/01/2015",BD!N4:N1512,"&lt;31/12/2025",BD!#REF!,"=1000")</f>
        <v>#REF!</v>
      </c>
      <c r="C7" s="15"/>
      <c r="D7" s="3"/>
      <c r="E7" s="6"/>
      <c r="F7" s="7" t="s">
        <v>2898</v>
      </c>
      <c r="G7" s="7">
        <f>SUMPRODUCT((BD!D4:D1512&gt;="01/04/2020"*1)*(BD!D4:D1512&lt;="30/04/2020"*1))</f>
        <v>0</v>
      </c>
      <c r="H7" s="7">
        <f>SUMPRODUCT((BD!$D$4:$D$1512&gt;="01/04/2021"*1)*(BD!$D$4:$D$1512&lt;="30/04/2021"*1))</f>
        <v>13</v>
      </c>
      <c r="I7" s="7">
        <f>SUMPRODUCT((BD!$D$4:$D$1512&gt;="01/04/2022"*1)*(BD!$D$4:$D$1512&lt;="30/04/2022"*1))</f>
        <v>25</v>
      </c>
      <c r="J7" s="7">
        <f>SUMPRODUCT((BD!$D$4:$D$1512&gt;="01/04/2023"*1)*(BD!$D$4:$D$1512&lt;="30/04/2023"*1))</f>
        <v>7</v>
      </c>
      <c r="K7" s="7">
        <f>SUMPRODUCT((BD!$D$4:$D$1512&gt;="01/04/2024"*1)*(BD!$D$4:$D$1512&lt;="30/04/2024"*1))</f>
        <v>0</v>
      </c>
      <c r="L7" s="8"/>
    </row>
    <row r="8" spans="1:12">
      <c r="A8" s="13" t="s">
        <v>2899</v>
      </c>
      <c r="B8" s="14" t="e">
        <f>COUNTIFS(BD!D4:D1512,"&gt;=01/01/2015",BD!D4:D1512,"&lt;31/12/2025",BD!#REF!,"=400")+COUNTIFS(BD!D4:D1512,"&gt;=01/01/2015",BD!D4:D1512,"&lt;31/12/2025",BD!#REF!,"=600")</f>
        <v>#REF!</v>
      </c>
      <c r="C8" s="15"/>
      <c r="D8" s="3"/>
      <c r="E8" s="6"/>
      <c r="F8" s="7" t="s">
        <v>2900</v>
      </c>
      <c r="G8" s="7">
        <f>SUMPRODUCT((BD!D4:D1512&gt;="01/05/2020"*1)*(BD!D4:D1512&lt;="31/05/2020"*1))</f>
        <v>2</v>
      </c>
      <c r="H8" s="7">
        <f>SUMPRODUCT((BD!$D$4:$D$1512&gt;="01/05/2021"*1)*(BD!$D$4:$D$1512&lt;="31/05/2021"*1))</f>
        <v>20</v>
      </c>
      <c r="I8" s="7">
        <f>SUMPRODUCT((BD!$D$4:$D$1512&gt;="01/05/2022"*1)*(BD!$D$4:$D$1512&lt;="31/05/2022"*1))</f>
        <v>20</v>
      </c>
      <c r="J8" s="7">
        <f>SUMPRODUCT((BD!$D$4:$D$1512&gt;="01/05/2023"*1)*(BD!$D$4:$D$1512&lt;="31/05/2023"*1))</f>
        <v>15</v>
      </c>
      <c r="K8" s="7">
        <f>SUMPRODUCT((BD!$D$4:$D$1512&gt;="01/05/2024"*1)*(BD!$D$4:$D$1512&lt;="31/05/2024"*1))</f>
        <v>0</v>
      </c>
      <c r="L8" s="8"/>
    </row>
    <row r="9" spans="1:12">
      <c r="A9" s="7" t="s">
        <v>2901</v>
      </c>
      <c r="B9" s="14" t="e">
        <f>800*B7+400*B8</f>
        <v>#REF!</v>
      </c>
      <c r="C9" s="15"/>
      <c r="D9" s="3"/>
      <c r="E9" s="6"/>
      <c r="F9" s="7" t="s">
        <v>2902</v>
      </c>
      <c r="G9" s="7">
        <f>SUMPRODUCT((BD!D4:D1512&gt;="01/06/2020"*1)*(BD!D4:D1512&lt;="30/06/2020"*1))</f>
        <v>8</v>
      </c>
      <c r="H9" s="7">
        <f>SUMPRODUCT((BD!$D$4:$D$1512&gt;="01/06/2021"*1)*(BD!$D$4:$D$1512&lt;="30/06/2021"*1))</f>
        <v>21</v>
      </c>
      <c r="I9" s="7">
        <f>SUMPRODUCT((BD!$D$4:$D$1512&gt;="01/06/2022"*1)*(BD!$D$4:$D$1512&lt;="30/06/2022"*1))</f>
        <v>16</v>
      </c>
      <c r="J9" s="7">
        <f>SUMPRODUCT((BD!$D$4:$D$1512&gt;="01/06/2023"*1)*(BD!$D$4:$D$1512&lt;="30/06/2023"*1))</f>
        <v>9</v>
      </c>
      <c r="K9" s="7">
        <f>SUMPRODUCT((BD!$D$4:$D$1512&gt;="01/06/2024"*1)*(BD!$D$4:$D$1512&lt;="30/06/2024"*1))</f>
        <v>0</v>
      </c>
      <c r="L9" s="8"/>
    </row>
    <row r="10" spans="1:12">
      <c r="A10" s="13" t="s">
        <v>2903</v>
      </c>
      <c r="B10" s="16" t="e">
        <f>COUNTIFS(BD!D4:D1512,"&gt;=01/01/2015",BD!D4:D1512,"&lt;31/12/2025",BD!#REF!,"=800?")</f>
        <v>#REF!</v>
      </c>
      <c r="C10" s="15" t="s">
        <v>2890</v>
      </c>
      <c r="D10" s="3"/>
      <c r="E10" s="6"/>
      <c r="F10" s="7" t="s">
        <v>2904</v>
      </c>
      <c r="G10" s="7">
        <f>SUMPRODUCT((BD!D4:D1512&gt;="01/07/2020"*1)*(BD!D4:D1512&lt;="31/07/2020"*1))</f>
        <v>17</v>
      </c>
      <c r="H10" s="7">
        <f>SUMPRODUCT((BD!$D$4:$D$1512&gt;="01/07/2021"*1)*(BD!$D$4:$D$1512&lt;="31/07/2021"*1))</f>
        <v>21</v>
      </c>
      <c r="I10" s="7">
        <f>SUMPRODUCT((BD!$D$4:$D$1512&gt;="01/07/2022"*1)*(BD!$D$4:$D$1512&lt;="31/07/2022"*1))</f>
        <v>19</v>
      </c>
      <c r="J10" s="7">
        <f>SUMPRODUCT((BD!$D$4:$D$1512&gt;="01/07/2023"*1)*(BD!$D$4:$D$1512&lt;="31/07/2023"*1))</f>
        <v>15</v>
      </c>
      <c r="K10" s="7">
        <f>SUMPRODUCT((BD!$D$4:$D$1512&gt;="01/07/2024"*1)*(BD!$D$4:$D$1512&lt;="31/07/2024"*1))</f>
        <v>0</v>
      </c>
      <c r="L10" s="8"/>
    </row>
    <row r="11" spans="1:12">
      <c r="A11" s="13" t="s">
        <v>2905</v>
      </c>
      <c r="B11" s="16" t="e">
        <f>COUNTIFS(BD!D4:D1512,"&gt;=01/01/2015",BD!D4:D1512,"&lt;31/12/2025",BD!#REF!,"=400?")</f>
        <v>#REF!</v>
      </c>
      <c r="C11" s="15" t="s">
        <v>2890</v>
      </c>
      <c r="D11" s="3"/>
      <c r="E11" s="6"/>
      <c r="F11" s="7" t="s">
        <v>2906</v>
      </c>
      <c r="G11" s="7">
        <f>SUMPRODUCT((BD!D4:D1512&gt;="01/08/2020"*1)*(BD!D4:D1512&lt;="31/08/2020"*1))</f>
        <v>14</v>
      </c>
      <c r="H11" s="7">
        <f>SUMPRODUCT((BD!$D$4:$D$1512&gt;="01/08/2021"*1)*(BD!$D$4:$D$1512&lt;="31/08/2021"*1))</f>
        <v>5</v>
      </c>
      <c r="I11" s="7">
        <f>SUMPRODUCT((BD!$D$4:$D$1512&gt;="01/08/2022"*1)*(BD!$D$4:$D$1512&lt;="31/08/2022"*1))</f>
        <v>11</v>
      </c>
      <c r="J11" s="7">
        <f>SUMPRODUCT((BD!$D$4:$D$1512&gt;="01/08/2023"*1)*(BD!$D$4:$D$1512&lt;="31/08/2023"*1))</f>
        <v>9</v>
      </c>
      <c r="K11" s="7">
        <f>SUMPRODUCT((BD!$D$4:$D$1512&gt;="01/08/2024"*1)*(BD!$D$4:$D$1512&lt;="31/08/2024"*1))</f>
        <v>0</v>
      </c>
      <c r="L11" s="8"/>
    </row>
    <row r="12" spans="1:12">
      <c r="A12" s="7" t="s">
        <v>2907</v>
      </c>
      <c r="B12" s="14" t="e">
        <f>800*B10+400*B11</f>
        <v>#REF!</v>
      </c>
      <c r="C12" s="15" t="s">
        <v>2890</v>
      </c>
      <c r="D12" s="3"/>
      <c r="E12" s="6"/>
      <c r="F12" s="7" t="s">
        <v>2908</v>
      </c>
      <c r="G12" s="7">
        <f>SUMPRODUCT((BD!D4:D1512&gt;="01/09/2020"*1)*(BD!D4:D1512&lt;="30/09/2020"*1))</f>
        <v>16</v>
      </c>
      <c r="H12" s="7">
        <f>SUMPRODUCT((BD!$D$4:$D$1512&gt;="01/09/2021"*1)*(BD!$D$4:$D$1512&lt;="30/09/2021"*1))</f>
        <v>31</v>
      </c>
      <c r="I12" s="7">
        <f>SUMPRODUCT((BD!$D$4:$D$1512&gt;="01/09/2022"*1)*(BD!$D$4:$D$1512&lt;="30/09/2022"*1))</f>
        <v>22</v>
      </c>
      <c r="J12" s="7">
        <f>SUMPRODUCT((BD!$D$4:$D$1512&gt;="01/09/2023"*1)*(BD!$D$4:$D$1512&lt;="30/09/2023"*1))</f>
        <v>14</v>
      </c>
      <c r="K12" s="7">
        <f>SUMPRODUCT((BD!$D$4:$D$1512&gt;="01/09/2024"*1)*(BD!$D$4:$D$1512&lt;="30/09/2024"*1))</f>
        <v>0</v>
      </c>
      <c r="L12" s="8"/>
    </row>
    <row r="13" spans="1:12">
      <c r="A13" s="13" t="s">
        <v>2909</v>
      </c>
      <c r="B13" s="9" t="e">
        <f>COUNTIFS(BD!O4:O1512,"&gt;=01/01/2015",BD!O4:O1512,"&lt;31/12/2025",BD!#REF!,"800")+COUNTIFS(BD!O4:O1512,"&gt;=01/01/2015",BD!O4:O1512,"&lt;31/12/2025",BD!#REF!,"1000")</f>
        <v>#REF!</v>
      </c>
      <c r="C13" s="15"/>
      <c r="D13" s="3"/>
      <c r="E13" s="6"/>
      <c r="F13" s="7" t="s">
        <v>2910</v>
      </c>
      <c r="G13" s="7">
        <f>SUMPRODUCT((BD!D4:D1512&gt;="01/10/2020"*1)*(BD!D4:D1512&lt;="31/10/2020"*1))</f>
        <v>14</v>
      </c>
      <c r="H13" s="7">
        <f>SUMPRODUCT((BD!$D$4:$D$1512&gt;="01/10/2021"*1)*(BD!$D$4:$D1512&lt;="31/10/2021"*1))</f>
        <v>20</v>
      </c>
      <c r="I13" s="7">
        <f>SUMPRODUCT((BD!$D$4:$D$1512&gt;="01/10/2022"*1)*(BD!$D$4:$D1512&lt;="31/10/2022"*1))</f>
        <v>15</v>
      </c>
      <c r="J13" s="7">
        <f>SUMPRODUCT((BD!$D$4:$D$1512&gt;="01/10/2023"*1)*(BD!$D$4:$D1512&lt;="31/10/2023"*1))</f>
        <v>11</v>
      </c>
      <c r="K13" s="7">
        <f>SUMPRODUCT((BD!$D$4:$D$1512&gt;="01/10/2024"*1)*(BD!$D$4:$D1512&lt;="31/10/2024"*1))</f>
        <v>0</v>
      </c>
      <c r="L13" s="8"/>
    </row>
    <row r="14" spans="1:12">
      <c r="A14" s="13" t="s">
        <v>2911</v>
      </c>
      <c r="B14" s="9" t="e">
        <f>COUNTIFS(BD!O4:O1512,"&gt;=01/01/2015",BD!O4:O1512,"&lt;31/12/2025",BD!#REF!,"400")+COUNTIFS(BD!O4:O1512,"&gt;=01/01/2015",BD!O4:O1512,"&lt;31/12/2025",BD!#REF!,"600")</f>
        <v>#REF!</v>
      </c>
      <c r="C14" s="15"/>
      <c r="D14" s="3"/>
      <c r="E14" s="6"/>
      <c r="F14" s="7" t="s">
        <v>2912</v>
      </c>
      <c r="G14" s="7">
        <f>SUMPRODUCT((BD!D4:D1512&gt;="01/11/2020"*1)*(BD!D4:D1512&lt;="30/11/2020"*1))</f>
        <v>8</v>
      </c>
      <c r="H14" s="7">
        <f>SUMPRODUCT((BD!$D$4:$D$1512&gt;="01/11/2021"*1)*(BD!$D$4:$D$1512&lt;="30/11/2021"*1))</f>
        <v>24</v>
      </c>
      <c r="I14" s="7">
        <f>SUMPRODUCT((BD!$D$4:$D$1512&gt;="01/11/2022"*1)*(BD!$D$4:$D$1512&lt;="30/11/2022"*1))</f>
        <v>12</v>
      </c>
      <c r="J14" s="7">
        <f>SUMPRODUCT((BD!$D$4:$D$1512&gt;="01/11/2023"*1)*(BD!$D$4:$D$1512&lt;="30/11/2023"*1))</f>
        <v>11</v>
      </c>
      <c r="K14" s="7">
        <f>SUMPRODUCT((BD!$D$4:$D$1512&gt;="01/11/2024"*1)*(BD!$D$4:$D$1512&lt;="30/11/2024"*1))</f>
        <v>0</v>
      </c>
      <c r="L14" s="8"/>
    </row>
    <row r="15" spans="1:12">
      <c r="A15" s="13" t="s">
        <v>2913</v>
      </c>
      <c r="B15" s="9" t="e">
        <f>B13*800</f>
        <v>#REF!</v>
      </c>
      <c r="C15" s="15"/>
      <c r="D15" s="3"/>
      <c r="E15" s="6"/>
      <c r="F15" s="7" t="s">
        <v>2914</v>
      </c>
      <c r="G15" s="7">
        <f>SUMPRODUCT((BD!D4:D1512&gt;="01/12/2020"*1)*(BD!D4:D1512&lt;="31/12/2020"*1))</f>
        <v>18</v>
      </c>
      <c r="H15" s="7">
        <f>SUMPRODUCT((BD!$D$4:$D$1512&gt;="01/12/2021"*1)*(BD!$D$4:$D$1512&lt;="31/12/2021"*1))</f>
        <v>27</v>
      </c>
      <c r="I15" s="7">
        <f>SUMPRODUCT((BD!$D$4:$D$1512&gt;="01/12/2022"*1)*(BD!$D$4:$D$1512&lt;="31/12/2022"*1))</f>
        <v>11</v>
      </c>
      <c r="J15" s="7">
        <f>SUMPRODUCT((BD!$D$4:$D$1512&gt;="01/12/2023"*1)*(BD!$D$4:$D$1512&lt;="31/12/2023"*1))</f>
        <v>17</v>
      </c>
      <c r="K15" s="7">
        <f>SUMPRODUCT((BD!$D$4:$D$1512&gt;="01/12/2024"*1)*(BD!$D$4:$D$1512&lt;="31/12/2024"*1))</f>
        <v>0</v>
      </c>
      <c r="L15" s="8"/>
    </row>
    <row r="16" spans="1:12">
      <c r="A16" s="13" t="s">
        <v>2915</v>
      </c>
      <c r="B16" s="9" t="e">
        <f>B14*400</f>
        <v>#REF!</v>
      </c>
      <c r="C16" s="15"/>
      <c r="D16" s="3"/>
      <c r="E16" s="6"/>
      <c r="F16" s="7"/>
      <c r="G16" s="7"/>
      <c r="H16" s="7"/>
      <c r="I16" s="7"/>
      <c r="J16" s="7"/>
      <c r="K16" s="7"/>
      <c r="L16" s="8"/>
    </row>
    <row r="17" spans="1:12">
      <c r="A17" s="7" t="s">
        <v>2916</v>
      </c>
      <c r="B17" s="14" t="e">
        <f>B9+B12</f>
        <v>#REF!</v>
      </c>
      <c r="C17" s="15"/>
      <c r="D17" s="3"/>
      <c r="E17" s="6"/>
      <c r="F17" s="13" t="s">
        <v>2917</v>
      </c>
      <c r="G17" s="7">
        <f>SUMPRODUCT((BD!D4:D1512&gt;="01/01/2020"*1)*(BD!D4:D1512&lt;="31/12/2020"*1))</f>
        <v>100</v>
      </c>
      <c r="H17" s="7">
        <f>SUMPRODUCT((BD!$D$4:$D$1512&gt;="01/01/2021"*1)*(BD!$D$4:$D$1512&lt;="31/12/2021"*1))</f>
        <v>233</v>
      </c>
      <c r="I17" s="7">
        <f>SUMPRODUCT((BD!$D$4:$D$1512&gt;="01/01/2022"*1)*(BD!$D$4:$D$1512&lt;="31/12/2022"*1))</f>
        <v>222</v>
      </c>
      <c r="J17" s="7">
        <f>SUMPRODUCT((BD!$D$4:$D$1512&gt;="01/01/2023"*1)*(BD!$D$4:$D$1512&lt;="31/12/2023"*1))</f>
        <v>155</v>
      </c>
      <c r="K17" s="7">
        <f>SUMPRODUCT((BD!$D$4:$D$1512&gt;="01/01/2024"*1)*(BD!$D$4:$D$1512&lt;="31/12/2024"*1))</f>
        <v>40</v>
      </c>
      <c r="L17" s="8"/>
    </row>
    <row r="18" spans="1:12">
      <c r="A18" s="7" t="s">
        <v>2918</v>
      </c>
      <c r="B18" s="14" t="e">
        <f>SUMIFS(BD!#REF!,BD!P4:P1512,"&gt;=01/01/2015",BD!P4:P1512,"&lt;31/12/2025",BD!#REF!,"800")</f>
        <v>#REF!</v>
      </c>
      <c r="C18" s="15"/>
      <c r="D18" s="3"/>
      <c r="E18" s="6"/>
      <c r="F18" s="13" t="s">
        <v>2919</v>
      </c>
      <c r="G18" s="13" t="s">
        <v>76</v>
      </c>
      <c r="H18" s="13" t="s">
        <v>76</v>
      </c>
      <c r="I18" s="7">
        <f>COUNTIF(BD!$BN:$BN,Stats!I3)</f>
        <v>208</v>
      </c>
      <c r="J18" s="7">
        <f>COUNTIF(BD!$BN:$BN,Stats!J3)</f>
        <v>140</v>
      </c>
      <c r="K18" s="7">
        <f>COUNTIF(BD!$BN:$BN,Stats!K3)</f>
        <v>56</v>
      </c>
      <c r="L18" s="8"/>
    </row>
    <row r="19" spans="1:12">
      <c r="A19" s="7" t="s">
        <v>2920</v>
      </c>
      <c r="B19" s="14" t="e">
        <f>SUMIFS(BD!#REF!,BD!P4:P1512,"&gt;=01/01/2015",BD!P4:P1512,"&lt;31/12/2025",BD!#REF!,"400")</f>
        <v>#REF!</v>
      </c>
      <c r="C19" s="15"/>
      <c r="E19" s="17"/>
      <c r="F19" s="18"/>
      <c r="G19" s="18"/>
      <c r="H19" s="18"/>
      <c r="I19" s="18"/>
      <c r="J19" s="18"/>
      <c r="K19" s="18"/>
      <c r="L19" s="19"/>
    </row>
    <row r="20" spans="1:12">
      <c r="A20" s="7" t="s">
        <v>2921</v>
      </c>
      <c r="B20" s="14" t="e">
        <f>B18+B19</f>
        <v>#REF!</v>
      </c>
      <c r="C20" s="15"/>
    </row>
    <row r="21" spans="1:12">
      <c r="A21" s="13" t="s">
        <v>2922</v>
      </c>
      <c r="B21" s="14">
        <v>300000</v>
      </c>
      <c r="C21" s="15"/>
    </row>
    <row r="22" spans="1:12">
      <c r="A22" s="13" t="s">
        <v>2923</v>
      </c>
      <c r="B22" s="14" t="e">
        <f>B21-B17</f>
        <v>#REF!</v>
      </c>
      <c r="C22" s="15"/>
    </row>
    <row r="23" spans="1:12">
      <c r="A23" s="13" t="s">
        <v>2924</v>
      </c>
      <c r="B23" s="14" t="e">
        <f>B22/500</f>
        <v>#REF!</v>
      </c>
      <c r="C23" s="15"/>
      <c r="E23" s="20"/>
      <c r="F23" s="21"/>
      <c r="G23" s="21"/>
      <c r="H23" s="21" t="s">
        <v>2925</v>
      </c>
      <c r="I23" s="22">
        <v>43997</v>
      </c>
    </row>
    <row r="24" spans="1:12">
      <c r="A24" s="17"/>
      <c r="B24" s="18"/>
      <c r="C24" s="23"/>
      <c r="E24" s="24"/>
      <c r="F24" s="25"/>
      <c r="G24" s="25"/>
      <c r="H24" s="26" t="s">
        <v>2926</v>
      </c>
      <c r="I24" s="27" t="str">
        <f ca="1">DATEDIF(I23, TODAY(),"m")&amp;" mois"</f>
        <v>47 mois</v>
      </c>
    </row>
    <row r="25" spans="1:12">
      <c r="A25" s="3"/>
      <c r="B25" s="3"/>
      <c r="C25" s="28"/>
    </row>
    <row r="27" spans="1:12" ht="26.25">
      <c r="A27" s="221">
        <v>2020</v>
      </c>
      <c r="B27" s="221"/>
      <c r="C27" s="221"/>
    </row>
    <row r="28" spans="1:12">
      <c r="A28" s="6" t="s">
        <v>2889</v>
      </c>
      <c r="B28" s="14">
        <f>COUNTIFS(BD!BN4:BN1512,2020)</f>
        <v>0</v>
      </c>
      <c r="C28" s="10" t="s">
        <v>2890</v>
      </c>
    </row>
    <row r="29" spans="1:12">
      <c r="A29" s="6" t="s">
        <v>2891</v>
      </c>
      <c r="B29" s="14">
        <f>COUNTIFS(BD!I4:I1512,"&gt;=01/01/2016",BD!I4:I1512,"&lt;31/12/2020",BD!BN4:BN1512,2020)</f>
        <v>0</v>
      </c>
      <c r="C29" s="10" t="s">
        <v>2890</v>
      </c>
    </row>
    <row r="30" spans="1:12">
      <c r="A30" s="6" t="s">
        <v>2893</v>
      </c>
      <c r="B30" s="14">
        <f>COUNTIFS(BD!Q4:Q1512,"&gt;=01/01/2016",BD!Q4:Q1512,"&lt;31/12/2020",BD!BN4:BN1512,2020)</f>
        <v>0</v>
      </c>
      <c r="C30" s="10" t="s">
        <v>2890</v>
      </c>
    </row>
    <row r="31" spans="1:12">
      <c r="A31" s="6" t="s">
        <v>2895</v>
      </c>
      <c r="B31" s="14">
        <f>COUNTIFS(BD!O4:O1512,"&gt;=01/01/2016",BD!O4:O1512,"&lt;31/12/2020",BD!BN4:BN1512,2020)</f>
        <v>0</v>
      </c>
      <c r="C31" s="29" t="s">
        <v>2890</v>
      </c>
    </row>
    <row r="32" spans="1:12">
      <c r="A32" s="30" t="s">
        <v>2927</v>
      </c>
      <c r="B32" s="14">
        <f>COUNTIFS(BD!P4:P1512,"&gt;=01/01/2016",BD!P4:P1512,"&lt;31/12/2020",BD!BN4:BN1512,2020)</f>
        <v>0</v>
      </c>
      <c r="C32" s="29" t="s">
        <v>2890</v>
      </c>
    </row>
    <row r="33" spans="1:3">
      <c r="A33" s="30" t="s">
        <v>2928</v>
      </c>
      <c r="B33" s="16">
        <f>B28-B32-B30</f>
        <v>0</v>
      </c>
      <c r="C33" s="29" t="s">
        <v>2890</v>
      </c>
    </row>
    <row r="34" spans="1:3">
      <c r="A34" s="30" t="s">
        <v>2929</v>
      </c>
      <c r="B34" s="14" t="e">
        <f>SUMIFS(BD!#REF!,BD!D4:D1512,"&gt;=01/01/2020",BD!D4:D1512,"&lt;31/12/2020",BD!P4:P1512,"")+(COUNTIFS(BD!D4:D1512,"&gt;=01/01/2020",BD!D4:D1512,"&lt;31/12/2020",BD!#REF!,"=(400)")*400)+(COUNTIFS(BD!D4:D1512,"&gt;=01/01/2020",BD!D4:D1512,"&lt;31/12/2020",BD!#REF!,"=(800)")*800)</f>
        <v>#REF!</v>
      </c>
      <c r="C34" s="29"/>
    </row>
    <row r="35" spans="1:3">
      <c r="A35" s="6" t="s">
        <v>2930</v>
      </c>
      <c r="B35" s="14" t="e">
        <f>COUNTIFS(BD!N4:N1512,"&gt;=01/01/2020",BD!N4:N1512,"&lt;31/12/2020",BD!#REF!,"=800")</f>
        <v>#REF!</v>
      </c>
      <c r="C35" s="29"/>
    </row>
    <row r="36" spans="1:3">
      <c r="A36" s="6" t="s">
        <v>2931</v>
      </c>
      <c r="B36" s="14" t="e">
        <f>COUNTIFS(BD!N4:N1512,"&gt;=01/01/2020",BD!N4:N1512,"&lt;31/12/2020",BD!#REF!,"=400")</f>
        <v>#REF!</v>
      </c>
      <c r="C36" s="29"/>
    </row>
    <row r="37" spans="1:3">
      <c r="A37" s="6" t="s">
        <v>2901</v>
      </c>
      <c r="B37" s="14" t="e">
        <f>800*B35+400*B36</f>
        <v>#REF!</v>
      </c>
      <c r="C37" s="29"/>
    </row>
    <row r="38" spans="1:3">
      <c r="A38" s="6" t="s">
        <v>2932</v>
      </c>
      <c r="B38" s="14" t="e">
        <f>COUNTIFS(BD!D4:D1512,"&gt;=01/01/2020",BD!D4:D1512,"&lt;31/12/2020",BD!#REF!,"=800?")</f>
        <v>#REF!</v>
      </c>
      <c r="C38" s="29"/>
    </row>
    <row r="39" spans="1:3">
      <c r="A39" s="6" t="s">
        <v>2933</v>
      </c>
      <c r="B39" s="14" t="e">
        <f>COUNTIFS(BD!D4:D1512,"&gt;=01/01/2020",BD!D4:D1512,"&lt;31/12/2020",BD!#REF!,"=400?")</f>
        <v>#REF!</v>
      </c>
      <c r="C39" s="29"/>
    </row>
    <row r="40" spans="1:3">
      <c r="A40" s="6" t="s">
        <v>2907</v>
      </c>
      <c r="B40" s="14" t="e">
        <f>800*B38+400*B39</f>
        <v>#REF!</v>
      </c>
      <c r="C40" s="29"/>
    </row>
    <row r="41" spans="1:3">
      <c r="A41" s="6" t="s">
        <v>2916</v>
      </c>
      <c r="B41" s="14" t="e">
        <f>B37+B40</f>
        <v>#REF!</v>
      </c>
      <c r="C41" s="29"/>
    </row>
    <row r="42" spans="1:3">
      <c r="A42" s="6" t="s">
        <v>2918</v>
      </c>
      <c r="B42" s="14" t="e">
        <f>SUMIFS(BD!#REF!,BD!P4:P1512,"&gt;=01/01/2020",BD!P4:P1512,"&lt;31/12/2020",BD!#REF!,"800")</f>
        <v>#REF!</v>
      </c>
      <c r="C42" s="29"/>
    </row>
    <row r="43" spans="1:3">
      <c r="A43" s="6" t="s">
        <v>2920</v>
      </c>
      <c r="B43" s="14" t="e">
        <f>SUMIFS(BD!#REF!,BD!P4:P1512,"&gt;=01/01/2020",BD!P4:P1512,"&lt;31/12/2020",BD!#REF!,"400")</f>
        <v>#REF!</v>
      </c>
      <c r="C43" s="29"/>
    </row>
    <row r="44" spans="1:3">
      <c r="A44" s="6" t="s">
        <v>2921</v>
      </c>
      <c r="B44" s="14" t="e">
        <f>B42+B43</f>
        <v>#REF!</v>
      </c>
      <c r="C44" s="29"/>
    </row>
    <row r="45" spans="1:3">
      <c r="A45" s="24"/>
      <c r="B45" s="25"/>
      <c r="C45" s="31"/>
    </row>
    <row r="47" spans="1:3" ht="26.25">
      <c r="A47" s="221">
        <v>2021</v>
      </c>
      <c r="B47" s="221"/>
      <c r="C47" s="221"/>
    </row>
    <row r="48" spans="1:3">
      <c r="A48" s="6" t="s">
        <v>2889</v>
      </c>
      <c r="B48" s="14">
        <f>COUNTIFS(BD!BN24:BN1532,2021)</f>
        <v>0</v>
      </c>
      <c r="C48" s="10"/>
    </row>
    <row r="49" spans="1:3">
      <c r="A49" s="6" t="s">
        <v>2891</v>
      </c>
      <c r="B49" s="14">
        <f>COUNTIFS(BD!I24:I1532,"&gt;=01/01/2016",BD!I24:I1532,"&lt;31/12/2023",BD!BN24:BN1532,2021)</f>
        <v>0</v>
      </c>
      <c r="C49" s="10"/>
    </row>
    <row r="50" spans="1:3">
      <c r="A50" s="6" t="s">
        <v>2893</v>
      </c>
      <c r="B50" s="14">
        <f>COUNTIFS(BD!Q24:Q1532,"&gt;=01/01/2016",BD!Q24:Q1532,"&lt;31/12/2023",BD!BN24:BN1532,2021)</f>
        <v>0</v>
      </c>
      <c r="C50" s="10"/>
    </row>
    <row r="51" spans="1:3">
      <c r="A51" s="6" t="s">
        <v>2895</v>
      </c>
      <c r="B51" s="14">
        <f>COUNTIFS(BD!O24:O1532,"&gt;=01/01/2016",BD!O24:O1532,"&lt;31/12/2023",BD!BN24:BN1532,2021)</f>
        <v>0</v>
      </c>
      <c r="C51" s="29"/>
    </row>
    <row r="52" spans="1:3">
      <c r="A52" s="30" t="s">
        <v>2927</v>
      </c>
      <c r="B52" s="14">
        <f>COUNTIFS(BD!P24:P1532,"&gt;=01/01/2016",BD!P24:P1532,"&lt;31/12/2023",BD!BN24:BN1532,2021)</f>
        <v>0</v>
      </c>
      <c r="C52" s="29"/>
    </row>
    <row r="53" spans="1:3">
      <c r="A53" s="30" t="s">
        <v>2928</v>
      </c>
      <c r="B53" s="16">
        <f>B48-B52-B50</f>
        <v>0</v>
      </c>
      <c r="C53" s="29"/>
    </row>
    <row r="54" spans="1:3">
      <c r="A54" s="30" t="s">
        <v>2929</v>
      </c>
      <c r="B54" s="16" t="e">
        <f>SUMIFS(BD!#REF!,BD!D24:D1532,"&gt;=01/01/2020",BD!D24:D1532,"&lt;31/12/2020",BD!P24:P1532,"")+(COUNTIFS(BD!D24:D1532,"&gt;=01/01/2020",BD!D24:D1532,"&lt;31/12/2020",BD!#REF!,"=(400)")*400)+(COUNTIFS(BD!D24:D1532,"&gt;=01/01/2020",BD!D24:D1532,"&lt;31/12/2020",BD!#REF!,"=(800)")*800)</f>
        <v>#REF!</v>
      </c>
      <c r="C54" s="29"/>
    </row>
    <row r="55" spans="1:3">
      <c r="A55" s="6" t="s">
        <v>2930</v>
      </c>
      <c r="B55" s="16" t="e">
        <f>COUNTIFS(BD!N24:N1532,"&gt;=01/01/2020",BD!N24:N1532,"&lt;31/12/2020",BD!#REF!,"=800")</f>
        <v>#REF!</v>
      </c>
      <c r="C55" s="29"/>
    </row>
    <row r="56" spans="1:3">
      <c r="A56" s="6" t="s">
        <v>2931</v>
      </c>
      <c r="B56" s="16" t="e">
        <f>COUNTIFS(BD!N24:N1532,"&gt;=01/01/2020",BD!N24:N1532,"&lt;31/12/2020",BD!#REF!,"=400")</f>
        <v>#REF!</v>
      </c>
      <c r="C56" s="29"/>
    </row>
    <row r="57" spans="1:3">
      <c r="A57" s="6" t="s">
        <v>2901</v>
      </c>
      <c r="B57" s="16" t="e">
        <f>800*B55+400*B56</f>
        <v>#REF!</v>
      </c>
      <c r="C57" s="29"/>
    </row>
    <row r="58" spans="1:3">
      <c r="A58" s="6" t="s">
        <v>2932</v>
      </c>
      <c r="B58" s="16" t="e">
        <f>COUNTIFS(BD!D24:D1532,"&gt;=01/01/2020",BD!D24:D1532,"&lt;31/12/2020",BD!#REF!,"=800?")</f>
        <v>#REF!</v>
      </c>
      <c r="C58" s="29"/>
    </row>
    <row r="59" spans="1:3">
      <c r="A59" s="6" t="s">
        <v>2933</v>
      </c>
      <c r="B59" s="16" t="e">
        <f>COUNTIFS(BD!D24:D1532,"&gt;=01/01/2020",BD!D24:D1532,"&lt;31/12/2020",BD!#REF!,"=400?")</f>
        <v>#REF!</v>
      </c>
      <c r="C59" s="29"/>
    </row>
    <row r="60" spans="1:3">
      <c r="A60" s="6" t="s">
        <v>2907</v>
      </c>
      <c r="B60" s="14" t="e">
        <f>800*B58+400*B59</f>
        <v>#REF!</v>
      </c>
      <c r="C60" s="29"/>
    </row>
    <row r="61" spans="1:3">
      <c r="A61" s="6" t="s">
        <v>2916</v>
      </c>
      <c r="B61" s="14" t="e">
        <f>B57+B60</f>
        <v>#REF!</v>
      </c>
      <c r="C61" s="29"/>
    </row>
    <row r="62" spans="1:3">
      <c r="A62" s="6" t="s">
        <v>2918</v>
      </c>
      <c r="B62" s="14" t="e">
        <f>SUMIFS(BD!#REF!,BD!P24:P1532,"&gt;=01/01/2020",BD!P24:P1532,"&lt;31/12/2020",BD!#REF!,"800")</f>
        <v>#REF!</v>
      </c>
      <c r="C62" s="29"/>
    </row>
    <row r="63" spans="1:3">
      <c r="A63" s="6" t="s">
        <v>2920</v>
      </c>
      <c r="B63" s="14" t="e">
        <f>SUMIFS(BD!#REF!,BD!P24:P1532,"&gt;=01/01/2020",BD!P24:P1532,"&lt;31/12/2020",BD!#REF!,"400")</f>
        <v>#REF!</v>
      </c>
      <c r="C63" s="29"/>
    </row>
    <row r="64" spans="1:3">
      <c r="A64" s="6" t="s">
        <v>2921</v>
      </c>
      <c r="B64" s="14" t="e">
        <f>B62+B63</f>
        <v>#REF!</v>
      </c>
      <c r="C64" s="29"/>
    </row>
    <row r="65" spans="1:3">
      <c r="A65" s="24"/>
      <c r="B65" s="25"/>
      <c r="C65" s="31"/>
    </row>
  </sheetData>
  <mergeCells count="4">
    <mergeCell ref="A1:C1"/>
    <mergeCell ref="F1:L1"/>
    <mergeCell ref="A27:C27"/>
    <mergeCell ref="A47:C47"/>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topLeftCell="A4" zoomScale="125" zoomScaleNormal="125" workbookViewId="0">
      <selection activeCell="A28" sqref="A28"/>
    </sheetView>
  </sheetViews>
  <sheetFormatPr baseColWidth="10" defaultColWidth="11.5703125" defaultRowHeight="15"/>
  <cols>
    <col min="1" max="1" width="5.140625" customWidth="1"/>
  </cols>
  <sheetData>
    <row r="1" spans="1:10" ht="18.75">
      <c r="A1" s="32"/>
      <c r="B1" s="33"/>
      <c r="C1" s="32"/>
      <c r="D1" s="32"/>
      <c r="E1" s="32"/>
      <c r="F1" s="32"/>
      <c r="G1" s="32"/>
      <c r="H1" s="32"/>
      <c r="I1" s="32"/>
      <c r="J1" s="32"/>
    </row>
    <row r="2" spans="1:10" ht="18.75">
      <c r="A2" s="32"/>
      <c r="B2" s="32"/>
      <c r="C2" s="32"/>
      <c r="D2" s="223" t="s">
        <v>2934</v>
      </c>
      <c r="E2" s="223"/>
      <c r="F2" s="223"/>
      <c r="G2" s="32"/>
      <c r="H2" s="32"/>
      <c r="I2" s="32"/>
      <c r="J2" s="32"/>
    </row>
    <row r="3" spans="1:10" ht="18.75">
      <c r="A3" s="32"/>
      <c r="B3" s="32"/>
      <c r="C3" s="32"/>
      <c r="D3" s="224" t="s">
        <v>2935</v>
      </c>
      <c r="E3" s="224"/>
      <c r="F3" s="224"/>
      <c r="G3" s="32"/>
      <c r="H3" s="32"/>
      <c r="I3" s="32"/>
      <c r="J3" s="32"/>
    </row>
    <row r="4" spans="1:10" ht="15.75">
      <c r="A4" s="32"/>
      <c r="B4" s="34"/>
      <c r="C4" s="32"/>
      <c r="D4" s="32"/>
      <c r="E4" s="32"/>
      <c r="F4" s="32"/>
      <c r="G4" s="32"/>
      <c r="H4" s="32"/>
      <c r="I4" s="32"/>
      <c r="J4" s="32"/>
    </row>
    <row r="5" spans="1:10" ht="27" customHeight="1">
      <c r="A5" s="32"/>
      <c r="B5" s="32"/>
      <c r="C5" s="32"/>
      <c r="D5" s="225" t="s">
        <v>2936</v>
      </c>
      <c r="E5" s="225"/>
      <c r="F5" s="225"/>
      <c r="G5" s="32"/>
      <c r="H5" s="32"/>
      <c r="I5" s="32"/>
      <c r="J5" s="32"/>
    </row>
    <row r="6" spans="1:10" ht="12.6" customHeight="1">
      <c r="A6" s="32"/>
      <c r="B6" s="32"/>
      <c r="C6" s="32"/>
      <c r="D6" s="32"/>
      <c r="E6" s="35"/>
      <c r="F6" s="32"/>
      <c r="G6" s="32"/>
      <c r="H6" s="36" t="s">
        <v>2937</v>
      </c>
      <c r="I6" s="37"/>
      <c r="J6" s="37"/>
    </row>
    <row r="7" spans="1:10" ht="15" customHeight="1">
      <c r="A7" s="32"/>
      <c r="B7" s="226"/>
      <c r="C7" s="226"/>
      <c r="D7" s="226"/>
      <c r="E7" s="226"/>
      <c r="F7" s="226"/>
      <c r="G7" s="226"/>
      <c r="H7" s="38"/>
      <c r="I7" s="38"/>
      <c r="J7" s="37"/>
    </row>
    <row r="8" spans="1:10">
      <c r="A8" s="32"/>
      <c r="B8" s="39"/>
      <c r="C8" s="39"/>
      <c r="D8" s="39"/>
      <c r="E8" s="39"/>
      <c r="F8" s="39"/>
      <c r="G8" s="39"/>
      <c r="H8" s="36" t="s">
        <v>2938</v>
      </c>
      <c r="I8" s="40" t="s">
        <v>2939</v>
      </c>
      <c r="J8" s="32"/>
    </row>
    <row r="9" spans="1:10" ht="19.5">
      <c r="A9" s="41" t="s">
        <v>2940</v>
      </c>
      <c r="B9" s="32"/>
      <c r="C9" s="32"/>
      <c r="D9" s="32"/>
      <c r="E9" s="35"/>
      <c r="F9" s="32"/>
      <c r="G9" s="32"/>
      <c r="H9" s="32"/>
      <c r="I9" s="40" t="s">
        <v>2941</v>
      </c>
      <c r="J9" s="32"/>
    </row>
    <row r="10" spans="1:10">
      <c r="A10" s="32"/>
      <c r="B10" s="42"/>
      <c r="C10" s="32"/>
      <c r="D10" s="32"/>
      <c r="E10" s="32"/>
      <c r="F10" s="32"/>
      <c r="G10" s="32"/>
      <c r="H10" s="32"/>
      <c r="I10" s="40" t="s">
        <v>2942</v>
      </c>
      <c r="J10" s="32"/>
    </row>
    <row r="11" spans="1:10">
      <c r="A11" s="32"/>
      <c r="B11" s="42" t="s">
        <v>2943</v>
      </c>
      <c r="C11" s="32"/>
      <c r="D11" s="32"/>
      <c r="E11" s="32"/>
      <c r="F11" s="32"/>
      <c r="G11" s="32"/>
      <c r="H11" s="32"/>
      <c r="I11" s="32"/>
      <c r="J11" s="32"/>
    </row>
    <row r="12" spans="1:10">
      <c r="A12" s="32"/>
      <c r="B12" s="42"/>
      <c r="C12" s="32"/>
      <c r="D12" s="32"/>
      <c r="E12" s="32"/>
      <c r="F12" s="32"/>
      <c r="G12" s="32"/>
      <c r="H12" s="32"/>
      <c r="I12" s="32"/>
      <c r="J12" s="32"/>
    </row>
    <row r="13" spans="1:10">
      <c r="A13" s="32"/>
      <c r="B13" s="43" t="s">
        <v>2944</v>
      </c>
      <c r="C13" s="32"/>
      <c r="D13" s="32"/>
      <c r="E13" s="32"/>
      <c r="F13" s="32"/>
      <c r="G13" s="32"/>
      <c r="H13" s="32"/>
      <c r="I13" s="32"/>
      <c r="J13" s="32"/>
    </row>
    <row r="14" spans="1:10">
      <c r="A14" s="32"/>
      <c r="B14" s="43"/>
      <c r="C14" s="32"/>
      <c r="D14" s="32"/>
      <c r="E14" s="32"/>
      <c r="F14" s="32"/>
      <c r="G14" s="32"/>
      <c r="H14" s="32"/>
      <c r="I14" s="32"/>
      <c r="J14" s="32"/>
    </row>
    <row r="15" spans="1:10">
      <c r="A15" s="32"/>
      <c r="B15" s="42" t="s">
        <v>2945</v>
      </c>
      <c r="C15" s="32"/>
      <c r="D15" s="32"/>
      <c r="E15" s="32"/>
      <c r="F15" s="32"/>
      <c r="G15" s="32"/>
      <c r="H15" s="32"/>
      <c r="I15" s="32"/>
      <c r="J15" s="32"/>
    </row>
    <row r="16" spans="1:10">
      <c r="A16" s="32"/>
      <c r="B16" s="42"/>
      <c r="C16" s="32"/>
      <c r="D16" s="32"/>
      <c r="E16" s="32"/>
      <c r="F16" s="32"/>
      <c r="G16" s="32"/>
      <c r="H16" s="32"/>
      <c r="I16" s="32"/>
      <c r="J16" s="32"/>
    </row>
    <row r="17" spans="1:10">
      <c r="A17" s="32"/>
      <c r="B17" s="42" t="s">
        <v>2946</v>
      </c>
      <c r="C17" s="32"/>
      <c r="D17" s="32"/>
      <c r="E17" s="32"/>
      <c r="F17" s="32"/>
      <c r="G17" s="32"/>
      <c r="H17" s="32"/>
      <c r="I17" s="32"/>
      <c r="J17" s="32"/>
    </row>
    <row r="18" spans="1:10">
      <c r="A18" s="32"/>
      <c r="B18" s="42"/>
      <c r="C18" s="32"/>
      <c r="D18" s="32"/>
      <c r="E18" s="32"/>
      <c r="F18" s="32"/>
      <c r="G18" s="32"/>
      <c r="H18" s="32"/>
      <c r="I18" s="32"/>
      <c r="J18" s="32"/>
    </row>
    <row r="19" spans="1:10">
      <c r="A19" s="32"/>
      <c r="B19" s="42" t="s">
        <v>2947</v>
      </c>
      <c r="C19" s="32"/>
      <c r="D19" s="32"/>
      <c r="E19" s="32"/>
      <c r="F19" s="32"/>
      <c r="G19" s="32"/>
      <c r="H19" s="32"/>
      <c r="I19" s="32"/>
      <c r="J19" s="32"/>
    </row>
    <row r="20" spans="1:10">
      <c r="A20" s="32"/>
      <c r="B20" s="42"/>
      <c r="C20" s="32"/>
      <c r="D20" s="32"/>
      <c r="E20" s="32"/>
      <c r="F20" s="32"/>
      <c r="G20" s="32"/>
      <c r="H20" s="32"/>
      <c r="I20" s="32"/>
      <c r="J20" s="32"/>
    </row>
    <row r="21" spans="1:10">
      <c r="A21" s="32"/>
      <c r="B21" s="42" t="s">
        <v>2948</v>
      </c>
      <c r="C21" s="32"/>
      <c r="D21" s="32"/>
      <c r="E21" s="32"/>
      <c r="F21" s="32"/>
      <c r="G21" s="32"/>
      <c r="H21" s="32"/>
      <c r="I21" s="32"/>
      <c r="J21" s="32"/>
    </row>
    <row r="22" spans="1:10">
      <c r="A22" s="32"/>
      <c r="B22" s="44"/>
      <c r="C22" s="43" t="s">
        <v>2949</v>
      </c>
      <c r="D22" s="32"/>
      <c r="E22" s="32"/>
      <c r="F22" s="32"/>
      <c r="G22" s="32"/>
      <c r="H22" s="32"/>
      <c r="I22" s="32"/>
      <c r="J22" s="32"/>
    </row>
    <row r="23" spans="1:10">
      <c r="A23" s="32"/>
      <c r="B23" s="44"/>
      <c r="C23" s="43" t="s">
        <v>2950</v>
      </c>
      <c r="D23" s="32"/>
      <c r="E23" s="32"/>
      <c r="F23" s="32"/>
      <c r="G23" s="32"/>
      <c r="H23" s="32"/>
      <c r="I23" s="32"/>
      <c r="J23" s="32"/>
    </row>
    <row r="24" spans="1:10">
      <c r="A24" s="32"/>
      <c r="B24" s="44"/>
      <c r="C24" s="43" t="s">
        <v>2951</v>
      </c>
      <c r="D24" s="32"/>
      <c r="E24" s="32"/>
      <c r="F24" s="32"/>
      <c r="G24" s="32"/>
      <c r="H24" s="32"/>
      <c r="I24" s="32"/>
      <c r="J24" s="32"/>
    </row>
    <row r="25" spans="1:10">
      <c r="A25" s="32"/>
      <c r="B25" s="42"/>
      <c r="C25" s="32"/>
      <c r="D25" s="32"/>
      <c r="E25" s="32"/>
      <c r="F25" s="32"/>
      <c r="G25" s="32"/>
      <c r="H25" s="32"/>
      <c r="I25" s="32"/>
      <c r="J25" s="32"/>
    </row>
    <row r="26" spans="1:10">
      <c r="A26" s="32"/>
      <c r="B26" s="42" t="s">
        <v>2952</v>
      </c>
      <c r="C26" s="32"/>
      <c r="D26" s="32"/>
      <c r="E26" s="32"/>
      <c r="F26" s="32"/>
      <c r="G26" s="32"/>
      <c r="H26" s="32"/>
      <c r="I26" s="32"/>
      <c r="J26" s="32"/>
    </row>
    <row r="27" spans="1:10">
      <c r="A27" s="32"/>
      <c r="B27" s="42"/>
      <c r="C27" s="32"/>
      <c r="D27" s="32"/>
      <c r="E27" s="32"/>
      <c r="F27" s="32"/>
      <c r="G27" s="32"/>
      <c r="H27" s="32"/>
      <c r="I27" s="32"/>
      <c r="J27" s="32"/>
    </row>
    <row r="28" spans="1:10">
      <c r="A28" s="32"/>
      <c r="B28" s="42" t="s">
        <v>2507</v>
      </c>
      <c r="C28" s="32"/>
      <c r="D28" s="32"/>
      <c r="E28" s="32"/>
      <c r="F28" s="32"/>
      <c r="G28" s="32"/>
      <c r="H28" s="32"/>
      <c r="I28" s="32"/>
      <c r="J28" s="32"/>
    </row>
    <row r="29" spans="1:10">
      <c r="A29" s="32"/>
      <c r="B29" s="42"/>
      <c r="C29" s="32"/>
      <c r="D29" s="32"/>
      <c r="E29" s="32"/>
      <c r="F29" s="32"/>
      <c r="G29" s="32"/>
      <c r="H29" s="32"/>
      <c r="I29" s="32"/>
      <c r="J29" s="32"/>
    </row>
    <row r="30" spans="1:10">
      <c r="A30" s="32"/>
      <c r="B30" s="42" t="s">
        <v>2953</v>
      </c>
      <c r="C30" s="32"/>
      <c r="D30" s="32"/>
      <c r="E30" s="32"/>
      <c r="F30" s="32"/>
      <c r="G30" s="32"/>
      <c r="H30" s="32"/>
      <c r="I30" s="32"/>
      <c r="J30" s="32"/>
    </row>
    <row r="31" spans="1:10">
      <c r="A31" s="32"/>
      <c r="B31" s="32"/>
      <c r="C31" s="32"/>
      <c r="D31" s="32"/>
      <c r="E31" s="32"/>
      <c r="F31" s="32"/>
      <c r="G31" s="32"/>
      <c r="H31" s="32"/>
      <c r="I31" s="32"/>
      <c r="J31" s="32"/>
    </row>
    <row r="32" spans="1:10">
      <c r="A32" s="41" t="s">
        <v>2954</v>
      </c>
      <c r="B32" s="32"/>
      <c r="C32" s="32"/>
      <c r="D32" s="32"/>
      <c r="E32" s="32"/>
      <c r="F32" s="32"/>
      <c r="G32" s="32"/>
      <c r="H32" s="32"/>
      <c r="I32" s="32"/>
      <c r="J32" s="32"/>
    </row>
    <row r="33" spans="1:10">
      <c r="A33" s="32"/>
      <c r="B33" s="41"/>
      <c r="C33" s="32"/>
      <c r="D33" s="32"/>
      <c r="E33" s="32"/>
      <c r="F33" s="32"/>
      <c r="G33" s="32"/>
      <c r="H33" s="32"/>
      <c r="I33" s="32"/>
      <c r="J33" s="32"/>
    </row>
    <row r="34" spans="1:10">
      <c r="A34" s="32"/>
      <c r="B34" s="42" t="s">
        <v>2955</v>
      </c>
      <c r="C34" s="32"/>
      <c r="D34" s="32"/>
      <c r="E34" s="45"/>
      <c r="F34" s="32"/>
      <c r="G34" s="32"/>
      <c r="H34" s="32"/>
      <c r="I34" s="32"/>
      <c r="J34" s="32"/>
    </row>
    <row r="35" spans="1:10">
      <c r="A35" s="32"/>
      <c r="B35" s="45"/>
      <c r="C35" s="32"/>
      <c r="D35" s="32"/>
      <c r="E35" s="46"/>
      <c r="F35" s="32"/>
      <c r="G35" s="32"/>
      <c r="H35" s="32"/>
      <c r="I35" s="32"/>
      <c r="J35" s="32"/>
    </row>
    <row r="36" spans="1:10">
      <c r="A36" s="32"/>
      <c r="B36" s="42" t="s">
        <v>2956</v>
      </c>
      <c r="C36" s="32"/>
      <c r="D36" s="32"/>
      <c r="E36" s="45"/>
      <c r="F36" s="32"/>
      <c r="G36" s="32"/>
      <c r="H36" s="32"/>
      <c r="I36" s="32"/>
      <c r="J36" s="32"/>
    </row>
    <row r="37" spans="1:10">
      <c r="A37" s="32"/>
      <c r="B37" s="45"/>
      <c r="C37" s="32"/>
      <c r="D37" s="32"/>
      <c r="E37" s="45"/>
      <c r="F37" s="32"/>
      <c r="G37" s="32"/>
      <c r="H37" s="32"/>
      <c r="I37" s="32"/>
      <c r="J37" s="32"/>
    </row>
    <row r="38" spans="1:10">
      <c r="A38" s="32"/>
      <c r="B38" s="42" t="s">
        <v>2957</v>
      </c>
      <c r="C38" s="32"/>
      <c r="D38" s="32"/>
      <c r="E38" s="32"/>
      <c r="F38" s="32"/>
      <c r="G38" s="32"/>
      <c r="H38" s="32"/>
      <c r="I38" s="32"/>
      <c r="J38" s="32"/>
    </row>
    <row r="39" spans="1:10">
      <c r="A39" s="32"/>
      <c r="B39" s="42"/>
      <c r="C39" s="32"/>
      <c r="D39" s="32"/>
      <c r="E39" s="32"/>
      <c r="F39" s="32"/>
      <c r="G39" s="32"/>
      <c r="H39" s="32"/>
      <c r="I39" s="32"/>
      <c r="J39" s="32"/>
    </row>
    <row r="40" spans="1:10">
      <c r="A40" s="41" t="s">
        <v>2958</v>
      </c>
      <c r="B40" s="32"/>
      <c r="C40" s="32"/>
      <c r="D40" s="32"/>
      <c r="E40" s="32"/>
      <c r="F40" s="32"/>
      <c r="G40" s="32"/>
      <c r="H40" s="32"/>
      <c r="I40" s="32"/>
      <c r="J40" s="32"/>
    </row>
    <row r="41" spans="1:10">
      <c r="A41" s="32"/>
      <c r="B41" s="45"/>
      <c r="C41" s="32"/>
      <c r="D41" s="32"/>
      <c r="E41" s="46"/>
      <c r="F41" s="32"/>
      <c r="G41" s="32"/>
      <c r="H41" s="32"/>
      <c r="I41" s="32"/>
      <c r="J41" s="32"/>
    </row>
    <row r="42" spans="1:10">
      <c r="A42" s="32"/>
      <c r="B42" s="42" t="s">
        <v>2512</v>
      </c>
      <c r="C42" s="32"/>
      <c r="D42" s="32"/>
      <c r="F42" s="32"/>
      <c r="G42" s="32"/>
      <c r="H42" s="32"/>
      <c r="I42" s="32"/>
      <c r="J42" s="32"/>
    </row>
    <row r="43" spans="1:10">
      <c r="A43" s="32"/>
      <c r="B43" s="45"/>
      <c r="C43" s="32"/>
      <c r="D43" s="32"/>
      <c r="E43" s="46"/>
      <c r="F43" s="32"/>
      <c r="G43" s="32"/>
      <c r="H43" s="32"/>
      <c r="I43" s="32"/>
      <c r="J43" s="32"/>
    </row>
    <row r="44" spans="1:10">
      <c r="A44" s="32"/>
      <c r="B44" s="42" t="s">
        <v>2959</v>
      </c>
      <c r="C44" s="1"/>
      <c r="D44" s="32"/>
      <c r="E44" s="46"/>
      <c r="F44" s="32"/>
      <c r="G44" s="32"/>
      <c r="H44" s="32"/>
      <c r="I44" s="32"/>
      <c r="J44" s="32"/>
    </row>
    <row r="45" spans="1:10">
      <c r="A45" s="32"/>
      <c r="B45" s="45"/>
      <c r="C45" s="32"/>
      <c r="D45" s="32"/>
      <c r="E45" s="46"/>
      <c r="F45" s="32"/>
      <c r="G45" s="32"/>
      <c r="H45" s="32"/>
      <c r="I45" s="32"/>
      <c r="J45" s="32"/>
    </row>
    <row r="46" spans="1:10">
      <c r="A46" s="32"/>
      <c r="B46" s="42" t="s">
        <v>2960</v>
      </c>
      <c r="C46" s="47"/>
      <c r="D46" s="32"/>
      <c r="E46" s="46"/>
      <c r="F46" s="32"/>
      <c r="G46" s="32"/>
      <c r="H46" s="32"/>
      <c r="I46" s="32"/>
      <c r="J46" s="32"/>
    </row>
    <row r="47" spans="1:10">
      <c r="A47" s="32"/>
      <c r="B47" s="45"/>
      <c r="C47" s="32"/>
      <c r="D47" s="32"/>
      <c r="E47" s="46"/>
      <c r="F47" s="32"/>
      <c r="G47" s="32"/>
      <c r="H47" s="32"/>
      <c r="I47" s="32"/>
      <c r="J47" s="32"/>
    </row>
    <row r="48" spans="1:10">
      <c r="A48" s="32"/>
      <c r="B48" s="42" t="s">
        <v>2961</v>
      </c>
      <c r="C48" s="32"/>
      <c r="D48" s="32"/>
      <c r="E48" s="46"/>
      <c r="F48" s="32"/>
      <c r="G48" s="32"/>
      <c r="H48" s="32"/>
      <c r="I48" s="32"/>
      <c r="J48" s="32"/>
    </row>
    <row r="49" spans="1:10">
      <c r="A49" s="32"/>
      <c r="B49" s="45"/>
      <c r="C49" s="32"/>
      <c r="D49" s="32"/>
      <c r="E49" s="32"/>
      <c r="F49" s="32"/>
      <c r="G49" s="32"/>
      <c r="H49" s="32"/>
      <c r="I49" s="32"/>
      <c r="J49" s="32"/>
    </row>
    <row r="50" spans="1:10">
      <c r="A50" s="32"/>
      <c r="B50" s="42" t="s">
        <v>2956</v>
      </c>
      <c r="C50" s="32"/>
      <c r="D50" s="32"/>
      <c r="E50" s="45"/>
      <c r="F50" s="32"/>
      <c r="G50" s="32"/>
      <c r="H50" s="32"/>
      <c r="I50" s="32"/>
      <c r="J50" s="32"/>
    </row>
    <row r="51" spans="1:10">
      <c r="A51" s="32"/>
      <c r="B51" s="45"/>
      <c r="C51" s="32"/>
      <c r="D51" s="32"/>
      <c r="E51" s="32"/>
      <c r="F51" s="32"/>
      <c r="G51" s="32"/>
      <c r="H51" s="32"/>
      <c r="I51" s="32"/>
      <c r="J51" s="32"/>
    </row>
    <row r="52" spans="1:10">
      <c r="A52" s="32"/>
      <c r="B52" s="42" t="s">
        <v>2957</v>
      </c>
      <c r="C52" s="32"/>
      <c r="D52" s="32"/>
      <c r="E52" s="32"/>
      <c r="F52" s="32"/>
      <c r="G52" s="32"/>
      <c r="H52" s="32"/>
      <c r="I52" s="32"/>
      <c r="J52" s="32"/>
    </row>
    <row r="53" spans="1:10">
      <c r="A53" s="32"/>
      <c r="B53" s="32"/>
      <c r="C53" s="32"/>
      <c r="D53" s="32"/>
      <c r="E53" s="32"/>
      <c r="F53" s="32"/>
      <c r="G53" s="32"/>
      <c r="H53" s="32"/>
      <c r="I53" s="32"/>
      <c r="J53" s="32"/>
    </row>
    <row r="54" spans="1:10">
      <c r="A54" s="32"/>
      <c r="B54" s="32"/>
      <c r="C54" s="32"/>
      <c r="D54" s="32"/>
      <c r="E54" s="32"/>
      <c r="F54" s="32"/>
      <c r="G54" s="32"/>
      <c r="H54" s="32"/>
      <c r="I54" s="32"/>
      <c r="J54" s="32"/>
    </row>
  </sheetData>
  <mergeCells count="4">
    <mergeCell ref="D2:F2"/>
    <mergeCell ref="D3:F3"/>
    <mergeCell ref="D5:F5"/>
    <mergeCell ref="B7:G7"/>
  </mergeCells>
  <pageMargins left="0.7" right="0.7" top="0.75" bottom="0.75" header="0.51180555555555496" footer="0.51180555555555496"/>
  <pageSetup paperSize="9" scale="80" firstPageNumber="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7" zoomScale="125" zoomScaleNormal="125" workbookViewId="0">
      <selection activeCell="C21" sqref="C21"/>
    </sheetView>
  </sheetViews>
  <sheetFormatPr baseColWidth="10" defaultColWidth="12.5703125" defaultRowHeight="15"/>
  <cols>
    <col min="1" max="1" width="19.42578125" style="48" customWidth="1"/>
    <col min="2" max="2" width="27.85546875" style="48" customWidth="1"/>
    <col min="3" max="3" width="33.140625" style="48" customWidth="1"/>
    <col min="4" max="4" width="114.5703125" style="49" customWidth="1"/>
    <col min="5" max="1024" width="12.5703125" style="48"/>
  </cols>
  <sheetData>
    <row r="1" spans="1:4">
      <c r="A1" s="50" t="s">
        <v>2962</v>
      </c>
      <c r="B1" s="51" t="s">
        <v>2963</v>
      </c>
      <c r="C1" s="51" t="s">
        <v>2964</v>
      </c>
      <c r="D1" s="52" t="s">
        <v>2965</v>
      </c>
    </row>
    <row r="2" spans="1:4" ht="30">
      <c r="A2" s="48" t="s">
        <v>2966</v>
      </c>
      <c r="B2" s="53" t="s">
        <v>2967</v>
      </c>
      <c r="C2" s="54" t="s">
        <v>64</v>
      </c>
      <c r="D2" s="49" t="s">
        <v>2968</v>
      </c>
    </row>
    <row r="3" spans="1:4" ht="30">
      <c r="A3" s="48" t="s">
        <v>2969</v>
      </c>
      <c r="B3" s="53" t="s">
        <v>2967</v>
      </c>
      <c r="C3" s="54" t="s">
        <v>65</v>
      </c>
      <c r="D3" s="49" t="s">
        <v>2968</v>
      </c>
    </row>
    <row r="4" spans="1:4" ht="30">
      <c r="A4" s="48" t="s">
        <v>2970</v>
      </c>
      <c r="B4" s="53" t="s">
        <v>2971</v>
      </c>
      <c r="C4" s="54" t="s">
        <v>2972</v>
      </c>
      <c r="D4" s="49" t="s">
        <v>2973</v>
      </c>
    </row>
    <row r="5" spans="1:4" ht="75">
      <c r="A5" s="48" t="s">
        <v>2974</v>
      </c>
      <c r="B5" s="53" t="s">
        <v>2975</v>
      </c>
      <c r="C5" s="54" t="s">
        <v>2976</v>
      </c>
      <c r="D5" s="49" t="s">
        <v>2977</v>
      </c>
    </row>
    <row r="6" spans="1:4" ht="30">
      <c r="A6" s="48" t="s">
        <v>2978</v>
      </c>
      <c r="B6" s="53" t="s">
        <v>2979</v>
      </c>
      <c r="C6" s="54" t="s">
        <v>2980</v>
      </c>
      <c r="D6" s="49" t="s">
        <v>2981</v>
      </c>
    </row>
    <row r="7" spans="1:4" ht="60">
      <c r="A7" s="48" t="s">
        <v>2982</v>
      </c>
      <c r="B7" s="53" t="s">
        <v>2979</v>
      </c>
      <c r="C7" s="54" t="s">
        <v>2983</v>
      </c>
      <c r="D7" s="49" t="s">
        <v>2984</v>
      </c>
    </row>
    <row r="8" spans="1:4" ht="25.5">
      <c r="A8" s="48" t="s">
        <v>2985</v>
      </c>
      <c r="B8" s="53" t="s">
        <v>2986</v>
      </c>
      <c r="C8" s="54" t="s">
        <v>2987</v>
      </c>
      <c r="D8" s="49" t="s">
        <v>2988</v>
      </c>
    </row>
    <row r="9" spans="1:4" ht="30">
      <c r="A9" s="48" t="s">
        <v>2989</v>
      </c>
      <c r="B9" s="53" t="s">
        <v>2979</v>
      </c>
      <c r="C9" s="54" t="s">
        <v>2990</v>
      </c>
      <c r="D9" s="49" t="s">
        <v>2991</v>
      </c>
    </row>
    <row r="10" spans="1:4" ht="38.25">
      <c r="A10" s="48" t="s">
        <v>2992</v>
      </c>
      <c r="B10" s="53" t="s">
        <v>2993</v>
      </c>
      <c r="C10" s="54" t="s">
        <v>70</v>
      </c>
      <c r="D10" s="49" t="s">
        <v>2994</v>
      </c>
    </row>
    <row r="11" spans="1:4" ht="38.25">
      <c r="A11" s="48" t="s">
        <v>2995</v>
      </c>
      <c r="B11" s="53" t="s">
        <v>2993</v>
      </c>
      <c r="C11" s="54" t="s">
        <v>2996</v>
      </c>
      <c r="D11" s="49" t="s">
        <v>76</v>
      </c>
    </row>
    <row r="12" spans="1:4" ht="38.25">
      <c r="A12" s="48" t="s">
        <v>2997</v>
      </c>
      <c r="B12" s="53" t="s">
        <v>2993</v>
      </c>
      <c r="C12" s="54" t="s">
        <v>2976</v>
      </c>
      <c r="D12" s="49" t="s">
        <v>2998</v>
      </c>
    </row>
    <row r="13" spans="1:4" ht="30">
      <c r="A13" s="48" t="s">
        <v>2999</v>
      </c>
      <c r="B13" s="53" t="s">
        <v>3000</v>
      </c>
      <c r="C13" s="54" t="s">
        <v>3001</v>
      </c>
      <c r="D13" s="49" t="s">
        <v>3002</v>
      </c>
    </row>
    <row r="14" spans="1:4" ht="30">
      <c r="A14" s="48" t="s">
        <v>3003</v>
      </c>
      <c r="B14" s="53" t="s">
        <v>3004</v>
      </c>
      <c r="C14" s="54" t="s">
        <v>3005</v>
      </c>
      <c r="D14" s="49" t="s">
        <v>3006</v>
      </c>
    </row>
    <row r="15" spans="1:4" ht="30">
      <c r="A15" s="48" t="s">
        <v>3007</v>
      </c>
      <c r="B15" s="53" t="s">
        <v>3004</v>
      </c>
      <c r="C15" s="54" t="s">
        <v>3008</v>
      </c>
      <c r="D15" s="49" t="s">
        <v>3009</v>
      </c>
    </row>
    <row r="16" spans="1:4" ht="25.5">
      <c r="A16" s="48" t="s">
        <v>3010</v>
      </c>
      <c r="B16" s="55" t="s">
        <v>3011</v>
      </c>
      <c r="C16" s="54"/>
    </row>
    <row r="17" spans="1:4" ht="25.5">
      <c r="A17" s="48" t="s">
        <v>3012</v>
      </c>
      <c r="B17" s="56" t="s">
        <v>3013</v>
      </c>
      <c r="C17" s="54" t="s">
        <v>75</v>
      </c>
      <c r="D17" s="49" t="s">
        <v>3014</v>
      </c>
    </row>
    <row r="18" spans="1:4">
      <c r="A18" s="48" t="s">
        <v>3015</v>
      </c>
      <c r="B18" s="57" t="s">
        <v>3016</v>
      </c>
      <c r="C18" s="58" t="s">
        <v>76</v>
      </c>
      <c r="D18" s="49" t="s">
        <v>3017</v>
      </c>
    </row>
    <row r="28" spans="1:4">
      <c r="D28" s="49" t="s">
        <v>1418</v>
      </c>
    </row>
  </sheetData>
  <conditionalFormatting sqref="C5">
    <cfRule type="expression" dxfId="0" priority="2">
      <formula>non</formula>
    </cfRule>
  </conditionalFormatting>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opLeftCell="D1" zoomScale="125" zoomScaleNormal="125" workbookViewId="0">
      <selection activeCell="I11" sqref="I10:I11"/>
    </sheetView>
  </sheetViews>
  <sheetFormatPr baseColWidth="10" defaultColWidth="11.140625" defaultRowHeight="15"/>
  <cols>
    <col min="3" max="3" width="26" hidden="1" customWidth="1"/>
    <col min="4" max="4" width="29.85546875" customWidth="1"/>
    <col min="5" max="5" width="26.42578125" hidden="1" customWidth="1"/>
    <col min="6" max="6" width="12" customWidth="1"/>
    <col min="7" max="7" width="29.85546875" customWidth="1"/>
    <col min="9" max="9" width="21.85546875" bestFit="1" customWidth="1"/>
    <col min="11" max="11" width="19.85546875" bestFit="1" customWidth="1"/>
  </cols>
  <sheetData>
    <row r="1" spans="1:13" ht="15.75" thickBot="1"/>
    <row r="2" spans="1:13" ht="15.75" thickBot="1">
      <c r="A2" s="59"/>
      <c r="C2" s="60" t="s">
        <v>3018</v>
      </c>
      <c r="D2" s="60" t="s">
        <v>3018</v>
      </c>
      <c r="E2" s="60" t="s">
        <v>3019</v>
      </c>
      <c r="G2" s="60" t="s">
        <v>3019</v>
      </c>
      <c r="I2" s="60" t="s">
        <v>3447</v>
      </c>
      <c r="K2" s="60" t="s">
        <v>3448</v>
      </c>
      <c r="M2" s="60" t="s">
        <v>3454</v>
      </c>
    </row>
    <row r="3" spans="1:13">
      <c r="A3" s="61"/>
      <c r="C3" s="62" t="s">
        <v>3020</v>
      </c>
      <c r="D3" t="str">
        <f t="shared" ref="D3:D34" si="0">UPPER(C3)</f>
        <v>BILIEU</v>
      </c>
      <c r="E3" s="61" t="s">
        <v>3021</v>
      </c>
      <c r="G3" t="str">
        <f t="shared" ref="G3:G34" si="1">UPPER(E3)</f>
        <v>ALBERTVILLE</v>
      </c>
      <c r="I3" s="216" t="s">
        <v>3450</v>
      </c>
      <c r="K3" t="s">
        <v>3449</v>
      </c>
      <c r="M3" t="s">
        <v>3451</v>
      </c>
    </row>
    <row r="4" spans="1:13">
      <c r="A4" s="61"/>
      <c r="C4" s="62" t="s">
        <v>3022</v>
      </c>
      <c r="D4" t="str">
        <f t="shared" si="0"/>
        <v>LA BUISSE</v>
      </c>
      <c r="E4" s="61" t="s">
        <v>1625</v>
      </c>
      <c r="G4" t="str">
        <f t="shared" si="1"/>
        <v>ARBIN</v>
      </c>
      <c r="I4" t="s">
        <v>3413</v>
      </c>
      <c r="K4" s="216" t="s">
        <v>3450</v>
      </c>
      <c r="M4" t="s">
        <v>3452</v>
      </c>
    </row>
    <row r="5" spans="1:13">
      <c r="A5" s="61"/>
      <c r="C5" s="62" t="s">
        <v>3023</v>
      </c>
      <c r="D5" t="str">
        <f t="shared" si="0"/>
        <v>CHARANCIEU</v>
      </c>
      <c r="E5" s="61" t="s">
        <v>3024</v>
      </c>
      <c r="G5" t="str">
        <f t="shared" si="1"/>
        <v>BARRAUX</v>
      </c>
      <c r="I5" t="s">
        <v>1955</v>
      </c>
      <c r="K5" t="s">
        <v>3413</v>
      </c>
      <c r="M5" t="s">
        <v>3453</v>
      </c>
    </row>
    <row r="6" spans="1:13">
      <c r="A6" s="61"/>
      <c r="C6" s="62" t="s">
        <v>3025</v>
      </c>
      <c r="D6" t="str">
        <f t="shared" si="0"/>
        <v>CHARAVINES</v>
      </c>
      <c r="E6" s="61" t="s">
        <v>3026</v>
      </c>
      <c r="G6" t="str">
        <f t="shared" si="1"/>
        <v>BOURG-DE-PÉAGE</v>
      </c>
      <c r="I6" t="s">
        <v>2862</v>
      </c>
      <c r="K6" t="s">
        <v>1955</v>
      </c>
    </row>
    <row r="7" spans="1:13">
      <c r="A7" s="61"/>
      <c r="C7" s="62" t="s">
        <v>3027</v>
      </c>
      <c r="D7" t="str">
        <f t="shared" si="0"/>
        <v>CHARNÈCLES</v>
      </c>
      <c r="E7" s="61" t="s">
        <v>3028</v>
      </c>
      <c r="G7" t="str">
        <f t="shared" si="1"/>
        <v>BOURGNEUF</v>
      </c>
      <c r="K7" t="s">
        <v>2862</v>
      </c>
    </row>
    <row r="8" spans="1:13">
      <c r="A8" s="61"/>
      <c r="C8" s="62" t="s">
        <v>3029</v>
      </c>
      <c r="D8" t="str">
        <f t="shared" si="0"/>
        <v>CHIRENS</v>
      </c>
      <c r="E8" s="61" t="s">
        <v>3030</v>
      </c>
      <c r="G8" t="str">
        <f t="shared" si="1"/>
        <v>BOURGOIN-JALLIEU</v>
      </c>
    </row>
    <row r="9" spans="1:13">
      <c r="A9" s="61"/>
      <c r="C9" s="62" t="s">
        <v>3031</v>
      </c>
      <c r="D9" t="str">
        <f t="shared" si="0"/>
        <v>COUBLEVIE</v>
      </c>
      <c r="E9" s="61" t="s">
        <v>3032</v>
      </c>
      <c r="G9" t="str">
        <f t="shared" si="1"/>
        <v>BRIANÇON</v>
      </c>
    </row>
    <row r="10" spans="1:13">
      <c r="A10" s="61"/>
      <c r="C10" s="62" t="s">
        <v>3033</v>
      </c>
      <c r="D10" t="str">
        <f t="shared" si="0"/>
        <v>MASSIEU</v>
      </c>
      <c r="E10" s="61" t="s">
        <v>3034</v>
      </c>
      <c r="G10" t="str">
        <f t="shared" si="1"/>
        <v>CHALLES-LES-EAUX</v>
      </c>
    </row>
    <row r="11" spans="1:13">
      <c r="A11" s="61"/>
      <c r="C11" s="62" t="s">
        <v>3035</v>
      </c>
      <c r="D11" t="str">
        <f t="shared" si="0"/>
        <v>MERLAS</v>
      </c>
      <c r="E11" s="61" t="s">
        <v>3036</v>
      </c>
      <c r="G11" t="str">
        <f t="shared" si="1"/>
        <v>CHAMBÉRY</v>
      </c>
    </row>
    <row r="12" spans="1:13">
      <c r="A12" s="61"/>
      <c r="C12" s="62" t="s">
        <v>3037</v>
      </c>
      <c r="D12" t="str">
        <f t="shared" si="0"/>
        <v>MOIRANS</v>
      </c>
      <c r="E12" s="61" t="s">
        <v>3038</v>
      </c>
      <c r="G12" t="str">
        <f t="shared" si="1"/>
        <v>CHAMPIER</v>
      </c>
    </row>
    <row r="13" spans="1:13">
      <c r="A13" s="61"/>
      <c r="C13" s="62" t="s">
        <v>3039</v>
      </c>
      <c r="D13" t="str">
        <f t="shared" si="0"/>
        <v>MONTFERRAT</v>
      </c>
      <c r="E13" s="61" t="s">
        <v>3040</v>
      </c>
      <c r="G13" t="str">
        <f t="shared" si="1"/>
        <v>CHAPAREILLAN</v>
      </c>
    </row>
    <row r="14" spans="1:13">
      <c r="A14" s="61"/>
      <c r="C14" s="62" t="s">
        <v>3041</v>
      </c>
      <c r="D14" t="str">
        <f t="shared" si="0"/>
        <v>LA MURETTE</v>
      </c>
      <c r="E14" s="61" t="s">
        <v>3023</v>
      </c>
      <c r="G14" t="str">
        <f t="shared" si="1"/>
        <v>CHARANCIEU</v>
      </c>
    </row>
    <row r="15" spans="1:13">
      <c r="A15" s="61"/>
      <c r="C15" s="62" t="s">
        <v>3042</v>
      </c>
      <c r="D15" t="str">
        <f t="shared" si="0"/>
        <v>VILLAGES-DU-LAC-DE-PALADRU</v>
      </c>
      <c r="E15" s="61" t="s">
        <v>3043</v>
      </c>
      <c r="G15" t="str">
        <f t="shared" si="1"/>
        <v>CHATILLON-SUR-CHALARONNE</v>
      </c>
    </row>
    <row r="16" spans="1:13">
      <c r="A16" s="61"/>
      <c r="C16" s="62" t="s">
        <v>3044</v>
      </c>
      <c r="D16" t="str">
        <f t="shared" si="0"/>
        <v>RÉAUMONT</v>
      </c>
      <c r="E16" s="61" t="s">
        <v>3045</v>
      </c>
      <c r="G16" t="str">
        <f t="shared" si="1"/>
        <v>CHATTE</v>
      </c>
    </row>
    <row r="17" spans="1:7">
      <c r="A17" s="61"/>
      <c r="C17" s="62" t="s">
        <v>3046</v>
      </c>
      <c r="D17" t="str">
        <f t="shared" si="0"/>
        <v xml:space="preserve">RIVES </v>
      </c>
      <c r="E17" s="61" t="s">
        <v>3047</v>
      </c>
      <c r="G17" t="str">
        <f t="shared" si="1"/>
        <v>CHATUZANGE-LE-GOUBET</v>
      </c>
    </row>
    <row r="18" spans="1:7">
      <c r="A18" s="61"/>
      <c r="C18" s="62" t="s">
        <v>3048</v>
      </c>
      <c r="D18" t="str">
        <f t="shared" si="0"/>
        <v xml:space="preserve">SAINT-AUPRE </v>
      </c>
      <c r="E18" s="61" t="s">
        <v>3049</v>
      </c>
      <c r="G18" t="str">
        <f t="shared" si="1"/>
        <v>CORBAS</v>
      </c>
    </row>
    <row r="19" spans="1:7">
      <c r="A19" s="61"/>
      <c r="C19" s="62" t="s">
        <v>3050</v>
      </c>
      <c r="D19" t="str">
        <f t="shared" si="0"/>
        <v>SAINT-BLAISE-DU-BUIS</v>
      </c>
      <c r="E19" s="61" t="s">
        <v>3051</v>
      </c>
      <c r="G19" t="str">
        <f t="shared" si="1"/>
        <v>CROLLES</v>
      </c>
    </row>
    <row r="20" spans="1:7">
      <c r="A20" s="61"/>
      <c r="C20" s="62" t="s">
        <v>3052</v>
      </c>
      <c r="D20" t="str">
        <f t="shared" si="0"/>
        <v>SAINT-BUEIL</v>
      </c>
      <c r="E20" s="61" t="s">
        <v>3053</v>
      </c>
      <c r="G20" t="str">
        <f t="shared" si="1"/>
        <v>DIE</v>
      </c>
    </row>
    <row r="21" spans="1:7">
      <c r="A21" s="61"/>
      <c r="C21" s="62" t="s">
        <v>3054</v>
      </c>
      <c r="D21" t="str">
        <f t="shared" si="0"/>
        <v>SAINT-CASSIEN</v>
      </c>
      <c r="E21" s="61" t="s">
        <v>3055</v>
      </c>
      <c r="G21" t="str">
        <f t="shared" si="1"/>
        <v>DOMÈNE</v>
      </c>
    </row>
    <row r="22" spans="1:7">
      <c r="A22" s="61"/>
      <c r="C22" s="62" t="s">
        <v>3056</v>
      </c>
      <c r="D22" t="str">
        <f t="shared" si="0"/>
        <v>SAINT-ÉTIENNE-DE-CROSSEY</v>
      </c>
      <c r="E22" s="61" t="s">
        <v>3057</v>
      </c>
      <c r="G22" t="str">
        <f t="shared" si="1"/>
        <v>DOMESSIN</v>
      </c>
    </row>
    <row r="23" spans="1:7">
      <c r="A23" s="61"/>
      <c r="C23" s="62" t="s">
        <v>3058</v>
      </c>
      <c r="D23" t="str">
        <f t="shared" si="0"/>
        <v>SAINT-GEOIRE-EN-VALDAINE</v>
      </c>
      <c r="E23" s="61" t="s">
        <v>3059</v>
      </c>
      <c r="G23" t="str">
        <f t="shared" si="1"/>
        <v>DRUMETTAZ-CLARAFOND</v>
      </c>
    </row>
    <row r="24" spans="1:7">
      <c r="A24" s="61"/>
      <c r="C24" s="62" t="s">
        <v>3060</v>
      </c>
      <c r="D24" t="str">
        <f t="shared" si="0"/>
        <v>SAINT-JEAN-DE-MOIRANS</v>
      </c>
      <c r="E24" s="61" t="s">
        <v>3061</v>
      </c>
      <c r="G24" t="str">
        <f t="shared" si="1"/>
        <v>ECHIROLLES</v>
      </c>
    </row>
    <row r="25" spans="1:7">
      <c r="A25" s="61"/>
      <c r="C25" s="62" t="s">
        <v>3062</v>
      </c>
      <c r="D25" t="str">
        <f t="shared" si="0"/>
        <v>LA-SURE- EN-CHARTREUSE</v>
      </c>
      <c r="E25" s="61" t="s">
        <v>3063</v>
      </c>
      <c r="G25" t="str">
        <f t="shared" si="1"/>
        <v>ESTRABLIN</v>
      </c>
    </row>
    <row r="26" spans="1:7">
      <c r="A26" s="61"/>
      <c r="C26" s="62" t="s">
        <v>3064</v>
      </c>
      <c r="D26" t="str">
        <f t="shared" si="0"/>
        <v>SAINT-NICOLAS-DE-MACHERIN</v>
      </c>
      <c r="E26" s="61" t="s">
        <v>3065</v>
      </c>
      <c r="G26" t="str">
        <f t="shared" si="1"/>
        <v>EYBENS</v>
      </c>
    </row>
    <row r="27" spans="1:7">
      <c r="A27" s="61"/>
      <c r="C27" s="62" t="s">
        <v>3066</v>
      </c>
      <c r="D27" t="str">
        <f t="shared" si="0"/>
        <v>SAINT-SULPICE-DES-RIVOIRES</v>
      </c>
      <c r="E27" s="61" t="s">
        <v>3067</v>
      </c>
      <c r="G27" t="str">
        <f t="shared" si="1"/>
        <v>FONTANIL-CORNILLON</v>
      </c>
    </row>
    <row r="28" spans="1:7">
      <c r="A28" s="61"/>
      <c r="C28" s="62" t="s">
        <v>3068</v>
      </c>
      <c r="D28" t="str">
        <f t="shared" si="0"/>
        <v xml:space="preserve">TULLINS </v>
      </c>
      <c r="E28" s="61" t="s">
        <v>3069</v>
      </c>
      <c r="G28" t="str">
        <f t="shared" si="1"/>
        <v>FRONTENEX</v>
      </c>
    </row>
    <row r="29" spans="1:7">
      <c r="A29" s="61"/>
      <c r="C29" s="62" t="s">
        <v>3070</v>
      </c>
      <c r="D29" t="str">
        <f t="shared" si="0"/>
        <v>VELANNE</v>
      </c>
      <c r="E29" s="61" t="s">
        <v>3071</v>
      </c>
      <c r="G29" t="str">
        <f t="shared" si="1"/>
        <v>GAP</v>
      </c>
    </row>
    <row r="30" spans="1:7">
      <c r="A30" s="61"/>
      <c r="C30" s="62" t="s">
        <v>3072</v>
      </c>
      <c r="D30" t="str">
        <f t="shared" si="0"/>
        <v xml:space="preserve">VOIRON </v>
      </c>
      <c r="E30" s="61" t="s">
        <v>3073</v>
      </c>
      <c r="G30" t="str">
        <f t="shared" si="1"/>
        <v>GONCELIN</v>
      </c>
    </row>
    <row r="31" spans="1:7">
      <c r="A31" s="61"/>
      <c r="C31" s="62" t="s">
        <v>3074</v>
      </c>
      <c r="D31" t="str">
        <f t="shared" si="0"/>
        <v>VOISSANT</v>
      </c>
      <c r="E31" s="61" t="s">
        <v>3075</v>
      </c>
      <c r="G31" t="str">
        <f t="shared" si="1"/>
        <v>GRENOBLE</v>
      </c>
    </row>
    <row r="32" spans="1:7">
      <c r="A32" s="61"/>
      <c r="C32" s="62" t="s">
        <v>2791</v>
      </c>
      <c r="D32" t="str">
        <f t="shared" si="0"/>
        <v>VOREPPE</v>
      </c>
      <c r="E32" s="61" t="s">
        <v>3076</v>
      </c>
      <c r="G32" t="str">
        <f t="shared" si="1"/>
        <v>GRESSE-EN-VERCORS</v>
      </c>
    </row>
    <row r="33" spans="1:7">
      <c r="A33" s="61"/>
      <c r="C33" s="62" t="s">
        <v>3077</v>
      </c>
      <c r="D33" t="str">
        <f t="shared" si="0"/>
        <v>VOUREY</v>
      </c>
      <c r="E33" s="61" t="s">
        <v>3078</v>
      </c>
      <c r="G33" t="str">
        <f t="shared" si="1"/>
        <v>LA BATHIE</v>
      </c>
    </row>
    <row r="34" spans="1:7">
      <c r="A34" s="63"/>
      <c r="D34" t="str">
        <f t="shared" si="0"/>
        <v/>
      </c>
      <c r="E34" s="61" t="s">
        <v>3079</v>
      </c>
      <c r="G34" t="str">
        <f t="shared" si="1"/>
        <v>LA BÂTIE-MONTGASCON</v>
      </c>
    </row>
    <row r="35" spans="1:7">
      <c r="A35" s="63"/>
      <c r="D35" t="str">
        <f t="shared" ref="D35:D66" si="2">UPPER(C35)</f>
        <v/>
      </c>
      <c r="E35" s="61" t="s">
        <v>3080</v>
      </c>
      <c r="G35" t="str">
        <f t="shared" ref="G35:G66" si="3">UPPER(E35)</f>
        <v>LA-CHAPPELLE-DU-BARD</v>
      </c>
    </row>
    <row r="36" spans="1:7">
      <c r="D36" t="str">
        <f t="shared" si="2"/>
        <v/>
      </c>
      <c r="E36" s="61" t="s">
        <v>3081</v>
      </c>
      <c r="G36" t="str">
        <f t="shared" si="3"/>
        <v>LA-RAVOIRE</v>
      </c>
    </row>
    <row r="37" spans="1:7">
      <c r="D37" t="str">
        <f t="shared" si="2"/>
        <v/>
      </c>
      <c r="E37" s="61" t="s">
        <v>3082</v>
      </c>
      <c r="G37" t="str">
        <f t="shared" si="3"/>
        <v>LA-TOUR-DU-PIN</v>
      </c>
    </row>
    <row r="38" spans="1:7">
      <c r="D38" t="str">
        <f t="shared" si="2"/>
        <v/>
      </c>
      <c r="E38" s="61" t="s">
        <v>3083</v>
      </c>
      <c r="G38" t="str">
        <f t="shared" si="3"/>
        <v>LE-BOURGET-DU-LAC</v>
      </c>
    </row>
    <row r="39" spans="1:7">
      <c r="D39" t="str">
        <f t="shared" si="2"/>
        <v/>
      </c>
      <c r="E39" s="61" t="s">
        <v>3084</v>
      </c>
      <c r="G39" t="str">
        <f t="shared" si="3"/>
        <v>LE-CHEYLAS</v>
      </c>
    </row>
    <row r="40" spans="1:7">
      <c r="D40" t="str">
        <f t="shared" si="2"/>
        <v/>
      </c>
      <c r="E40" s="61" t="s">
        <v>3085</v>
      </c>
      <c r="G40" t="str">
        <f t="shared" si="3"/>
        <v>LE-GUA</v>
      </c>
    </row>
    <row r="41" spans="1:7">
      <c r="D41" t="str">
        <f t="shared" si="2"/>
        <v/>
      </c>
      <c r="E41" s="61" t="s">
        <v>3086</v>
      </c>
      <c r="G41" t="str">
        <f t="shared" si="3"/>
        <v>LE-PONT-DE-BEAUVOISON</v>
      </c>
    </row>
    <row r="42" spans="1:7">
      <c r="D42" t="str">
        <f t="shared" si="2"/>
        <v/>
      </c>
      <c r="E42" s="61" t="s">
        <v>3087</v>
      </c>
      <c r="G42" t="str">
        <f t="shared" si="3"/>
        <v>LE-SAPPEY-EN-CHARTREUSE</v>
      </c>
    </row>
    <row r="43" spans="1:7">
      <c r="D43" t="str">
        <f t="shared" si="2"/>
        <v/>
      </c>
      <c r="E43" s="61" t="s">
        <v>3088</v>
      </c>
      <c r="G43" t="str">
        <f t="shared" si="3"/>
        <v>LES-AVENIÈRES</v>
      </c>
    </row>
    <row r="44" spans="1:7">
      <c r="D44" t="str">
        <f t="shared" si="2"/>
        <v/>
      </c>
      <c r="E44" s="61" t="s">
        <v>3089</v>
      </c>
      <c r="G44" t="str">
        <f t="shared" si="3"/>
        <v>LESCHERAINES</v>
      </c>
    </row>
    <row r="45" spans="1:7">
      <c r="D45" t="str">
        <f t="shared" si="2"/>
        <v/>
      </c>
      <c r="E45" s="61" t="s">
        <v>3090</v>
      </c>
      <c r="G45" t="str">
        <f t="shared" si="3"/>
        <v>LE-TOUVET</v>
      </c>
    </row>
    <row r="46" spans="1:7">
      <c r="D46" t="str">
        <f t="shared" si="2"/>
        <v/>
      </c>
      <c r="E46" s="61" t="s">
        <v>3091</v>
      </c>
      <c r="G46" t="str">
        <f t="shared" si="3"/>
        <v>MASSIEUX</v>
      </c>
    </row>
    <row r="47" spans="1:7">
      <c r="D47" t="str">
        <f t="shared" si="2"/>
        <v/>
      </c>
      <c r="E47" s="61" t="s">
        <v>3092</v>
      </c>
      <c r="G47" t="str">
        <f t="shared" si="3"/>
        <v>MEYRIE</v>
      </c>
    </row>
    <row r="48" spans="1:7">
      <c r="D48" t="str">
        <f t="shared" si="2"/>
        <v/>
      </c>
      <c r="E48" s="61" t="s">
        <v>3037</v>
      </c>
      <c r="G48" t="str">
        <f t="shared" si="3"/>
        <v>MOIRANS</v>
      </c>
    </row>
    <row r="49" spans="4:7">
      <c r="D49" t="str">
        <f t="shared" si="2"/>
        <v/>
      </c>
      <c r="E49" s="61" t="s">
        <v>3093</v>
      </c>
      <c r="G49" t="str">
        <f t="shared" si="3"/>
        <v>PLAN</v>
      </c>
    </row>
    <row r="50" spans="4:7">
      <c r="D50" t="str">
        <f t="shared" si="2"/>
        <v/>
      </c>
      <c r="E50" s="61" t="s">
        <v>3094</v>
      </c>
      <c r="G50" t="str">
        <f t="shared" si="3"/>
        <v>PONTCHARRA</v>
      </c>
    </row>
    <row r="51" spans="4:7">
      <c r="D51" t="str">
        <f t="shared" si="2"/>
        <v/>
      </c>
      <c r="E51" s="61" t="s">
        <v>3095</v>
      </c>
      <c r="G51" t="str">
        <f t="shared" si="3"/>
        <v>PORTE-DE-SAVOIE</v>
      </c>
    </row>
    <row r="52" spans="4:7">
      <c r="D52" t="str">
        <f t="shared" si="2"/>
        <v/>
      </c>
      <c r="E52" s="61" t="s">
        <v>3044</v>
      </c>
      <c r="G52" t="str">
        <f t="shared" si="3"/>
        <v>RÉAUMONT</v>
      </c>
    </row>
    <row r="53" spans="4:7">
      <c r="D53" t="str">
        <f t="shared" si="2"/>
        <v/>
      </c>
      <c r="E53" s="61" t="s">
        <v>3096</v>
      </c>
      <c r="G53" t="str">
        <f t="shared" si="3"/>
        <v>RENAGE</v>
      </c>
    </row>
    <row r="54" spans="4:7">
      <c r="D54" t="str">
        <f t="shared" si="2"/>
        <v/>
      </c>
      <c r="E54" s="61" t="s">
        <v>3097</v>
      </c>
      <c r="G54" t="str">
        <f t="shared" si="3"/>
        <v>REVEL</v>
      </c>
    </row>
    <row r="55" spans="4:7">
      <c r="D55" t="str">
        <f t="shared" si="2"/>
        <v/>
      </c>
      <c r="E55" s="61" t="s">
        <v>3098</v>
      </c>
      <c r="G55" t="str">
        <f t="shared" si="3"/>
        <v>RUY-MONTCEAU</v>
      </c>
    </row>
    <row r="56" spans="4:7">
      <c r="D56" t="str">
        <f t="shared" si="2"/>
        <v/>
      </c>
      <c r="E56" s="61" t="s">
        <v>3099</v>
      </c>
      <c r="G56" t="str">
        <f t="shared" si="3"/>
        <v>SABLONS</v>
      </c>
    </row>
    <row r="57" spans="4:7">
      <c r="D57" t="str">
        <f t="shared" si="2"/>
        <v/>
      </c>
      <c r="E57" s="61" t="s">
        <v>3100</v>
      </c>
      <c r="G57" t="str">
        <f t="shared" si="3"/>
        <v>SAINT-ALBAN-DE-ROCHE</v>
      </c>
    </row>
    <row r="58" spans="4:7">
      <c r="D58" t="str">
        <f t="shared" si="2"/>
        <v/>
      </c>
      <c r="E58" s="61" t="s">
        <v>3101</v>
      </c>
      <c r="G58" t="str">
        <f t="shared" si="3"/>
        <v>SAINT-ANDRÉ-LE-GAZ</v>
      </c>
    </row>
    <row r="59" spans="4:7">
      <c r="D59" t="str">
        <f t="shared" si="2"/>
        <v/>
      </c>
      <c r="E59" s="61" t="s">
        <v>3102</v>
      </c>
      <c r="G59" t="str">
        <f t="shared" si="3"/>
        <v>SAINT-AUPRE</v>
      </c>
    </row>
    <row r="60" spans="4:7">
      <c r="D60" t="str">
        <f t="shared" si="2"/>
        <v/>
      </c>
      <c r="E60" s="61" t="s">
        <v>3103</v>
      </c>
      <c r="G60" t="str">
        <f t="shared" si="3"/>
        <v>SAINT-BALDOPH</v>
      </c>
    </row>
    <row r="61" spans="4:7">
      <c r="D61" t="str">
        <f t="shared" si="2"/>
        <v/>
      </c>
      <c r="E61" s="61" t="s">
        <v>3050</v>
      </c>
      <c r="G61" t="str">
        <f t="shared" si="3"/>
        <v>SAINT-BLAISE-DU-BUIS</v>
      </c>
    </row>
    <row r="62" spans="4:7">
      <c r="D62" t="str">
        <f t="shared" si="2"/>
        <v/>
      </c>
      <c r="E62" s="61" t="s">
        <v>3104</v>
      </c>
      <c r="G62" t="str">
        <f t="shared" si="3"/>
        <v>SAINT-BONNET-DE-MURE</v>
      </c>
    </row>
    <row r="63" spans="4:7">
      <c r="D63" t="str">
        <f t="shared" si="2"/>
        <v/>
      </c>
      <c r="E63" s="61" t="s">
        <v>3105</v>
      </c>
      <c r="G63" t="str">
        <f t="shared" si="3"/>
        <v>SAINT-EGRÈVE</v>
      </c>
    </row>
    <row r="64" spans="4:7">
      <c r="D64" t="str">
        <f t="shared" si="2"/>
        <v/>
      </c>
      <c r="E64" s="61" t="s">
        <v>3106</v>
      </c>
      <c r="G64" t="str">
        <f t="shared" si="3"/>
        <v>SAINT-JEAN-DE-BOURNAY</v>
      </c>
    </row>
    <row r="65" spans="4:7">
      <c r="D65" t="str">
        <f t="shared" si="2"/>
        <v/>
      </c>
      <c r="E65" s="61" t="s">
        <v>3107</v>
      </c>
      <c r="G65" t="str">
        <f t="shared" si="3"/>
        <v>SAINT-JORIOZ</v>
      </c>
    </row>
    <row r="66" spans="4:7">
      <c r="D66" t="str">
        <f t="shared" si="2"/>
        <v/>
      </c>
      <c r="E66" s="61" t="s">
        <v>3108</v>
      </c>
      <c r="G66" t="str">
        <f t="shared" si="3"/>
        <v>SAINT-LAURENT-DU-PONT</v>
      </c>
    </row>
    <row r="67" spans="4:7">
      <c r="D67" t="str">
        <f t="shared" ref="D67:D91" si="4">UPPER(C67)</f>
        <v/>
      </c>
      <c r="E67" s="61" t="s">
        <v>3109</v>
      </c>
      <c r="G67" t="str">
        <f t="shared" ref="G67:G92" si="5">UPPER(E67)</f>
        <v>SAINT-LOUIS</v>
      </c>
    </row>
    <row r="68" spans="4:7">
      <c r="D68" t="str">
        <f t="shared" si="4"/>
        <v/>
      </c>
      <c r="E68" s="61" t="s">
        <v>3110</v>
      </c>
      <c r="G68" t="str">
        <f t="shared" si="5"/>
        <v>SAINT-MARTIN-D'HÈRES</v>
      </c>
    </row>
    <row r="69" spans="4:7">
      <c r="D69" t="str">
        <f t="shared" si="4"/>
        <v/>
      </c>
      <c r="E69" s="61" t="s">
        <v>3111</v>
      </c>
      <c r="G69" t="str">
        <f t="shared" si="5"/>
        <v>SAINT-MARTIN-D'URIAGE</v>
      </c>
    </row>
    <row r="70" spans="4:7">
      <c r="D70" t="str">
        <f t="shared" si="4"/>
        <v/>
      </c>
      <c r="E70" s="61" t="s">
        <v>3112</v>
      </c>
      <c r="G70" t="str">
        <f t="shared" si="5"/>
        <v>SAINT-MAXIMIN</v>
      </c>
    </row>
    <row r="71" spans="4:7">
      <c r="D71" t="str">
        <f t="shared" si="4"/>
        <v/>
      </c>
      <c r="E71" s="61" t="s">
        <v>3113</v>
      </c>
      <c r="G71" t="str">
        <f t="shared" si="5"/>
        <v>SAINT-PIERRE-D'ALBIGNY</v>
      </c>
    </row>
    <row r="72" spans="4:7">
      <c r="D72" t="str">
        <f t="shared" si="4"/>
        <v/>
      </c>
      <c r="E72" s="61" t="s">
        <v>3114</v>
      </c>
      <c r="G72" t="str">
        <f t="shared" si="5"/>
        <v>SAINT-PIERRE-DE-CHARTREUSE</v>
      </c>
    </row>
    <row r="73" spans="4:7">
      <c r="D73" t="str">
        <f t="shared" si="4"/>
        <v/>
      </c>
      <c r="E73" s="61" t="s">
        <v>3115</v>
      </c>
      <c r="G73" t="str">
        <f t="shared" si="5"/>
        <v>SAINT-PIERRE-D'ENTREMONT</v>
      </c>
    </row>
    <row r="74" spans="4:7">
      <c r="D74" t="str">
        <f t="shared" si="4"/>
        <v/>
      </c>
      <c r="E74" s="61" t="s">
        <v>3116</v>
      </c>
      <c r="G74" t="str">
        <f t="shared" si="5"/>
        <v>SAINT-PRIEST</v>
      </c>
    </row>
    <row r="75" spans="4:7">
      <c r="D75" t="str">
        <f t="shared" si="4"/>
        <v/>
      </c>
      <c r="E75" s="61" t="s">
        <v>3117</v>
      </c>
      <c r="G75" t="str">
        <f t="shared" si="5"/>
        <v>SCIONZIER</v>
      </c>
    </row>
    <row r="76" spans="4:7">
      <c r="D76" t="str">
        <f t="shared" si="4"/>
        <v/>
      </c>
      <c r="E76" s="61" t="s">
        <v>3118</v>
      </c>
      <c r="G76" t="str">
        <f t="shared" si="5"/>
        <v>SÉCHILIENNE</v>
      </c>
    </row>
    <row r="77" spans="4:7">
      <c r="D77" t="str">
        <f t="shared" si="4"/>
        <v/>
      </c>
      <c r="E77" s="61" t="s">
        <v>3119</v>
      </c>
      <c r="G77" t="str">
        <f t="shared" si="5"/>
        <v>ST-ETIENNE-DE-ST-GEOIRS</v>
      </c>
    </row>
    <row r="78" spans="4:7">
      <c r="D78" t="str">
        <f t="shared" si="4"/>
        <v/>
      </c>
      <c r="E78" s="61" t="s">
        <v>3120</v>
      </c>
      <c r="G78" t="str">
        <f t="shared" si="5"/>
        <v>SUSVILLE</v>
      </c>
    </row>
    <row r="79" spans="4:7">
      <c r="D79" t="str">
        <f t="shared" si="4"/>
        <v/>
      </c>
      <c r="E79" s="61" t="s">
        <v>3121</v>
      </c>
      <c r="G79" t="str">
        <f t="shared" si="5"/>
        <v>TENCIN</v>
      </c>
    </row>
    <row r="80" spans="4:7">
      <c r="D80" t="str">
        <f t="shared" si="4"/>
        <v/>
      </c>
      <c r="E80" s="61" t="s">
        <v>3122</v>
      </c>
      <c r="G80" t="str">
        <f t="shared" si="5"/>
        <v>THEYS</v>
      </c>
    </row>
    <row r="81" spans="4:7">
      <c r="D81" t="str">
        <f t="shared" si="4"/>
        <v/>
      </c>
      <c r="E81" s="61" t="s">
        <v>3123</v>
      </c>
      <c r="G81" t="str">
        <f t="shared" si="5"/>
        <v>THONON-LES-BAINS</v>
      </c>
    </row>
    <row r="82" spans="4:7">
      <c r="D82" t="str">
        <f t="shared" si="4"/>
        <v/>
      </c>
      <c r="E82" s="61" t="s">
        <v>3124</v>
      </c>
      <c r="G82" t="str">
        <f t="shared" si="5"/>
        <v>TORCHEFELON</v>
      </c>
    </row>
    <row r="83" spans="4:7">
      <c r="D83" t="str">
        <f t="shared" si="4"/>
        <v/>
      </c>
      <c r="E83" s="61" t="s">
        <v>3125</v>
      </c>
      <c r="G83" t="str">
        <f t="shared" si="5"/>
        <v>TULLINS</v>
      </c>
    </row>
    <row r="84" spans="4:7">
      <c r="D84" t="str">
        <f t="shared" si="4"/>
        <v/>
      </c>
      <c r="E84" s="61" t="s">
        <v>3126</v>
      </c>
      <c r="G84" t="str">
        <f t="shared" si="5"/>
        <v>VARCES</v>
      </c>
    </row>
    <row r="85" spans="4:7">
      <c r="D85" t="str">
        <f t="shared" si="4"/>
        <v/>
      </c>
      <c r="E85" s="61" t="s">
        <v>3127</v>
      </c>
      <c r="G85" t="str">
        <f t="shared" si="5"/>
        <v>VAULNAVEYS</v>
      </c>
    </row>
    <row r="86" spans="4:7">
      <c r="D86" t="str">
        <f t="shared" si="4"/>
        <v/>
      </c>
      <c r="E86" s="61" t="s">
        <v>3128</v>
      </c>
      <c r="G86" t="str">
        <f t="shared" si="5"/>
        <v>VIF</v>
      </c>
    </row>
    <row r="87" spans="4:7">
      <c r="D87" t="str">
        <f t="shared" si="4"/>
        <v/>
      </c>
      <c r="E87" s="61" t="s">
        <v>3129</v>
      </c>
      <c r="G87" t="str">
        <f t="shared" si="5"/>
        <v>VILLEFRANCHE-SUR-SAONE</v>
      </c>
    </row>
    <row r="88" spans="4:7">
      <c r="D88" t="str">
        <f t="shared" si="4"/>
        <v/>
      </c>
      <c r="E88" s="61" t="s">
        <v>3130</v>
      </c>
      <c r="G88" t="str">
        <f t="shared" si="5"/>
        <v>VILLENEUVE-D'ASQ</v>
      </c>
    </row>
    <row r="89" spans="4:7">
      <c r="D89" t="str">
        <f t="shared" si="4"/>
        <v/>
      </c>
      <c r="E89" s="61" t="s">
        <v>3131</v>
      </c>
      <c r="G89" t="str">
        <f t="shared" si="5"/>
        <v>VOGLANS</v>
      </c>
    </row>
    <row r="90" spans="4:7">
      <c r="D90" t="str">
        <f t="shared" si="4"/>
        <v/>
      </c>
      <c r="E90" s="61" t="s">
        <v>1978</v>
      </c>
      <c r="G90" t="str">
        <f t="shared" si="5"/>
        <v>VOIRON</v>
      </c>
    </row>
    <row r="91" spans="4:7">
      <c r="D91" t="str">
        <f t="shared" si="4"/>
        <v/>
      </c>
      <c r="E91" s="61" t="s">
        <v>2791</v>
      </c>
      <c r="G91" t="str">
        <f t="shared" si="5"/>
        <v>VOREPPE</v>
      </c>
    </row>
    <row r="92" spans="4:7">
      <c r="G92" t="str">
        <f t="shared" si="5"/>
        <v/>
      </c>
    </row>
  </sheetData>
  <hyperlinks>
    <hyperlink ref="C3" r:id="rId1"/>
    <hyperlink ref="C4" r:id="rId2"/>
    <hyperlink ref="C5" r:id="rId3"/>
    <hyperlink ref="C6" r:id="rId4"/>
    <hyperlink ref="C7" r:id="rId5"/>
    <hyperlink ref="C8" r:id="rId6"/>
    <hyperlink ref="C9" r:id="rId7"/>
    <hyperlink ref="C10" r:id="rId8"/>
    <hyperlink ref="C11" r:id="rId9"/>
    <hyperlink ref="C12" r:id="rId10"/>
    <hyperlink ref="C13" r:id="rId11"/>
    <hyperlink ref="C14" r:id="rId12"/>
    <hyperlink ref="C15" r:id="rId13"/>
    <hyperlink ref="C16" r:id="rId14"/>
    <hyperlink ref="C17" r:id="rId15"/>
    <hyperlink ref="C18" r:id="rId16"/>
    <hyperlink ref="C19" r:id="rId17"/>
    <hyperlink ref="C20" r:id="rId18"/>
    <hyperlink ref="C21" r:id="rId19"/>
    <hyperlink ref="C22" r:id="rId20"/>
    <hyperlink ref="C23" r:id="rId21"/>
    <hyperlink ref="C24" r:id="rId22"/>
    <hyperlink ref="C25" r:id="rId23"/>
    <hyperlink ref="C26" r:id="rId24"/>
    <hyperlink ref="C27" r:id="rId25"/>
    <hyperlink ref="C28" r:id="rId26"/>
    <hyperlink ref="C29" r:id="rId27"/>
    <hyperlink ref="C30" r:id="rId28"/>
    <hyperlink ref="C31" r:id="rId29"/>
    <hyperlink ref="C32" r:id="rId30"/>
    <hyperlink ref="C33" r:id="rId31"/>
  </hyperlinks>
  <pageMargins left="0.7" right="0.7" top="0.75" bottom="0.75" header="0.51180555555555496" footer="0.51180555555555496"/>
  <pageSetup paperSize="9" firstPageNumber="0" orientation="portrait" horizontalDpi="300" verticalDpi="300" r:id="rId32"/>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BD</vt:lpstr>
      <vt:lpstr>RFR</vt:lpstr>
      <vt:lpstr>RFR 2</vt:lpstr>
      <vt:lpstr>Stats</vt:lpstr>
      <vt:lpstr>fiche_suivi</vt:lpstr>
      <vt:lpstr>Avancement dossier pour accueil</vt:lpstr>
      <vt:lpstr>Données</vt:lpstr>
      <vt:lpstr>adresse_ville</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CHATELIN</dc:creator>
  <dc:description/>
  <cp:lastModifiedBy>Gabriel Mace</cp:lastModifiedBy>
  <cp:revision>2</cp:revision>
  <cp:lastPrinted>2024-05-07T07:36:09Z</cp:lastPrinted>
  <dcterms:created xsi:type="dcterms:W3CDTF">2019-06-26T13:17:23Z</dcterms:created>
  <dcterms:modified xsi:type="dcterms:W3CDTF">2024-05-21T14:16:06Z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HP Inc.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